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uthorization Required" sheetId="1" r:id="rId5"/>
    <sheet state="visible" name="directory" sheetId="2" r:id="rId6"/>
    <sheet state="visible" name="Data" sheetId="3" r:id="rId7"/>
    <sheet state="visible" name="zip_codes" sheetId="4" r:id="rId8"/>
    <sheet state="visible" name="assistance" sheetId="5" r:id="rId9"/>
    <sheet state="visible" name="organizations" sheetId="6" r:id="rId10"/>
    <sheet state="visible" name="registered_organizations" sheetId="7" r:id="rId11"/>
    <sheet state="visible" name="announcements" sheetId="8" r:id="rId12"/>
    <sheet state="visible" name="Table4" sheetId="9" r:id="rId13"/>
    <sheet state="visible" name="US Census Data" sheetId="10" r:id="rId14"/>
    <sheet state="visible" name="Sheet61" sheetId="11" r:id="rId15"/>
    <sheet state="visible" name="Sheet64" sheetId="12" r:id="rId16"/>
  </sheets>
  <definedNames>
    <definedName hidden="1" localSheetId="1" name="_xlnm._FilterDatabase">directory!$A$1:$AB$988</definedName>
    <definedName hidden="1" localSheetId="2" name="_xlnm._FilterDatabase">Data!$A$1:$AF$988</definedName>
    <definedName hidden="1" localSheetId="3" name="_xlnm._FilterDatabase">zip_codes!$A$1:$P$285</definedName>
    <definedName hidden="1" localSheetId="5" name="_xlnm._FilterDatabase">organizations!$A$1:$E$512</definedName>
    <definedName hidden="1" localSheetId="10" name="_xlnm._FilterDatabase">Sheet61!$L$1:$M$1000</definedName>
    <definedName hidden="1" localSheetId="11" name="_xlnm._FilterDatabase">Sheet64!$A$3:$AE$232</definedName>
  </definedNames>
  <calcPr/>
</workbook>
</file>

<file path=xl/sharedStrings.xml><?xml version="1.0" encoding="utf-8"?>
<sst xmlns="http://schemas.openxmlformats.org/spreadsheetml/2006/main" count="23473" uniqueCount="5911">
  <si>
    <t>id_no</t>
  </si>
  <si>
    <t/>
  </si>
  <si>
    <t>zip_codes</t>
  </si>
  <si>
    <t>organization</t>
  </si>
  <si>
    <t>org_address1</t>
  </si>
  <si>
    <t>org_address2</t>
  </si>
  <si>
    <t>org_city</t>
  </si>
  <si>
    <t>org_state</t>
  </si>
  <si>
    <t>org_zip_code</t>
  </si>
  <si>
    <t>org_telephone</t>
  </si>
  <si>
    <t>hours</t>
  </si>
  <si>
    <t>hours_notes</t>
  </si>
  <si>
    <t>assist_id</t>
  </si>
  <si>
    <t>assistance</t>
  </si>
  <si>
    <t>status_id</t>
  </si>
  <si>
    <t>status</t>
  </si>
  <si>
    <t>status_date</t>
  </si>
  <si>
    <t>status_text</t>
  </si>
  <si>
    <t>next_update</t>
  </si>
  <si>
    <t>requirements</t>
  </si>
  <si>
    <t>is_first_bold</t>
  </si>
  <si>
    <t>is_first_red</t>
  </si>
  <si>
    <t>client_zip_codes</t>
  </si>
  <si>
    <t>webpage</t>
  </si>
  <si>
    <t>googlemaps</t>
  </si>
  <si>
    <t>org_email</t>
  </si>
  <si>
    <t>org_county</t>
  </si>
  <si>
    <t>zip_neighborhoods</t>
  </si>
  <si>
    <t>org_parent</t>
  </si>
  <si>
    <t>org_coordinates</t>
  </si>
  <si>
    <t>org_hours</t>
  </si>
  <si>
    <t>org_neighborhood</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</si>
  <si>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t>
  </si>
  <si>
    <t>3 "A" Bereavement Foundation (3ABF)</t>
  </si>
  <si>
    <t>5330 Griggs Road</t>
  </si>
  <si>
    <t>Suite A108</t>
  </si>
  <si>
    <t>Houston</t>
  </si>
  <si>
    <t>TX</t>
  </si>
  <si>
    <t>77021</t>
  </si>
  <si>
    <t>713-649-3232</t>
  </si>
  <si>
    <t>Mo - Fr 9 a.m. to 5 p.m.</t>
  </si>
  <si>
    <t>Other</t>
  </si>
  <si>
    <t>ACTIVE</t>
  </si>
  <si>
    <t>Verified online</t>
  </si>
  <si>
    <t>Financial assistance for funeral services.  Needs based.  Financial verification required.
Funeral consultations.
Grief counseling.
Aftercare services</t>
  </si>
  <si>
    <t>https://3abereavement.weebly.com/</t>
  </si>
  <si>
    <t>https://www.google.com/maps/place/Three+A+Bereavement/@29.6962313,-95.3378945,16z/data=!3m1!4b1!4m6!3m5!1s0x8640be3dadb801b5:0x44b0b287f8f22ef6!8m2!3d29.6962267!4d-95.3353142!16s%2Fg%2F1tlqqcg1?entry=ttu&amp;g_ep=EgoyMDI1MDUwNy4wIKXMDSoASAFQAw%3D%3D</t>
  </si>
  <si>
    <t>29.6967871212121, -95.3336860909091</t>
  </si>
  <si>
    <t>{"regular":[{"days":["Mo","Tu","We","Th","Fr"],"open":"09:00","close":"17:00"}]}</t>
  </si>
  <si>
    <t>South Side</t>
  </si>
  <si>
    <t>99999</t>
  </si>
  <si>
    <t>A Touch of God's Love Outreach</t>
  </si>
  <si>
    <t>10103 Fondren Road</t>
  </si>
  <si>
    <t>Suit 420</t>
  </si>
  <si>
    <t>77096</t>
  </si>
  <si>
    <t>346-701-8094</t>
  </si>
  <si>
    <t>Veterans</t>
  </si>
  <si>
    <t>CLOSED</t>
  </si>
  <si>
    <t>Phone disconnected</t>
  </si>
  <si>
    <t>Financial assistance with utilities, food, Medical - Primary Care and Handyman for Veterans, Senior Citizens and Disabled</t>
  </si>
  <si>
    <t>https://maps.google.com/?q=A%20Touch%20of%20God's%20Love%20Outreach%2010103%20Fondren%20Suite%20420%20Houston%20TX%2077096</t>
  </si>
  <si>
    <t>29.669937, -95.508457</t>
  </si>
  <si>
    <t>Brays Oaks</t>
  </si>
  <si>
    <t>AAMA George L Sanchez Charter School North</t>
  </si>
  <si>
    <t>170 Rittenhouse Street</t>
  </si>
  <si>
    <t>77076</t>
  </si>
  <si>
    <t>832-622-0685</t>
  </si>
  <si>
    <t>Mo - Fr</t>
  </si>
  <si>
    <t>Education - Children</t>
  </si>
  <si>
    <t>Middle thru High School.
Free Tuition which includes free breakfast and lunch.
Apply online</t>
  </si>
  <si>
    <t>https://www.aama.org/apps/pages/george-i-sanchez-charter-schools</t>
  </si>
  <si>
    <t>https://www.google.com/maps/place/Sanchez+Charter+Middle+and+High+School/@29.8635627,-95.3810943,16z/data=!3m1!4b1!4m6!3m5!1s0x8640b80004692007:0x8f00566854f63014!8m2!3d29.8635581!4d-95.3785194!16s%2Fg%2F11c600mkxz?entry=ttu&amp;g_ep=EgoyMDI1MDgxOS4wIKXMDSoASAFQAw%3D%3D</t>
  </si>
  <si>
    <t>29.863906955714647, -95.37843356123234</t>
  </si>
  <si>
    <t>{"regular":[{"days":["Mo","Tu","We","Th","Fr"],"open":null,"close":null}]}</t>
  </si>
  <si>
    <t>Northside / Northline</t>
  </si>
  <si>
    <t>AAMA George L Sanchez Charter School South</t>
  </si>
  <si>
    <t>6001 Gulf Fwy</t>
  </si>
  <si>
    <t>77023</t>
  </si>
  <si>
    <t>Elementary thru High School.
Free Tuition which includes free breakfast and lunch.
Apply online</t>
  </si>
  <si>
    <t>https://www.google.com/maps/place/AAMA/@29.7143334,-95.3127981,19z/data=!3m1!4b1!4m6!3m5!1s0x8640bfd5e8dcfca9:0x894a10d39493d560!8m2!3d29.7143322!4d-95.3121544!16s%2Fg%2F11sszckmnd?entry=ttu&amp;g_ep=EgoyMDI1MDgxOS4wIKXMDSoASAFQAw%3D%3D</t>
  </si>
  <si>
    <t>29.714369469154935, -95.3121463531626</t>
  </si>
  <si>
    <t>Lawndale / Wayside</t>
  </si>
  <si>
    <t>Ability Found</t>
  </si>
  <si>
    <t>2324 S Constitution Blvd</t>
  </si>
  <si>
    <t>West Valley City</t>
  </si>
  <si>
    <t>UT</t>
  </si>
  <si>
    <t>84119</t>
  </si>
  <si>
    <t>801-505-0529</t>
  </si>
  <si>
    <t>Mo - Fr 9 a.m. to 4:30 p.m.</t>
  </si>
  <si>
    <t>Apply online</t>
  </si>
  <si>
    <t>Medical - Primary Care</t>
  </si>
  <si>
    <t xml:space="preserve">Provides mobility equipment at a low cost fee.
Equipment is customized for the needs of the individual.
They do not provide medical supplies or financial assistance.
Requests should be submitted online by a physical therapist if you have one, otherwise contact the organization directly thru their website.
</t>
  </si>
  <si>
    <t>https://abilityfound.org/pages/need-help</t>
  </si>
  <si>
    <t>https://www.google.com/maps/place/Ability+Found+Charity/@40.7202562,-111.9631665,17z/data=!3m1!4b1!4m6!3m5!1s0x87528a2b55962c8f:0x4d686ad30de1f05d!8m2!3d40.7202563!4d-111.9582902!16s%2Fg%2F1vzv443n?entry=ttu&amp;g_ep=EgoyMDI2MDEyMC4wIKXMDSoKLDEwMDc5MjA2OUgBUAM%3D</t>
  </si>
  <si>
    <t>40.72037806604348, -111.95827946249824</t>
  </si>
  <si>
    <t>77418, 77452, 77474</t>
  </si>
  <si>
    <t>AccessHealth Bellville WIC Center</t>
  </si>
  <si>
    <t>800 E Wendt Street</t>
  </si>
  <si>
    <t>Bellville</t>
  </si>
  <si>
    <t>77418</t>
  </si>
  <si>
    <t>979-865-9140</t>
  </si>
  <si>
    <t>Mo, Tu, Th 8 a.m. to 5:30 p.m.</t>
  </si>
  <si>
    <t>Mother &amp; Child</t>
  </si>
  <si>
    <t xml:space="preserve">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Fee based group sessions for Family Violence Intervention and Prevention and Anger Management Programs.
</t>
  </si>
  <si>
    <t>https://www.myaccesshealth.org/</t>
  </si>
  <si>
    <t>https://www.google.com/maps/place/Access+Health+Bellville+WIC+Clinic/@29.9400956,-96.2564832,16z/data=!3m1!4b1!4m6!3m5!1s0x86415214a20f7165:0x9a29241743df954d!8m2!3d29.940091!4d-96.2539029!16s%2Fg%2F11bzsdntr2?entry=ttu&amp;g_ep=EgoyMDI1MDYxNy4wIKXMDSoASAFQAw%3D%3D</t>
  </si>
  <si>
    <t>29.9396576157338, -96.2537193375798</t>
  </si>
  <si>
    <t>{"regular":[{"days":["Mo","Tu","Th"],"open":"08:00","close":"17:30"}]}</t>
  </si>
  <si>
    <t>77053, 77406, 77407, 77417, 77423, 77430, 77441, 77444, 77451, 77459, 77461, 77464, 77469, 77471, 77476, 77477, 77478, 77479, 77481, 77485, 77489, 77494, 77498, 77545, 77583, 77584</t>
  </si>
  <si>
    <t>AccessHealth Brookshire Clinic</t>
  </si>
  <si>
    <t>533 FM 359 S</t>
  </si>
  <si>
    <t>Brookshire</t>
  </si>
  <si>
    <t>77423</t>
  </si>
  <si>
    <t>281-342-4530</t>
  </si>
  <si>
    <t>Mo, Tu, We 7 a.m. to 5:30 p.m. &amp; Th, Fr 8 a.m. to 5 p.m.</t>
  </si>
  <si>
    <t>Family medicine, primary care, adults, women's health, pediatric,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t>
  </si>
  <si>
    <t>https://www.google.com/maps/place/AccessHealth+Brookshire+Clinic/@29.774261,-95.9528807,17z/data=!3m1!4b1!4m6!3m5!1s0x86413ba32ec6aa43:0xecb591ea00b3e4b5!8m2!3d29.7742564!4d-95.9503004!16s%2Fg%2F11hc_k0k4f?entry=ttu&amp;g_ep=EgoyMDI1MDYxNy4wIKXMDSoASAFQAw%3D%3D</t>
  </si>
  <si>
    <t>29.77434, -95.950801</t>
  </si>
  <si>
    <t>{"regular":[{"days":["Mo","Tu","We"],"open":"07:00","close":"17:30"},{"days":["Th","Fr"],"open":"08:00","close":"17:00"}]}</t>
  </si>
  <si>
    <t>AccessHealth Brookshire WIC Center</t>
  </si>
  <si>
    <t>531 FM 359 S</t>
  </si>
  <si>
    <t>281-822-4242</t>
  </si>
  <si>
    <t>Mo, We, Th 8 a.m. to 5:30 p.m. &amp; Tu 8 a.m. to 6 p.m. &amp; Fr 8 a.m. to 1:30 p.m.</t>
  </si>
  <si>
    <t xml:space="preserve">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t>
  </si>
  <si>
    <t>https://www.google.com/maps/place/Access+Health+Brookshire+WIC+Clinic/@29.7743128,-95.9532197,17z/data=!3m1!4b1!4m6!3m5!1s0x86413ba32420529b:0x5798dda56f02582e!8m2!3d29.7743082!4d-95.9506394!16s%2Fg%2F11hcd_dmqz?entry=ttu&amp;g_ep=EgoyMDI1MDYxNy4wIKXMDSoASAFQAw%3D%3D</t>
  </si>
  <si>
    <t>29.774335, -95.951041</t>
  </si>
  <si>
    <t>{"regular":[{"days":["Mo","We","Th"],"open":"08:00","close":"17:30"},{"days":["Tu"],"open":"08:00","close":"18:00"},{"days":["Fr"],"open":"08:00","close":"13:30"}]}</t>
  </si>
  <si>
    <t>AccessHealth East Fort Bend Clinic</t>
  </si>
  <si>
    <t>7707 Highway 6 South</t>
  </si>
  <si>
    <t>Missouri City</t>
  </si>
  <si>
    <t>77459</t>
  </si>
  <si>
    <t>Mo - Th 8 a.m. to 5 p.m.</t>
  </si>
  <si>
    <t>https://www.google.com/maps/place/AccessHealth+East+Fort+Bend/@29.5498337,-95.5509975,17z/data=!3m1!4b1!4m6!3m5!1s0x8640ef623897ab5b:0x45df221a3b363090!8m2!3d29.5498291!4d-95.5484172!16s%2Fg%2F11g3zk_tqr?entry=ttu&amp;g_ep=EgoyMDI1MDYxNy4wIKXMDSoASAFQAw%3D%3D</t>
  </si>
  <si>
    <t>29.55004371572688, -95.54838500791375</t>
  </si>
  <si>
    <t>{"regular":[{"days":["Mo","Tu","We","Th"],"open":"08:00","close":"17:00"}]}</t>
  </si>
  <si>
    <t>77445, 77446, 77466, 77492</t>
  </si>
  <si>
    <t>AccessHealth Hempstead WIC Center</t>
  </si>
  <si>
    <t>1737 13th Street</t>
  </si>
  <si>
    <t>Hempstead</t>
  </si>
  <si>
    <t>77445</t>
  </si>
  <si>
    <t>979-557-2860</t>
  </si>
  <si>
    <t>Mo, Tu 8 a.m. to 6 p.m. &amp; We, Th 8 a.m. to 5:30 p.m. &amp; Fr 8 a.m. to 1 p.m.</t>
  </si>
  <si>
    <t>https://www.google.com/maps/place/Access+Health+Hempstead+WIC+Clinic/@30.0885994,-96.0854671,17z/data=!3m1!4b1!4m6!3m5!1s0x8646cbf2bdd604ed:0x3871c5dc9c88752f!8m2!3d30.0885948!4d-96.0828868!16s%2Fg%2F11c80c5pwh?entry=ttu&amp;g_ep=EgoyMDI1MDYxNy4wIKXMDSoASAFQAw%3D%3D</t>
  </si>
  <si>
    <t>30.0888023601738, -96.0826334225169</t>
  </si>
  <si>
    <t>{"regular":[{"days":["Mo","Tu"],"open":"08:00","close":"18:00"},{"days":["We","Th"],"open":"08:00","close":"17:30"},{"days":["Fr"],"open":"08:00","close":"13:00"}]}</t>
  </si>
  <si>
    <t>AccessHealth Katy WIC Center</t>
  </si>
  <si>
    <t>1260 Pin Oak Road</t>
  </si>
  <si>
    <t>Suite 110</t>
  </si>
  <si>
    <t>Katy</t>
  </si>
  <si>
    <t>77494</t>
  </si>
  <si>
    <t>281-391-4168</t>
  </si>
  <si>
    <t>Mo 8 a.m. to 7 p.m. &amp; Tu, We, Th 8 a.m. to 5 p.m. &amp; Fr 8 a.m. to 12 p.m.  Closed 12 p.m. to 1 p.m.</t>
  </si>
  <si>
    <t>https://www.google.com/maps/place/Access+Health+Katy+WIC+Clinic/@29.7715667,-95.8211363,17z/data=!3m2!4b1!5s0x8641241ea38f160d:0x1f5667d0be90dcb3!4m6!3m5!1s0x8641241ea41aa14b:0xbfb6bd3112b944c4!8m2!3d29.7715621!4d-95.818556!16s%2Fg%2F1tkb5hd8?entry=ttu&amp;g_ep=EgoyMDI1MDYxNy4wIKXMDSoASAFQAw%3D%3D</t>
  </si>
  <si>
    <t>29.7721292, -95.8181261</t>
  </si>
  <si>
    <t>{"regular":[{"days":["Mo"],"open":"08:00","close":"19:00"},{"days":["Tu","We","Th"],"open":"08:00","close":"17:00"},{"days":["Fr"],"open":"08:00","close":"12:00"}]}</t>
  </si>
  <si>
    <t>AccessHealth Missouri City Clinic</t>
  </si>
  <si>
    <t>307 Texas Parkway</t>
  </si>
  <si>
    <t>Suite 100</t>
  </si>
  <si>
    <t>77489</t>
  </si>
  <si>
    <t>Mo, We, Th, Fr 7 a.m. to 5 p.m. &amp; Tu 7 a.m. to 6 p.m.</t>
  </si>
  <si>
    <t>https://www.google.com/maps/place/AccessHealth+Missouri+City+Clinic/@29.6175145,-95.5386005,17z/data=!3m1!4b1!4m6!3m5!1s0x8640e8f2465c6023:0xf54e0d695a0a28f2!8m2!3d29.6175099!4d-95.5360202!16s%2Fg%2F1v3lqbd7?entry=ttu&amp;g_ep=EgoyMDI1MDYxNy4wIKXMDSoASAFQAw%3D%3D</t>
  </si>
  <si>
    <t>29.6178774285714, -95.537035</t>
  </si>
  <si>
    <t>{"regular":[{"days":["Mo","We","Th","Fr"],"open":"07:00","close":"17:00"},{"days":["Tu"],"open":"07:00","close":"18:00"}]}</t>
  </si>
  <si>
    <t>Olde Missouri City Market Place</t>
  </si>
  <si>
    <t>AccessHealth Richmond Clinic</t>
  </si>
  <si>
    <t>400 Austin Street</t>
  </si>
  <si>
    <t>Richmond</t>
  </si>
  <si>
    <t>77469</t>
  </si>
  <si>
    <t>Mo, Tu, We, Th, Fr 7 a.m. to 5 p.m. &amp; Sa 8 a.m. to 12 p.m.</t>
  </si>
  <si>
    <t>https://www.google.com/maps/place/AccessHealth+Richmond+Clinic/@29.5786882,-95.7628537,17z/data=!3m1!4b1!4m6!3m5!1s0x86411e70c080105b:0x621ea27cba35c1c3!8m2!3d29.5786836!4d-95.7602734!16s%2Fg%2F1td72cvn?entry=ttu&amp;g_ep=EgoyMDI1MDYxNy4wIKXMDSoASAFQAw%3D%3D</t>
  </si>
  <si>
    <t>29.578459, -95.759783</t>
  </si>
  <si>
    <t>{"regular":[{"days":["Mo","Tu","We","Th","Fr"],"open":"07:00","close":"17:00"},{"days":["Sa"],"open":"08:00","close":"12:00"}]}</t>
  </si>
  <si>
    <t>AccessHealth Rosenberg WIC Center</t>
  </si>
  <si>
    <t>1720 BF Terry Blvd</t>
  </si>
  <si>
    <t>Suite A</t>
  </si>
  <si>
    <t>Rosenberg</t>
  </si>
  <si>
    <t>77471</t>
  </si>
  <si>
    <t>281-238-2316</t>
  </si>
  <si>
    <t>Mo, We 8 a.m. to 5 p.m. &amp; Tu 8 a.m. to 7 p.m. &amp; Th 7 a.m. to 6 p.m. &amp; Fr 8 a.m. to 1 p.m.</t>
  </si>
  <si>
    <t>https://www.google.com/maps/place/Access+Health+Rosenberg+WIC+Clinic/@29.5538011,-95.769961,17z/data=!3m1!4b1!4m6!3m5!1s0x86411dcbe3b6a681:0x3c791560e4e234fd!8m2!3d29.5537965!4d-95.7673807!16s%2Fg%2F11bc73s7j8?entry=ttu&amp;g_ep=EgoyMDI1MDYxNy4wIKXMDSoASAFQAw%3D%3D</t>
  </si>
  <si>
    <t>29.537481773188, -95.7748140958404</t>
  </si>
  <si>
    <t>{"regular":[{"days":["Mo","We"],"open":"08:00","close":"17:00"},{"days":["Tu"],"open":"08:00","close":"19:00"},{"days":["Th"],"open":"07:00","close":"18:00"},{"days":["Fr"],"open":"08:00","close":"13:00"}]}</t>
  </si>
  <si>
    <t>AccessHealth Sealy WIC Center</t>
  </si>
  <si>
    <t>526 Ward Street</t>
  </si>
  <si>
    <t>Sealy</t>
  </si>
  <si>
    <t>77474</t>
  </si>
  <si>
    <t>979-885-0517</t>
  </si>
  <si>
    <t>Mo 8 a.m. to 5:30 p.m. &amp; We 8 a.m. to 6 p.m. &amp; Fr &amp; Sa 8 a.m. to 1:30 p.m.</t>
  </si>
  <si>
    <t>https://www.google.com/maps/place/Access+Health+Sealy+WIC+Clinic/@29.7775694,-96.1626114,17z/data=!3m1!4b1!4m6!3m5!1s0x864145c2ee89398d:0xf4a9afa58d7d4bb2!8m2!3d29.7775648!4d-96.1600311!16s%2Fg%2F11ql_575sd?entry=ttu&amp;g_ep=EgoyMDI1MDYxNy4wIKXMDSoASAFQAw%3D%3D</t>
  </si>
  <si>
    <t>29.7778938979592, -96.1603012857143</t>
  </si>
  <si>
    <t>{"regular":[{"days":["Mo"],"open":"08:00","close":"17:30"},{"days":["We"],"open":"08:00","close":"18:00"},{"days":["Fr","Sa"],"open":"08:00","close":"13:30"}]}</t>
  </si>
  <si>
    <t>AccessHealth Second Mile Clinic</t>
  </si>
  <si>
    <t>1135 Hwy 90 Alt</t>
  </si>
  <si>
    <t>Mo, Tu, Th, Fr 7 a.m. to 5 p.m. &amp; We 7 a.m. to 6 p.m.</t>
  </si>
  <si>
    <t>https://www.google.com/maps/place/AccessHealth+Second+Mile+Clinic/@29.6205168,-95.5324576,17z/data=!3m1!4b1!4m6!3m5!1s0x8640e9ffb088e7c1:0x9b6babdfeeae07e7!8m2!3d29.6205122!4d-95.5298773!16s%2Fg%2F11l2x99fkq?entry=ttu&amp;g_ep=EgoyMDI1MDYxNy4wIKXMDSoASAFQAw%3D%3D</t>
  </si>
  <si>
    <t>29.620701912018554, -95.52988893726626</t>
  </si>
  <si>
    <t>{"regular":[{"days":["Mo","Tu","Th","Fr"],"open":"07:00","close":"17:00"},{"days":["We"],"open":"07:00","close":"18:00"}]}</t>
  </si>
  <si>
    <t>AccessHealth Stafford Clinic</t>
  </si>
  <si>
    <t>10435 Greenbough Drive</t>
  </si>
  <si>
    <t>Suite 300</t>
  </si>
  <si>
    <t>Stafford</t>
  </si>
  <si>
    <t>77477</t>
  </si>
  <si>
    <t>Mo - Fr 7 a.m. to 5 p.m.</t>
  </si>
  <si>
    <t>Family medicine, primary care, adults, women's health, pediatric, dental care,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t>
  </si>
  <si>
    <t>https://www.google.com/maps/place/AccessHealth+Stafford+Clinic/@29.6205769,-95.5674255,16z/data=!3m1!4b1!4m6!3m5!1s0x8640e62a1e55c92b:0xaffc49351a84756c!8m2!3d29.6205723!4d-95.5625492!16s%2Fg%2F11hd9qz3ct?entry=ttu&amp;g_ep=EgoyMDI1MDYxNy4wIKXMDSoASAFQAw%3D%3D</t>
  </si>
  <si>
    <t>29.6210934081633, -95.5623412653061</t>
  </si>
  <si>
    <t>{"regular":[{"days":["Mo","Tu","We","Th","Fr"],"open":"07:00","close":"17:00"}]}</t>
  </si>
  <si>
    <t>Greenbriar Southwest</t>
  </si>
  <si>
    <t>Medical - Dental &amp; Vision</t>
  </si>
  <si>
    <t>Dental
Includes cleanings, exams, x-rays, sealants, fillings, extractions, bridges, partials and dental emergencies
AccessHealth is a private, not-for-profit organization and a Federally Qualified Health Center.  It's primary focus is the low-income population of Fort Bend and Waller counties but will not turn anyone away, regardless of income or circumstance.
Sliding scale of fee based on income.</t>
  </si>
  <si>
    <t>AccessHealth Stafford WIC Center</t>
  </si>
  <si>
    <t>281-969-1835</t>
  </si>
  <si>
    <t>https://www.google.com/maps/place/Access+Health+Stafford+WIC+Clinic/@29.6206841,-95.5651997,17z/data=!3m1!4b1!4m6!3m5!1s0x8640e62a1dd7f35d:0xc95ea2dcf95c8f93!8m2!3d29.6206795!4d-95.5626194!16s%2Fg%2F1v_w2r9z?entry=ttu&amp;g_ep=EgoyMDI1MDYxNy4wIKXMDSoASAFQAw%3D%3D</t>
  </si>
  <si>
    <t>77488</t>
  </si>
  <si>
    <t>AccessHealth Wharton WIC Center</t>
  </si>
  <si>
    <t>20115 N Fulton Street</t>
  </si>
  <si>
    <t>Wharton</t>
  </si>
  <si>
    <t>979-532-8755</t>
  </si>
  <si>
    <t>https://www.google.com/maps/place/Access+Health+Wharton+WIC+Clinic/@29.3292211,-96.0957272,16z/data=!3m1!4b1!4m6!3m5!1s0x864174e69c244ca1:0x19aa48ea44b3deee!8m2!3d29.3292164!4d-96.0931469!16s%2Fg%2F1td6b80l?entry=ttu&amp;g_ep=EgoyMDI1MDYxNy4wIKXMDSoASAFQAw%3D%3D</t>
  </si>
  <si>
    <t>29.329366007624188, -96.09311470962987</t>
  </si>
  <si>
    <t>Accessia Health</t>
  </si>
  <si>
    <t>3104 E Boundary Court</t>
  </si>
  <si>
    <t>Midlothian</t>
  </si>
  <si>
    <t>VA</t>
  </si>
  <si>
    <t>23112</t>
  </si>
  <si>
    <t>800-366-7741</t>
  </si>
  <si>
    <t>Mo, Tu, Th, Fr 8:30 a.m to 5 p.m. &amp; We 9:30 a.m. to 5 p.m.</t>
  </si>
  <si>
    <t>Medical - Bill Payment</t>
  </si>
  <si>
    <t>Offers financial assistance to eligible individuals to pay for health insurance premiums, medication copayments, travel and other essential medical expenses.
Must meet income guidelines  and a diagnosed, covered medication condition.
Check eligibility and apply online.
A charitable patient assistance foundation.</t>
  </si>
  <si>
    <t>https://accessiahealth.org</t>
  </si>
  <si>
    <t>https://www.google.com/maps/place/Accessia+Health/@37.447121,-77.6480803,17z/data=!3m1!4b1!4m6!3m5!1s0x89b173d0fbba5d41:0x4ec81be8dbc6a9e5!8m2!3d37.447121!4d-77.6455!16s%2Fg%2F113g6sbc5?entry=ttu&amp;g_ep=EgoyMDI2MDEyMC4wIKXMDSoKLDEwMDc5MjA2OUgBUAM%3D</t>
  </si>
  <si>
    <t>37.44735944105023, -77.64545707622406</t>
  </si>
  <si>
    <t>{"regular":[{"days":["Mo","Tu","Th","Fr"],"open":"08:30","close":"17:00"},{"days":["We"],"open":"09:30","close":"17:00"}]}</t>
  </si>
  <si>
    <t>Brandermill</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</si>
  <si>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t>
  </si>
  <si>
    <t>Acres Homes Multi-Service Center</t>
  </si>
  <si>
    <t>6719 W Montgomery Road</t>
  </si>
  <si>
    <t>77091</t>
  </si>
  <si>
    <t>832-393-4145</t>
  </si>
  <si>
    <t>2nd Tu 8 a.m to 11 a.m.</t>
  </si>
  <si>
    <t>Food</t>
  </si>
  <si>
    <t>Food Distribution
by the Houston Food Bank for seniors over the age of 60 and families with children under five years.</t>
  </si>
  <si>
    <t>https://www.houstonhealth.org/services/multi-service-centers/acres-homes-multi-service-center</t>
  </si>
  <si>
    <t>https://www.google.com/maps/place/Acres+Homes+Multi-Service+Center/@29.8574912,-95.4247509,17z/data=!3m1!4b1!4m6!3m5!1s0x8640c7d963488d53:0x6044d3466dc08305!8m2!3d29.8574866!4d-95.422176!16s%2Fg%2F11g7z0pwk3?entry=ttu&amp;g_ep=EgoyMDI2MDIwMS4wIKXMDSoKLDEwMDc5MjA2OUgBUAM%3D</t>
  </si>
  <si>
    <t>29.857681948841, -95.42211162195217</t>
  </si>
  <si>
    <t>832-393-4150</t>
  </si>
  <si>
    <t>Women, Infants and Children (WIC)
Supplemental nutrition program providing health care referrals, nutrition education and nutritious foods to pregnant, breastfeeding and postpartum women and children under five who have nutrition health-related problems.</t>
  </si>
  <si>
    <t>77018, 77037, 77038, 77065, 77066, 77067, 77070, 77073, 77086, 77088, 77091</t>
  </si>
  <si>
    <t>713-694-1619</t>
  </si>
  <si>
    <t>Mo - Fr 7:15 a.m. to 4 p.m.</t>
  </si>
  <si>
    <t>Head Start
For children upto 5 years old</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</si>
  <si>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t>
  </si>
  <si>
    <t>Harris</t>
  </si>
  <si>
    <t>City of Houston</t>
  </si>
  <si>
    <t>Adult &amp; Teen Challenge</t>
  </si>
  <si>
    <t>30310 Misty Meadow Drive</t>
  </si>
  <si>
    <t>Magnolia</t>
  </si>
  <si>
    <t>77355</t>
  </si>
  <si>
    <t>281-259-5600</t>
  </si>
  <si>
    <t>Mo - Sa</t>
  </si>
  <si>
    <t>Medical - Addiction Recovery</t>
  </si>
  <si>
    <t>Residential recovery program for adults and teens.
Committed to working for a full year.
Not free, limited cost.</t>
  </si>
  <si>
    <t>https://houstonmensrehab.com/</t>
  </si>
  <si>
    <t>https://www.google.com/maps/place/Adult+%26+Teen+Challenge+Houston+Men's/@30.1843018,-95.7124219,17z/data=!3m1!4b1!4m6!3m5!1s0x86472837f10aa7eb:0x7533c718c1171d3b!8m2!3d30.1842972!4d-95.7098416!16s%2Fg%2F1tczf8yf?entry=ttu&amp;g_ep=EgoyMDI1MDQxNi4xIKXMDSoASAFQAw%3D%3D</t>
  </si>
  <si>
    <t>30.1844886166487, -95.7100498405959</t>
  </si>
  <si>
    <t>{"regular":[{"days":["Mo","Tu","We","Th","Fr","Sa"],"open":null,"close":null}]}</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</si>
  <si>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t>
  </si>
  <si>
    <t>Aid to Victims of Domestic Abuse (AVDA)</t>
  </si>
  <si>
    <t>1001 Texas Avenue</t>
  </si>
  <si>
    <t>Suite 600</t>
  </si>
  <si>
    <t>77002</t>
  </si>
  <si>
    <t>713-224-9911</t>
  </si>
  <si>
    <t>Mo - Fr 8 a.m. to 5 p.m.</t>
  </si>
  <si>
    <t>Domestic Abuse - Other</t>
  </si>
  <si>
    <t>Fee based Battering Intervention and Prevention Program (BIPP) provides tools to end physical, verbal or emotional abuse.  These are weekly sessions  available in both English and Spanish.
Free counseling services for adult survivors and children (3 years and older) of abusive relationships.  Available in English and Spanish</t>
  </si>
  <si>
    <t>https://avda.org/</t>
  </si>
  <si>
    <t>https://www.google.com/maps/place/AVDA+(Aid+to+Victims+of+Domestic+Abuse)/@29.7600419,-95.3669883,17z/data=!3m2!4b1!5s0x8640c6aa65c8eea5:0x1dd626e1f5b80a6!4m6!3m5!1s0x8640bf13bd360545:0x6f740c2de58717e4!8m2!3d29.760042!4d-95.362112!16s%2Fg%2F1tdww1xs?entry=ttu&amp;g_ep=EgoyMDI2MDExMy4wIKXMDSoKLDEwMDc5MjA2OUgBUAM%3D</t>
  </si>
  <si>
    <t>29.75987665, -95.3617820466487</t>
  </si>
  <si>
    <t>{"regular":[{"days":["Mo","Tu","We","Th","Fr"],"open":"08:00","close":"17:00"}]}</t>
  </si>
  <si>
    <t>Downtown Houston</t>
  </si>
  <si>
    <t>77053, 77406, 77407, 77417, 77430, 77441, 77444, 77451, 77459, 77461, 77464, 77469, 77471, 77476, 77477, 77478, 77479, 77481, 77485, 77487, 77489, 77494, 77496, 77498, 77545, 77583, 77584</t>
  </si>
  <si>
    <t>12300 Parc Crest Drive</t>
  </si>
  <si>
    <t>Suite 140</t>
  </si>
  <si>
    <t>281-207-2312</t>
  </si>
  <si>
    <t>https://www.google.com/maps/place/12300+Parc+Crest+Dr,+Stafford,+TX+77477/@29.6427714,-95.571324,17z/data=!3m1!4b1!4m6!3m5!1s0x8640e7db8e5876c1:0xe77e74e1dbfaf7a8!8m2!3d29.6427714!4d-95.5687437!16s%2Fg%2F11bw4ptrpn?entry=ttu&amp;g_ep=EgoyMDI2MDExMy4wIKXMDSoKLDEwMDc5MjA2OUgBUAM%3D</t>
  </si>
  <si>
    <t>29.64299514221335, -95.5686900498753</t>
  </si>
  <si>
    <t>77363, 77418, 77423, 77426, 77445, 77446, 77452, 77466, 77474, 77484, 77492, 77833, 77835, 77868, 77880, 78932, 78946</t>
  </si>
  <si>
    <t>910 Ninth Street</t>
  </si>
  <si>
    <t>979-826-3290</t>
  </si>
  <si>
    <t>https://www.google.com/maps/place/910+9th+St,+Hempstead,+TX+77445/@30.0961763,-96.0795556,17z/data=!3m1!4b1!4m6!3m5!1s0x8646b5f1b69d9005:0x358dea5554b4780d!8m2!3d30.0961763!4d-96.0769753!16s%2Fg%2F11c4jtyf3r?entry=ttu&amp;g_ep=EgoyMDI2MDExMy4wIKXMDSoKLDEwMDc5MjA2OUgBUAM%3D</t>
  </si>
  <si>
    <t>30.09638046314288, -96.0769752947155</t>
  </si>
  <si>
    <t>Legal</t>
  </si>
  <si>
    <t>Free legal advice and representation for individuals who have experienced a pattern of physical, sexual or emotional abuse by partner in the past few year or has minor children who have been abused by partner.
Must have been a Texas resident for six months and for the preceding three months in Austin, Grimes, Harris, Fort Bend Waller or Washington counties.
Immigration status or citizenship is not an eligibility criteria.</t>
  </si>
  <si>
    <t>https://avda.org/get-help/legal-aid/</t>
  </si>
  <si>
    <t>Airline Children &amp; Women's Center</t>
  </si>
  <si>
    <t>5808 Airline Drive</t>
  </si>
  <si>
    <t>713-695-4013</t>
  </si>
  <si>
    <t>Mo - Th 7:30 a.m. to 8 p.m. &amp; Fr 7:30 a.m. to 5 p.m. &amp; Dental Tu - Th 8 a.m. to 5 p.m.</t>
  </si>
  <si>
    <t>Appointment required</t>
  </si>
  <si>
    <t>Pediatrics, women's health and maternity care.
Women's health including pre and postnatal care for mother and baby
Uninsured patients pay what is affordable based on income and family size.
Will help determine if you qualify for medical assistance programs and help enroll, if you are.
Limited number of same day appointments.</t>
  </si>
  <si>
    <t>https://www.denverharborhealthcenter.org</t>
  </si>
  <si>
    <t>https://www.google.com/maps/place/Vecino's+Denver+Harbor+Family+Health+Center/@29.7804606,-95.3124257,16z/data=!3m1!4b1!4m6!3m5!1s0x8640bbfe0493ec21:0xa8baa6b440546cf3!8m2!3d29.780456!4d-95.3098454!16s%2Fg%2F1td9whln?entry=ttu&amp;g_ep=EgoyMDI0MDkwNC4wIKXMDSoASAFQAw%3D%3D</t>
  </si>
  <si>
    <t>29.7803014, -95.3098685</t>
  </si>
  <si>
    <t>{"regular":[{"days":["Mo","Tu","We","Th"],"open":"07:30","close":"20:00"},{"days":["Fr"],"open":"07:30","close":"17:00"}]}</t>
  </si>
  <si>
    <t>Denver Harbor / Port Houston</t>
  </si>
  <si>
    <t>Aishel House</t>
  </si>
  <si>
    <t>1955 University Blvd</t>
  </si>
  <si>
    <t>77030</t>
  </si>
  <si>
    <t>713-522-2004</t>
  </si>
  <si>
    <t>Medical - Housing</t>
  </si>
  <si>
    <t>Provides patients and families visiting the Texas Medical center with accommodations, transportation, meals, childcare and counseling.
Medical housing.</t>
  </si>
  <si>
    <t>https://www.aishelhouse.org/patients/stay-with-us/</t>
  </si>
  <si>
    <t>https://www.google.com/maps/place/Aishel+House/@29.7118263,-95.4063507,16z/data=!3m1!4b1!4m6!3m5!1s0x8640c07016137dbf:0x16c023b2074d0f7a!8m2!3d29.7118263!4d-95.4037704!16s%2Fg%2F1tjt29qf?entry=ttu&amp;g_ep=EgoyMDI2MDExMS4wIKXMDSoKLDEwMDc5MjA2OUgBUAM%3D</t>
  </si>
  <si>
    <t>29.712198982313293, -95.40376502706353</t>
  </si>
  <si>
    <t>South Central Houston</t>
  </si>
  <si>
    <t>77025, 77030, 77031, 77035, 77036, 77045, 77046, 77054, 77071, 77072, 77074, 77081, 77083, 77085, 77096, 77099</t>
  </si>
  <si>
    <t>Alexander Jewish Family Service</t>
  </si>
  <si>
    <t>4131 S. Braeswood Blvd</t>
  </si>
  <si>
    <t>77025</t>
  </si>
  <si>
    <t>713-986-7837</t>
  </si>
  <si>
    <t>Tu, We &amp; Th 10 a.m. to 12 p.m.</t>
  </si>
  <si>
    <t>2nd Week of Month Only</t>
  </si>
  <si>
    <t>Rent</t>
  </si>
  <si>
    <t>Verified by phone</t>
  </si>
  <si>
    <t>Talk to case worker about requirements.</t>
  </si>
  <si>
    <t>https://www.alexanderjfs.org/</t>
  </si>
  <si>
    <t>https://maps.app.goo.gl/FEhdBRkjwU1f7Fgh9</t>
  </si>
  <si>
    <t>29.68805345, -95.4440327818119</t>
  </si>
  <si>
    <t>{"regular":[{"days":["Tu","We","Th"],"open":"10:00","close":"12:00"}]}</t>
  </si>
  <si>
    <t>Braeswood</t>
  </si>
  <si>
    <t>Utilities</t>
  </si>
  <si>
    <t>713-667-9336</t>
  </si>
  <si>
    <t>Mo - Fr 8 a.m. to 4 p.m.</t>
  </si>
  <si>
    <t>Medical - Behavioral Health</t>
  </si>
  <si>
    <t>Licensed mental health professionals for adults and children.</t>
  </si>
  <si>
    <t>{"regular":[{"days":["Mo","Tu","We","Th","Fr"],"open":"08:00","close":"16:00"}]}</t>
  </si>
  <si>
    <t>Jobs</t>
  </si>
  <si>
    <t>Career coaching and employment training.
Career guidance for people with disabilities.</t>
  </si>
  <si>
    <t>Alief Neighborhood Center</t>
  </si>
  <si>
    <t>11903 Bellaire Blvd</t>
  </si>
  <si>
    <t>77072</t>
  </si>
  <si>
    <t>832-393-5427</t>
  </si>
  <si>
    <t>https://www.houstonhealth.org/services/multi-service-centers/alief-multi-service-center</t>
  </si>
  <si>
    <t>https://www.google.com/maps/place/Alief+Neighborhood+Center/@29.7027824,-95.5914638,17z/data=!3m1!4b1!4m6!3m5!1s0x8640dd1112820e8f:0x8168f3ce4f125463!8m2!3d29.7027778!4d-95.5888889!16s%2Fg%2F1vn18xzb?entry=ttu&amp;g_ep=EgoyMDI2MDIwMS4wIKXMDSoKLDEwMDc5MjA2OUgBUAM%3D</t>
  </si>
  <si>
    <t>29.70297345115537, -95.58882452197315</t>
  </si>
  <si>
    <t>Alief</t>
  </si>
  <si>
    <t>77007, 77008, 77009</t>
  </si>
  <si>
    <t>All Saints (SVdP D4)</t>
  </si>
  <si>
    <t>1035 Cortlandt Street</t>
  </si>
  <si>
    <t>77008</t>
  </si>
  <si>
    <t>713-864-8937</t>
  </si>
  <si>
    <t>Mo 9 a.m. to 10:30 a.m.</t>
  </si>
  <si>
    <t>https://allsaintsheights.com/svdp</t>
  </si>
  <si>
    <t>https://www.google.com/maps/place/All+Saints+Saint+Vincent+de+Paul+Society%E2%80%99s+Food+Pantry/@29.7901633,-95.3980995,17z/data=!3m1!4b1!4m6!3m5!1s0x8640c75f3eb178f5:0xa4944b9b05cc0648!8m2!3d29.7901587!4d-95.3955246!16s%2Fg%2F11rt_jqfzc?entry=ttu&amp;g_ep=EgoyMDI1MDEyOS4xIKXMDSoASAFQAw%3D%3D</t>
  </si>
  <si>
    <t>29.7895703265306, -95.3953734489796</t>
  </si>
  <si>
    <t>{"regular":[{"days":["Mo"],"open":"09:00","close":"10:30"}]}</t>
  </si>
  <si>
    <t>Northside</t>
  </si>
  <si>
    <t>Mo - Th 9 a.m. to 10:30 a.m. &amp; We 6 p.m. to 7:30 p.m.</t>
  </si>
  <si>
    <t>Food delivery available for those unable to physically make it to the pantry.</t>
  </si>
  <si>
    <t>{"regular":[{"days":["Mo","Tu","We","Th"],"open":"09:00","close":"10:30"},{"days":["We"],"open":"18:00","close":"19:30"}]}</t>
  </si>
  <si>
    <t>Allyson Whitney Foundation</t>
  </si>
  <si>
    <t>12221 Towne Lake Drive</t>
  </si>
  <si>
    <t>Suite A158</t>
  </si>
  <si>
    <t>Fort Myers</t>
  </si>
  <si>
    <t>FL</t>
  </si>
  <si>
    <t>33913</t>
  </si>
  <si>
    <t>Provides grants for young adults (between 16 and 36 years old) diagnosed with rare cancer.
US Citizens/Permanent Residents.
Applications are accepted online only are are open four times a year.  Please check website for key dates and deadlines.
Applications initiated by doctor's office or patient navigator.</t>
  </si>
  <si>
    <t>https://allysonwhitney.org/</t>
  </si>
  <si>
    <t>26.566374990656055, -81.74982919680966</t>
  </si>
  <si>
    <t>Gateway</t>
  </si>
  <si>
    <t>American Kidney Fund</t>
  </si>
  <si>
    <t>11921 Rockville Pike</t>
  </si>
  <si>
    <t>Rockville</t>
  </si>
  <si>
    <t>MD</t>
  </si>
  <si>
    <t>20852</t>
  </si>
  <si>
    <t>800-638-8299</t>
  </si>
  <si>
    <t>Need-based financial assistance programs help U.S. kidney patients with health insurance premiums, transportation costs and prescription medications.
Check eligibility and apply online.
A charitable patient assistance foundation.</t>
  </si>
  <si>
    <t>https://www.kidneyfund.org/get-assistance</t>
  </si>
  <si>
    <t>https://www.google.com/maps/place/American+Kidney+Fund/@39.0518139,-77.1196798,16z/data=!3m2!4b1!5s0x89b7cc31c5ed337d:0x5a6d370d8c2bc86f!4m6!3m5!1s0x89b7cd246949ae89:0x563a057bb9f021d0!8m2!3d39.051814!4d-77.1148035!16s%2Fg%2F11vszk1mcb?entry=ttu&amp;g_ep=EgoyMDI2MDEyMC4wIKXMDSoKLDEwMDc5MjA2OUgBUAM%3D</t>
  </si>
  <si>
    <t>39.05221372094748, -77.11477665671595</t>
  </si>
  <si>
    <t>North Bethesda</t>
  </si>
  <si>
    <t>American Red Cross</t>
  </si>
  <si>
    <t>2700 Southwest Fwy</t>
  </si>
  <si>
    <t>77098</t>
  </si>
  <si>
    <t>713-526-8300</t>
  </si>
  <si>
    <t>LIMITED</t>
  </si>
  <si>
    <t>For disaster victims and military families only.</t>
  </si>
  <si>
    <t>https://www.redcross.org/local/texas/gulf-coast/about-us/locations/houston.html?CID=organic_gmb_listings</t>
  </si>
  <si>
    <t>https://maps.google.com/?q=American%20Red%20Cross%202700%20Southwest%20Fwy%20Houston%20TX%2077098</t>
  </si>
  <si>
    <t>29.7301392368421, -95.4211873421053</t>
  </si>
  <si>
    <t>Greenway / Upper Kirby Area</t>
  </si>
  <si>
    <t>Clothing</t>
  </si>
  <si>
    <t>Anchor Point</t>
  </si>
  <si>
    <t>103 Davis Road, Suite B</t>
  </si>
  <si>
    <t>League City</t>
  </si>
  <si>
    <t>77573</t>
  </si>
  <si>
    <t>832-632-1221</t>
  </si>
  <si>
    <t>Appears to be a conduit for for-profit clinic</t>
  </si>
  <si>
    <t>https://anchorpoint.us/</t>
  </si>
  <si>
    <t>https://www.google.com/maps/place/Anchor+Point/@29.529608,-95.0759713,16z/data=!3m1!4b1!4m6!3m5!1s0x86409d427a7055f7:0x69975b23d0d7abe5!8m2!3d29.529608!4d-95.073391!16s%2Fg%2F1tlkcrn3?entry=ttu&amp;g_ep=EgoyMDI1MDQwOS4wIKXMDSoASAFQAw%3D%3D</t>
  </si>
  <si>
    <t>29.5294698851117, -95.0726858411499</t>
  </si>
  <si>
    <t>Angela House</t>
  </si>
  <si>
    <t>6725 Reed Road</t>
  </si>
  <si>
    <t>77087</t>
  </si>
  <si>
    <t>281-445-9696</t>
  </si>
  <si>
    <t>Housing</t>
  </si>
  <si>
    <t>SVdP Church Help for Moms Ministry</t>
  </si>
  <si>
    <t>Transitional housing for women currently incarcerated, on probation or on parole.
Shelter</t>
  </si>
  <si>
    <t>https://angelahouse.org/</t>
  </si>
  <si>
    <t>https://www.google.com/maps/place/Angela+House/@29.6622836,-95.3099262,17z/data=!3m1!4b1!4m6!3m5!1s0x8640c826aaaaaaab:0x127be3a1fd2185bb!8m2!3d29.6622836!4d-95.3073513!16s%2Fg%2F12642tldr?entry=ttu&amp;g_ep=EgoyMDI1MDQwOS4wIKXMDSoASAFQAw%3D%3D</t>
  </si>
  <si>
    <t>29.6610695260382, -95.3082044659209</t>
  </si>
  <si>
    <t>Southeast Houston</t>
  </si>
  <si>
    <t>Annunciation Maternity Home</t>
  </si>
  <si>
    <t>3610 Shell Road</t>
  </si>
  <si>
    <t>Georgetown</t>
  </si>
  <si>
    <t>78628</t>
  </si>
  <si>
    <t>Housing and related services for women facing unplanned pregnancies.
Educational opportunities
Health services</t>
  </si>
  <si>
    <t>https://wp.thematernityhome.org/</t>
  </si>
  <si>
    <t>https://www.google.com/maps/place/Annunciation+Maternity+Home/@30.715947,-97.6779099,16z/data=!3m1!4b1!4m6!3m5!1s0x8645290abe886bc3:0x37691a5b7468dd82!8m2!3d30.715947!4d-97.675335!16s%2Fg%2F11xln2gz0?entry=ttu&amp;g_ep=EgoyMDI1MDQwOS4wIKXMDSoASAFQAw%3D%3D</t>
  </si>
  <si>
    <t>30.7189464778299, -97.6780014967854</t>
  </si>
  <si>
    <t>Antoine Clinic</t>
  </si>
  <si>
    <t>5815 Antoine Drive</t>
  </si>
  <si>
    <t>832-927-7350</t>
  </si>
  <si>
    <t>Mo - Th 8 a.m. to 7 p.m. &amp; Sa 8 a.m. to 2 p.m.</t>
  </si>
  <si>
    <t>Verified via CCSC flyer</t>
  </si>
  <si>
    <t>Sexual Health
Comprehensive sexual health services including STI testing for HIV, Syphilis, Gonorrhea and Chlamydia.
Prescriptions for PrEP, immunizations.</t>
  </si>
  <si>
    <t>https://publichealth.harriscountytx.gov/Divisions-Offices/Divisions/Community-Health-Wellness-Division/HIV-STI-Prevention</t>
  </si>
  <si>
    <t>https://www.google.com/maps/place/Harris+County+Public+Health+Antoine+Clinic/@29.8495368,-95.4797903,17z/data=!3m1!4b1!4m6!3m5!1s0x8640c60628e1da99:0x67a191704b8c03b5!8m2!3d29.8495369!4d-95.474914!16s%2Fg%2F1tfzh4dy?entry=ttu&amp;g_ep=EgoyMDI2MDEyNi4wIKXMDSoKLDEwMDc5MjA2OUgBUAM%3D</t>
  </si>
  <si>
    <t>29.849787969654255, -95.47490325913498</t>
  </si>
  <si>
    <t>{"regular":[{"days":["Mo","Tu","We","Th"],"open":"08:00","close":"19:00"},{"days":["Sa"],"open":"08:00","close":"14:00"}]}</t>
  </si>
  <si>
    <t>Mo - Th 9 a.m. to 6 p.m. &amp; Sa 9 a.m. to 2 p.m.</t>
  </si>
  <si>
    <t>Low-cost preventive health services.
Co-pays are based on family income and household size.</t>
  </si>
  <si>
    <t>https://publichealth.harriscountytx.gov/Divisions-Offices/Divisions/Community-Health-Wellness-Division/Health-Services</t>
  </si>
  <si>
    <t>{"regular":[{"days":["Mo","Tu","We","Th"],"open":"09:00","close":"18:00"},{"days":["Sa"],"open":"09:00","close":"14:00"}]}</t>
  </si>
  <si>
    <t>832-927-1335</t>
  </si>
  <si>
    <t>Individual, couples, family and group therapy provided at no cost.
Maternal mental health services. a home based program, for pregnant and postpartum households.
Anxiety, depression, PTSD, bipolar disorder and schizophrenia.</t>
  </si>
  <si>
    <t>Immigration</t>
  </si>
  <si>
    <t>Under contract with the US Committee For Refugees, HCPH provides free health screenings including physicals, screening for tuberculosis and other infectious diseases, immunizations, basic screening lab tests and referrals to primary care providers to refugees.
Full civil surgeon immigration and medical exams are not included.
See website for specific population groups eligible for these free services.</t>
  </si>
  <si>
    <t>https://publichealth.harriscountytx.gov/Divisions-Offices/Divisions/Community-Health-Wellness-Division/Refugee-Health-Services</t>
  </si>
  <si>
    <t>Appleseed Network</t>
  </si>
  <si>
    <t>1609 Shoal Creek Blvd</t>
  </si>
  <si>
    <t>Suite 201</t>
  </si>
  <si>
    <t>Austin</t>
  </si>
  <si>
    <t>78701</t>
  </si>
  <si>
    <t>Reclassified due to no direct assistance.</t>
  </si>
  <si>
    <t>Focus is on immigration policy and legislature and not on direct assistance to immigrants or refugees.</t>
  </si>
  <si>
    <t>https://www.texasappleseed.org/immigration</t>
  </si>
  <si>
    <t>30.281621, -97.749833</t>
  </si>
  <si>
    <t>Downtown Austin</t>
  </si>
  <si>
    <t>AsSalam Clinic</t>
  </si>
  <si>
    <t>9041 Louetta Road</t>
  </si>
  <si>
    <t>Spring</t>
  </si>
  <si>
    <t>77379</t>
  </si>
  <si>
    <t>281-251-2639</t>
  </si>
  <si>
    <t>Free clinic.</t>
  </si>
  <si>
    <t>https://www.assalamclinic.com/contact/</t>
  </si>
  <si>
    <t>https://www.google.com/maps/place/AsSalam+Clinic/@30.0065677,-95.5504569,17z/data=!3m1!4b1!4m6!3m5!1s0x8640cd71cffe0fcd:0x8090162a5183b47b!8m2!3d30.0065631!4d-95.547882!16s%2Fg%2F11g0k1vw7y?entry=ttu&amp;g_ep=EgoyMDI0MDkxNi4wIKXMDSoASAFQAw%3D%3D</t>
  </si>
  <si>
    <t>30.008572, -95.54612775</t>
  </si>
  <si>
    <t>Association for Advancement of Mexican Americans (AAMA)</t>
  </si>
  <si>
    <t>713-926-9491</t>
  </si>
  <si>
    <t xml:space="preserve">Substance use disorder treatment programs in English and Spanish.
HIV Prevention Services.
</t>
  </si>
  <si>
    <t>https://www.aama.org/apps/pages/prevention-and-counseling-services-houston</t>
  </si>
  <si>
    <t>713-929-2442</t>
  </si>
  <si>
    <t>Mo - Fr 6:30 a.m. to 6 p.m.</t>
  </si>
  <si>
    <t>Childcare
For children between the ages of six weeks and four years old.</t>
  </si>
  <si>
    <t>https://www.aama.org/apps/pages/early-childhood</t>
  </si>
  <si>
    <t>{"regular":[{"days":["Mo","Tu","We","Th","Fr"],"open":"06:30","close":"18:00"}]}</t>
  </si>
  <si>
    <t>713-929-2300</t>
  </si>
  <si>
    <t>Education - Adults</t>
  </si>
  <si>
    <t>Educational program in Adobe Photoshop, Canva, MS Office, Google Suite, web development, print &amp; production, professional communication, resume writing, job skills and financial literacy.
Upon completion of program there is additional support in obtaining Adobe Software Certification.
Adult Education in conjunction with Houston Community College Southeast, including ESL (English as a Second Language) and HSE (High School Equivalency).
Must have a valid photo ID, attend in-person orientation and commit to attend every class.</t>
  </si>
  <si>
    <t>https://www.aama.org/</t>
  </si>
  <si>
    <t>29.7143715656566, -95.3149722979798</t>
  </si>
  <si>
    <t>Gulfgate Riverview / Pine Valley</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</si>
  <si>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t>
  </si>
  <si>
    <t>Avenue 360 Heights</t>
  </si>
  <si>
    <t>2150 West 18th Street</t>
  </si>
  <si>
    <t>713-426-0027</t>
  </si>
  <si>
    <t>Mo - Th 8 a.m. to 6 p.m. &amp; Fr 8 a.m. to 5 p.m.</t>
  </si>
  <si>
    <t>Affordable, quality medical care, pharmacy, behavioral health and support services.
Primary care, OB/GYN, prenatal and postpartum care, pharmacy screenings, immunizations, diagnostic lab, radiology, mental health, case management and transportation services.
Sliding fee scale for uninsured.</t>
  </si>
  <si>
    <t>https://avenue360.org/</t>
  </si>
  <si>
    <t>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t>
  </si>
  <si>
    <t>29.801318, -95.437361</t>
  </si>
  <si>
    <t>{"regular":[{"days":["Mo","Tu","We","Th"],"open":"08:00","close":"18:00"},{"days":["Fr"],"open":"08:00","close":"17:00"}]}</t>
  </si>
  <si>
    <t>Lazybrook / Timbergrove</t>
  </si>
  <si>
    <t>Behavioral and psychiatric services adults and adolescents in individual and family and group settings.
Includes substance sue pre-treatment and treatment
Sliding fee scale for uninsured.</t>
  </si>
  <si>
    <t>Avenue 360 Humble</t>
  </si>
  <si>
    <t>18842 South Memorial Drive</t>
  </si>
  <si>
    <t>Suite 206</t>
  </si>
  <si>
    <t>Humble</t>
  </si>
  <si>
    <t>77338</t>
  </si>
  <si>
    <t>281-570-2525</t>
  </si>
  <si>
    <t>Primary care, family planning, screenings, immunizations.
Sliding fee scale for uninsured.</t>
  </si>
  <si>
    <t>https://www.google.com/maps/place/Avenue+360+Health+and+Wellness+-+Humble%2FLake+Houston+Area/@30.0107658,-95.6120224,12z/data=!3m1!5s0x8640b3b1af0a8aa9:0x46de262279676a0a!4m10!1m2!2m1!1sAvenue+360+Health+and+Wellness+near+Heights+Boulevard,+Houston,+TX!3m6!1s0x8640b3866c8e8433:0xaa3dd7fa9a3f8f2a!8m2!3d29.9936394!4d-95.2756661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4bbbv1z?entry=ttu&amp;g_ep=EgoyMDI1MDUwNy4wIKXMDSoASAFQAw%3D%3D</t>
  </si>
  <si>
    <t>29.9932214093687, -95.2760953754957</t>
  </si>
  <si>
    <t>Avenue 360 Memorial City</t>
  </si>
  <si>
    <t>902 Frostwood Drive</t>
  </si>
  <si>
    <t>Suite 142</t>
  </si>
  <si>
    <t>77024</t>
  </si>
  <si>
    <t>713-827-8266</t>
  </si>
  <si>
    <t>Mo 8 a.m. to 7 p.m. &amp; Tu - Fr 8 a.m. to 5 p.m.</t>
  </si>
  <si>
    <t>Pediatrics, immunizations, screenings and mental health counseling.
Sliding fee scale for uninsured.</t>
  </si>
  <si>
    <t>https://www.google.com/maps/place/Avenue+360+Health+and+Wellness+-+Memorial+City/@29.7801026,-95.6992342,12z/data=!4m10!1m2!2m1!1sAvenue+360+Health+and+Wellness+near+Heights+Boulevard,+Houston,+TX!3m6!1s0x8640c52ad343a75d:0xd0181acca5791ec2!8m2!3d29.7801026!4d-95.5467989!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k14_wv4?entry=ttu&amp;g_ep=EgoyMDI1MDUwNy4wIKXMDSoASAFQAw%3D%3D</t>
  </si>
  <si>
    <t>29.78102175, -95.5467568514467</t>
  </si>
  <si>
    <t>{"regular":[{"days":["Mo"],"open":"08:00","close":"19:00"},{"days":["Tu","We","Th","Fr"],"open":"08:00","close":"17:00"}]}</t>
  </si>
  <si>
    <t>Memorial City</t>
  </si>
  <si>
    <t>Avenue 360 Midtown</t>
  </si>
  <si>
    <t>2920 Fannin Street</t>
  </si>
  <si>
    <t>713-341-3790</t>
  </si>
  <si>
    <t>Primary care, HIV specialty care, behavioral health, case management.
Sliding fee scale for uninsured.</t>
  </si>
  <si>
    <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t>
  </si>
  <si>
    <t>29.742643, -95.375362</t>
  </si>
  <si>
    <t>Dental
Dental services include oral medicine, crowns, dentures, treatment of gum disease, root canals and oral surgery.
Sliding fee scale for uninsured.</t>
  </si>
  <si>
    <t>Avenue 360 Omega House Hospice</t>
  </si>
  <si>
    <t>602 Branard Street</t>
  </si>
  <si>
    <t>77006</t>
  </si>
  <si>
    <t>713-523-7110</t>
  </si>
  <si>
    <t>24/7</t>
  </si>
  <si>
    <t>Palliative medical care including bereavement services for the dying and loved ones.
Eight bed facility.
Ongoing medical.nursing care, emotional support and assistance with daily activities.</t>
  </si>
  <si>
    <t>https://www.google.com/maps/place/Omega+House+Inc/@29.7493709,-95.4271715,14z/data=!4m10!1m2!2m1!1sAvenue+360+omega+house!3m6!1s0x8640bf7b34918707:0xca52df43197d2b70!8m2!3d29.737315!4d-95.387145!15sChZBdmVudWUgMzYwIG9tZWdhIGhvdXNlIgOIAQGSAQdob3NwaWNlqgFqCg0vZy8xMWZreXk5ZHM2EAEqGiIWYXZlbnVlIDM2MCBvbWVnYSBob3VzZSgAMh8QASIbVSKfBN_lgTeTOV3_tjNAWct14vydLLzNZg8gMhoQAiIWYXZlbnVlIDM2MCBvbWVnYSBob3VzZeABAA!16s%2Fg%2F12601824t?entry=ttu&amp;g_ep=EgoyMDI1MDUwNy4wIKXMDSoASAFQAw%3D%3D</t>
  </si>
  <si>
    <t>29.7371658888889, -95.3870788787879</t>
  </si>
  <si>
    <t>{"regular":[{"days":["Mo","Tu","We","Th","Fr","Sa","Su"],"open":"00:00","close":"23:59"}]}</t>
  </si>
  <si>
    <t>Montrose</t>
  </si>
  <si>
    <t>Avenue 360 Southwest</t>
  </si>
  <si>
    <t>14095 South Main Street</t>
  </si>
  <si>
    <t>77035</t>
  </si>
  <si>
    <t>832-830-8345</t>
  </si>
  <si>
    <t>Affordable, quality medical care, pharmacy, behavioral health and support services.
Primary care, OB/GYN, pediatrics, screenings, immunizations, family planning, prenatal and postpartum care and mental health counseling.
Sliding fee scale for uninsured.</t>
  </si>
  <si>
    <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t>
  </si>
  <si>
    <t>29.63302153514462, -95.49370860679693</t>
  </si>
  <si>
    <t>Fondren Gardens</t>
  </si>
  <si>
    <t>Dental
Preventative dental care and x-rays.
Sliding fee scale for uninsured.</t>
  </si>
  <si>
    <t>Avenue 360 Spring Cypress</t>
  </si>
  <si>
    <t>17010 Sugar Pine Drive</t>
  </si>
  <si>
    <t>77090</t>
  </si>
  <si>
    <t>281-537-8627</t>
  </si>
  <si>
    <t>Affordable, quality medical care, pharmacy, behavioral health and support services.
Primary care, gynecological care, family planning, prenatal care, screenings, immunizations, pharmacy and mental health counseling.
Sliding fee scale for uninsured.</t>
  </si>
  <si>
    <t>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t>
  </si>
  <si>
    <t>30.0099537989029, -95.4592233211423</t>
  </si>
  <si>
    <t>Cypress Station</t>
  </si>
  <si>
    <t>BakerRipley</t>
  </si>
  <si>
    <t>4450 Harrisburg Blvd</t>
  </si>
  <si>
    <t>Suite 200</t>
  </si>
  <si>
    <t>77011</t>
  </si>
  <si>
    <t>713-590-2327</t>
  </si>
  <si>
    <t>Mo - Fr 8 a.m. to 12 p.m.</t>
  </si>
  <si>
    <t>Apply online Monday, March 9th</t>
  </si>
  <si>
    <t>Next round opens March 9th, 2026</t>
  </si>
  <si>
    <t>Applications open for first 4000 on Monday, March 9th
For residents of Harris, Galveston and Brazoria counties.
US Citizens/Permanent Residents.
Proof of income for the last 30 days for each household member 18 years or older
Limited to utility companies with whom BakerRipley has an executed vendor agreement. 
Meet the US Department of Health and Human Services Income Guidelines.
Proof of identity for all household members and current electricity, gas or propane bill.
One application per household and address per calendar year.</t>
  </si>
  <si>
    <t>https://bakerripley.org/programs-and-services/utility-assistance/</t>
  </si>
  <si>
    <t>https://maps.google.com/?q=Baker%20Ripley%204450%20Harrisburg%20Blvd%20%23200%20Houston%20TX%2077011</t>
  </si>
  <si>
    <t>29.7440270408163, -95.3318197346939</t>
  </si>
  <si>
    <t>{"regular":[{"days":["Mo","Tu","We","Th","Fr"],"open":"08:00","close":"12:00"}]}</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</si>
  <si>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77410, 77429, 77433, 77447, 77449, 77450, 77484, 77493, 77501, 77502, 77503, 77504, 77505, 77506, 77507, 77508, 77520, 77521, 77530, 77532, 77535, 77536, 77546, 77547, 77562, 77571, 77581, 77586, 77587, 77598</t>
  </si>
  <si>
    <t>Weatherization Assistance Program
Dedicated mitigation team to reduce energy loss, leaks and drafts.  Improve insulation.
US Citizens/Permanent Residents.
Resident of Harris County &amp; meet federal government guidelines
Proof of income.
IDs for household members.
Utility bill</t>
  </si>
  <si>
    <t>https://bakerripley.org/programs-and-services/weatherization-assistance-program/</t>
  </si>
  <si>
    <t>BakerRipley Angelita Fraga Pre-K</t>
  </si>
  <si>
    <t>209 N York Street</t>
  </si>
  <si>
    <t>77003</t>
  </si>
  <si>
    <t>713-229-8891</t>
  </si>
  <si>
    <t>Mo - Fr 7:45 a.m. to 3:45 p.m.</t>
  </si>
  <si>
    <t>Enrollment is free and open to children from 3 years old to 8th grade.</t>
  </si>
  <si>
    <t>https://bakerripley.org/locations/fraga-angelita-pre-k/</t>
  </si>
  <si>
    <t>https://www.google.com/maps/place/209+N+York+St,+Houston,+TX+77003/@29.7531274,-95.3392518,17z/data=!3m1!4b1!4m6!3m5!1s0x8640bec226167a03:0x2007e1cd959c8d7f!8m2!3d29.7531228!4d-95.3366769!16s%2Fg%2F11c0zqjc8l?entry=ttu&amp;g_ep=EgoyMDI1MDcxNi4wIKXMDSoASAFQAw%3D%3D</t>
  </si>
  <si>
    <t>29.75328109688815, -95.33670908292915</t>
  </si>
  <si>
    <t>{"regular":[{"days":["Mo","Tu","We","Th","Fr"],"open":"07:45","close":"15:45"}]}</t>
  </si>
  <si>
    <t>BakerRipley Community School Gulfton</t>
  </si>
  <si>
    <t>6500 Rookin Street</t>
  </si>
  <si>
    <t>77074</t>
  </si>
  <si>
    <t>713-273-3731</t>
  </si>
  <si>
    <t>https://bakerripley.org/programs-and-services/community-schools/</t>
  </si>
  <si>
    <t>https://www.google.com/maps/place/6500+Rookin+St,+Houston,+TX+77074/@29.7111711,-95.4978507,19z/data=!4m6!3m5!1s0x8640c2379594d1f5:0x6035d300bf22db36!8m2!3d29.7111665!4d-95.497207!16s%2Fg%2F11wx041dbm?entry=ttu&amp;g_ep=EgoyMDI1MDcxNi4wIKXMDSoASAFQAw%3D%3D</t>
  </si>
  <si>
    <t>29.711202566582127, -95.49719358956052</t>
  </si>
  <si>
    <t>Sharpstown</t>
  </si>
  <si>
    <t>BakerRipley Community School Ripley House</t>
  </si>
  <si>
    <t>4414 Navigation Blvd</t>
  </si>
  <si>
    <t>713-315-6429 (Elementary) &amp; 713-315-6430 (Middle)</t>
  </si>
  <si>
    <t>https://www.google.com/maps/place/4414+Navigation+Blvd,+Houston,+TX+77011/@29.7519488,-95.3290606,19z/data=!4m6!3m5!1s0x8640bebe2d110c5b:0xc782a5be663ced9!8m2!3d29.7519442!4d-95.3284169!16s%2Fg%2F11bw4c2lr8?entry=ttu&amp;g_ep=EgoyMDI1MDcxNi4wIKXMDSoASAFQAw%3D%3D</t>
  </si>
  <si>
    <t>29.75200120984814, -95.32843567596963</t>
  </si>
  <si>
    <t>BakerRipley East Aldine</t>
  </si>
  <si>
    <t>3000 Aldine Mail Route Road</t>
  </si>
  <si>
    <t>77039</t>
  </si>
  <si>
    <t>346-570-4463</t>
  </si>
  <si>
    <t>Check website for dates and times of Food Fair</t>
  </si>
  <si>
    <t>Food Fairs held every month at each BakerRipley Community Center.  But it is very difficult to tell from the website the dates, times and locations of the Food Fairs.
Must meet Houston Food Bank income guidelines and complete a registration form.</t>
  </si>
  <si>
    <t>https://bakerripley.org/locations/east-aldine-campus/#location-contact</t>
  </si>
  <si>
    <t>https://www.google.com/maps/place/BakerRipley+East+Aldine+Campus/@29.9021917,-95.3461412,17z/data=!3m1!4b1!4m6!3m5!1s0x8640b740344d7061:0x91e51a475ada0800!8m2!3d29.9021871!4d-95.3435663!16s%2Fg%2F11hdk_8pl3?entry=ttu&amp;g_ep=EgoyMDI1MDcxNi4wIKXMDSoASAFQAw%3D%3D</t>
  </si>
  <si>
    <t>29.90234986030627, -95.34355557114321</t>
  </si>
  <si>
    <t>High Meadows</t>
  </si>
  <si>
    <t>Mo - Fr 9 a.m. to 6 p.m. &amp; Sa 9 a.m. to 3 p.m.</t>
  </si>
  <si>
    <t>Jan 30th thru Apr 15th.  Walk-ins only</t>
  </si>
  <si>
    <t>Free income tax preparation assistance.
Must make less than $58,000 per year.
Check website for 18 other locations.</t>
  </si>
  <si>
    <t>https://bakerripley.org/programs-and-services/tax-assistance/</t>
  </si>
  <si>
    <t>{"regular":[{"days":["Mo","Tu","We","Th","Fr"],"open":"09:00","close":"18:00"},{"days":["Sa"],"open":"09:00","close":"15:00"}]}</t>
  </si>
  <si>
    <t>Mo - Fr 10 a.m. to 7 p.m.</t>
  </si>
  <si>
    <t xml:space="preserve">Entrepreneur Connection helps starting a business.
Includes providing education, business coaching, networking events, resources and access to capital.  </t>
  </si>
  <si>
    <t>{"regular":[{"days":["Mo","Tu","We","Th","Fr"],"open":"10:00","close":"19:00"}]}</t>
  </si>
  <si>
    <t>BakerRipley Gulfton</t>
  </si>
  <si>
    <t>6200 Savoy Drive</t>
  </si>
  <si>
    <t>Suite 1200</t>
  </si>
  <si>
    <t>77036</t>
  </si>
  <si>
    <t>346-867-3871</t>
  </si>
  <si>
    <t>Mo 9 a.m. to 5 p.m.</t>
  </si>
  <si>
    <t>Consultations are scheduled on the last Monday of each month</t>
  </si>
  <si>
    <t>All new legal clients must first attend a consultation.  This is free of charge and scheduled on the last Monday of each month.
Services include, asylum seekers, permanent residents seeking citizenship, green card renewal, petition for a family member, apply for work permit, renew DACA status.
Periodic citizenship forums (limited to first 75 participants) for permanent residents.
Citizenship classes.</t>
  </si>
  <si>
    <t>https://bakerripley.org/programs-and-services/immigration-and-citizenship-services/</t>
  </si>
  <si>
    <t>https://www.google.com/maps/place/6200+Savoy+Dr,+Houston,+TX+77036/@29.7143316,-95.5077939,19z/data=!4m6!3m5!1s0x8640c24e8ff2311d:0x27eec4e88a1a3647!8m2!3d29.7144668!4d-95.5060075!16s%2Fg%2F11c1jh3lb1?entry=ttu&amp;g_ep=EgoyMDI1MDgwNi4wIKXMDSoASAFQAw%3D%3D</t>
  </si>
  <si>
    <t>29.7145284430229, -95.50600215023391</t>
  </si>
  <si>
    <t>{"regular":[{"days":["Mo"],"open":"09:00","close":"17:00"}]}</t>
  </si>
  <si>
    <t>BakerRipley Gulfton Sharpstown</t>
  </si>
  <si>
    <t>713-273-3700</t>
  </si>
  <si>
    <t>https://bakerripley.org/programs-and-services/food-and-nutrition/</t>
  </si>
  <si>
    <t>https://www.google.com/maps/place/BakerRipley+Gulfton+Sharpstown+Campus/@29.7076447,-95.4990527,17z/data=!3m1!4b1!4m6!3m5!1s0x8640c238494488c9:0xdb9adc004e125734!8m2!3d29.7076401!4d-95.4964778!16s%2Fg%2F1jkw0qjn8?entry=ttu&amp;g_ep=EgoyMDI1MDcxNi4wIKXMDSoASAFQAw%3D%3D</t>
  </si>
  <si>
    <t>29.707854430004762, -95.49641342683749</t>
  </si>
  <si>
    <t>2nd Th 10 a.m. to 1 p.m.</t>
  </si>
  <si>
    <t>Help job seeker improve skills, find employment and advance careers.</t>
  </si>
  <si>
    <t>{"special":[{"pattern":"2nd Th","open":"10:00","close":"13:00"}]}</t>
  </si>
  <si>
    <t>Mo - Th 9 a.m. to 5 p.m.</t>
  </si>
  <si>
    <t>Social services including signing up for public assistance programs, school enrollments, referrals to other community services and support for crime victims.
Donations of hygiene products including shampoo, toothpaste, diapers, laundry detergent, etc.</t>
  </si>
  <si>
    <t>https://bakerripley.org/app/uploads/2025/05/BR-Immigration-Social-Services.pdf</t>
  </si>
  <si>
    <t>https://www.google.com/maps/place/BakerRipley+Gulfton+Annex+B/@29.7076447,-95.4990527,17z/data=!4m14!1m7!3m6!1s0x8640c238494488c9:0xdb9adc004e125734!2sBakerRipley+Gulfton+Annex+B!8m2!3d29.7076401!4d-95.4964778!16s%2Fg%2F1jkw0qjn8!3m5!1s0x8640c238494488c9:0xdb9adc004e125734!8m2!3d29.7076401!4d-95.4964778!16s%2Fg%2F1jkw0qjn8?entry=ttu&amp;g_ep=EgoyMDI1MDgwNi4wIKXMDSoASAFQAw%3D%3D</t>
  </si>
  <si>
    <t>29.707863723554745, -95.49641342927949</t>
  </si>
  <si>
    <t>{"regular":[{"days":["Mo","Tu","We","Th"],"open":"09:00","close":"17:00"}]}</t>
  </si>
  <si>
    <t>Mo - Fr 9 a.m. to 6 p.m. &amp; Sa - Su 9 a.m. to 3 p.m.</t>
  </si>
  <si>
    <t>Jan 20 thru Apr 15th.  Walk-ins only</t>
  </si>
  <si>
    <t>{"regular":[{"days":["Mo","Tu","We","Th","Fr"],"open":"09:00","close":"18:00"},{"days":["Sa","Su"],"open":"09:00","close":"15:00"}]}</t>
  </si>
  <si>
    <t>BakerRipley Head Start Albury Drive</t>
  </si>
  <si>
    <t>11125 Albury Drive</t>
  </si>
  <si>
    <t>713-777-8192</t>
  </si>
  <si>
    <t>Mo - Fr 7 a.m. to 3 p.m.</t>
  </si>
  <si>
    <t>Childcare
Free, federally funded program covering children from birth to age five.
Must meet income eligibility requirements.</t>
  </si>
  <si>
    <t>https://bakerripley.org/programs-and-services/head-start/</t>
  </si>
  <si>
    <t>https://www.google.com/maps/place/Albury+Head+Start/@29.6581517,-95.502603,17z/data=!3m1!4b1!4m6!3m5!1s0x8640e9e9f4100001:0x483c982a4db5c0ef!8m2!3d29.6581471!4d-95.4977321!16s%2Fg%2F11hy9ntx15?entry=ttu&amp;g_ep=EgoyMDI1MDcxNi4wIKXMDSoASAFQAw%3D%3D</t>
  </si>
  <si>
    <t>29.65836619720017, -95.4977857443002</t>
  </si>
  <si>
    <t>{"regular":[{"days":["Mo","Tu","We","Th","Fr"],"open":"07:00","close":"15:00"}]}</t>
  </si>
  <si>
    <t>Westbury</t>
  </si>
  <si>
    <t>BakerRipley Head Start Christine Smith</t>
  </si>
  <si>
    <t>1000 Pultar Road</t>
  </si>
  <si>
    <t>832-759-5385</t>
  </si>
  <si>
    <t>https://www.google.com/maps/place/Christine+Smith+Early+Head+Start/@29.5889155,-95.7776077,17z/data=!3m1!4b1!4m6!3m5!1s0x86411e8bcee94025:0x9a8bbf3b6b0ded8d!8m2!3d29.5889109!4d-95.7750328!16s%2Fg%2F1tjdrql0?entry=ttu&amp;g_ep=EgoyMDI1MDcxNi4wIKXMDSoASAFQAw%3D%3D</t>
  </si>
  <si>
    <t>29.589120818109897, -95.77507571543168</t>
  </si>
  <si>
    <t>BakerRipley Head Start Cook Road</t>
  </si>
  <si>
    <t>6959 Cook Road</t>
  </si>
  <si>
    <t>77082</t>
  </si>
  <si>
    <t>832-351-2794</t>
  </si>
  <si>
    <t>https://www.google.com/maps/place/Cook+Road+Head+Start+Center/@29.7009903,-95.5977096,17z/data=!3m1!4b1!4m6!3m5!1s0x8640dd0e65d0d1e1:0xa0e155c8254ea668!8m2!3d29.7009857!4d-95.5951347!16s%2Fg%2F1tcxk4h0?entry=ttu&amp;g_ep=EgoyMDI1MDcxNi4wIKXMDSoASAFQAw%3D%3D</t>
  </si>
  <si>
    <t>29.701442346247674, -95.59494158007175</t>
  </si>
  <si>
    <t>BakerRipley Head Start Fifth Street</t>
  </si>
  <si>
    <t>3110 5th Street A</t>
  </si>
  <si>
    <t>346-229-4609</t>
  </si>
  <si>
    <t>https://www.google.com/maps/place/8575+Pitner+Rd,+Houston,+TX+77080/@29.8285851,-95.5013535,20z/data=!4m6!3m5!1s0x8640c5b8fb651835:0xb55fd1ecd9e6a24a!8m2!3d29.8285805!4d-95.5010316!16s%2Fg%2F11c43xxb8c?entry=ttu&amp;g_ep=EgoyMDI1MDcxNi4wIKXMDSoASAFQAw%3D%3D</t>
  </si>
  <si>
    <t>29.599330069282594, -95.55541559433046</t>
  </si>
  <si>
    <t>BakerRipley Head Start George Family</t>
  </si>
  <si>
    <t>500 Austin Street</t>
  </si>
  <si>
    <t>832-759-5222</t>
  </si>
  <si>
    <t>https://www.google.com/maps/place/Head+Start+-+George+Family+Development+Center/@29.5781022,-95.7636494,17z/data=!3m1!4b1!4m6!3m5!1s0x86411e70a4572c79:0x5e6f69c45016b56d!8m2!3d29.5780976!4d-95.7610745!16s%2Fg%2F1262c87fr?entry=ttu&amp;g_ep=EgoyMDI1MDcxNi4wIKXMDSoASAFQAw%3D%3D</t>
  </si>
  <si>
    <t>29.578274832394154, -95.76101012248505</t>
  </si>
  <si>
    <t>BakerRipley Head Start Hiram Clarke</t>
  </si>
  <si>
    <t>3810 W Fuqua Street</t>
  </si>
  <si>
    <t>77045</t>
  </si>
  <si>
    <t>713-491-6178</t>
  </si>
  <si>
    <t>https://www.google.com/maps/place/Head+Start+-+Hiram+Clarke/@29.6141848,-95.4336097,19z/data=!4m15!1m8!3m7!1s0x8640eb0bd5c250d9:0x9e2bd941cb57211!2s3810+W+Fuqua+St,+Houston,+TX+77045!3b1!8m2!3d29.6141802!4d-95.432966!16s%2Fg%2F11mgpx7vvg!3m5!1s0x8640eb0a25265bb7:0x5a61b6e2b74a3bb!8m2!3d29.6140174!4d-95.4333801!16s%2Fg%2F1pxwnvhp_?entry=ttu&amp;g_ep=EgoyMDI1MDcxNi4wIKXMDSoASAFQAw%3D%3D</t>
  </si>
  <si>
    <t>29.614074037423617, -95.4333683014444</t>
  </si>
  <si>
    <t>Central Southwest</t>
  </si>
  <si>
    <t>BakerRipley Head Start Kenforest</t>
  </si>
  <si>
    <t>1535 Kenforest Drive</t>
  </si>
  <si>
    <t>832-810-3673</t>
  </si>
  <si>
    <t>https://www.google.com/maps/place/BakerRipley+Head+Start+-+Kenforest/@29.6041536,-95.5285942,17z/data=!3m1!4b1!4m6!3m5!1s0x8640e9c4e38ffe19:0x75b36a42d92269a1!8m2!3d29.604149!4d-95.5260193!16s%2Fg%2F11x8m8ft8p?entry=ttu&amp;g_ep=EgoyMDI1MDcxNi4wIKXMDSoASAFQAw%3D%3D</t>
  </si>
  <si>
    <t>29.60432157328024, -95.52603002885515</t>
  </si>
  <si>
    <t>BakerRipley Head Start Kingdom Builder</t>
  </si>
  <si>
    <t>6011 W Orem</t>
  </si>
  <si>
    <t>77085</t>
  </si>
  <si>
    <t>713-733-2953</t>
  </si>
  <si>
    <t>https://www.google.com/maps/place/Head+Start-+Kingdom+Builders'+Center/@29.6155841,-95.5086264,15z/data=!4m10!1m2!2m1!1sbakerripley+head+start+kingdom!3m6!1s0x8640eb2b58ddca71:0x2a1436a05aecabb!8m2!3d29.625401!4d-95.4712093!15sCh5iYWtlcnJpcGxleSBoZWFkIHN0YXJ0IGtpbmdkb22SARFoZWFkX3N0YXJ0X2NlbnRlcqoBXxABKhYiEmhlYWQgc3RhcnQga2luZ2RvbSgAMh8QASIbAvUOoj5TeG5nv6UM0_j0lOt4kVoep-M3H2UbMiIQAiIeYmFrZXJyaXBsZXkgaGVhZCBzdGFydCBraW5nZG9t4AEA!16s%2Fg%2F11x6y0kbrp?entry=ttu&amp;g_ep=EgoyMDI1MDcxNi4wIKXMDSoASAFQAw%3D%3D</t>
  </si>
  <si>
    <t>29.62611907332759, -95.4710697827873</t>
  </si>
  <si>
    <t>BakerRipley Head Start Klein</t>
  </si>
  <si>
    <t>6447 Prestwood Drive</t>
  </si>
  <si>
    <t>77081</t>
  </si>
  <si>
    <t>713-988-6265</t>
  </si>
  <si>
    <t>https://www.google.com/maps/place/Klein+Early+Head+Start%2FHead+Start/@29.7173682,-95.4951888,21z/data=!4m15!1m8!3m7!1s0x8640c23441127843:0x92ee027a0a25da88!2s6447+Prestwood+Dr,+Houston,+TX+77081!3b1!8m2!3d29.7173636!4d-95.4950279!16s%2Fg%2F11b8v5k9by!3m5!1s0x8640c23441c06825:0x3e3cde99b3f97dc!8m2!3d29.7174035!4d-95.4950293!16s%2Fg%2F1tqcllqj?entry=ttu&amp;g_ep=EgoyMDI1MDcxNi4wIKXMDSoASAFQAw%3D%3D</t>
  </si>
  <si>
    <t>29.717414497689596, -95.49502786737565</t>
  </si>
  <si>
    <t>Gulfton</t>
  </si>
  <si>
    <t>BakerRipley Head Start Missouri City</t>
  </si>
  <si>
    <t>1424 FM 1092</t>
  </si>
  <si>
    <t>346--585-8001</t>
  </si>
  <si>
    <t>https://www.google.com/maps/place/1424+FM+1092+Rd,+Missouri+City,+TX+77459/@29.5989383,-95.5655302,19z/data=!4m6!3m5!1s0x8640e61ef253d823:0x321bca4a29430758!8m2!3d29.5989337!4d-95.5648865!16s%2Fg%2F11bw41rwrk?entry=ttu&amp;g_ep=EgoyMDI1MDcxNi4wIKXMDSoASAFQAw%3D%3D</t>
  </si>
  <si>
    <t>29.598986108452095, -95.56489988046107</t>
  </si>
  <si>
    <t>BakerRipley Head Start Neff</t>
  </si>
  <si>
    <t>8200 Carvel Lane</t>
  </si>
  <si>
    <t>713-778-6720</t>
  </si>
  <si>
    <t>https://www.google.com/maps/place/Neff+Early+Learning+Center/@29.6976527,-95.5317781,17z/data=!3m1!4b1!4m6!3m5!1s0x8640c2f2b75a3d07:0x74e590993aba83e4!8m2!3d29.6976481!4d-95.5292032!16s%2Fg%2F11g6nkgvdf?entry=ttu&amp;g_ep=EgoyMDI1MDcxNi4wIKXMDSoASAFQAw%3D%3D</t>
  </si>
  <si>
    <t>29.69825387545011, -95.52935340460921</t>
  </si>
  <si>
    <t>BakerRipley Head Start Pitner Road</t>
  </si>
  <si>
    <t>8575 Pitner Road</t>
  </si>
  <si>
    <t>Building 1</t>
  </si>
  <si>
    <t>77080</t>
  </si>
  <si>
    <t>713-779-4856</t>
  </si>
  <si>
    <t>29.828610113385803, -95.50103029369966</t>
  </si>
  <si>
    <t>Spring Branch Central</t>
  </si>
  <si>
    <t>BakerRipley Head Start Regency</t>
  </si>
  <si>
    <t>7207 Regency Square Blvd</t>
  </si>
  <si>
    <t>346-867-3638</t>
  </si>
  <si>
    <t>Childcare
Free, federally funded program covering children from birth to age five.
Must meet income eligibility requirements.
Also has a list of low-cost spay/neuter clinics.</t>
  </si>
  <si>
    <t>https://www.google.com/maps/place/Regency+Square+Early+Head+Start%2FHead+Start%2FHome+Based/@29.7151963,-95.5119039,17z/data=!3m2!4b1!5s0x8640c25200698aab:0x96e1b52a042a82d!4m6!3m5!1s0x8640c238316c3b35:0x3721a8c9292a221!8m2!3d29.7151917!4d-95.509329!16s%2Fm%2F076jbnn?entry=ttu&amp;g_ep=EgoyMDI1MDcxNi4wIKXMDSoASAFQAw%3D%3D</t>
  </si>
  <si>
    <t>29.715666917716927, -95.50945774665006</t>
  </si>
  <si>
    <t>BakerRipley Head Start Sharpview</t>
  </si>
  <si>
    <t>12280 Sharpview Drive</t>
  </si>
  <si>
    <t>713-669-5287</t>
  </si>
  <si>
    <t>https://www.google.com/maps/place/Sharpview+Head+Start/@29.7002862,-95.5980687,16z/data=!3m1!4b1!4m6!3m5!1s0x8640dd0dd5645d1d:0xcce010319c5a7018!8m2!3d29.7002816!4d-95.5954938!16s%2Fg%2F1th57cky?entry=ttu&amp;g_ep=EgoyMDI1MDcxNi4wIKXMDSoASAFQAw%3D%3D</t>
  </si>
  <si>
    <t>29.700519244173545, -95.59550452885955</t>
  </si>
  <si>
    <t>BakerRipley Head Start Spring Branch</t>
  </si>
  <si>
    <t>9655 Long Point Road</t>
  </si>
  <si>
    <t>77055</t>
  </si>
  <si>
    <t>713-464-8401</t>
  </si>
  <si>
    <t>https://www.google.com/maps/place/BakerRipley+Head+Start+-+Spring+Branch/@29.7959661,-95.5314128,17z/data=!3m1!4b1!4m6!3m5!1s0x8640c4f1ed305b2d:0x3700b398a0857bef!8m2!3d29.7959615!4d-95.5288379!16s%2Fg%2F1tdjrjds?entry=ttu&amp;g_ep=EgoyMDI1MDcxNi4wIKXMDSoASAFQAw%3D%3D</t>
  </si>
  <si>
    <t>29.79638047201359, -95.52888081552804</t>
  </si>
  <si>
    <t>Northwest Houston</t>
  </si>
  <si>
    <t>BakerRipley Head Start Stafford</t>
  </si>
  <si>
    <t>1350 Constitution Avenue</t>
  </si>
  <si>
    <t>281-969-1959</t>
  </si>
  <si>
    <t>https://www.google.com/maps/place/Stafford+early+childhood+center/@29.6053812,-95.5434129,19z/data=!4m10!1m2!2m1!1sstafford+head+start!3m6!1s0x8640e95995dcac2d:0x84e0a518b33fff72!8m2!3d29.605063!4d-95.5436774!15sChNzdGFmZm9yZCBoZWFkIHN0YXJ0WhUiE3N0YWZmb3JkIGhlYWQgc3RhcnSSAQZzY2hvb2yaASRDaGREU1VoTk1HOW5TMFZKUTBGblNVUlNiMXAyUzNCM1JSQUKqAVUQASoXIhNzdGFmZm9yZCBoZWFkIHN0YXJ0KAAyHxABIhtFxnW10jTXhWNJabHYZAV3bLl_r3xLKjCU3JgyFxACIhNzdGFmZm9yZCBoZWFkIHN0YXJ04AEA-gEECAoQLA!16s%2Fg%2F11gtymnjqd?entry=ttu&amp;g_ep=EgoyMDI1MDcxNi4wIKXMDSoASAFQAw%3D%3D</t>
  </si>
  <si>
    <t>29.605104852696392, -95.54365698037152</t>
  </si>
  <si>
    <t>BakerRipley Pasadena</t>
  </si>
  <si>
    <t>720 Fairmont Parkway</t>
  </si>
  <si>
    <t>77504</t>
  </si>
  <si>
    <t>713-944-9186</t>
  </si>
  <si>
    <t>1st Tu 8 a.m. to 11 a.m.</t>
  </si>
  <si>
    <t>https://www.google.com/maps/place/BakerRipley+Pasadena+Campus/@29.6505499,-95.2040632,16z/data=!3m1!4b1!4m6!3m5!1s0x86409848be95e3f9:0xf225e90340c412f3!8m2!3d29.6505453!4d-95.2014883!16s%2Fg%2F1tkc2h2x?entry=ttu&amp;g_ep=EgoyMDI1MDcxNi4wIKXMDSoASAFQAw%3D%3D</t>
  </si>
  <si>
    <t>29.650727117796862, -95.20147757114398</t>
  </si>
  <si>
    <t>{"special":[{"pattern":"1st Tu","open":"08:00","close":"11:00"}]}</t>
  </si>
  <si>
    <t>Pasadena</t>
  </si>
  <si>
    <t>1st &amp; 3rd Tu 9:30 a.m. to 4:30 p.m.</t>
  </si>
  <si>
    <t>Medical - Program Enrollment</t>
  </si>
  <si>
    <t>Assistance with Medicaid and SNAP applications.</t>
  </si>
  <si>
    <t>https://bakerripley.org/locations/pasadena-campus/</t>
  </si>
  <si>
    <t>{"special":[{"pattern":"1st &amp; 3rd Tu","open":"09:30","close":"16:30"}]}</t>
  </si>
  <si>
    <t>We 9 a.m. to 11 a.m.</t>
  </si>
  <si>
    <t>Assistance with Harris County's Gold Card application.</t>
  </si>
  <si>
    <t>{"regular":[{"days":["We"],"open":"09:00","close":"11:00"}]}</t>
  </si>
  <si>
    <t>Feb 2nd thru Apr 15th.  Walk-ins only</t>
  </si>
  <si>
    <t>BakerRipley Ripley House</t>
  </si>
  <si>
    <t>4410 Navigation Blvd</t>
  </si>
  <si>
    <t>713-315-6400</t>
  </si>
  <si>
    <t>https://www.google.com/maps/place/BakerRipley+Ripley+House/@29.7518456,-95.3316692,17z/data=!3m1!4b1!4m6!3m5!1s0x8640bebfd5d96797:0x994dbc38517e129a!8m2!3d29.751841!4d-95.3290943!16s%2Fg%2F1vyn478z?entry=ttu&amp;g_ep=EgoyMDI1MDcxNi4wIKXMDSoASAFQAw%3D%3D</t>
  </si>
  <si>
    <t>29.752078522054966, -95.32902992682682</t>
  </si>
  <si>
    <t>https://www.google.com/maps/place/BakerRipley+Ripley+House/@29.7518456,-95.3316692,16z/data=!3m1!4b1!4m6!3m5!1s0x8640bebfd5d96797:0x994dbc38517e129a!8m2!3d29.751841!4d-95.3290943!16s%2Fg%2F1vyn478z?entry=ttu&amp;g_ep=EgoyMDI1MDgwNi4wIKXMDSoASAFQAw%3D%3D</t>
  </si>
  <si>
    <t>29.752227529878382, -95.32915867530873</t>
  </si>
  <si>
    <t>https://bakerripley.org/locations/ripley-house/</t>
  </si>
  <si>
    <t>Bammel Church of Christ</t>
  </si>
  <si>
    <t>3118 Blodgett Street</t>
  </si>
  <si>
    <t>77004</t>
  </si>
  <si>
    <t>713-529-3381</t>
  </si>
  <si>
    <t>Sa 10 a.m. to 12 p.m.</t>
  </si>
  <si>
    <t>Also known as The Manna House.
ID not required
Assistance once every two months.</t>
  </si>
  <si>
    <t>https://www.bammel.org/mannapantry</t>
  </si>
  <si>
    <t>https://www.google.com/maps/place/Manna+House/@29.7209358,-95.3687566,17z/data=!3m1!4b1!4m6!3m5!1s0x8640bfa420ee30cf:0xccef13e174be7a2!8m2!3d29.7209358!4d-95.3661817!16s%2Fg%2F1tqty7xv?entry=ttu&amp;g_ep=EgoyMDI0MTIwOS4wIKXMDSoASAFQAw%3D%3D</t>
  </si>
  <si>
    <t>29.7213168585859, -95.3664092929293</t>
  </si>
  <si>
    <t>{"regular":[{"days":["Sa"],"open":"10:00","close":"12:00"}]}</t>
  </si>
  <si>
    <t>Mo - Th 9 a.m. to 5 p.m. &amp; Fr 9 a.m. to 3 p.m.</t>
  </si>
  <si>
    <t>ID not required
Assistance once every two months.</t>
  </si>
  <si>
    <t>{"regular":[{"days":["Mo","Tu","We","Th"],"open":"09:00","close":"17:00"},{"days":["Fr"],"open":"09:00","close":"15:00"}]}</t>
  </si>
  <si>
    <t>BARC Animal Shelter &amp; Adoptions</t>
  </si>
  <si>
    <t>3300 Carr Street</t>
  </si>
  <si>
    <t>77026</t>
  </si>
  <si>
    <t>832-395-9084</t>
  </si>
  <si>
    <t>Tu - Su 12 p.m. to 5 p.m.</t>
  </si>
  <si>
    <t>Animals</t>
  </si>
  <si>
    <t>City of Houston Animal Shelter that provides low cost vaccinations, flea, tick and heartworm preventatives and microchips for cats and dogs.
Appointments made online only.</t>
  </si>
  <si>
    <t>https://www.houstontx.gov/barc/wellnesscenter.html</t>
  </si>
  <si>
    <t>https://www.google.com/maps/place/BARC+Adoption+Center/@29.7920619,-95.3472829,16z/data=!4m15!1m8!3m7!1s0x8640b9239b0f7fe7:0x59d2b7e00f2f5e59!2s3300+Carr+St,+Houston,+TX+77026!3b1!8m2!3d29.7920573!4d-95.344708!16s%2Fg%2F11c5jmk8gg!3m5!1s0x8640b9238e2ab50f:0x63f064148ef9dc9c!8m2!3d29.7920573!4d-95.344708!16s%2Fg%2F11fnnnmmgx?entry=ttu&amp;g_ep=EgoyMDI1MDkyMi4wIKXMDSoASAFQAw%3D%3D</t>
  </si>
  <si>
    <t>29.79262986853065, -95.34475090216688</t>
  </si>
  <si>
    <t>{"regular":[{"days":["Tu","We","Th","Fr","Sa","Su"],"open":"12:00","close":"17:00"}]}</t>
  </si>
  <si>
    <t>77015, 77028, 77029, 77032, 77039, 77044, 77049, 77050, 77093, 77327, 77501, 77502, 77503, 77504, 77505, 77506, 77507, 77517, 77520, 77521, 77530, 77532, 77533, 77546, 77547, 77550, 77562, 77563, 77571, 77575, 77586, 77591, 77596</t>
  </si>
  <si>
    <t>Bay Area Homeless Services</t>
  </si>
  <si>
    <t>3406 Wisconsin Street</t>
  </si>
  <si>
    <t>Baytown</t>
  </si>
  <si>
    <t>77520</t>
  </si>
  <si>
    <t>281-837-1654</t>
  </si>
  <si>
    <t>Homeless - Shelters</t>
  </si>
  <si>
    <t>Coalition for the Homeless (CFTH) Partner/Rapid Rehousing
Temporary shelter for families for upto 60 days.
Must be willing to work or seek work.
Three meals a day, financial literacy, referrals to local employment.</t>
  </si>
  <si>
    <t>https://bahs-shelter.org</t>
  </si>
  <si>
    <t>https://www.google.com/maps/place/Bay+Area+Homeless+Services/@29.7294028,-95.0109756,17z/data=!3m1!4b1!4m6!3m5!1s0x863f5e500370e147:0x76860ff198a252a8!8m2!3d29.7293982!4d-95.0084007!16s%2Fg%2F1thx4fbd?entry=ttu&amp;g_ep=EgoyMDI1MTAwOC4wIKXMDSoASAFQAw%3D%3D</t>
  </si>
  <si>
    <t>29.729556533582716, -95.00838996734987</t>
  </si>
  <si>
    <t>East Baytown</t>
  </si>
  <si>
    <t>Bay Area Turning Point</t>
  </si>
  <si>
    <t>210 S Walnut Street</t>
  </si>
  <si>
    <t>Webster</t>
  </si>
  <si>
    <t>77598</t>
  </si>
  <si>
    <t>281-286-2525 (Emergency),
281-338-7600 (Non-Emergency)</t>
  </si>
  <si>
    <t>Domestic Abuse - Shelters</t>
  </si>
  <si>
    <t>Coalition for the Homeless (CFTH) Partner/Rapid Rehousing
Advocacy
Counseling
Outreach, Education and Prevention Program</t>
  </si>
  <si>
    <t>https://www.bayareaturningpoint.org/what-we-do/</t>
  </si>
  <si>
    <t>29.534106638191, -95.1215789497487</t>
  </si>
  <si>
    <t>Baylor Teen Health Clinic</t>
  </si>
  <si>
    <t>3815 Cavalcade Street</t>
  </si>
  <si>
    <t>713-999-6980</t>
  </si>
  <si>
    <t>Mo - We 8 a.m. to 5 p.m.</t>
  </si>
  <si>
    <t>https://www.bcm.edu/community/healthcare-outreach/teen-health-clinic</t>
  </si>
  <si>
    <t>https://www.google.com/maps/search/baylor+teen+health+clinic/@29.7350036,-95.4772327,13z/data=!3m1!4b1?entry=ttu&amp;g_ep=EgoyMDI0MTIxMS4wIKXMDSoASAFQAw%3D%3D</t>
  </si>
  <si>
    <t>29.799971059908, -95.3331160358055</t>
  </si>
  <si>
    <t>{"regular":[{"days":["Mo","Tu","We"],"open":"08:00","close":"17:00"}]}</t>
  </si>
  <si>
    <t>Baytown Clinic</t>
  </si>
  <si>
    <t>1000 Lee Drive</t>
  </si>
  <si>
    <t>713-274-7155</t>
  </si>
  <si>
    <t>Dental
Free or low-cost dental services for adults (18 years and older).
Services include exams. x-rays, cleanings, sealants, oral hygiene counseling, fillings, pulpotomy, crowns and extractions</t>
  </si>
  <si>
    <t>https://publichealth.harriscountytx.gov/Divisions-Offices/Divisions/Community-Health-Wellness-Division/Dental-Health-Prevention/Dental-Clinics</t>
  </si>
  <si>
    <t>https://www.google.com/maps/place/1000+Lee+Dr,+Baytown,+TX+77520/@29.7265884,-94.9828089,17z/data=!4m15!1m8!3m7!1s0x863f5e7638779e7b:0xefc888dfd7a142ac!2s1000+Lee+Dr,+Baytown,+TX+77520!3b1!8m2!3d29.7265885!4d-94.9779326!16s%2Fg%2F11bw3y03hz!3m5!1s0x863f5e7638779e7b:0xefc888dfd7a142ac!8m2!3d29.7265885!4d-94.9779326!16s%2Fg%2F11bw3y03hz?entry=ttu&amp;g_ep=EgoyMDI2MDEyNS4wIKXMDSoKLDEwMDc5MjA2OUgBUAM%3D</t>
  </si>
  <si>
    <t>29.726774659777295, -94.97791113342325</t>
  </si>
  <si>
    <t>Be An Angel</t>
  </si>
  <si>
    <t>21755 I-45 North</t>
  </si>
  <si>
    <t>Building 7</t>
  </si>
  <si>
    <t>77388</t>
  </si>
  <si>
    <t>281-219-3313</t>
  </si>
  <si>
    <t>Provides personal adaptive equipment to children with special needs including wheelchairs, medical trikes/strollers, feeding and hearing devices, etc.
Van conversions to handle wheelchairs and lift systems for the home.</t>
  </si>
  <si>
    <t>https://beanangel.org/how-we-help/</t>
  </si>
  <si>
    <t>https://www.google.com/maps/place/Be+An+Angel/@30.0800043,-95.4442114,17z/data=!3m1!4b1!4m6!3m5!1s0x8640b65ef32a029f:0xfb3e902cd13dd03f!8m2!3d30.0799997!4d-95.4393405!16s%2Fg%2F1tf1p6jm?entry=ttu&amp;g_ep=EgoyMDI1MTIwOS4wIKXMDSoKLDEwMDc5MjA2OUgBUAM%3D</t>
  </si>
  <si>
    <t>30.080166632647078, -95.43936195046545</t>
  </si>
  <si>
    <t>Call for information</t>
  </si>
  <si>
    <t>Christmas</t>
  </si>
  <si>
    <t>Deliver Christmas gifts to children with special needs.</t>
  </si>
  <si>
    <t>Respite care for families with special needs children.
This is upto 12 hours of at home care service per month by skilled, screened experienced and CPR certified caregivers.  May include physical and occupational therapies for children.</t>
  </si>
  <si>
    <t>Bee Busy Wellness Center</t>
  </si>
  <si>
    <t>8785 W Bellfort Avenue</t>
  </si>
  <si>
    <t>77031</t>
  </si>
  <si>
    <t>713-771-2292</t>
  </si>
  <si>
    <t>Mo - Fr 8 a.m. to 6 p.m. &amp; Sa 8 a.m. to 3 p.m.</t>
  </si>
  <si>
    <t>Family medicine, pediatric care, women's health, men's health, screenings, pharmacy services, radiology, immunizations..
Services provided regardless of ability to pay.
Proof of income and photo ID required.</t>
  </si>
  <si>
    <t>https://mybbwc.org/</t>
  </si>
  <si>
    <t>https://www.google.com/maps/place/Bee+Busy+Wellness+Center/@29.6551599,-95.535136,17z/data=!3m1!4b1!4m6!3m5!1s0x8640e839f37ef8db:0x4926b02a82126fa!8m2!3d29.6551553!4d-95.5302597!16s%2Fg%2F11bwn5gt5t?entry=ttu&amp;g_ep=EgoyMDI1MDUwNy4wIKXMDSoASAFQAw%3D%3D</t>
  </si>
  <si>
    <t>29.656091, -95.531451</t>
  </si>
  <si>
    <t>{"regular":[{"days":["Mo","Tu","We","Th","Fr"],"open":"08:00","close":"18:00"},{"days":["Sa"],"open":"08:00","close":"15:00"}]}</t>
  </si>
  <si>
    <t>Coming soon</t>
  </si>
  <si>
    <t>Services provided regardless of ability to pay.
Proof of income and photo ID required.</t>
  </si>
  <si>
    <t>Including evaluations counseling, anger management, tailored medication therapy.
Services provided regardless of ability to pay.
Proof of income and photo ID required.</t>
  </si>
  <si>
    <t>Bethel Heavenly Hands</t>
  </si>
  <si>
    <t>12660 Sandpiper Drive</t>
  </si>
  <si>
    <t>281-271-4290</t>
  </si>
  <si>
    <t>Tu 7:30 a.m. to 11:30 a.m.</t>
  </si>
  <si>
    <t>Call ahead. 
Long term food programs in addition to the food pantry. Check website for details.</t>
  </si>
  <si>
    <t>https://www.bethelsheavenlyhands.org/</t>
  </si>
  <si>
    <t>https://maps.google.com/?q=Bethel%20Heavenly%20Hands%2012660%20Sandpiper%20Dr%20Houston%20TX%2077035</t>
  </si>
  <si>
    <t>29.6395601, -95.5038954748198</t>
  </si>
  <si>
    <t>{"regular":[{"days":["Tu"],"open":"07:30","close":"11:30"}]}</t>
  </si>
  <si>
    <t>Seniors</t>
  </si>
  <si>
    <t>Distribute special boxes of groceries and household products to specific seniors on the 1st Friday of the month.
Must meet TX Dept of Agriculture Income Eligibility requirements.</t>
  </si>
  <si>
    <t>Bezos Academy Denver Harbor</t>
  </si>
  <si>
    <t>6402 Market Street</t>
  </si>
  <si>
    <t>77020</t>
  </si>
  <si>
    <t>346-466-4030</t>
  </si>
  <si>
    <t>Mo - Th 8:30 a.m. to 3:30 p.m. &amp; Fr 8:30 a.m. to 2:30 p.m.</t>
  </si>
  <si>
    <t>Application Deadline:  04/20/2026</t>
  </si>
  <si>
    <t>Childcare
Applications for 2026-2027 accepted 01/27/2026 thru 04/20/2026.
Tuition-free five days a week preschool for children ages 3-5 years old.
Must meet age and income requirements.  Eligible applicants entered into lottery for admission.
Denver Harbor is a two classroom preschool located in the Denver Harbor Multi-Service Center.
Capacity = 40</t>
  </si>
  <si>
    <t>https://bezosacademy.org/schools/houston-denver-harbor-tx/</t>
  </si>
  <si>
    <t>https://www.google.com/maps/place/Bezos+Academy+Houston+-+Denver+Harbor/@29.7720759,-95.307358,17z/data=!3m1!4b1!4m6!3m5!1s0x8640bdc4fd0ad2c5:0x535fb4d7020ebfeb!8m2!3d29.7720713!4d-95.3047777!16s%2Fg%2F11scvtk94z?entry=ttu&amp;g_ep=EgoyMDI1MDYwNC4wIKXMDSoASAFQAw%3D%3D</t>
  </si>
  <si>
    <t>29.7727809795918, -95.306162755102</t>
  </si>
  <si>
    <t>{"regular":[{"days":["Mo","Tu","We","Th"],"open":"08:30","close":"15:30"},{"days":["Fr"],"open":"08:30","close":"14:30"}]}</t>
  </si>
  <si>
    <t>Bezos Academy Magnolia Park</t>
  </si>
  <si>
    <t>7524 Avenue E</t>
  </si>
  <si>
    <t>77012</t>
  </si>
  <si>
    <t>346-463-7997</t>
  </si>
  <si>
    <t>Childcare
Applications for 2026-2027 accepted 01/27/2026 thru 04/20/2026.
Tuition-free five days a week preschool for children ages 3-5 years old.
Must meet age and income requirements.  Eligible applicants entered into lottery for admission.
Magnolia Park is a four classroom preschool located in the Magnolia Park Community Family Center.
Capacity = 80</t>
  </si>
  <si>
    <t>https://bezosacademy.org/schools/houston-magnolia-park-tx/</t>
  </si>
  <si>
    <t>https://www.google.com/maps/place/Bezos+Academy+Houston+-+Magnolia+Park/@29.734426,-95.2932709,17z/data=!3m1!4b1!4m6!3m5!1s0x8640bd0a1e9c7623:0xf334a3ae7443db1e!8m2!3d29.7344214!4d-95.2906906!16s%2Fg%2F11kpd0gr3w?entry=ttu&amp;g_ep=EgoyMDI1MDYwNC4wIKXMDSoASAFQAw%3D%3D</t>
  </si>
  <si>
    <t>29.7348118932521, -95.2905836787996</t>
  </si>
  <si>
    <t>Magnolia Park</t>
  </si>
  <si>
    <t>Bezos Academy North Shore</t>
  </si>
  <si>
    <t>5800 Uvalde Road</t>
  </si>
  <si>
    <t>Building 11</t>
  </si>
  <si>
    <t>77049</t>
  </si>
  <si>
    <t>346-466-4155</t>
  </si>
  <si>
    <t>Childcare
Applications for 2026-2027 accepted 01/27/2026 thru 04/20/2026.
Tuition-free five days a week preschool for children ages 3-5 years old.
Must meet age and income requirements.  Eligible applicants entered into lottery for admission.
Magnolia Park is a four classroom preschool located on the San Jacinto College North Campus.
Capacity = 80</t>
  </si>
  <si>
    <t>https://bezosacademy.org/schools/houston-north-shore-tx/</t>
  </si>
  <si>
    <t>https://www.google.com/maps/place/Bezos+Academy+Houston+-+North+Shore/@29.8107826,-95.1845091,17z/data=!3m1!4b1!4m6!3m5!1s0x8640a5d9638816b3:0x13bc14c068b8a7b9!8m2!3d29.810778!4d-95.1819288!16s%2Fg%2F11tjj8sfy9?entry=ttu&amp;g_ep=EgoyMDI1MDYwNC4wIKXMDSoASAFQAw%3D%3D</t>
  </si>
  <si>
    <t>29.8087511971831, -95.1822405492958</t>
  </si>
  <si>
    <t>Cloverleaf</t>
  </si>
  <si>
    <t>Bezos Academy Northside</t>
  </si>
  <si>
    <t>8855 McGallion Road</t>
  </si>
  <si>
    <t>77022</t>
  </si>
  <si>
    <t xml:space="preserve">Childcare
Applications for 2026-2027 accepted 01/27/2026 thru 04/20/2026.
Tuition-free five days a week preschool for children ages 3-5 years old.
Must meet age and income requirements.  Eligible applicants entered into lottery for admission.
To be located at New Hope Housing Berry, an affordable housing development.
Capacity = </t>
  </si>
  <si>
    <t>29.8403340469027, -95.3683265864661</t>
  </si>
  <si>
    <t>Bezos Academy South Side</t>
  </si>
  <si>
    <t>2605 Reed Road</t>
  </si>
  <si>
    <t>77051</t>
  </si>
  <si>
    <t>346-466-4020</t>
  </si>
  <si>
    <t>Mo - Th 8:30 a.m. to 3 p.m. &amp; Fr 8:30 a.m. to 2 p.m.</t>
  </si>
  <si>
    <t>Childcare
Applications for 2026-2027 accepted 01/27/2026 thru 04/20/2026.
Tuition-free five days a week preschool for children ages 3-5 years old.
Must meet age and income requirements.  Eligible applicants entered into lottery for admission.
South Side is a two classroom preschool at the New Hope Housing Reed Family Services Center.
Capacity = 40</t>
  </si>
  <si>
    <t>29.6575551735336, -95.3863521185914</t>
  </si>
  <si>
    <t>{"regular":[{"days":["Mo","Tu","We","Th"],"open":"08:30","close":"15:00"},{"days":["Fr"],"open":"08:30","close":"14:00"}]}</t>
  </si>
  <si>
    <t>Bezos Academy Third Ward</t>
  </si>
  <si>
    <t>2604 Gray Street</t>
  </si>
  <si>
    <t xml:space="preserve">Childcare
Applications for 2026-2027 accepted 01/27/2026 thru 04/20/2026.
Tuition-free five days a week preschool for children ages 3-5 years old.
Must meet age and income requirements.  Eligible applicants entered into lottery for admission.
To be located at the New Hope Housing Gray, an affordable housing development.
Capacity = </t>
  </si>
  <si>
    <t>29.7402750174058, -95.3576583075059</t>
  </si>
  <si>
    <t>Blessed Beginnings Life Center</t>
  </si>
  <si>
    <t>2900 Louisiana Street</t>
  </si>
  <si>
    <t>713-874-6760
713-874-6860
713-526-4611</t>
  </si>
  <si>
    <t>Through Catholic Charities
Online parenting and prenatal classes
Self administered pregnancy tests
Focus from pregnancy thru the age of three</t>
  </si>
  <si>
    <t>https://catholiccharities.org/blessedbeginnings/</t>
  </si>
  <si>
    <t>https://www.google.com/maps/place/Catholic+Charities+Of+The+Archdiocese+Of+Galveston-houston+-+Food+Distribution+Center/@29.745009,-95.379207,20z/data=!4m15!1m8!3m7!1s0x8640bf69681d9e43:0x382d59fae97ad960!2s2900+Louisiana+St,+Houston,+TX+77006!3b1!8m2!3d29.745009!4d-95.3788798!16s%2Fg%2F11c29dwbzd!3m5!1s0x8640bf6bdfc34773:0x2b84611752be86c0!8m2!3d29.7450184!4d-95.3786806!16s%2Fg%2F11jppvxk_x?entry=ttu&amp;g_ep=EgoyMDI1MDQwOS4wIKXMDSoASAFQAw%3D%3D</t>
  </si>
  <si>
    <t>29.745023, -95.378312</t>
  </si>
  <si>
    <t>77503</t>
  </si>
  <si>
    <t>Blessed Juan Diego</t>
  </si>
  <si>
    <t>3301 Pasadena Blvd</t>
  </si>
  <si>
    <t>713-477-7027</t>
  </si>
  <si>
    <t>2nd Tu</t>
  </si>
  <si>
    <t>https://stjuandiegochurch.org/</t>
  </si>
  <si>
    <t>https://maps.google.com/?q=Blessed%20Juan%20Diego%203301%20Pasadena%20Blvd%20Pasadena%20TX%2077503</t>
  </si>
  <si>
    <t>29.681505, -95.165575</t>
  </si>
  <si>
    <t>{"special":[{"pattern":"2nd Tu","open":null,"close":null}]}</t>
  </si>
  <si>
    <t>77003, 77011, 77023</t>
  </si>
  <si>
    <t>Blessed Sacrament (SVdP D5)</t>
  </si>
  <si>
    <t>4015 Sherman Street</t>
  </si>
  <si>
    <t>713-224-5291</t>
  </si>
  <si>
    <t>2nd Tu &amp; 4th Sa 10 a.m. to 12 p.m.</t>
  </si>
  <si>
    <t>No financial assistance or food pantry. Refer to other SVdP conferences or organizations.</t>
  </si>
  <si>
    <t>https://bsccarchgh.org/</t>
  </si>
  <si>
    <t>https://maps.google.com/?q=Blessed%20Sacrament%20(SVdP%20D5)%204015%20Sherman%20St%20Houston%20TX%2077003</t>
  </si>
  <si>
    <t>29.7482788571429, -95.3348247142857</t>
  </si>
  <si>
    <t>{"special":[{"pattern":"2nd Tu","open":null,"close":null},{"pattern":"4th Sa","open":"10:00","close":"12:00"}]}</t>
  </si>
  <si>
    <t>Bo's Place</t>
  </si>
  <si>
    <t>10050 Buffalo Speedway</t>
  </si>
  <si>
    <t>77054</t>
  </si>
  <si>
    <t>713-942-8339</t>
  </si>
  <si>
    <t>Mo -  Th 8:30 a.m. to 5:30 p.m. &amp; Fr 8:30 a.m. to 4:30 p.m.</t>
  </si>
  <si>
    <t>A free of charge bereavement center providing grief support to children, families and adults.
Group support as well as one-on-one meetings.
They also hold professional workshops and training for professionals and volunteers who work in grief support.</t>
  </si>
  <si>
    <t>https://bosplace.org/en/for-those-grieving/</t>
  </si>
  <si>
    <t>https://www.google.com/maps/place/Bo's+Place/@29.6729774,-95.4277638,17z/data=!3m1!4b1!4m6!3m5!1s0x8640ea9cad353625:0x755930ca4a53a7e6!8m2!3d29.6729728!4d-95.4251889!16s%2Fg%2F1tcv1v4h?entry=ttu&amp;g_ep=EgoyMDI1MTIwOS4wIKXMDSoKLDEwMDc5MjA2OUgBUAM%3D</t>
  </si>
  <si>
    <t>29.673187156741474, -95.42531764136271</t>
  </si>
  <si>
    <t>{"regular":[{"days":["Mo","Tu","We","Th"],"open":"08:30","close":"17:30"},{"days":["Fr"],"open":"08:30","close":"16:30"}]}</t>
  </si>
  <si>
    <t>South Main</t>
  </si>
  <si>
    <t>Boat People SOS</t>
  </si>
  <si>
    <t>11360 Bellaire Blvd</t>
  </si>
  <si>
    <t>Suite 910</t>
  </si>
  <si>
    <t>281-530-6888</t>
  </si>
  <si>
    <t>Unable to verify if services still available</t>
  </si>
  <si>
    <t>https://bpsos.org/texas</t>
  </si>
  <si>
    <t>29.70511842945363, -95.5799507817955</t>
  </si>
  <si>
    <t>77025, 77035, 77045, 77051, 77053, 77054, 77071, 77085, 77096</t>
  </si>
  <si>
    <t>Braes Interfaith Ministries</t>
  </si>
  <si>
    <t>4300 W. Bellfort Blvd</t>
  </si>
  <si>
    <t>713-723-2671</t>
  </si>
  <si>
    <t>Mo, We &amp; Fr 10 a.m. to 2 p.m.</t>
  </si>
  <si>
    <t>No Appointments needed
Help with upto $100 for some utilities companies. Not all electric companies.
Proof of address.
Once every 12 months.</t>
  </si>
  <si>
    <t>https://braesinterfaithministries.org/</t>
  </si>
  <si>
    <t>https://maps.google.com/?q=Braes%20Interfaith%20Ministries%204300%20W.%20Bellfort%20Blvd%20Houston%20TX%2077035</t>
  </si>
  <si>
    <t>29.67387315, -95.4493923896501</t>
  </si>
  <si>
    <t>{"regular":[{"days":["Mo","We","Fr"],"open":"10:00","close":"14:00"}]}</t>
  </si>
  <si>
    <t>Willow Meadows/ Willowbend Area</t>
  </si>
  <si>
    <t>No appointment needed.
Proof of current address.
Picture ID.</t>
  </si>
  <si>
    <t>Including toiletries/hygiene kit..
No Appointments needed.
Proof of current address.
Picture ID</t>
  </si>
  <si>
    <t>Food only.</t>
  </si>
  <si>
    <t>Bread of Life Inc.</t>
  </si>
  <si>
    <t>2019 Crawford Street</t>
  </si>
  <si>
    <t>832-939-7477</t>
  </si>
  <si>
    <t>1st Sa 10 a.m. to 12 p.m. &amp; 3rd Sa 8 a.m. to 12 p.m.</t>
  </si>
  <si>
    <t>Register online</t>
  </si>
  <si>
    <t>Food distribution is behind the downtown campus of St John's United Methodist Church, underneath the Pierce Elevated.
Proof of address required.
Verify dates and times online.
Food only on 1st Saturday , food and supplies on 3rd Saturday.</t>
  </si>
  <si>
    <t>https://www.breadoflifeinc.org/</t>
  </si>
  <si>
    <t>https://maps.google.com/?q=Bread%20of%20Life%20%20%20TX%20</t>
  </si>
  <si>
    <t>29.7463642755102, -95.3657899795918</t>
  </si>
  <si>
    <t>{"special":[{"pattern":"1st Sa","open":"10:00","close":"12:00"},{"pattern":"3rd Sa","open":"08:00","close":"12:00"}]}</t>
  </si>
  <si>
    <t>Mo - Fr 9 a.m. to 3 p.m.</t>
  </si>
  <si>
    <t>Navigators work one-one-one with clients to identify eligible benefits and  assist with application.
SNAP, CHIP, TANF</t>
  </si>
  <si>
    <t>{"regular":[{"days":["Mo","Tu","We","Th","Fr"],"open":"09:00","close":"15:00"}]}</t>
  </si>
  <si>
    <t>Brentwood Baptist Church</t>
  </si>
  <si>
    <t>13033 Landmark Street</t>
  </si>
  <si>
    <t>713-852-1400</t>
  </si>
  <si>
    <t>Mo 8:30 a.m. to 10 a.m.</t>
  </si>
  <si>
    <t>Does not appear that they have a food pantry.  Online information from other sources seem to imply that there is no food pantry but periodic food distributions.</t>
  </si>
  <si>
    <t>https://brentwoodbaptist.org/</t>
  </si>
  <si>
    <t>https://maps.google.com/?q=Brentwood%20Baptist%20Church%2013033%20Landmark%20St%20Houston%20TX%2077045</t>
  </si>
  <si>
    <t>29.6375601, -95.43478415</t>
  </si>
  <si>
    <t>{"regular":[{"days":["Mo"],"open":"08:30","close":"10:00"}]}</t>
  </si>
  <si>
    <t>Brentwood Community Foundation</t>
  </si>
  <si>
    <t>713-852-1452</t>
  </si>
  <si>
    <t>INACTIVE</t>
  </si>
  <si>
    <t>Online - Program Full</t>
  </si>
  <si>
    <t>Limited to HIV/AIDS patients</t>
  </si>
  <si>
    <t>https://brentwoodfoundation.org</t>
  </si>
  <si>
    <t>Limited to HIV/AIDS patients
18 bed transitional housing (on-site facility)</t>
  </si>
  <si>
    <t>Camp Shield</t>
  </si>
  <si>
    <t>2929 McKinney St</t>
  </si>
  <si>
    <t>346-387-5808</t>
  </si>
  <si>
    <t xml:space="preserve">Financial Assistance with rent, mortgage, utilities and transportation (vehicle payments, insurance and repairs).
Funded by the Texas Veterans Commission.  Grants awarded annually.
Eligibility:  Texas resident and Veteran, Active Duty, Reserve, National Guard, Dependent of Veteran or Surviving Spouse.
</t>
  </si>
  <si>
    <t>https://www.campshield.org/tvcfund</t>
  </si>
  <si>
    <t>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t>
  </si>
  <si>
    <t>29.747445655330733, -95.34840435714703</t>
  </si>
  <si>
    <t>Register on Eventbrite</t>
  </si>
  <si>
    <t>Workshops for Women's Veterans
Covering mental health, emotional intelligence, financial fitness, how to navigate the VA, mindfulness, self-care, self-defence, art therapy and yoga.</t>
  </si>
  <si>
    <t>Campus of Hope</t>
  </si>
  <si>
    <t>317 West Lewis Street</t>
  </si>
  <si>
    <t>Conroe</t>
  </si>
  <si>
    <t>77305</t>
  </si>
  <si>
    <t>936-521-6000</t>
  </si>
  <si>
    <t>Temporary shelter for homeless men.</t>
  </si>
  <si>
    <t>https://campusofhopeonline.org/</t>
  </si>
  <si>
    <t>https://www.google.com/maps/place/CAMPUS+OF+HOPE/@30.3155635,-95.4614151,17z/data=!3m1!4b1!4m6!3m5!1s0x8647399ac97d07c1:0x82af6bca49dfb47c!8m2!3d30.3155589!4d-95.4588402!16s%2Fg%2F11gslvtgz8?entry=ttu&amp;g_ep=EgoyMDI2MDEwNy4wIKXMDSoKLDEwMDc5MjA2OUgBUAM%3D</t>
  </si>
  <si>
    <t>30.31586448763491, -95.45882946333495</t>
  </si>
  <si>
    <t>CancerCare</t>
  </si>
  <si>
    <t>485 Madison Avenue</t>
  </si>
  <si>
    <t>New York</t>
  </si>
  <si>
    <t>NY</t>
  </si>
  <si>
    <t>10022</t>
  </si>
  <si>
    <t>800-813-4673</t>
  </si>
  <si>
    <t>Help with cancer treatment related costs, e.g. transportation, home care and childcare.
Financial assistance with copayments for prescribed cancer treatments.
Check eligibility covered diagnoses and enroll online.
A charitable patient assistance foundation.</t>
  </si>
  <si>
    <t>https://www.cancercare.org/financial_assistance</t>
  </si>
  <si>
    <t>https://www.google.com/maps/place/CancerCare/@40.7588086,-73.9770662,17z/data=!3m1!4b1!4m6!3m5!1s0x89c259a5490dd021:0x3bbe7b2b19568f81!8m2!3d40.7588086!4d-73.9744859!16s%2Fg%2F113gxx9fq?entry=ttu&amp;g_ep=EgoyMDI2MDEyMC4wIKXMDSoKLDEwMDc5MjA2OUgBUAM%3D</t>
  </si>
  <si>
    <t>40.75895482276012, -73.97445370772381</t>
  </si>
  <si>
    <t>Midtown</t>
  </si>
  <si>
    <t>Casa El Buen Samaritano Houston</t>
  </si>
  <si>
    <t>14060 Dublin Street</t>
  </si>
  <si>
    <t>713-721-4101</t>
  </si>
  <si>
    <t>Tu, Th 9 a.m. to 9 p.m. &amp; We 8 a.m. to 4 p.m.</t>
  </si>
  <si>
    <t>Free healthcare to individuals meeting requirements.
No form of health insurance including Medicaid.
Household income at or below 200% of Federal Poverty Level.
Photo ID and proof of income.</t>
  </si>
  <si>
    <t>https://www.casaelbuen.org/patients</t>
  </si>
  <si>
    <t>https://www.google.com/maps/place/Casa+El+Buen+Samaritano/@29.6323504,-95.497137,17z/data=!3m1!4b1!4m6!3m5!1s0x8640e99e8c095555:0x199c1ed33b036a2b!8m2!3d29.6323504!4d-95.4945567!16s%2Fg%2F11sghpvnbw?entry=ttu&amp;g_ep=EgoyMDI1MDYyNi4wIKXMDSoASAFQAw%3D%3D</t>
  </si>
  <si>
    <t>29.6319639387755, -95.4950046938776</t>
  </si>
  <si>
    <t>{"regular":[{"days":["Tu","Th"],"open":"09:00","close":"21:00"},{"days":["We"],"open":"08:00","close":"16:00"}]}</t>
  </si>
  <si>
    <t>Casa El Buen Samaritano Missouri City</t>
  </si>
  <si>
    <t>2106 5th Street</t>
  </si>
  <si>
    <t>https://www.google.com/maps/place/Casa+El+Buen+Samaritano/@29.6118196,-95.5452972,17z/data=!3m1!4b1!4m6!3m5!1s0x8640e99e8becdbcb:0xb22504de066ecaef!8m2!3d29.6118196!4d-95.5427169!16s%2Fg%2F1wyc4qlb?entry=ttu&amp;g_ep=EgoyMDI1MDYyNi4wIKXMDSoASAFQAw%3D%3D</t>
  </si>
  <si>
    <t>29.6111966122449, -95.5422377551021</t>
  </si>
  <si>
    <t>Sta-mo Annex</t>
  </si>
  <si>
    <t>Casa Juan Diego</t>
  </si>
  <si>
    <t>4818 Rose Street</t>
  </si>
  <si>
    <t>77007</t>
  </si>
  <si>
    <t>713-869-7376</t>
  </si>
  <si>
    <t>Tu 7:30 a.m. to 11 a.m.  &amp; Th, Sa 9 a.m. to 11 a.m.</t>
  </si>
  <si>
    <t>ACTIVE BUT REQUESTED INFO NOT BE GIVEN TO CLIENTS.
OVERWHELMED WITH REQUESTS FOR HELP.
Undocumented only.
Once a week
No appointment required.</t>
  </si>
  <si>
    <t>https://cjdengp.wpengine.com/about/what-is-casa-juan-diego/</t>
  </si>
  <si>
    <t>29.7690569183673, -95.4097439387755</t>
  </si>
  <si>
    <t>{"regular":[{"days":["Tu"],"open":"07:30","close":"11:00"},{"days":["Th","Sa"],"open":"09:00","close":"11:00"}]}</t>
  </si>
  <si>
    <t>Rice Military</t>
  </si>
  <si>
    <t>Call for hours</t>
  </si>
  <si>
    <t>ACTIVE BUT REQUESTED INFO NOT BE GIVEN TO CLIENTS.
OVERWHELMED WITH REQUESTS FOR HELP.
Undocumented only.
Hours vary.  Call to verify when open</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</si>
  <si>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t>
  </si>
  <si>
    <t>Catholic Charities</t>
  </si>
  <si>
    <t>713-526-4611</t>
  </si>
  <si>
    <t>Applications closed</t>
  </si>
  <si>
    <t>For Harris &amp; Fort Bend Counties
Must be behind on rent or mortgage payments for current month.
Must have late notice.
Supporting documents required</t>
  </si>
  <si>
    <t>https://catholiccharities.org/housing/</t>
  </si>
  <si>
    <t>https://www.google.com/maps/place/Catholic+Charities+of+the+Archdiocese+of+Galveston-Houston/@29.745002,-95.3815028,17z/data=!3m1!4b1!4m6!3m5!1s0x8640bf6bdfe9c49f:0xeba07ead9060f052!8m2!3d29.7449974!4d-95.3789225!16s%2Fg%2F1tdzrjcp?entry=ttu&amp;g_ep=EgoyMDI2MDIwNC4wIKXMDSoKLDEwMDc5MjA2OUgBUAM%3D</t>
  </si>
  <si>
    <t>29.74514639265169, -95.37886885207446</t>
  </si>
  <si>
    <t>77568, 77590, 77591</t>
  </si>
  <si>
    <t>For Galveston County
Assistance limited to those living in Texas City ISD or La Marque
Must have court-ordered eviction, an eviction court date scheduled or an eviction/late notice from your landlord.
Must be behind in rent for current month.
Must have had loss of income or out-of-pocket expense in the last 90 days.
Supporting documents required.</t>
  </si>
  <si>
    <t>Limited to specific utilities (see list online)</t>
  </si>
  <si>
    <t>326 South Jensen Drive</t>
  </si>
  <si>
    <t>713-251-6919</t>
  </si>
  <si>
    <t>We &amp; Th 9 a.m. to 2 p.m. &amp; Tu 9 a.m. to 11 a.m.</t>
  </si>
  <si>
    <t>The S Jensen St address is the Houston Food Bank. Separate locations for Ft Bend and Galveston.
First time clients must bring a photo ID and proof of address.
In addition, food fairs one or two Saturdays a month starting in July.</t>
  </si>
  <si>
    <t>https://catholiccharities.org/needhelp/</t>
  </si>
  <si>
    <t>https://maps.google.com/?q=Catholic%20Charities%20326%20South%20Jensen%20Dr%20Houston%20TX%2077003</t>
  </si>
  <si>
    <t>29.7603252244898, -95.344400122449</t>
  </si>
  <si>
    <t>{"regular":[{"days":["We","Th"],"open":"09:00","close":"14:00"},{"days":["Tu"],"open":"09:00","close":"11:00"}]}</t>
  </si>
  <si>
    <t>5599 San Felipe Street</t>
  </si>
  <si>
    <t>77056</t>
  </si>
  <si>
    <t>713-595-4100</t>
  </si>
  <si>
    <t>Immigration related legal services.
Must make an appointment</t>
  </si>
  <si>
    <t>https://catholiccharities.org/cabrini</t>
  </si>
  <si>
    <t>https://www.google.com/maps/place/5599+San+Felipe+St,+Houston,+TX+77056/@29.7495798,-95.4765878,17z/data=!3m1!4b1!4m6!3m5!1s0x8640c15eebf5b5e1:0xed464578e0ebad5b!8m2!3d29.7495798!4d-95.4740129!16s%2Fg%2F11bw3y31dd?entry=ttu&amp;g_ep=EgoyMDI1MDMxNi4wIKXMDSoASAFQAw%3D%3D</t>
  </si>
  <si>
    <t>29.749961, -95.47434</t>
  </si>
  <si>
    <t>Westside</t>
  </si>
  <si>
    <t>https://catholiccharities.org/cabrini/</t>
  </si>
  <si>
    <t>Rental or Mortgage Assistance for Veterans in Fort Bend County only.
Must have late notice and be behind on current month.
Provide DD214.
Limited funding.</t>
  </si>
  <si>
    <t>Central American Resource Center (CARECEN)</t>
  </si>
  <si>
    <t>6006 Bellaire Blvd</t>
  </si>
  <si>
    <t>713-665-1284</t>
  </si>
  <si>
    <t>https://www.immigrationadvocates.org/nonprofit/legaldirectory/organization.393389</t>
  </si>
  <si>
    <t>29.705602, -95.487652</t>
  </si>
  <si>
    <t>Children's Health Insurance Program (CHIP)</t>
  </si>
  <si>
    <t>877-541-7905</t>
  </si>
  <si>
    <t>CHIP Perinatal program
Available to citizens and non-citizens who are Texas residents, meet income requirements and do not have health insurance.
Provides limited coverage during pregnancy and two postpartum visits within 60 days of the end of the pregnancy.</t>
  </si>
  <si>
    <t>https://www.hhs.texas.gov/services/health/medicaid-chip/medicaid-chip-programs-services/medicaid-pregnant-women-chip-perinatal</t>
  </si>
  <si>
    <t>29.721825, -95.318275</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</si>
  <si>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t>
  </si>
  <si>
    <t>Chinese Community Service Center</t>
  </si>
  <si>
    <t>9800 Town Park Drive</t>
  </si>
  <si>
    <t>713-271-6100</t>
  </si>
  <si>
    <t>Mo to Fr 9 a.m. to 5 p.m.</t>
  </si>
  <si>
    <t>Register online or in person.  Do not call.</t>
  </si>
  <si>
    <t>Proof of Citizenship
Valid photo ID
Proof of Income
Utility bill
Hard copies of all documents</t>
  </si>
  <si>
    <t>https://ccchouston.org/bec/ceap/</t>
  </si>
  <si>
    <t>https://maps.google.com/?q=Chinese%20Community%20Service%20Center%209800%20Town%20Park%20Houston%20TX%2077036</t>
  </si>
  <si>
    <t>29.711867, -95.554877</t>
  </si>
  <si>
    <t>Chinatown</t>
  </si>
  <si>
    <t>Help in apply to social benefits programs including SNAP. Medicaid, Chip, TANF, Gold Card, WIC., Healthy Texas Women, RSDI, SSDI, SSI, etc.</t>
  </si>
  <si>
    <t>https://ccchouston.org/bec/</t>
  </si>
  <si>
    <t>https://ccchouston.org/esl/</t>
  </si>
  <si>
    <t>Adult Day Care
Wellness Program
Caregiver Services
Free for Medicaid clients but need physician referral.</t>
  </si>
  <si>
    <t>https://ccchouston.org/dahs/</t>
  </si>
  <si>
    <t>77449, 77450, 77493, 77494</t>
  </si>
  <si>
    <t>Christ Clinic</t>
  </si>
  <si>
    <t>1040 Schlipf Road, Suite 217</t>
  </si>
  <si>
    <t>77493</t>
  </si>
  <si>
    <t>281-391-0190</t>
  </si>
  <si>
    <t>Healthcare and healthcare related services to uninsured.
Pharmacy and medication assistance.
Income not to exceed 200% of Federal Poverty Level.
Screened for eligibility.</t>
  </si>
  <si>
    <t>https://christclinickaty.org/home</t>
  </si>
  <si>
    <t>https://www.google.com/maps/place/Christ+Clinic+-+Katy/@29.7880696,-95.8728368,17z/data=!3m1!4b1!4m6!3m5!1s0x86412425dad531a1:0x99ddee452ef42fdd!8m2!3d29.7880696!4d-95.8702565!16s%2Fg%2F1hbpwrz_r?entry=ttu&amp;g_ep=EgoyMDI1MDUwNy4wIKXMDSoASAFQAw%3D%3D</t>
  </si>
  <si>
    <t>29.788054, -95.870254</t>
  </si>
  <si>
    <t>77065, 77429, 77433</t>
  </si>
  <si>
    <t>Christ the Redeemer</t>
  </si>
  <si>
    <t>11507 Huffmeister Road</t>
  </si>
  <si>
    <t>77065</t>
  </si>
  <si>
    <t>251-469-5533</t>
  </si>
  <si>
    <t>Mo - Fr 9 a.m. to 4 p.m.</t>
  </si>
  <si>
    <t>No direct assistance, only referrals</t>
  </si>
  <si>
    <t>https://ctrcc.com/help</t>
  </si>
  <si>
    <t>https://maps.google.com/?q=Christ%20the%20Redeemer%20%20Houston%20TX%20</t>
  </si>
  <si>
    <t>29.941876, -95.629195</t>
  </si>
  <si>
    <t>{"regular":[{"days":["Mo","Tu","We","Th","Fr"],"open":"09:00","close":"16:00"}]}</t>
  </si>
  <si>
    <t>Cypress</t>
  </si>
  <si>
    <t>Transportation</t>
  </si>
  <si>
    <t>For parishioners only.</t>
  </si>
  <si>
    <t>Fill out form on their webpage.</t>
  </si>
  <si>
    <t>Handyman</t>
  </si>
  <si>
    <t>77002, 77003, 77004, 77005, 77006, 77007, 77010, 77011, 77012, 77019, 77020, 77021, 77023, 77025, 77026, 77027, 77028, 77030, 77046, 77074, 77098</t>
  </si>
  <si>
    <t>Christian Community Service Center (Central)</t>
  </si>
  <si>
    <t>3434 Branard Street</t>
  </si>
  <si>
    <t>77027</t>
  </si>
  <si>
    <t>713-871-9741</t>
  </si>
  <si>
    <t>Mo - Fr 10 a.m. to 2 p.m.</t>
  </si>
  <si>
    <t>Call to schedule an appointment for the following day. No walk-ins.
Appointments are only made for the following day. Have to call back if all appointment slots are filled.
Documented crisis.</t>
  </si>
  <si>
    <t>https://ccschouston.org/</t>
  </si>
  <si>
    <t>https://maps.google.com/?q=Christian%20Community%20Service%20Center%20(Central)%203434%20Branard%20St%20Houston%20TX%2077027</t>
  </si>
  <si>
    <t>29.73666575, -95.4326830744244</t>
  </si>
  <si>
    <t>{"regular":[{"days":["Mo","Tu","We","Th","Fr"],"open":"10:00","close":"14:00"}]}</t>
  </si>
  <si>
    <t>Mo - Fr 10 a.m. to 2 p.m. &amp; Sa 9 a.m. to 12 p.m.</t>
  </si>
  <si>
    <t>Flyer from CCSC</t>
  </si>
  <si>
    <t>Do not need appointment for Food Pantry but limited to first 30 people per day.
Bring photo ID/Birth Certificate to appointment for each household member. 
One week supply of food six times in a six month period.
Fresh fruits and vegetables when available and formula and baby food on a limited basis.
Toiletries/hygiene kit and diapers twice within six months.</t>
  </si>
  <si>
    <t>{"regular":[{"days":["Mo","Tu","We","Th","Fr"],"open":"10:00","close":"14:00"},{"days":["Sa"],"open":"09:00","close":"12:00"}]}</t>
  </si>
  <si>
    <t>Do not need appointment for clothing.
Bring photo ID/Birth Certificate to appointment.</t>
  </si>
  <si>
    <t>832-352-1480</t>
  </si>
  <si>
    <t>Mo 10 a.m. to 2 p.m.</t>
  </si>
  <si>
    <t xml:space="preserve">Houston Recovery Center Rep @ CCSC
</t>
  </si>
  <si>
    <t xml:space="preserve">Representative from Houston Recovery Center is at this CCSC location once a week to assist with the following:
Assistance applying for food stamps, Harris Health, Medicaid, etc.
</t>
  </si>
  <si>
    <t>https://houstonrecoverycenter.org/houston-recovery-centers-community-healthcare-workers-chw-program/</t>
  </si>
  <si>
    <t>mgarcia@houstonrecoverycenter.org</t>
  </si>
  <si>
    <t>{"regular":[{"days":["Mo"],"open":"10:00","close":"14:00"}]}</t>
  </si>
  <si>
    <t>346-446-5247</t>
  </si>
  <si>
    <t>One medical pledge per 12 month period with maximum of three per lifetime.
Prescriptions only filled at HEB Buffalo Speedway.
Affordable prescription from San Jose Clinic @ 713-228-9411.
Maximum pledge amount is $250.</t>
  </si>
  <si>
    <t>713-961-3993</t>
  </si>
  <si>
    <t>JobNet
One to one coaching, computer classes, skill building, resume advice and access to computers and copiers for job searches.
By appointment only.</t>
  </si>
  <si>
    <t>713-626-8320</t>
  </si>
  <si>
    <t>Martha's way
Vocational training program offered in Spanish to help participants run their own professional housekeeping business..
Free classes in professional development, business skills, technical housekeeping skills, workplace safety and ESL for housekeeping.
New participants accepted quarterly.</t>
  </si>
  <si>
    <t>Home Caregiver Training
Prepares people to be non medical home caregivers for older adults.
50+ hour training covers relationship building, technical skills, dementia, business and marketing skills to find and keep clients.
This program is offered in English only.
New participants accepted quarterly.</t>
  </si>
  <si>
    <t>77031, 77036, 77056, 77057, 77072, 77081, 77096, 77401</t>
  </si>
  <si>
    <t>Christian Community Service Center (SW)</t>
  </si>
  <si>
    <t>6856 Bellaire Blvd</t>
  </si>
  <si>
    <t>https://maps.google.com/?q=Christian%20Community%20Service%20Center%20(SW)%206856%20Bellaire%20Blvd%20Houston%20TX%2077074</t>
  </si>
  <si>
    <t>29.70585725, -95.5037901509174</t>
  </si>
  <si>
    <t>Christian Helping Hands</t>
  </si>
  <si>
    <t>4305 Magnolia Pkwy</t>
  </si>
  <si>
    <t>Pearland</t>
  </si>
  <si>
    <t>77584</t>
  </si>
  <si>
    <t>281-485-9776</t>
  </si>
  <si>
    <t>Mo - Fr 10 a.m. to 1:30 p.m.</t>
  </si>
  <si>
    <t>https://maps.google.com/?q=Christian%20Helping%20Hands%20%20%20TX%20</t>
  </si>
  <si>
    <t>29.5454951514815, -95.2886539519158</t>
  </si>
  <si>
    <t>{"regular":[{"days":["Mo","Tu","We","Th","Fr"],"open":"10:00","close":"13:30"}]}</t>
  </si>
  <si>
    <t>Google Maps indicates closed. Website not working. No one answering phone.</t>
  </si>
  <si>
    <t>Gas for medical appointments.</t>
  </si>
  <si>
    <t>Christus Healthy Living Mobile Clinics</t>
  </si>
  <si>
    <t>Two mobile units for medically underserved and hard to reach population
Cover Harris, Galveston, Montgomery, Waller, Fort Bend and Brazoria counties
Check website for locations</t>
  </si>
  <si>
    <t>https://christusfoundation.org/programs/christus-healthy-mobile-clinic/</t>
  </si>
  <si>
    <t>29.756845, -95.365652</t>
  </si>
  <si>
    <t>Christus Learning Center</t>
  </si>
  <si>
    <t>2615 Fannin Street</t>
  </si>
  <si>
    <t>1st Floor</t>
  </si>
  <si>
    <t>713-803-1887713-803-1889</t>
  </si>
  <si>
    <t>Mo - Fr 8:30 a.m. to 4 p.m.</t>
  </si>
  <si>
    <t>English as a Second Language (ESL)
Basic Adult Education (ABE)
General Educational Development (GED)</t>
  </si>
  <si>
    <t>https://christusfoundation.org/programs/christus-learning-center/</t>
  </si>
  <si>
    <t>https://www.google.com/maps/place/2615+Fannin+St,+Houston,+TX+77002/@29.7439983,-95.3742185,19z/data=!4m6!3m5!1s0x8640bf6b5322b615:0x45a7696543bcce6b!8m2!3d29.7444595!4d-95.3731402!16s%2Fg%2F11bw3zns_s?entry=ttu&amp;g_ep=EgoyMDI1MDQwOS4wIKXMDSoASAFQAw%3D%3D</t>
  </si>
  <si>
    <t>29.744518, -95.373194</t>
  </si>
  <si>
    <t>{"regular":[{"days":["Mo","Tu","We","Th","Fr"],"open":"08:30","close":"16:00"}]}</t>
  </si>
  <si>
    <t>Christus Our Daily Bread</t>
  </si>
  <si>
    <t>2420 Winnie Street</t>
  </si>
  <si>
    <t>Galveston</t>
  </si>
  <si>
    <t>77550</t>
  </si>
  <si>
    <t>409-765-6971</t>
  </si>
  <si>
    <t>Homeless - Day Centers</t>
  </si>
  <si>
    <t>Meals, clean clothing and toiletries/hygiene kit.
Structured recovery program
Closed certain holidays. Check website.</t>
  </si>
  <si>
    <t>https://christusfoundation.org/programs/christus-our-daily-bread/</t>
  </si>
  <si>
    <t>https://www.google.com/maps/place/CHRISTUS+Our+Daily+Bread/@29.302559,-94.7973609,16z/data=!3m2!4b1!5s0x863f9e69524a0133:0x737ac8d30c4e952b!4m6!3m5!1s0x863f9e695204a2cf:0x2dcef510576e00d0!8m2!3d29.302559!4d-94.794786!16s%2Fg%2F1td7npym?entry=ttu&amp;g_ep=EgoyMDI1MDQwOS4wIKXMDSoASAFQAw%3D%3D</t>
  </si>
  <si>
    <t>29.3025036326531, -94.7944075714286</t>
  </si>
  <si>
    <t>Christus Point of Light Clinic</t>
  </si>
  <si>
    <t>2401 Termini Street</t>
  </si>
  <si>
    <t>Suite 100D</t>
  </si>
  <si>
    <t>Dickinson</t>
  </si>
  <si>
    <t>77539</t>
  </si>
  <si>
    <t>713-803-1830</t>
  </si>
  <si>
    <t>Mo - Fr 8 a.m. to 5 p.m.  Closed 12 p.m. to 1 p.m.</t>
  </si>
  <si>
    <t>Healthcare to underserved population</t>
  </si>
  <si>
    <t>https://christusfoundation.org/programs/christus-point-light-clinic/</t>
  </si>
  <si>
    <t>https://www.google.com/maps/place/CHRISTUS+Point+of+Light+Clinic/@29.4614256,-95.0594992,17z/data=!3m1!4b1!4m6!3m5!1s0x86408269042b63ff:0xe6bbb8e9a57bea26!8m2!3d29.4614257!4d-95.0548858!16s%2Fg%2F1tggbbsd?entry=ttu&amp;g_ep=EgoyMDI1MDQwOS4wIKXMDSoASAFQAw%3D%3D</t>
  </si>
  <si>
    <t>29.460695, -95.055158</t>
  </si>
  <si>
    <t>Christus School Clinics - Assumption Catholic School</t>
  </si>
  <si>
    <t>801 Roselane Street</t>
  </si>
  <si>
    <t>77037</t>
  </si>
  <si>
    <t>281-447-2132</t>
  </si>
  <si>
    <t>For children enrolled in this school</t>
  </si>
  <si>
    <t>PK3-8 enrolled in this school.
Basic medical and screening services at nine schools
Mental Health
Telemedicine</t>
  </si>
  <si>
    <t>https://christusfoundation.org/programs/christus-school-clinics/</t>
  </si>
  <si>
    <t>https://www.google.com/maps/place/Assumption+Catholic+School/@29.8717446,-95.3899641,17z/data=!3m1!4b1!4m6!3m5!1s0x8640b7fbeba87dab:0xb5649d86265ef321!8m2!3d29.8717446!4d-95.3873838!16s%2Fg%2F1pxytdhcm?entry=ttu&amp;g_ep=EgoyMDI1MDcwOS4wIKXMDSoASAFQAw%3D%3D</t>
  </si>
  <si>
    <t>29.871921316348228, -95.38744816876388</t>
  </si>
  <si>
    <t>Christus School Clinics - Holy Ghost School</t>
  </si>
  <si>
    <t>6920 Chimney Rock Road</t>
  </si>
  <si>
    <t>713-668-5327</t>
  </si>
  <si>
    <t>https://www.google.com/maps/place/Holy+Ghost+Catholic+School/@29.7040289,-95.4790869,17z/data=!3m1!4b1!4m6!3m5!1s0x8640c18a3d8d6bef:0x92ee8fcd5bbd276e!8m2!3d29.7040289!4d-95.4765066!16s%2Fg%2F1vzqsn41?entry=ttu&amp;g_ep=EgoyMDI1MDcwOS4wIKXMDSoASAFQAw%3D%3D</t>
  </si>
  <si>
    <t>29.704243187888043, -95.4765065945367</t>
  </si>
  <si>
    <t>Christus School Clinics - Our Lady of Fatima GP</t>
  </si>
  <si>
    <t>1705 8th Street</t>
  </si>
  <si>
    <t>Galena Park</t>
  </si>
  <si>
    <t>77547</t>
  </si>
  <si>
    <t>713-674-5832</t>
  </si>
  <si>
    <t>PK3-6 enrolled in this school.
Basic medical and screening services at nine schools
Mental Health
Telemedicine</t>
  </si>
  <si>
    <t>https://www.google.com/maps/place/Our+Lady+of+Fatima+Catholic+Church/@29.7389476,-95.2408493,17z/data=!4m10!1m2!2m1!1sour+lady+of+fatima+galena+park!3m6!1s0x8640bcda1a0f2a7b:0x6fe28e984c1dcd07!8m2!3d29.7386309!4d-95.2382359!15sCh5vdXIgbGFkeSBvZiBmYXRpbWEgZ2FsZW5hIHBhcmuSAQ9jYXRob2xpY19jaHVyY2iqAUcQATIfEAEiG0k0fNQERmCv2TL994M3Zd-yzQD_S4x1t716fjIiEAIiHm91ciBsYWR5IG9mIGZhdGltYSBnYWxlbmEgcGFya-ABAA!16s%2Fg%2F1tf7y2tb?entry=ttu&amp;g_ep=EgoyMDI1MDcwOS4wIKXMDSoASAFQAw%3D%3D</t>
  </si>
  <si>
    <t>29.738854440930808, -95.23821540819772</t>
  </si>
  <si>
    <t>Northeast Houston</t>
  </si>
  <si>
    <t>Christus School Clinics - Our Lady of Fatima TC</t>
  </si>
  <si>
    <t>1600 9th Avenue North</t>
  </si>
  <si>
    <t>Texas City</t>
  </si>
  <si>
    <t>77590</t>
  </si>
  <si>
    <t>409-945-3326</t>
  </si>
  <si>
    <t>https://www.google.com/maps/place/Our+Lady+of+Fatima+School/@29.3940095,-94.919865,17z/data=!3m1!4b1!4m6!3m5!1s0x863f79be9b23ce77:0xf3caa6e91405187b!8m2!3d29.3940095!4d-94.9172847!16s%2Fg%2F1v2gf3zc?entry=ttu&amp;g_ep=EgoyMDI1MDcwOS4wIKXMDSoASAFQAw%3D%3D</t>
  </si>
  <si>
    <t>29.394187055600067, -94.91726323778586</t>
  </si>
  <si>
    <t>Christus School Clinics - Our Lady of Guadalupe School</t>
  </si>
  <si>
    <t>2405 Navigation Blvd</t>
  </si>
  <si>
    <t>713-224-6904</t>
  </si>
  <si>
    <t>https://www.google.com/maps/place/Our+Lady+of+Guadalupe+Catholic+School/@29.7593589,-95.3489433,17z/data=!3m1!4b1!4m6!3m5!1s0x8640bedbaba8ed2b:0x7e510a6ea6154931!8m2!3d29.759359!4d-95.344067!16s%2Fm%2F0m0kym5?entry=ttu&amp;g_ep=EgoyMDI1MDcwOS4wIKXMDSoASAFQAw%3D%3D</t>
  </si>
  <si>
    <t>29.759600977962503, -95.34392751215734</t>
  </si>
  <si>
    <t>Christus School Clinics - Resurrection School</t>
  </si>
  <si>
    <t>916 Majestic Street</t>
  </si>
  <si>
    <t>713-674-5545</t>
  </si>
  <si>
    <t>https://www.google.com/maps/place/Resurrection+Catholic+School/@29.7719345,-95.305051,17z/data=!3m1!4b1!4m6!3m5!1s0x8640bc0654dffbc7:0x7e693d00552be868!8m2!3d29.7719345!4d-95.3024707!16s%2Fg%2F1wj_tnc3?entry=ttu&amp;g_ep=EgoyMDI1MDcwOS4wIKXMDSoASAFQAw%3D%3D</t>
  </si>
  <si>
    <t>29.772130016238492, -95.30241705059072</t>
  </si>
  <si>
    <t>Christus School Clinics - St Augustine School</t>
  </si>
  <si>
    <t>5500 Laurel Creek Way</t>
  </si>
  <si>
    <t>77017</t>
  </si>
  <si>
    <t>713-946-9050</t>
  </si>
  <si>
    <t>https://www.google.com/maps/place/St+Augustine+Catholic+School/@29.6786822,-95.2399734,17z/data=!3m1!4b1!4m6!3m5!1s0x864097e4ba183421:0x97223d28ab01a41!8m2!3d29.6786822!4d-95.2373931!16s%2Fg%2F1tk6qpy_?entry=ttu&amp;g_ep=EgoyMDI1MDcwOS4wIKXMDSoASAFQAw%3D%3D</t>
  </si>
  <si>
    <t>29.678887220594156, -95.23739309478519</t>
  </si>
  <si>
    <t>Meadowcreek Village</t>
  </si>
  <si>
    <t>Christus School Clinics - St Christopher</t>
  </si>
  <si>
    <t>8134 Park Place Blvd</t>
  </si>
  <si>
    <t>713-649-0009</t>
  </si>
  <si>
    <t>https://www.google.com/maps/place/St.+Christopher+Catholic+School/@29.6870746,-95.2753515,17z/data=!4m15!1m8!3m7!1s0x8640bd87031223f5:0x9a47f52956c33225!2sSt.+Christopher+Catholic+School!8m2!3d29.6865913!4d-95.2748516!10e5!16s%2Fg%2F1tgdjck5!3m5!1s0x8640bd87031223f5:0x9a47f52956c33225!8m2!3d29.6865913!4d-95.2748516!16s%2Fg%2F1tgdjck5?entry=ttu&amp;g_ep=EgoyMDI1MDcwOS4wIKXMDSoASAFQAw%3D%3D</t>
  </si>
  <si>
    <t>29.68688818541503, -95.27492768460495</t>
  </si>
  <si>
    <t>Park Place</t>
  </si>
  <si>
    <t>Christus School Clinics - St Mary of the Purification</t>
  </si>
  <si>
    <t>3006 Rosedale Street</t>
  </si>
  <si>
    <t>713-522-9276</t>
  </si>
  <si>
    <t>PK3-5 enrolled in this school.
Basic medical and screening services at nine schools
Mental Health
Telemedicine</t>
  </si>
  <si>
    <t>https://www.google.com/maps/place/St.+Mary+of+the+Purification+Catholic+Church/@29.719239,-95.3709943,17z/data=!4m10!1m2!2m1!1sSt.+mary+of+the+purification+Catholic+School!3m6!1s0x8640bfa3e8caddc5:0xba774b73e5ab46f0!8m2!3d29.7192068!4d-95.3682173!15sCixTdC4gbWFyeSBvZiB0aGUgcHVyaWZpY2F0aW9uIENhdGhvbGljIFNjaG9vbFotIitzdCBtYXJ5IG9mIHRoZSBwdXJpZmljYXRpb24gY2F0aG9saWMgc2Nob29skgEPY2F0aG9saWNfY2h1cmNomgEkQ2hkRFNVaE5NRzluUzBWSlEwRm5UVVJ2YUdFeVZuQjNSUkFCqgFyCggvbS8wNnpkahABKhMiD2NhdGhvbGljIHNjaG9vbCgAMh4QASIaivpQatuuFByfF6rnR1qtCsAjZZbMX3t2fm0yLxACIitzdCBtYXJ5IG9mIHRoZSBwdXJpZmljYXRpb24gY2F0aG9saWMgc2Nob29s4AEA-gEECEUQIw!16s%2Fg%2F1w0h__72?entry=ttu&amp;g_ep=EgoyMDI1MDcwOS4wIKXMDSoASAFQAw%3D%3D</t>
  </si>
  <si>
    <t>29.719388028379264, -95.36823165526641</t>
  </si>
  <si>
    <t>Christus St Mary's Clinic</t>
  </si>
  <si>
    <t>2002 S Wayside Drive</t>
  </si>
  <si>
    <t>713-803-1840</t>
  </si>
  <si>
    <t>Mo - Fr 7 a.m. to 4 p.m. &amp; Sa 8 a.m. to 11 p.m.</t>
  </si>
  <si>
    <t>Healthcare
Mental Health
To uninsured and underserved patients
No eligibility requirements</t>
  </si>
  <si>
    <t>https://christusfoundation.org/programs/christus-st-marys-clinic/</t>
  </si>
  <si>
    <t>https://www.google.com/maps/place/CHRISTUS+St.+Mary's+Clinic/@29.7190462,-95.3174169,17z/data=!3m1!4b1!4m6!3m5!1s0x8640be7a0882a007:0x18b9562d4bce129b!8m2!3d29.7190462!4d-95.314842!16s%2Fg%2F113hd44p4?entry=ttu&amp;g_ep=EgoyMDI1MDQwOS4wIKXMDSoASAFQAw%3D%3D</t>
  </si>
  <si>
    <t>29.7186622224979, -95.313744225466</t>
  </si>
  <si>
    <t>{"regular":[{"days":["Mo","Tu","We","Th","Fr"],"open":"07:00","close":"16:00"},{"days":["Sa"],"open":"08:00","close":"23:00"}]}</t>
  </si>
  <si>
    <t>77072, 77082, 77088, 77091, 77092, 77099</t>
  </si>
  <si>
    <t>Church Without Walls</t>
  </si>
  <si>
    <t>5314 Bingle Road</t>
  </si>
  <si>
    <t>77092</t>
  </si>
  <si>
    <t>281-649-6800</t>
  </si>
  <si>
    <t>https://tcww.org/</t>
  </si>
  <si>
    <t>https://maps.google.com/?q=Church%20Without%20Walls%205314%20Bingle%20Rd%20Houston%20TX%2077092</t>
  </si>
  <si>
    <t>29.8416868571429, -95.4887697142857</t>
  </si>
  <si>
    <t>Fairbanks / Northwest Crossing</t>
  </si>
  <si>
    <t>77336, 77532</t>
  </si>
  <si>
    <t>Churches United in Caring</t>
  </si>
  <si>
    <t>944 Church Street</t>
  </si>
  <si>
    <t>Crosby</t>
  </si>
  <si>
    <t>77532</t>
  </si>
  <si>
    <t>281-328-3178</t>
  </si>
  <si>
    <t>Mo, We, Fr 10 a.m. to 11:30 a.m.</t>
  </si>
  <si>
    <t>Current photo ID for all adults in household and current mail.
Copy of the lease.
Landlord must have W-9 on file before any payments are released.</t>
  </si>
  <si>
    <t>https://www.cuiccrosby.org/assistance</t>
  </si>
  <si>
    <t>https://www.google.com/maps/place/Churches+United+In+Caring/@29.905414,-95.0597783,17z/data=!3m1!4b1!4m6!3m5!1s0x863f57ded86645f3:0x848bef5840cb32a8!8m2!3d29.905414!4d-95.057198!16s%2Fg%2F1v_snm1q?entry=ttu&amp;g_ep=EgoyMDI2MDIxNi4wIKXMDSoASAFQAw%3D%3D</t>
  </si>
  <si>
    <t>29.926582423632976, -95.06191932804607</t>
  </si>
  <si>
    <t>Current photo ID for all adults in household and current mail.
Utilities covered are propane, water and natural gas.
DOES NOT ASSIST WITH ELECTRICITY BILLS.</t>
  </si>
  <si>
    <t>Current photo ID for all adults in household and current mail.
Food box with toiletries once every 90 days.  Small food box once every 30 days.</t>
  </si>
  <si>
    <t>Mo - Sa 10 a.m. to 2 p.m.</t>
  </si>
  <si>
    <t>Current photo ID for all adults in household and current mail.
Clothing voucher once every 90 days.
Voucher for use in their Thrift Store.
For necessities only.  No shoes over $10.  No jewelry.  No new clothing with tags.</t>
  </si>
  <si>
    <t>Current photo ID for all adults in household and current mail.
Must have current US driver's license.
$20 every 90 days.</t>
  </si>
  <si>
    <t>City of Houston W.A.T.E.R. Fund</t>
  </si>
  <si>
    <t>P.O. Box 4683</t>
  </si>
  <si>
    <t>77210</t>
  </si>
  <si>
    <t>346-201-7342</t>
  </si>
  <si>
    <t>Primarily for senior citizens. Limited funding for disabled and low income.</t>
  </si>
  <si>
    <t>Fill out online form.
Water bills only.
$100 every six months but may bank any leftover balance to the following six month period.
Must meet Federal Poverty Guidelines for at least three months.</t>
  </si>
  <si>
    <t>https://houstonwater20.helpdocsonline.com/w-a-t-e-r-fund</t>
  </si>
  <si>
    <t>https://maps.google.com/?q=City%20of%20Houston%20W.A.T.E.R.%20Fund%20%20%20TX%20</t>
  </si>
  <si>
    <t>29.766960866278023, -95.36753303513419</t>
  </si>
  <si>
    <t>Washington Avenue Coalition / Memorial Park</t>
  </si>
  <si>
    <t>City Wide Club</t>
  </si>
  <si>
    <t>4900 Fournace Place</t>
  </si>
  <si>
    <t>77401</t>
  </si>
  <si>
    <t>713-752-2582</t>
  </si>
  <si>
    <t>Mo - Th 9:30 a.m. to 5 p.m.</t>
  </si>
  <si>
    <t xml:space="preserve">Their website is up and lists a whole host of services but not how to access these them.  </t>
  </si>
  <si>
    <t>https://citywideclub.com/youth-services/#Food-Pantry-Program</t>
  </si>
  <si>
    <t>https://www.google.com/maps/place/City+Wide+Club+of+Clubs/@29.7168602,-95.4669374,17z/data=!4m6!3m5!1s0x8640bf02816b5c8f:0x924fead667dfbce9!8m2!3d29.7168602!4d-95.4643571!16s%2Fg%2F1xn_ns15?entry=ttu&amp;g_ep=EgoyMDI2MDIyNC4wIKXMDSoASAFQAw%3D%3D</t>
  </si>
  <si>
    <t>29.717046509550407, -95.46430339879568</t>
  </si>
  <si>
    <t>Bellaire</t>
  </si>
  <si>
    <t>Call, no walk-ins.
Must be able to verify household income.
Copy of utility bill.</t>
  </si>
  <si>
    <t>Call, no walk-ins.
Bus tokens and transportation vouchers for doctor's appointments and job interviews.</t>
  </si>
  <si>
    <t>Toys, food, clothing, shoes and blankets
Thanksgiving and Christmas Eve Super Feast @ George R Brown.</t>
  </si>
  <si>
    <t>Coastal Health &amp; Wellness - Galveston</t>
  </si>
  <si>
    <t>4700 Broadway F100</t>
  </si>
  <si>
    <t>77551</t>
  </si>
  <si>
    <t>409-938-2234</t>
  </si>
  <si>
    <t>Primary and dental care, women's health, prenatal, pediatric, chiropractic, rapid start PrEP, mental health, substance abuse, laboratory and x-ray and enabling support.
Financial screening to determine eligibility for discounted health services.</t>
  </si>
  <si>
    <t>https://www.coastalhw.org/home-coastal</t>
  </si>
  <si>
    <t>https://www.google.com/maps/place/Coastal+Health+%26+Wellness/@29.4041156,-95.0199676,16z/data=!3m1!4b1!4m6!3m5!1s0x863f7e883bff77e1:0xe601144a368f23d8!8m2!3d29.4041156!4d-95.0173873!16s%2Fg%2F11c1tzn5bs?entry=ttu&amp;g_ep=EgoyMDI1MDUwNy4wIKXMDSoASAFQAw%3D%3D</t>
  </si>
  <si>
    <t>29.294208860662994, -94.81975012470265</t>
  </si>
  <si>
    <t>Dental
Includes cleanings, fillings extractions, check-ups, sealants, x-rays, dentures, crowns, root canals and dental emergencies,</t>
  </si>
  <si>
    <t>One on one counseling for adults and children.
Program for substance use disorder.
Financial screening to determine eligibility for discounted health services.</t>
  </si>
  <si>
    <t>Coastal Health &amp; Wellness - Texas City</t>
  </si>
  <si>
    <t>9850-C Emmett F Lowry Expy</t>
  </si>
  <si>
    <t>77591</t>
  </si>
  <si>
    <t>Mo - Fr 8 a.m. to 5 p.m. &amp; Sa 8 a.m. to 12 p.m.</t>
  </si>
  <si>
    <t>29.4016752931727, -95.0189547349398</t>
  </si>
  <si>
    <t>{"regular":[{"days":["Mo","Tu","We","Th","Fr"],"open":"08:00","close":"17:00"},{"days":["Sa"],"open":"08:00","close":"12:00"}]}</t>
  </si>
  <si>
    <t>Collaborative for Children</t>
  </si>
  <si>
    <t>2200 Post Oak Blvd</t>
  </si>
  <si>
    <t>Suite 1000</t>
  </si>
  <si>
    <t>713-600-1100</t>
  </si>
  <si>
    <t>Search for childcare in the Greater Houston Area
Able to filter by those that accept child care subsidies</t>
  </si>
  <si>
    <t>https://findchildcare.collabforchildren.org/?_gl=1*mpqzr*_gcl_aw*R0NMLjE3NDQ2OTAwNTAuQ2p3S0NBanc1UEtfQmhCQkVpd0FMN0dUUFE2bDhTa1lfUHpmaUdwZjBMa1FUQUZ2dUVPcEtGcHJQU0tsSng0VENCMnJ5MWx2aXEzZmZCb0NWZ1VRQXZEX0J3RQ..*_gcl_au*MjA5MjU1MDU1Mi4xNzQ0NjkwMDUw*_ga*MjEzOTIwMTM5Mi4xNzQ0NjkwMDQ1*_ga_XT35LKH9TY*MTc0NDY5MDA0NS4xLjEuMTc0NDY5MDE3OS42MC4wLjA.</t>
  </si>
  <si>
    <t>29.744816, -95.461168</t>
  </si>
  <si>
    <t>77301, 77302, 77303, 77304, 77305, 77306, 77316, 77318, 77328, 77333, 77353, 77354, 77355, 77356, 77362, 77372, 77378, 77380, 77381, 77382, 77384, 77385, 77386</t>
  </si>
  <si>
    <t>Community Assistance Center</t>
  </si>
  <si>
    <t>1022 McCall Avenue</t>
  </si>
  <si>
    <t>77301</t>
  </si>
  <si>
    <t>936-539-9211</t>
  </si>
  <si>
    <t>Tu - Th 1 p.m. to 4 p.m.</t>
  </si>
  <si>
    <t>US Citizens/Social Security Cards required for all members of household.
Picture ID of all adults in household.
Proof of income for the last 30 days.
Proof of crisis.</t>
  </si>
  <si>
    <t>https://cac-mctx.org/appointment/</t>
  </si>
  <si>
    <t>https://www.google.com/maps/place/Community+Assistance+Center/@30.3142683,-95.4695141,17z/data=!3m1!4b1!4m6!3m5!1s0x8647394e216f2bc3:0xe547c6a100b41011!8m2!3d30.3142683!4d-95.4669338!16s%2Fg%2F1tgz0_58?entry=ttu&amp;g_ep=EgoyMDI1MDcyNy4wIKXMDSoASAFQAw%3D%3D</t>
  </si>
  <si>
    <t>30.31449053362168, -95.46688014975656</t>
  </si>
  <si>
    <t>{"regular":[{"days":["Tu","We","Th"],"open":"13:00","close":"16:00"}]}</t>
  </si>
  <si>
    <t>https://cac-mctx.org/food-pantry/</t>
  </si>
  <si>
    <t>Tu &amp; Th</t>
  </si>
  <si>
    <t>No appointment needed</t>
  </si>
  <si>
    <t>Clothing vouchers for their Resale Shop.
On a case by case basis, vouchers may be available for furniture and housewares also.</t>
  </si>
  <si>
    <t>{"regular":[{"days":["Tu","Th"],"open":null,"close":null}]}</t>
  </si>
  <si>
    <t>77011, 77012, 77013, 77015, 77017, 77023, 77029, 77087, 77530, 77547</t>
  </si>
  <si>
    <t>Community Family Center</t>
  </si>
  <si>
    <t>713-923-2316</t>
  </si>
  <si>
    <t>Call to make appointment. May take upto two weeks to see if you qualify, after receiving all documents.
ID for adults in household.
US Citizens/Permanent Residents.
Birth certificates for children in household.
Lease agreement.
Late or Eviction notice.
Last four paystubs or proof of employment.
No handwritten documents.
If unemployed, letter from employer with last date of employment. Proof of job search.
Verification of SNAP, Medicaid, Gold Card, etc.
Verification of crisis that caused the need for assistance.</t>
  </si>
  <si>
    <t>https://www.communityfamilycenters.org/</t>
  </si>
  <si>
    <t>https://maps.google.com/?q=Community%20Family%20Center%207524%20Ave%20E%20Houston%20TX%2077012</t>
  </si>
  <si>
    <t>ID for adults in household.
US Citizens/Permanent Residents.
Birth certificates for children in household.
Lease agreement.
Copy of utility bill showing that you are behind last and current months.
Last four paystubs or proof of employment.
No handwritten documents.
If unemployed, letter from employer with last date of employment. Proof of job search.
Verification of SNAP, Medicaid, Gold Card, etc.
Verification of crisis that caused the need for assistance.</t>
  </si>
  <si>
    <t>TX Health &amp; Human Services Level 3 Community Partner. Help with enrollment, document uploads, benefit renewals and case management.</t>
  </si>
  <si>
    <t>Classes for expectant mothers.
Supply of free diapers every two weeks.</t>
  </si>
  <si>
    <t>GED, ESL and computer classes.  Certification for Community Health Worker.</t>
  </si>
  <si>
    <t>Compassion United</t>
  </si>
  <si>
    <t>18856 FN 1484</t>
  </si>
  <si>
    <t>77303</t>
  </si>
  <si>
    <t>936-274-3799</t>
  </si>
  <si>
    <t>1st &amp; 3rd Th &amp; 4th Sa 9 a.m. to 11 a.m.</t>
  </si>
  <si>
    <t>https://compassionunited.us/programs/food-pantry</t>
  </si>
  <si>
    <t>https://www.google.com/maps/place/Terry's+Tables+Food+Pantry/@30.3404025,-95.3369883,17z/data=!3m1!4b1!4m6!3m5!1s0x86474157df0ab6ad:0x35df802e22c150bd!8m2!3d30.3403979!4d-95.3344134!16s%2Fg%2F11vdn6kvtc?entry=ttu&amp;g_ep=EgoyMDI1MTAwOC4wIKXMDSoASAFQAw%3D%3D</t>
  </si>
  <si>
    <t>30.340684892512773, -95.33446703718303</t>
  </si>
  <si>
    <t>{"special":[{"pattern":"1st &amp; 3rd Th","open":null,"close":null},{"pattern":"4th Sa","open":"09:00","close":"11:00"}]}</t>
  </si>
  <si>
    <t>Cut and Shoot</t>
  </si>
  <si>
    <t>350 Foster Drive</t>
  </si>
  <si>
    <t xml:space="preserve">Coalition for the Homeless (CFTH) Partner/Rapid Rehousing
Hot meals, showers, laundry services, resource assistance and success coaching.
</t>
  </si>
  <si>
    <t>https://compassionunited.us/programs/day-services</t>
  </si>
  <si>
    <t>https://www.google.com/maps/place/Compassion+United,+Inc./@30.2910199,-95.4515063,17z/data=!3m1!4b1!4m6!3m5!1s0x864739d53fc4c44b:0x5146b0c0cd21bbc9!8m2!3d30.2910153!4d-95.4489314!16s%2Fg%2F11kglyb270?entry=ttu&amp;g_ep=EgoyMDI1MTAwOC4wIKXMDSoASAFQAw%3D%3D</t>
  </si>
  <si>
    <t>30.29120053130019, -95.44893139542776</t>
  </si>
  <si>
    <t>Coordinated Access Intake</t>
  </si>
  <si>
    <t>200 Crawford Street</t>
  </si>
  <si>
    <t>Suite 700</t>
  </si>
  <si>
    <t>832-531-6041</t>
  </si>
  <si>
    <t>Mo - Fr 9 a.m. to 1 p.m.</t>
  </si>
  <si>
    <t>Go in person to a shelter rather than calling this number.</t>
  </si>
  <si>
    <t>Unlikely to get a response by calling this line.</t>
  </si>
  <si>
    <t>Rapid Rehousing Program.  However, there is nothing rapid about this.  There is a long waiting list and it is best to do the intake by going in person to a Coalition for the Homeless Partner rather than calling this hotline.  Organizations that are partners are flagged as such under requirements but nearly all homeless shelters are partners.
Must be currently homeless to qualify. Living in a hotel or shelter qualifies.</t>
  </si>
  <si>
    <t>https://www.cfthhouston.org/</t>
  </si>
  <si>
    <t>https://www.google.com/maps/place/Coalition+for+the+Homeless+of+Houston%2FHarris+County/@29.7460168,-95.3712344,17z/data=!3m2!4b1!5s0x8640bf168aa71315:0x21872ff2ea0f1ffe!4m6!3m5!1s0x8640bf3be4e7bf41:0xe740d0842b94faaf!8m2!3d29.7460122!4d-95.3663581!16s%2Fg%2F1hc35nzp4?entry=ttu&amp;g_ep=EgoyMDI1MTIwOS4wIKXMDSoKLDEwMDc5MjA2OUgBUAM%3D</t>
  </si>
  <si>
    <t>29.7461610629534, -95.366336635687</t>
  </si>
  <si>
    <t>{"regular":[{"days":["Mo","Tu","We","Th","Fr"],"open":"09:00","close":"13:00"}]}</t>
  </si>
  <si>
    <t>Cornerstone Gardens (RHF)</t>
  </si>
  <si>
    <t>14522 Cornerstone Village Drive</t>
  </si>
  <si>
    <t>77014</t>
  </si>
  <si>
    <t>281-580-8004</t>
  </si>
  <si>
    <t>Subsidized housing for older adults (62+).
Rent is approx 30% of adjusted gross income.
A Retirement Housing Foundation (RHF) community.</t>
  </si>
  <si>
    <t>https://rhf.org/cornerstone-gardens/</t>
  </si>
  <si>
    <t>https://www.google.com/maps/place/Cornerstone+Garden+Apartments/@29.99105,-95.484959,16z/data=!4m6!3m5!1s0x8640cc7ba48de0d7:0x1978e87cff30674e!8m2!3d29.9910503!4d-95.4849588!16s%2Fg%2F1tm8kzm1?hl=en&amp;entry=ttu&amp;g_ep=EgoyMDI1MDUxMS4wIKXMDSoASAFQAw%3D%3D</t>
  </si>
  <si>
    <t>29.9906281820294, -95.485562419257</t>
  </si>
  <si>
    <t>Cornerstone Village North</t>
  </si>
  <si>
    <t>Covenant House Texas</t>
  </si>
  <si>
    <t>3412 Beulah Street</t>
  </si>
  <si>
    <t>713-523-2231
713-630-5601 (After 3 PM)</t>
  </si>
  <si>
    <t>Mo - Su 3 p.m. to 10 p.m.</t>
  </si>
  <si>
    <t>Intake hours</t>
  </si>
  <si>
    <t xml:space="preserve">For youths aged 18-24
Services include meals, laundry, clothing and showers.
Access to clinic
Transitional Housing
Participant in Rapid Rehousing Program
</t>
  </si>
  <si>
    <t>29.7295174489796, -95.3528269795918</t>
  </si>
  <si>
    <t>{"regular":[{"days":["Mo","Tu","We","Th","Fr","Sa","Su"],"open":"15:00","close":"22:00"}]}</t>
  </si>
  <si>
    <t>Creekbend Gardens (RHF)</t>
  </si>
  <si>
    <t>8106 Creekbend Drive</t>
  </si>
  <si>
    <t>77071</t>
  </si>
  <si>
    <t>713-272-7717</t>
  </si>
  <si>
    <t>Subsidised housing for older adults (62+).
Rent is approx 30% of adjusted gross income.
A Retirement Housing Foundation (RHF) community.</t>
  </si>
  <si>
    <t>https://rhf.org/creekbend-gardens/</t>
  </si>
  <si>
    <t>https://www.google.com/maps/place/Creekbend+Garden+Apartments/@29.6656788,-95.5219628,16z/data=!4m15!1m8!3m7!1s0x8640e82cfa2f680b:0x891c8618852f7712!2sCreekbend+Garden+Apartments!8m2!3d29.665854!4d-95.5219476!10e5!16s%2Fg%2F1v8k__jt!3m5!1s0x8640e82cfa2f680b:0x891c8618852f7712!8m2!3d29.665854!4d-95.5219476!16s%2Fg%2F1v8k__jt?entry=ttu&amp;g_ep=EgoyMDI1MDUxMS4wIKXMDSoASAFQAw%3D%3D</t>
  </si>
  <si>
    <t>29.665566, -95.521525</t>
  </si>
  <si>
    <t>77040, 77041, 77064, 77065, 77066, 77069, 77070, 77084, 77088, 77092, 77095, 77429, 77433, 77449</t>
  </si>
  <si>
    <t>Cy-Fair Helping Hands</t>
  </si>
  <si>
    <t>9204 Emmott Road</t>
  </si>
  <si>
    <t>77040</t>
  </si>
  <si>
    <t>281-858-1222</t>
  </si>
  <si>
    <t>Mo &amp; Th &amp; 1st &amp; 3rd Sa 10 a.m. to 1 p.m.</t>
  </si>
  <si>
    <t>By appointment only.
Schedule appointment online.
Photo ID
Proof of residence, e.g. utility bill.
Proof of household income, e.g. pay stubs or bank statements.</t>
  </si>
  <si>
    <t>https://www.cyfairhelpinghands.org/</t>
  </si>
  <si>
    <t>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t>
  </si>
  <si>
    <t>29.873961, -95.537644</t>
  </si>
  <si>
    <t>{"regular":[{"days":["Mo","Th"],"open":null,"close":null}],"special":[{"pattern":"1st &amp; 3rd Sa","open":"10:00","close":"13:00"}]}</t>
  </si>
  <si>
    <t>Oak Hollow</t>
  </si>
  <si>
    <t>Tu &amp; We</t>
  </si>
  <si>
    <t>Coalition for the Homeless (CFTH) Partner
Meals, clean clothing and toiletries/hygiene kit.
Structured recovery program
Closed certain holidays. Check website.</t>
  </si>
  <si>
    <t>{"regular":[{"days":["Tu","We"],"open":null,"close":null}]}</t>
  </si>
  <si>
    <t>Mo &amp; Th 9:30 a.m. to 12:30 p.m.</t>
  </si>
  <si>
    <t>Waiting list but continuing to take applications.</t>
  </si>
  <si>
    <t>Transitional housing.</t>
  </si>
  <si>
    <t>{"regular":[{"days":["Mo","Th"],"open":"09:30","close":"12:30"}]}</t>
  </si>
  <si>
    <t>Christmas Party.
Toys for kids.</t>
  </si>
  <si>
    <t>77065, 77095, 77429, 77433</t>
  </si>
  <si>
    <t>Cypress Assistance Ministries</t>
  </si>
  <si>
    <t>12930 Cypress N Houston Road</t>
  </si>
  <si>
    <t>77429</t>
  </si>
  <si>
    <t>281-955-7684</t>
  </si>
  <si>
    <t>Mo &amp; We 9 a.m. to 5 p.m.  &amp; Th 9 a.m. to 3 p.m.</t>
  </si>
  <si>
    <t>Photo ID.
US Citizens/Permanent Residents.
Lease agreement, must be residence for at least four months.
Cannot have an Eviction Notice.
Proof of financial problem, i.e. loss of income, cut in hours, sickness, etc.</t>
  </si>
  <si>
    <t>https://www.cypressassistance.org/</t>
  </si>
  <si>
    <t>https://maps.google.com/?q=Cypress%20Assistance%20Ministries%2012930%20Cypress%20N%20Houston%20Rd%20Houston%20TX%2077429</t>
  </si>
  <si>
    <t>29.9473923157428, -95.6155285448101</t>
  </si>
  <si>
    <t>{"regular":[{"days":["Mo","We"],"open":"09:00","close":"17:00"},{"days":["Th"],"open":"09:00","close":"15:00"}]}</t>
  </si>
  <si>
    <t>Photo ID.
US Citizens/Permanent Residents.
Lease agreement, must be residence for at least four months.
Utility bill
Cannot have a Disconnect Notice.
Proof of financial problem, i.e. loss of income, cut in hours, sickness, etc.</t>
  </si>
  <si>
    <t>Mo &amp; We for appointments only and Th for walk-ins.</t>
  </si>
  <si>
    <t>Cy Fair ISD Only</t>
  </si>
  <si>
    <t>Hours can vary, please call ahead.
Photo ID.
Proof of income.
Verification of everyone in household including children.
Proof of residence.</t>
  </si>
  <si>
    <t>{"regular":[{"days":["Mo","Tu","We","Th","Fr"],"open":"10:00","close":"13:00"}]}</t>
  </si>
  <si>
    <t>Voucher that can be used in own Resale Store.</t>
  </si>
  <si>
    <t>GED and ESL Classes.</t>
  </si>
  <si>
    <t>Registration required.
Job counseling.
Resume preparation.
Interview skills.
Access to computer and fax machine.
Financial literacy classes.</t>
  </si>
  <si>
    <t>Toys &amp; Food.</t>
  </si>
  <si>
    <t>Dan's House of Hope</t>
  </si>
  <si>
    <t>4917 Jackson Street</t>
  </si>
  <si>
    <t>Bed &amp; breakfast style housing for four young adult (18-39 years old) cancer patients and their caregivers.
Contact via web page only.
Minimum stay of five nights, maximum of two months.
Med center parking and ride assistance.
Medical housing</t>
  </si>
  <si>
    <t>https://danshouseofhope.org/</t>
  </si>
  <si>
    <t>29.7265387346939, -95.380001122449</t>
  </si>
  <si>
    <t>Houston Museum District</t>
  </si>
  <si>
    <t>Daya</t>
  </si>
  <si>
    <t>P.O. Box 421581</t>
  </si>
  <si>
    <t>77242</t>
  </si>
  <si>
    <t>713-981-7645</t>
  </si>
  <si>
    <t>Focus on South Asian community
Crisis Intervention
Legal Aid
Housing Assistance
Case Management
Counseling
Police accompaniment</t>
  </si>
  <si>
    <t>https://www.dayahouston.org/services</t>
  </si>
  <si>
    <t>29.73152686780826, -95.55945044357357</t>
  </si>
  <si>
    <t>77536</t>
  </si>
  <si>
    <t>Deer Park First Baptist</t>
  </si>
  <si>
    <t>438 E 8th Street</t>
  </si>
  <si>
    <t>Deer Park</t>
  </si>
  <si>
    <t>281-479-2391</t>
  </si>
  <si>
    <t>Mo - Th 8 a.m. to 5 p.m. &amp; Fr 8 a.m. to 1 p.m.</t>
  </si>
  <si>
    <t>Deer Park ISD only.</t>
  </si>
  <si>
    <t>https://deerparkfirst.org/</t>
  </si>
  <si>
    <t>https://maps.google.com/?q=Deer%20Park%20First%20Baptist%20%20%20TX%20</t>
  </si>
  <si>
    <t>29.705066375374, -95.1183645836611</t>
  </si>
  <si>
    <t>{"regular":[{"days":["Mo","Tu","We","Th"],"open":"08:00","close":"17:00"},{"days":["Fr"],"open":"08:00","close":"13:00"}]}</t>
  </si>
  <si>
    <t>Deer Park Gardens</t>
  </si>
  <si>
    <t>Tu, Th 10 a.m. to 2 p.m.</t>
  </si>
  <si>
    <t>Does not have its own Food Pantry but does the intake for the Food Pantry located at Deer Park UMC.</t>
  </si>
  <si>
    <t>{"regular":[{"days":["Tu","Th"],"open":"10:00","close":"14:00"}]}</t>
  </si>
  <si>
    <t>Deer Park UMC</t>
  </si>
  <si>
    <t>1300 E 13th Street</t>
  </si>
  <si>
    <t>281-930-1300</t>
  </si>
  <si>
    <t>https://dpumc.org/outreach/</t>
  </si>
  <si>
    <t>https://maps.google.com/?q=Deer%20Park%20UMC%201300%20E%2013th%20St%20Deer%20Park%20TX%2077536</t>
  </si>
  <si>
    <t>29.7001473632323, -95.1118777366005</t>
  </si>
  <si>
    <t>Denver Harbor Family Health Center</t>
  </si>
  <si>
    <t>424 Hahlo Street</t>
  </si>
  <si>
    <t>713-674-3326</t>
  </si>
  <si>
    <t>All adult, pediatric and senior healthcare services.
Women's health including pre and postnatal care for mother and baby
Specialty care including cardiac care, diabetes management, dysplasia treatment and high blood pressure management
Uninsured patients pay what is affordable based on income and family size.
Will help determine if you qualify for medical assistance programs and help enroll, if you are.
Limited number of same day appointments.</t>
  </si>
  <si>
    <t>Dental
Comprehensive dental services including exams, cleaning and cavity fillings.
Will help determine if you qualify for medical assistance programs and help enroll, if you are.
Uninsured patients pay what is affordable based on income and family size.</t>
  </si>
  <si>
    <t xml:space="preserve">Behavioral health services including individual, family and group counseling for depression, anxiety, trauma, grief, substance abuse, domestic violence and other stressors.
Uninsured patients pay what is affordable based on income and family size.
Will help determine if you qualify for medical assistance programs and help enroll, if you are.
</t>
  </si>
  <si>
    <t>Denver Harbor Multi-Service Center</t>
  </si>
  <si>
    <t>281-905-7655</t>
  </si>
  <si>
    <t>https://www.houstonhealth.org/services/multi-service-centers/denver-harbor-multi-service-center</t>
  </si>
  <si>
    <t>https://www.google.com/maps/place/Denver+Harbor+Multi-Service+Center/@29.7720985,-95.3095812,16z/data=!3m1!4b1!4m6!3m5!1s0x8640bc00ddfbd2cb:0xd148e224cfb07332!8m2!3d29.7720939!4d-95.3047103!16s%2Fg%2F1tdnlhnb?entry=ttu&amp;g_ep=EgoyMDI2MDIwMS4wIKXMDSoKLDEwMDc5MjA2OUgBUAM%3D</t>
  </si>
  <si>
    <t>29.772498821736928, -95.30462445613284</t>
  </si>
  <si>
    <t>Mo &amp; Fri 10 a.m. to 3 p.m.</t>
  </si>
  <si>
    <t>Intake applications</t>
  </si>
  <si>
    <t>Food Distribution
by Target Hunger for seniors only.</t>
  </si>
  <si>
    <t>Dollar For</t>
  </si>
  <si>
    <t>104 W 9th Street</t>
  </si>
  <si>
    <t>Suite 205</t>
  </si>
  <si>
    <t>Vancouver</t>
  </si>
  <si>
    <t>WA</t>
  </si>
  <si>
    <t>98660</t>
  </si>
  <si>
    <t>Matt Ryan referral</t>
  </si>
  <si>
    <t>Dollar For does not provide direct financial assistance.
Their efforts are in helping clients receive financial assistance from the medical facility that provided the services.
Start by filling out an online form to determine eligibility.</t>
  </si>
  <si>
    <t>https://dollarfor.org/how-we-help/</t>
  </si>
  <si>
    <t>https://www.google.com/maps/place/104+W+9th+St,+Vancouver,+WA+98660/@45.6280387,-122.6736554,17z/data=!4m16!1m9!3m8!1s0x5495a8b1216919e5:0xf8b2ecd84f1da722!2s104+W+9th+St,+Vancouver,+WA+98660!3b1!8m2!3d45.6281757!4d-122.672251!10e3!16s%2Fg%2F11cs83vv_f!3m5!1s0x5495a8b1216919e5:0xf8b2ecd84f1da722!8m2!3d45.6281757!4d-122.672251!16s%2Fg%2F11cs83vv_f?entry=ttu&amp;g_ep=EgoyMDI2MDEyMC4wIKXMDSoKLDEwMDc5MjA2OUgBUAM%3D</t>
  </si>
  <si>
    <t>45.62838572146929, -122.67229390595595</t>
  </si>
  <si>
    <t>Dress For Success</t>
  </si>
  <si>
    <t>3310 Eastside Street</t>
  </si>
  <si>
    <t>713-957-3779</t>
  </si>
  <si>
    <t>https://www.dfshouston.org/get-support</t>
  </si>
  <si>
    <t>https://maps.google.com/?q=Dress%20For%20Success%20%20%20TX%20</t>
  </si>
  <si>
    <t>29.736231, -95.42501</t>
  </si>
  <si>
    <t>{"regular":[{"days":["Mo","Tu","We","Th","Fr"],"open":"09:00","close":"16:30"}]}</t>
  </si>
  <si>
    <t>East End Social Services, Inc.</t>
  </si>
  <si>
    <t>6801 Avenue U</t>
  </si>
  <si>
    <t>713-928-3823</t>
  </si>
  <si>
    <t>Mo, Tu &amp; We 8 a.m. to 12 p.m.</t>
  </si>
  <si>
    <t>Also known as the House of Hope Food Pantry</t>
  </si>
  <si>
    <t>https://eastendsocialservices.org/about-us</t>
  </si>
  <si>
    <t>https://www.google.com/maps/place/East+End+Social+Services+Inc./@29.7505279,-95.3053317,17z/data=!4m15!1m8!3m7!1s0x8640bc22c586e303:0x1c1e980397081ddc!2s6801+Avenue+U,+Houston,+TX+77011!3b1!8m2!3d29.7505233!4d-95.3004554!16s%2Fg%2F11pw0kncx6!3m5!1s0x8640bc22c5874fd3:0x944629381533dfed!8m2!3d29.7505233!4d-95.3004554!16s%2Fg%2F11jk3rdb_8?entry=ttu&amp;g_ep=EgoyMDI1MDYwMy4wIKXMDSoASAFQAw%3D%3D</t>
  </si>
  <si>
    <t>29.750464, -95.300517</t>
  </si>
  <si>
    <t>{"regular":[{"days":["Mo","Tu","We"],"open":"08:00","close":"12:00"}]}</t>
  </si>
  <si>
    <t>77053, 77083, 77085, 77099, 77301, 777407, 7477, 77478, 77479, 77483, 77459, 77469, 77489, 77498, 77545, 77583</t>
  </si>
  <si>
    <t>East Ft Bend Human Needs</t>
  </si>
  <si>
    <t>435 Stafford Run Road</t>
  </si>
  <si>
    <t>281-261-5470</t>
  </si>
  <si>
    <t>Tu 10 a.m. to 12 p.m.</t>
  </si>
  <si>
    <t>Must be in Ft Bend ISD</t>
  </si>
  <si>
    <t>Must have some income.</t>
  </si>
  <si>
    <t>https://www.humanneeds.org/</t>
  </si>
  <si>
    <t>https://maps.google.com/?q=East%20Ft%20Bend%20Human%20Needs%20435%20Stafford%20Run%20Rd%20Stafford%20TX%2077477</t>
  </si>
  <si>
    <t>29.613855, -95.559963</t>
  </si>
  <si>
    <t>{"regular":[{"days":["Tu"],"open":"10:00","close":"12:00"}]}</t>
  </si>
  <si>
    <t>Clark Plaza One</t>
  </si>
  <si>
    <t>281-261-1006</t>
  </si>
  <si>
    <t>Tu, Th &amp; Fr 10 a.m. to 12:30 p.m. &amp; We 6 p.m. to 8 p.m.</t>
  </si>
  <si>
    <t>Every other We</t>
  </si>
  <si>
    <t>{"regular":[{"days":["Tu","Th","Fr"],"open":"10:00","close":"12:30"},{"days":["We"],"open":"18:00","close":"20:00"}]}</t>
  </si>
  <si>
    <t>77099, 77301, 77477, 77479, 77483</t>
  </si>
  <si>
    <t>77024, 77041, 77043, 77055, 77080, 77092</t>
  </si>
  <si>
    <t>East Spring Branch Food Pantry</t>
  </si>
  <si>
    <t>7901 Westview Drive</t>
  </si>
  <si>
    <t>713-464-0852</t>
  </si>
  <si>
    <t>Mo, Tu &amp; Th 11 a.m. to 2 p.m. &amp; Th 5 p.m. to 7 p.m. &amp; Fr 10 a.m. to 12 p.m.</t>
  </si>
  <si>
    <t>https://eastspringbranchfoodpantry.com/</t>
  </si>
  <si>
    <t>https://maps.google.com/?q=East%20Spring%20Branch%20Food%20Pantry%207901%20Westview%20Dr%20Houston%20TX%2077055</t>
  </si>
  <si>
    <t>29.7943705, -95.4858496497902</t>
  </si>
  <si>
    <t>{"regular":[{"days":["Mo","Tu","Th"],"open":"11:00","close":"14:00"},{"days":["Th"],"open":"17:00","close":"19:00"},{"days":["Fr"],"open":"10:00","close":"12:00"}]}</t>
  </si>
  <si>
    <t>ECDC Houston Multicultural Center</t>
  </si>
  <si>
    <t>11011 Richmond Avenue</t>
  </si>
  <si>
    <t>Suite 450</t>
  </si>
  <si>
    <t>77042</t>
  </si>
  <si>
    <t>346-626-1550</t>
  </si>
  <si>
    <t>Mo - Fr 8:30 a.m. to 5 p.m.</t>
  </si>
  <si>
    <t>For refugees only</t>
  </si>
  <si>
    <t>This program is available only to refugees as defined by the US government.</t>
  </si>
  <si>
    <t>https://ecdchmc.org/refugee-resettlement-services#randp</t>
  </si>
  <si>
    <t>https://www.google.com/maps/place/ECDC+HMC/@29.7272049,-95.573485,16z/data=!3m2!4b1!5s0x8640dcc54868f8f9:0x86f50a9fafa8b2e2!4m6!3m5!1s0x8640dd000be24131:0xf996ff29ae5ee5d2!8m2!3d29.7272049!4d-95.5709101!16s%2Fg%2F11y7s_m6ph?entry=ttu&amp;g_ep=EgoyMDI1MDcxMy4wIKXMDSoASAFQAw%3D%3D</t>
  </si>
  <si>
    <t>29.727614793071112, -95.5709100905474</t>
  </si>
  <si>
    <t>{"regular":[{"days":["Mo","Tu","We","Th","Fr"],"open":"08:30","close":"17:00"}]}</t>
  </si>
  <si>
    <t>Verified in person</t>
  </si>
  <si>
    <t>English as a Second Language classes
Beginner and intermediate levels tailored towards practical language skills to help navigate daily life.
Driver's Education.
Additional classes in financial literacy, navigating the US healthcare system and skills to start a small business.  Specific program to help refugee women start and manage a home based childcare business.</t>
  </si>
  <si>
    <t>Provides resettlement services to refugees, asylum seekers, Cuban and Haitian Entrants, Special Immigrant Visa holder from Iraq and Afghanistan, certified victims of severe forms of trafficking, specific Amerasians, Afghan and Ukranian Humanitarian Parolees and other individuals as designated by the US Government.</t>
  </si>
  <si>
    <t>El Centro de Corazón - Eastwood</t>
  </si>
  <si>
    <t>412 Telephone Road</t>
  </si>
  <si>
    <t>713-660-1880</t>
  </si>
  <si>
    <t>Temporarily closed for building maintenance.</t>
  </si>
  <si>
    <t>Offering adult primary care including chronic disease management, sick visits, immunizations after after hours care.
Women's health services including OB-GYN, prenatal and postpartum care, family planning, and male newborn circumcisions.
Pediatric primary care including well-exams, school and sports physical exams, sick visits, immunizations, newborn screenings, hearing and vision screenings, chronic disease management and after hours care.
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t>
  </si>
  <si>
    <t>https://www.elcentrodecorazon.org</t>
  </si>
  <si>
    <t>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t>
  </si>
  <si>
    <t>29.7378298335786, -95.3327423000631</t>
  </si>
  <si>
    <t>Dental
For adults 19+ limited exams and x-rays.
Pediatric dental services includes preventative care, exams, x-rays, cleanings, sealand and extractions.</t>
  </si>
  <si>
    <t>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t>
  </si>
  <si>
    <t>El Centro de Corazón - John S Dunn</t>
  </si>
  <si>
    <t>7635 Canal Street</t>
  </si>
  <si>
    <t>Mo - Th 7 a.m. to 5 p.m. &amp; Fr 7:30 a.m. to 5 p.m. &amp; Sa 9 a.m. to 4 p.m.</t>
  </si>
  <si>
    <t>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t>
  </si>
  <si>
    <t>29.7358007346939, -95.287740877551</t>
  </si>
  <si>
    <t>{"regular":[{"days":["Mo","Tu","We","Th"],"open":"07:00","close":"17:00"},{"days":["Fr"],"open":"07:30","close":"17:00"},{"days":["Sa"],"open":"09:00","close":"16:00"}]}</t>
  </si>
  <si>
    <t>El Centro de Corazón - Magnolia</t>
  </si>
  <si>
    <t>7037 Capitol Street</t>
  </si>
  <si>
    <t>Suite N100</t>
  </si>
  <si>
    <t>Mo - Fr 7:30 a.m. to 5 p.m.</t>
  </si>
  <si>
    <t>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t>
  </si>
  <si>
    <t>29.7344102040816, -95.3023322244898</t>
  </si>
  <si>
    <t>{"regular":[{"days":["Mo","Tu","We","Th","Fr"],"open":"07:30","close":"17:00"}]}</t>
  </si>
  <si>
    <t>Emancipet Clinics</t>
  </si>
  <si>
    <t>13830 NW Fwy</t>
  </si>
  <si>
    <t>713-321-2713</t>
  </si>
  <si>
    <t>Th - Sa 10 a.m. to 6 p.m.</t>
  </si>
  <si>
    <t>Non-profit that operates three clinics in the Houston area providing low-cost veterinary care.</t>
  </si>
  <si>
    <t>https://emancipet.org</t>
  </si>
  <si>
    <t>https://www.google.com/maps/place/Emancipet/@29.8557388,-95.518464,17z/data=!3m1!4b1!4m6!3m5!1s0x8640c585812011f3:0xc56ecfbc063f8b4a!8m2!3d29.8557342!4d-95.5135931!16s%2Fg%2F11pz8shnc3?entry=ttu&amp;g_ep=EgoyMDI1MDkyMi4wIKXMDSoASAFQAw%3D%3D</t>
  </si>
  <si>
    <t>29.862918200025973, -95.51258877158962</t>
  </si>
  <si>
    <t>{"regular":[{"days":["Th","Fr","Sa"],"open":"10:00","close":"18:00"}]}</t>
  </si>
  <si>
    <t>8533 Gulf Fwy</t>
  </si>
  <si>
    <t>Mo, Th, Fr, Sa 10 a.m. to 6 p.m.</t>
  </si>
  <si>
    <t>https://www.google.com/maps/place/Emancipet/@29.6688965,-95.2639586,17z/data=!3m1!4b1!4m6!3m5!1s0x8640979908914191:0x163eb3eb8b2b690d!8m2!3d29.6688919!4d-95.2613837!16s%2Fg%2F11j8x8mgxd?entry=ttu&amp;g_ep=EgoyMDI1MDkyMi4wIKXMDSoASAFQAw%3D%3D</t>
  </si>
  <si>
    <t>29.67632437344807, -95.26308275326133</t>
  </si>
  <si>
    <t>{"regular":[{"days":["Mo","Th","Fr","Sa"],"open":"10:00","close":"18:00"}]}</t>
  </si>
  <si>
    <t>Meadowbrook / Allendale</t>
  </si>
  <si>
    <t>910 South Wayside Drive</t>
  </si>
  <si>
    <t>Tu - Sa 10 a.m. to 6 p.m.</t>
  </si>
  <si>
    <t>https://www.google.com/maps/place/Emancipet/@29.7301277,-95.315564,17z/data=!3m1!4b1!4m6!3m5!1s0x8640bebfd377fb23:0x5e7286da59d12d14!8m2!3d29.7301231!4d-95.3106931!16s%2Fg%2F11cjn0f9dc?entry=ttu&amp;g_ep=EgoyMDI1MDkyMi4wIKXMDSoASAFQAw%3D%3D</t>
  </si>
  <si>
    <t>29.736640967000774, -95.30965518617849</t>
  </si>
  <si>
    <t>{"regular":[{"days":["Tu","We","Th","Fr","Sa"],"open":"10:00","close":"18:00"}]}</t>
  </si>
  <si>
    <t>Emergency Aid Coalition</t>
  </si>
  <si>
    <t>5401 Fannin Street</t>
  </si>
  <si>
    <t>713-343-3061</t>
  </si>
  <si>
    <t>Mo - Fr 9 a.m. to 12:30 p.m.</t>
  </si>
  <si>
    <t>By appointment only.
Current photo ID.
Proof of residence (lease or utility bill).
Birth certificates for children 18 or younger.
Food package once every 60 days but need appointment each time.
Must meet federal poverty guidelines</t>
  </si>
  <si>
    <t>https://eachouston.org/</t>
  </si>
  <si>
    <t>https://maps.google.com/?q=Emergency%20Aid%20Coalition%205401%20Fanin%20St%20Houston%20TX%2077004</t>
  </si>
  <si>
    <t>29.72651219388407, -95.38749923534392</t>
  </si>
  <si>
    <t>{"regular":[{"days":["Mo","Tu","We","Th","Fr"],"open":"09:00","close":"12:30"}]}</t>
  </si>
  <si>
    <t>By appointment only.
Current photo ID.
Birth certificates for children 18 or younger.
May return every two months but must have an appointment each time.</t>
  </si>
  <si>
    <t>77031, 77035, 77036, 77071, 77072, 77074, 77081, 77096, 77099</t>
  </si>
  <si>
    <t>Epiphany Community Health Outreach Services ECHOS (SW Harris County)</t>
  </si>
  <si>
    <t>9894 Bissonnet Street</t>
  </si>
  <si>
    <t>Suite 900</t>
  </si>
  <si>
    <t>713-270-0369</t>
  </si>
  <si>
    <t>Mo - Th 8 a.m. to 2 p.m. &amp; Fr 8 a.m. to 12 p.m.</t>
  </si>
  <si>
    <t>waiting list is closed</t>
  </si>
  <si>
    <t>Must call and speak to a staff member. Do not leave voice message.
Proof of address and valid lease in your name.</t>
  </si>
  <si>
    <t>https://echoshouston.org/client-services/financial_assistance/</t>
  </si>
  <si>
    <t>https://maps.google.com/?q=Epiphany%20Community%20Health%20Outreach%20Services%20ECHOS%20(SW%20Harris%20County)%209894%20Bissonnet%20St%20%23918%20Houston%20TX%2077036</t>
  </si>
  <si>
    <t>29.6751815714286, -95.5534594285714</t>
  </si>
  <si>
    <t>{"regular":[{"days":["Mo","Tu","We","Th"],"open":"08:00","close":"14:00"},{"days":["Fr"],"open":"08:00","close":"12:00"}]}</t>
  </si>
  <si>
    <t>Must call and speak to a staff member. Do not leave voice message.
Proof of address, valid lease and copy of bill.</t>
  </si>
  <si>
    <t>Must call and speak to a staff member. Do not leave voice message.
No Food Pantry. Provide HEB Gift Cards.</t>
  </si>
  <si>
    <t>https://echoshouston.org/</t>
  </si>
  <si>
    <t>Must call and speak to a staff member. Do not leave voice message.
ECHOS assists families in accessing healthcare services that they are eligible to receive.  They provide assistance with submitting applications for state and county medical and social services.  
Check website for document requirements.</t>
  </si>
  <si>
    <t>https://echoshouston.org/client-services/application-assistance/</t>
  </si>
  <si>
    <t>77094, 77449, 77450, 77493, 77494</t>
  </si>
  <si>
    <t>Epiphany of the Lord (SVdP D4) Katy</t>
  </si>
  <si>
    <t>1530 Norwalk Drive</t>
  </si>
  <si>
    <t>77450</t>
  </si>
  <si>
    <t>281-578-3845</t>
  </si>
  <si>
    <t xml:space="preserve">Epiphany SVdP manages the financial assistance program for St Bartholomew. Epiphany schedules and conducts all interviews and then refers approved clients back to St Bartholomew.
</t>
  </si>
  <si>
    <t>https://www.epiphanycatholic.org/outreach</t>
  </si>
  <si>
    <t>https://maps.google.com/?q=Epiphany%20of%20the%20Lord%20(SVdP%20D4)%20Katy%201530%20Norwalk%20Dr%20Katy%20TX%2077450</t>
  </si>
  <si>
    <t>29.76081855, -95.7301647535071</t>
  </si>
  <si>
    <t>Nottingham Country</t>
  </si>
  <si>
    <t>Tu &amp; Th 4:30 p.m. to 5:30 p.m.</t>
  </si>
  <si>
    <t xml:space="preserve">Food Pantry located at St Bartholomew.
</t>
  </si>
  <si>
    <t>{"regular":[{"days":["Tu","Th"],"open":"16:30","close":"17:30"}]}</t>
  </si>
  <si>
    <t>77024, 77027, 77041, 77043, 77055, 77056, 77079, 77080</t>
  </si>
  <si>
    <t>Fair Haven Methodist Church</t>
  </si>
  <si>
    <t>1330 Gessner Road</t>
  </si>
  <si>
    <t>713-467-4363</t>
  </si>
  <si>
    <t>Mo - Fr 10 a.m. to 1:40 p.m.</t>
  </si>
  <si>
    <t>New clients register in person, Mo - Th before 1 p.m.</t>
  </si>
  <si>
    <t>Photo ID.
Proof of residence.</t>
  </si>
  <si>
    <t>https://www.chapelwood.org/sanctuary/get-involved/serving-opportunities/fair-haven-food-pantry/249/</t>
  </si>
  <si>
    <t>https://maps.google.com/?q=Fair%20Haven%20Methodist%20Church%201330%20Gessner%20Rd%20Houston%20TX%2077055</t>
  </si>
  <si>
    <t>29.7916168979592, -95.5445215306122</t>
  </si>
  <si>
    <t>{"regular":[{"days":["Mo","Tu","We","Th","Fr"],"open":"10:00","close":"13:40"}]}</t>
  </si>
  <si>
    <t>77048, 77058, 77059, 77062, 77075, 77089, 77507, 77510, 77511, 77517, 77518, 77534, 77539, 77545, 77546, 77565, 77571, 77573, 77577, 77578, 77581, 77583, 77584, 77586, 77598</t>
  </si>
  <si>
    <t>Family Promise of Clear Creek</t>
  </si>
  <si>
    <t>14550 State Hwy 3</t>
  </si>
  <si>
    <t>832-932-3963</t>
  </si>
  <si>
    <t>Alvin, Clear Creek, Friendswood and Pearland School Districts only.</t>
  </si>
  <si>
    <t>Homelessness prevention by finding alternative housing, case management, landlord mediation, and payments for back rent if an eviction notice has been issued.
Must have a child under 18 years.</t>
  </si>
  <si>
    <t>https://www.ccfamilypromise.org/programs-and-services/</t>
  </si>
  <si>
    <t>https://www.google.com/maps/place/14550+State+Hwy+3,+Webster,+TX+77598/@29.5738434,-95.1552923,17z/data=!3m1!4b1!4m6!3m5!1s0x86409bf2b16bea43:0x88d42ed69bcbdcff!8m2!3d29.5738388!4d-95.1527174!16s%2Fg%2F11ckqnx3bk?entry=ttu&amp;g_ep=EgoyMDI1MTIwOS4wIKXMDSoKLDEwMDc5MjA2OUgBUAM%3D</t>
  </si>
  <si>
    <t>29.57402537157227, -95.15268520887969</t>
  </si>
  <si>
    <t>Clear Lake</t>
  </si>
  <si>
    <t>Overnight stays for families at various host congregations.  Stays are up to a week at a single location but may rotate to another congregations site at the end of the week.
Must have a child under 18 years.
Pass a criminal background check and drug screening.</t>
  </si>
  <si>
    <t>The day center provides a consistent home base for families staying in their shelters.  A place to network and look for jobs and permanent housing.</t>
  </si>
  <si>
    <t xml:space="preserve">Non-residential services including case management, obtaining legal documents (driver's license, social security card) and referrals for counseling and therapy, legal assistance (protective orders, custody, civil rights) and community resources.
</t>
  </si>
  <si>
    <t>77336, 77338, 77339, 77345, 77346, 77347, 77365, 77396</t>
  </si>
  <si>
    <t>Family Promise of Lake Houston</t>
  </si>
  <si>
    <t>1590 FM 1960 Bypass Road E</t>
  </si>
  <si>
    <t>281-441-3754</t>
  </si>
  <si>
    <t>Service area unclear.</t>
  </si>
  <si>
    <t>Overnight stays for families at several host congregations located in Humble, Atascocita, Huffman, Kingwood and Porter.
Must have a child under 18 years.
Required to be drug free and save 80% of income while staying in one of the shelters.</t>
  </si>
  <si>
    <t>https://fplh.org/about/</t>
  </si>
  <si>
    <t>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t>
  </si>
  <si>
    <t>30.002484620383402, -95.25164704820197</t>
  </si>
  <si>
    <t>During the day time, the day centers serves as the home base for the families in the shelters.
Assistance with case management, goal setting, GED certification, job search and classes on parenting and money management.</t>
  </si>
  <si>
    <t>Family Promise of Montgomery County</t>
  </si>
  <si>
    <t>109 Commercial Circle</t>
  </si>
  <si>
    <t>77304</t>
  </si>
  <si>
    <t>936-441-8778</t>
  </si>
  <si>
    <t>Coalition for the Homeless (CFTH) Partner/Rapid Rehousing
Temporary shelter for families for upto 90 days.  Must have a child aged 18 or under.
Homeless or facing homelessness.  No serious criminal history.
Must be willing to live/work in Montgomery County.
Case management, job search, finding childcare, enrolling children in school.</t>
  </si>
  <si>
    <t>https://www.familypromiseofmc.org/emergency-shelter</t>
  </si>
  <si>
    <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t>
  </si>
  <si>
    <t>30.309972878178684, -95.47997381672214</t>
  </si>
  <si>
    <t xml:space="preserve">Scholarship referral and other resources to support families attempting to improve their family's situation through education/certification.
Assessment at initial intake to determine how additional education or technical certification could help the family.  Support includes supplies, textbooks and tutors.
</t>
  </si>
  <si>
    <t>Maintenance and minor vehicle repairs. 
Access to organization's vehicle to transport families.
Vehicle donation to families without transportation upon successful completion of stay and when a donated vehicle is available.</t>
  </si>
  <si>
    <t>Family Reach</t>
  </si>
  <si>
    <t>142 Berkeley Street</t>
  </si>
  <si>
    <t>Suite 310</t>
  </si>
  <si>
    <t>Boston</t>
  </si>
  <si>
    <t>MA</t>
  </si>
  <si>
    <t>02116</t>
  </si>
  <si>
    <t>973-394-1411</t>
  </si>
  <si>
    <t>Offers grants when funds are available.
Grants help cover non-medical expenses including mortgage/rent payments, utilities, groceries and transportation.
Applications must be submitted online by a member of the healthcare team.
A charitable patient assistance foundation.</t>
  </si>
  <si>
    <t>https://familyreach.org/financialassistance/</t>
  </si>
  <si>
    <t>https://www.google.com/maps/place/Family+Reach/@42.3488309,-71.0770129,17z/data=!3m2!4b1!5s0x89e37a733f1d3301:0xb3e21cc92ac59e6b!4m6!3m5!1s0x89e37a733f730321:0x11208cbac7fe58f2!8m2!3d42.348831!4d-71.0721366!16s%2Fg%2F11d_zmqf63?entry=ttu&amp;g_ep=EgoyMDI2MDEyMC4wIKXMDSoKLDEwMDc5MjA2OUgBUAM%3D</t>
  </si>
  <si>
    <t>42.3490290226611, -71.07209366916001</t>
  </si>
  <si>
    <t>Black Bay</t>
  </si>
  <si>
    <t>Family Time Crisis &amp; Counseling Center</t>
  </si>
  <si>
    <t>1203 South Houston Avenue</t>
  </si>
  <si>
    <t>281-446-2615</t>
  </si>
  <si>
    <t>Coalition for the Homeless (CFTH) Partner/Rapid Rehousing
Hospital accompaniment
Legal Advocacy
Professional counseling at affordable rates
Parenting education and anger management classes
Services available in Spanish</t>
  </si>
  <si>
    <t>https://familytimeccc.org/about/overview/</t>
  </si>
  <si>
    <t>29.983107, -95.259673</t>
  </si>
  <si>
    <t>FIEL For Families and Their Education</t>
  </si>
  <si>
    <t>4635 Southwest Fwy</t>
  </si>
  <si>
    <t>Suite 220</t>
  </si>
  <si>
    <t>713-364-3435</t>
  </si>
  <si>
    <t>https://fielhouston.org/immigration/</t>
  </si>
  <si>
    <t>29.729218, -95.453583</t>
  </si>
  <si>
    <t>Fifth Ward Multi-Center</t>
  </si>
  <si>
    <t>4014 Market Street</t>
  </si>
  <si>
    <t>713-238-3232</t>
  </si>
  <si>
    <t>3rd We 8 a.m. to 11 a.m.</t>
  </si>
  <si>
    <t>https://www.houstonhealth.org/services/multi-service-centers/fifth-ward-multi-service-center</t>
  </si>
  <si>
    <t>https://www.google.com/maps/place/Fifth+Ward+Multi-Service+Center/@29.7721662,-95.33319,16z/data=!3m1!4b1!4m6!3m5!1s0x8640beb57aca7dc7:0x8f9d48cd55f703e5!8m2!3d29.7721616!4d-95.3306151!16s%2Fg%2F11bv30k8s6?entry=ttu&amp;g_ep=EgoyMDI2MDIwMS4wIKXMDSoKLDEwMDc5MjA2OUgBUAM%3D</t>
  </si>
  <si>
    <t>29.77267840489499, -95.33059363009613</t>
  </si>
  <si>
    <t>Fifth Ward</t>
  </si>
  <si>
    <t>713-237-0264</t>
  </si>
  <si>
    <t>Mo - Fr 7 a.m. to 5 p.m</t>
  </si>
  <si>
    <t>Head Start
For children ages 3 to 5 years</t>
  </si>
  <si>
    <t>77562</t>
  </si>
  <si>
    <t>First Baptist Highlands Magnolia</t>
  </si>
  <si>
    <t>210 N Magnolia Street</t>
  </si>
  <si>
    <t>Highlands</t>
  </si>
  <si>
    <t>281-426-4551</t>
  </si>
  <si>
    <t>https://www.firstbaptisthighlands.org/</t>
  </si>
  <si>
    <t>https://maps.google.com/?q=First%20Baptist%20Highlands%20Magnolia%20210%20N%20Magnolia%20St%20Highlands%20TX%2077562</t>
  </si>
  <si>
    <t>29.81831075, -95.0593901650093</t>
  </si>
  <si>
    <t>77093</t>
  </si>
  <si>
    <t>First Baptist North Houston</t>
  </si>
  <si>
    <t>4422 Lauder Road</t>
  </si>
  <si>
    <t>281-442-4357</t>
  </si>
  <si>
    <t>1st &amp; 3rd Mo</t>
  </si>
  <si>
    <t>https://maps.google.com/?q=First%20Baptist%20North%20Houston%204422%20Lauder%20Rd%20Houston%20TX%2077039</t>
  </si>
  <si>
    <t>29.9113107422541, -95.3321272110446</t>
  </si>
  <si>
    <t>{"special":[{"pattern":"1st &amp; 3rd Mo","open":null,"close":null}]}</t>
  </si>
  <si>
    <t>Fairgreen</t>
  </si>
  <si>
    <t>First Presbyterian Church</t>
  </si>
  <si>
    <t>5300 Main Street</t>
  </si>
  <si>
    <t>281-833-3500</t>
  </si>
  <si>
    <t>Mo - Fr 9:30 a.m. to 11 a.m.</t>
  </si>
  <si>
    <t>The listed number is for Main Street Ministries, which does not provide financial assistance.</t>
  </si>
  <si>
    <t>https://maps.google.com/?q=First%20Presbyterian%20Church%20%20%20TX%20</t>
  </si>
  <si>
    <t>29.727533, -95.38925</t>
  </si>
  <si>
    <t>{"regular":[{"days":["Mo","Tu","We","Th","Fr"],"open":"09:30","close":"11:00"}]}</t>
  </si>
  <si>
    <t>University Place</t>
  </si>
  <si>
    <t>77064, 77065, 77069, 77070, 77073, 77080, 77082, 77084, 77095, 77375, 77377, 77379, 77388, 77429, 77433, 77363, 77418, 77423, 77426, 77445, 77446, 77452, 77466, 77474, 77484, 77492</t>
  </si>
  <si>
    <t>Focusing Families</t>
  </si>
  <si>
    <t>124 West Commerce Street</t>
  </si>
  <si>
    <t>Brenham</t>
  </si>
  <si>
    <t>77833</t>
  </si>
  <si>
    <t>979-826-3290
877-237-2339 (24 hrs)</t>
  </si>
  <si>
    <t>For women and children residing in Waller, Grimes, Washington and Northwest Harris counties fleeing from physical, sexual or psychological abuse.
Temporary Emergency Shelter
Counseling Services, Case Management, Advocacy, limited local transportation, emotional empowerment and nutrition and parenting classes.</t>
  </si>
  <si>
    <t>https://focusing-families.org/family-violence</t>
  </si>
  <si>
    <t>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t>
  </si>
  <si>
    <t>30.16626185916132, -96.3988086819016</t>
  </si>
  <si>
    <t>910 9th Street</t>
  </si>
  <si>
    <t>Hemsptead</t>
  </si>
  <si>
    <t>29.78679530458619, -95.40648466245122</t>
  </si>
  <si>
    <t>77053, 77083, 77085, 77099, 77406, 77407, 77417, 77423, 77430, 77435, 77441, 77444, 77450, 77451, 77454, 77459, 77461, 77469, 77471, 77476, 77477, 77478, 77479, 77481, 77485, 77487, 77489, 77492, 77494, 77498, 77496, 77545, 77583, 77584</t>
  </si>
  <si>
    <t>Fort Bend County Social Services</t>
  </si>
  <si>
    <t>Suite 235</t>
  </si>
  <si>
    <t>281-403-8050</t>
  </si>
  <si>
    <t>Walk-ins welcome but appointments take priority</t>
  </si>
  <si>
    <t>Be aware that some zip codes they support are split between Fort Bend Country and other counties.  They provide assistance to Fort Bend County residents only.
US Citizen.  Social Security Card and stated issued ID required.
Proof of income and emergency.
Lease agreement and Late or Eviction Notice</t>
  </si>
  <si>
    <t>https://www.fortbendcountytx.gov/government/departments/social-services/services/rent-mortgage-assistance</t>
  </si>
  <si>
    <t>https://www.google.com/maps/place/307+Texas+Pkwy,+Missouri+City,+TX+77489/@29.617227,-95.5386195,17z/data=!3m1!4b1!4m6!3m5!1s0x8640e8f2234e3d8b:0xb4b5026a11bf6b5a!8m2!3d29.617227!4d-95.5360446!16s%2Fg%2F11rp1xn5p6?entry=ttu&amp;g_ep=EgoyMDI1MDcyOS4wIKXMDSoASAFQAw%3D%3D</t>
  </si>
  <si>
    <t>29.617450800677172, -95.536066052093</t>
  </si>
  <si>
    <t>4520 Reading Avenue</t>
  </si>
  <si>
    <t>Suite A900</t>
  </si>
  <si>
    <t>281-238-3502</t>
  </si>
  <si>
    <t>https://www.google.com/maps/place/Fort+Bend+County+Social+Services/@29.563525,-95.7824184,16z/data=!3m1!4b1!4m6!3m5!1s0x86411c2f271d90f3:0x3bf06deb66f2bbf7!8m2!3d29.563525!4d-95.7798435!16s%2Fg%2F1hc1q7bfp?entry=ttu&amp;g_ep=EgoyMDI1MDcyOS4wIKXMDSoASAFQAw%3D%3D</t>
  </si>
  <si>
    <t>29.56421540182599, -95.78005805283148</t>
  </si>
  <si>
    <t>Be aware that some zip codes they support are split between Fort Bend Country and other counties.  They provide assistance to Fort Bend County residents only.
US Citizen.  Social Security Card and stated issued ID required.
Proof of income and emergency.
Bill and/or Disconnect Notice.</t>
  </si>
  <si>
    <t>https://www.fortbendcountytx.gov/government/departments/social-services/services/utility-assistance</t>
  </si>
  <si>
    <t>Be aware that some zip codes they support are split between Fort Bend Country and other counties.  They provide assistance to Fort Bend County residents only.
US Citizen.  Social Security Card and stated issued ID required.
Proof of income and emergency.</t>
  </si>
  <si>
    <t>https://www.fortbendcountytx.gov/government/departments/social-services/services/food-assistance</t>
  </si>
  <si>
    <t>Be aware that some zip codes they support are split between Fort Bend Country and other counties.  They provide assistance to Fort Bend County residents only.
US Citizen.  Social Security Card and stated issued ID required.
Proof of income and emergency.
Referral from medical facility or social service agency.  Original prescription.</t>
  </si>
  <si>
    <t>https://www.fortbendcountytx.gov/government/departments/social-services/services/medical-assistance</t>
  </si>
  <si>
    <t>281-342-7300</t>
  </si>
  <si>
    <t>Be aware that some zip codes they support are split between Fort Bend Country and other counties.  They provide assistance to Fort Bend County residents only.
Pauper &amp; indigent burial services provided on a case by case basis when the family has no means of burying the deceased.
US Citizen.  Social Security Card and stated issued ID required.
Family cannot have any assets, resources or insurance policy that could be used to pay for the burial.</t>
  </si>
  <si>
    <t>https://www.fortbendcountytx.gov/government/departments/social-services/services/pauper-indigent-burial-services</t>
  </si>
  <si>
    <t>Fort Bend Family Promise</t>
  </si>
  <si>
    <t>1002 Wilson Road</t>
  </si>
  <si>
    <t>West Campus</t>
  </si>
  <si>
    <t>832-847-4734</t>
  </si>
  <si>
    <t>Mo - Fr 8 a.m. to 7 p.m.</t>
  </si>
  <si>
    <t>Verified online but limited information.  Website geared towards donations.</t>
  </si>
  <si>
    <t>Financial assistance with security deposit, first month's rent or late rent.</t>
  </si>
  <si>
    <t>https://fortbendfamilypromise.org/programs/</t>
  </si>
  <si>
    <t>https://www.google.com/maps/place/1002+Wilson+Dr,+Rosenberg,+TX+77471/@29.5698183,-95.781014,16z/data=!3m1!4b1!4m6!3m5!1s0x86411c2a149875b7:0x87dd96d9496c3bbd!8m2!3d29.5698137!4d-95.7761431!16s%2Fg%2F11ltc59y38?entry=ttu&amp;g_ep=EgoyMDI1MTIwOS4wIKXMDSoKLDEwMDc5MjA2OUgBUAM%3D</t>
  </si>
  <si>
    <t>29.570238105008098, -95.77616454471286</t>
  </si>
  <si>
    <t>{"regular":[{"days":["Mo","Tu","We","Th","Fr"],"open":"08:00","close":"19:00"}]}</t>
  </si>
  <si>
    <t>Timberlane Addition</t>
  </si>
  <si>
    <t>4646 Cartwright Road</t>
  </si>
  <si>
    <t>East Campus</t>
  </si>
  <si>
    <t>281-403-3923</t>
  </si>
  <si>
    <t>Mo - Fr 7 a.m. to 7 p.m.</t>
  </si>
  <si>
    <t>https://www.google.com/maps/place/4646+Cartwright+Rd,+Missouri+City,+TX+77459/@29.5832215,-95.5810433,17z/data=!3m1!4b1!4m5!3m4!1s0x8640e60bd7911823:0x55d673bee80c25cf!8m2!3d29.5832169!4d-95.5784684?entry=ttu&amp;g_ep=EgoyMDI1MTIwOS4wIKXMDSoKLDEwMDc5MjA2OUgBUAM%3D</t>
  </si>
  <si>
    <t>29.58341972326318, -95.57841302867791</t>
  </si>
  <si>
    <t>{"regular":[{"days":["Mo","Tu","We","Th","Fr"],"open":"07:00","close":"19:00"}]}</t>
  </si>
  <si>
    <t>Plantation Park</t>
  </si>
  <si>
    <t>Clothing, shoes and grooming services.</t>
  </si>
  <si>
    <t>Website references a day center but is not explicit that there is one, what it provides and what the eligibility requirements are.</t>
  </si>
  <si>
    <t>Gas for vehicle, rideshare vouchers and certified driver's education.</t>
  </si>
  <si>
    <t>Fort Bend Women's Center</t>
  </si>
  <si>
    <t>501 East Hwy 90A</t>
  </si>
  <si>
    <t>77406</t>
  </si>
  <si>
    <t>281-342-4357</t>
  </si>
  <si>
    <t>Coalition for the Homeless (CFTH) Partner/Rapid Rehousing
Youth Program
Case Management
Counseling
Life Skills Program</t>
  </si>
  <si>
    <t>https://www.fbwc.org</t>
  </si>
  <si>
    <t>29.587280875840253, -95.75219042206872</t>
  </si>
  <si>
    <t>Richmond Landing</t>
  </si>
  <si>
    <t>Freewheels Houston</t>
  </si>
  <si>
    <t>6020 Jessamine Street</t>
  </si>
  <si>
    <t>Suite 204</t>
  </si>
  <si>
    <t>713-364-3571</t>
  </si>
  <si>
    <t>Fr - Sa 9 a.m. to 12 p.m.</t>
  </si>
  <si>
    <t>Repair and donate bikes, primarily for refugees, unhoused veterans and young people from certain schools.
Request bikes online or thru one of their partner organizations.</t>
  </si>
  <si>
    <t>https://freewheelshouston.org/volunteers-repair-bikes/</t>
  </si>
  <si>
    <t>https://www.google.com/maps/place/Freewheels+Houston/@29.7023428,-95.4901198,17z/data=!3m1!4b1!4m6!3m5!1s0x8640c2233ab9dcc9:0x203d8711a0c3f6b6!8m2!3d29.7023382!4d-95.4875449!16s%2Fg%2F11gcb9_1tz?entry=ttu&amp;g_ep=EgoyMDI1MDgxMy4wIKXMDSoASAFQAw%3D%3D</t>
  </si>
  <si>
    <t>29.70251521469502, -95.48753416686836</t>
  </si>
  <si>
    <t>{"regular":[{"days":["Fr","Sa"],"open":"09:00","close":"12:00"}]}</t>
  </si>
  <si>
    <t>God's Garage</t>
  </si>
  <si>
    <t>2100 E Davis Street</t>
  </si>
  <si>
    <t>936-286-8000</t>
  </si>
  <si>
    <t>On hold until they update their website</t>
  </si>
  <si>
    <t>Vehicles (automobiles, cars) for single mother, widows and wives of deployed military.
They will also help with auto repair.
Apply thru their website</t>
  </si>
  <si>
    <t>30.319568, -95.427678</t>
  </si>
  <si>
    <t>God's Lovely Butterflies Maternity Home</t>
  </si>
  <si>
    <t>2626 S Loop West</t>
  </si>
  <si>
    <t>Suite 130</t>
  </si>
  <si>
    <t>Boarding Services for First-Time, Single and Unhoused Mothers
Guidance in newborn care
Parenting and nutrition classes
Money management and cooking classes
Computer training</t>
  </si>
  <si>
    <t>https://www.godslovelybutterflies.org</t>
  </si>
  <si>
    <t>https://www.google.com/maps/place/God's+Lovely+Butterflies+Maternity+Home/@29.6784808,-95.4260526,16z/data=!3m2!4b1!5s0x8640c02750a7dfb5:0xdb3e51f03a25df97!4m6!3m5!1s0x8640c1dd1a2d806d:0xab3fec68cc1b8358!8m2!3d29.6784809!4d-95.4211871!16s%2Fg%2F11rgrfnqcs?entry=ttu&amp;g_ep=EgoyMDI1MDUwNy4wIKXMDSoASAFQAw%3D%3D</t>
  </si>
  <si>
    <t>29.678695243229132, -95.42123001007988</t>
  </si>
  <si>
    <t>Good Days</t>
  </si>
  <si>
    <t>2611 Internet Blvd</t>
  </si>
  <si>
    <t>Suite 105</t>
  </si>
  <si>
    <t>Frisco</t>
  </si>
  <si>
    <t>75034</t>
  </si>
  <si>
    <t>Provides direct financial assistance to insured and out  patients to help defray costs of copays, deductibles and out-of-pocket healthcare costs.
Eligibility requirements include covered disease and the program is open to new enrollments, must have a valid Social Security number and receive treatment in the U.S.
Additionally patient must have valid insurance coverage and meet income guidelines.
A charitable patient assistance foundation.
Apply online</t>
  </si>
  <si>
    <t>https://mygooddays.org/apply/</t>
  </si>
  <si>
    <t>https://www.google.com/maps/place/Good+Days/@33.1007054,-96.8327393,17z/data=!3m2!4b1!5s0x864c3c9c0bf995ad:0xbbcec9cafda1ee14!4m6!3m5!1s0x864c3cb2ae5991bf:0xa8731cd3b5584f3!8m2!3d33.1007054!4d-96.830159!16s%2Fg%2F1tdf1rts?entry=ttu&amp;g_ep=EgoyMDI2MDEyMC4wIKXMDSoKLDEwMDc5MjA2OUgBUAM%3D</t>
  </si>
  <si>
    <t>33.10092105187247, -96.83019118037718</t>
  </si>
  <si>
    <t>77320, 77334, 77340, 77341, 77342, 77358, 77367</t>
  </si>
  <si>
    <t>Good Shepherd Mission</t>
  </si>
  <si>
    <t>1005 Martin Luther King Drive</t>
  </si>
  <si>
    <t>Huntsville</t>
  </si>
  <si>
    <t>77320</t>
  </si>
  <si>
    <t>936-291-8156</t>
  </si>
  <si>
    <t>Mo - Fr 9 a.m. to 11:45 a.m. &amp; Last Th 5 p.m. to 6 p.m.</t>
  </si>
  <si>
    <t>Government ID with a Walker County address
At least applied for SNAP
Social Security cards, birth certificates or government IDs for all dependents
US Citizens/Permanent Residents.</t>
  </si>
  <si>
    <t>https://www.goodshepherdmission.org/index.html</t>
  </si>
  <si>
    <t>https://www.google.com/maps/place/Good+Shepherd+Mission/@30.7249097,-95.545586,17z/data=!3m1!4b1!4m6!3m5!1s0x8647088c89a7ac0f:0x7fc272fcb1788372!8m2!3d30.7249097!4d-95.5430057!16s%2Fg%2F11c2q5vhb8?entry=ttu&amp;g_ep=EgoyMDI1MDUwNy4wIKXMDSoASAFQAw%3D%3D</t>
  </si>
  <si>
    <t>30.724919, -95.543034</t>
  </si>
  <si>
    <t>{"regular":[{"days":["Mo","Tu","We","Th","Fr"],"open":"09:00","close":"11:45"}],"special":[{"pattern":"Last Th","open":"17:00","close":"18:00"}]}</t>
  </si>
  <si>
    <t>936-291-3311</t>
  </si>
  <si>
    <t>Free clothing once a month.</t>
  </si>
  <si>
    <t>Mo - Sa 12 p.m. &amp; 6 p.m. &amp; Su 1 p.m. &amp; 6 p.m.</t>
  </si>
  <si>
    <t>Hot meals to the public, free of charge.
Expected to help with clean up, if able</t>
  </si>
  <si>
    <t>{"regular":[{"days":["Mo","Tu","We","Th","Fr","Sa"],"open":"12:00","close":null},{"days":["Su"],"open":"13:00","close":null}]}</t>
  </si>
  <si>
    <t>Often at capacity.  Check website or call to confirm availability.
Must come in for an interview before being accepted.
Some families permitted for extended lodging by prior arrangement with Director.</t>
  </si>
  <si>
    <t>https://www.goodshepherdmission.org/shelter.html</t>
  </si>
  <si>
    <t>Goodwill Industries</t>
  </si>
  <si>
    <t>1140 West Loop North</t>
  </si>
  <si>
    <t>713-692-6221</t>
  </si>
  <si>
    <t>Job training and placement services to veterans, older workers, at-risk youth, formerly incarcerated and individuals with disabilities.
Temporary staffing services.
Training programs in Apartment Maintenance, Construction, Google IT Support, MS Office, HVAC and Solar Storage and Installation.
Multiple career centers in the Houston area.</t>
  </si>
  <si>
    <t>https://www.goodwillhouston.org/jobs/job-career-services/mission-programs/</t>
  </si>
  <si>
    <t>https://www.google.com/maps/place/Goodwill+Industries+of+Houston+-+Corporate+Offices/@29.7871027,-95.4558712,17z/data=!4m14!1m7!3m6!1s0x8640c6c3e3b5501b:0xbe39d5831d046397!2sGoodwill+Industries+of+Houston+-+Corporate+Offices!8m2!3d29.7870981!4d-95.4509949!16s%2Fg%2F11b6gm6h5s!3m5!1s0x8640c6c3e3b5501b:0xbe39d5831d046397!8m2!3d29.7870981!4d-95.4509949!16s%2Fg%2F11b6gm6h5s?entry=ttu&amp;g_ep=EgoyMDI1MDcwOS4wIKXMDSoASAFQAw%3D%3D</t>
  </si>
  <si>
    <t>29.7871, -95.45084</t>
  </si>
  <si>
    <t>Grace After Fire</t>
  </si>
  <si>
    <t>832-769-6582</t>
  </si>
  <si>
    <t>Apply online from the 1st to 5th of month.</t>
  </si>
  <si>
    <t xml:space="preserve">Financial Assistance with rent, mortgage and utilities.
Funded by the Texas Veterans Commission.  
Eligibility:  Texas resident and Woman Veteran
</t>
  </si>
  <si>
    <t>http://www.graceafterfire.org/join-member.html</t>
  </si>
  <si>
    <t>https://www.google.com/maps/place/2929+McKinney+St,+Houston,+TX+77003/@29.7471389,-95.3530624,17z/data=!3m1!4b1!4m6!3m5!1s0x8640bee1187d8e33:0x7670df80b23deb44!8m2!3d29.7471343!4d-95.3481915!16s%2Fg%2F11pw3k0tsn?entry=ttu&amp;g_ep=EgoyMDI2MDIxMS4wIKXMDSoASAFQAw%3D%3D</t>
  </si>
  <si>
    <t>29.747357684092666, -95.34822367680545</t>
  </si>
  <si>
    <t>Gratia Plena</t>
  </si>
  <si>
    <t>10707 Corporate Drive</t>
  </si>
  <si>
    <t>Suite 135</t>
  </si>
  <si>
    <t>832-532-0129</t>
  </si>
  <si>
    <t>Couples, Family and Group Therapy
Addiction and Psychiatric Services
Nutrition and Health Coaching
Individual Psychotherapy
Multiple Locations
Mental Health Services
Spiritual Health</t>
  </si>
  <si>
    <t>https://gratiaplenacounseling.org/</t>
  </si>
  <si>
    <t>https://www.google.com/maps/place/Gratia+Plena/@29.632173,-95.5946621,17z/data=!3m2!4b1!5s0x8640e7b1c3f28edd:0xd8d26ae61c4d5d3f!4m6!3m5!1s0x8640e6ff89107551:0xcf003b91c9385b63!8m2!3d29.632173!4d-95.5920818!16s%2Fg%2F1hc5095x7?entry=ttu&amp;g_ep=EgoyMDI1MDQwOS4wIKXMDSoASAFQAw%3D%3D</t>
  </si>
  <si>
    <t>29.6331603333333, -95.5940793333333</t>
  </si>
  <si>
    <t>Corporate Bus Park</t>
  </si>
  <si>
    <t>Greater Mt Zion Missionary Baptist Church</t>
  </si>
  <si>
    <t>8787 N Houston Rosslyn Road</t>
  </si>
  <si>
    <t>77088</t>
  </si>
  <si>
    <t>713-862-5117</t>
  </si>
  <si>
    <t>Sa 10:30 a.m.</t>
  </si>
  <si>
    <t>Not every Sa.  Call to confirm.</t>
  </si>
  <si>
    <t>Also known as the Annette Strawder Here to Help Food Pantry (ASHTHP)</t>
  </si>
  <si>
    <t>https://gmzhouston.org/a-s-h-t-h-p/</t>
  </si>
  <si>
    <t>https://www.google.com/maps/place/Annette+Strawder+Here+To+Help+Food+Pantry/@29.8710801,-95.4929316,18z/data=!4m15!1m8!3m7!1s0x8640cf5b37a59cc5:0x26ed54b55066fcc6!2s8787+N+Houston+Rosslyn+Rd,+Houston,+TX+77088!3b1!8m2!3d29.8710825!4d-95.492084!16s%2Fg%2F11mdnkh6c1!3m5!1s0x8640cf5b5b3cffff:0x51946185535b3b24!8m2!3d29.8706345!4d-95.4929281!16s%2Fg%2F11swmcnqyv?entry=ttu&amp;g_ep=EgoyMDI1MDYwMy4wIKXMDSoASAFQAw%3D%3D</t>
  </si>
  <si>
    <t>29.8713154081633, -95.4914283265306</t>
  </si>
  <si>
    <t>{"regular":[{"days":["Sa"],"open":"10:30","close":null}]}</t>
  </si>
  <si>
    <t>Gulf Coast Community Services</t>
  </si>
  <si>
    <t>9320 Kirby Drive</t>
  </si>
  <si>
    <t>713-393-4700</t>
  </si>
  <si>
    <t>Call or walk-in to register</t>
  </si>
  <si>
    <t>Must complete and submit an online or paper application. You will be contacted for an appointment after application is submitted and reviewed.
During the appointment each client is expected to complete a Service Agreement with a GCCS professional.
Required to participate in at least one ongoing class (ABE/GED, Nutrition, ESL, SSL Business Applications, Money Mgmt, etc. within a two month period.
Must be a resident of Harris County.
Must meet Federal Income Guidelines for poverty based on the number of people in the household.</t>
  </si>
  <si>
    <t>https://www.gccsa.org/</t>
  </si>
  <si>
    <t>https://maps.google.com/?q=Gulf%20Coast%20Community%20Services%209320%20Kirby%20Drive%20Houston%20TX%2077054</t>
  </si>
  <si>
    <t>29.6715578173172, -95.412327383382</t>
  </si>
  <si>
    <t>713-393-4783</t>
  </si>
  <si>
    <t>Mo, Tu, We, Fr 8 a.m. to 4 p.m.</t>
  </si>
  <si>
    <t>3-5 day supply of groceries and essential household items.</t>
  </si>
  <si>
    <t>https://www.gccsa.org/food-pantry-volunteers/</t>
  </si>
  <si>
    <t>Head Start program ages 6 weeks to 30 months and 3 to 5 years.
Program includes early childhood education, family involvement, health advocacy, family literacy, mental health services, disability services and nutrition and free healthy meals and snacks for all enrolled children.</t>
  </si>
  <si>
    <t>https://www.gccsa.org/head-start-early-head-start/</t>
  </si>
  <si>
    <t>Vocational training, i.e. CDL, welding, healthcare, automotive &amp; machining, computer and massage therapy.
Continuing adult education, e.g. GED., financial and budgeting, job readiness, etc.</t>
  </si>
  <si>
    <t>no longer offered</t>
  </si>
  <si>
    <t>Provides Metro Q Cards for clients seeking employment and/or attending GCCS educational programs.
Must be a resident of Harris County.
Must meet Federal Income Guidelines for poverty based on the number of people in the household.</t>
  </si>
  <si>
    <t>Halo House Foundation</t>
  </si>
  <si>
    <t>2940 Corder Street</t>
  </si>
  <si>
    <t>713-665-8852</t>
  </si>
  <si>
    <t>Must be undergoing active treatment for blood cancer at the Texas Medical Center (TMC).
Permanent address greater than 50 miles from TMC.
Cost ranges from $25-35/ day.  Financial assessment may be required.
Stays of two weeks to three months.  Caregiver must stay with patient for the duration.
Wait times for an apartment are one to three months.
Apply online.
Medical housing.</t>
  </si>
  <si>
    <t>https://www.halohousefoundation.org/</t>
  </si>
  <si>
    <t>https://www.google.com/maps/place/Halo+House+Foundation/@29.6926538,-95.3859525,17z/data=!3m1!4b1!4m6!3m5!1s0x8640bf4361ac7755:0x407a6d117e48c31e!8m2!3d29.6926538!4d-95.3859525!16s%2Fg%2F11h07vrl2f?entry=ttu&amp;g_ep=EgoyMDI1MDUxMi4wIKXMDSoASAFQAw%3D%3D</t>
  </si>
  <si>
    <t>29.6932434085027, -95.3868445665139</t>
  </si>
  <si>
    <t>Medical Center South</t>
  </si>
  <si>
    <t>Harmony House, Inc.</t>
  </si>
  <si>
    <t>702 Girard Street</t>
  </si>
  <si>
    <t>713-221-6200</t>
  </si>
  <si>
    <t>128 bed long-term dorm for working but unhoused men.
Permanent supportive housing at various locations.
Substance abuse management, intensive life-skills and mental health counseling.
Tuberculosis Recovery Center - 3 to 12 months of housing, treatment and supportive services.</t>
  </si>
  <si>
    <t>https://harmonyhouse.org</t>
  </si>
  <si>
    <t>https://www.google.com/maps/place/Harmony+House+Inc/@29.7677595,-95.3669366,16z/data=!3m1!4b1!4m6!3m5!1s0x8640bf3218b1fb29:0xa3be5a736a880044!8m2!3d29.7677595!4d-95.3643563!16s%2Fg%2F1tlz_knv?entry=ttu&amp;g_ep=EgoyMDI1MDUwNy4wIKXMDSoASAFQAw%3D%3D</t>
  </si>
  <si>
    <t>29.7677857, -95.3645032087979</t>
  </si>
  <si>
    <t>Harris Center - NeuroPsychiatric Center</t>
  </si>
  <si>
    <t>1502 Ben Taub Loop</t>
  </si>
  <si>
    <t>713-970-7000</t>
  </si>
  <si>
    <t>Operates the National Suicide Lifeline Hotline - 988 - for 45 counties in Texas.
Psychiatric Emergency
Substance Use Recovery
Psychiatric Stabilization
Pharmacy
Detox/Substance Use Disorder</t>
  </si>
  <si>
    <t>https://www.theharriscenter.org/about</t>
  </si>
  <si>
    <t>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t>
  </si>
  <si>
    <t>29.715702847345643, -95.39406895865277</t>
  </si>
  <si>
    <t>Operates the National Suicide Lifeline Hotline - 988 - for 45 counties in Texas.
Substance Use Recovery
Psychiatric Emergency
Psychiatric Stabilization
Pharmacy
Detox/Substance Use Disorder</t>
  </si>
  <si>
    <t>Harris Center - Northeast Community Service Center</t>
  </si>
  <si>
    <t>7200 North Loop East Fwy</t>
  </si>
  <si>
    <t>77028</t>
  </si>
  <si>
    <t>Operates the National Suicide Lifeline Hotline - 988 - for 45 counties in Texas.
Outpatient Mental Health
Pharmacy
Substance Use Disorder Services</t>
  </si>
  <si>
    <t>https://www.google.com/maps/place/The+Harris+Center+Northeast+Community+Service+Center/@29.8038621,-95.301307,17z/data=!3m1!4b1!4m6!3m5!1s0x8640bbc38718c473:0x7f8a006bfe5d0099!8m2!3d29.8038622!4d-95.2964361!16s%2Fg%2F1tfg3ghx?entry=ttu&amp;g_ep=EgoyMDI1MTAxNC4wIKXMDSoASAFQAw%3D%3D</t>
  </si>
  <si>
    <t>29.804076144374303, -95.29638244519025</t>
  </si>
  <si>
    <t xml:space="preserve">Operates the National Suicide Lifeline Hotline - 988 - for 45 counties in Texas.
Substance Use Disorder Services
Outpatient Mental Health
Pharmacy
</t>
  </si>
  <si>
    <t>Harris Center - Northwest Community Service Center</t>
  </si>
  <si>
    <t>3737 Dacoma Street</t>
  </si>
  <si>
    <t>https://www.google.com/maps/place/The+Harris+Center+Northwest+Community+Service+Center/@29.8089168,-95.4491291,16z/data=!3m2!4b1!5s0x8640c6f0a10ccaff:0x537c78a642ebb276!4m6!3m5!1s0x8640c6f0a1a6082d:0x85c3ba979fd4f86!8m2!3d29.8089168!4d-95.4465542!16s%2Fg%2F1vyswxyj?entry=ttu&amp;g_ep=EgoyMDI1MTAxNC4wIKXMDSoASAFQAw%3D%3D</t>
  </si>
  <si>
    <t>29.80932636036296, -95.446640021616</t>
  </si>
  <si>
    <t>Harris Center - Respite, Rehabilitation &amp; Re-Entry Center</t>
  </si>
  <si>
    <t>6160 South Loop East</t>
  </si>
  <si>
    <t>No walk-ins or open community access</t>
  </si>
  <si>
    <t>Operates the National Suicide Lifeline Hotline - 988 - for 45 counties in Texas.
Forensic Mental Health Services
Pharmacy
Residential</t>
  </si>
  <si>
    <t>https://www.google.com/maps/@29.6949202,-95.3224941,16z?entry=ttu&amp;g_ep=EgoyMDI1MTAxNC4wIKXMDSoASAFQAw%3D%3D</t>
  </si>
  <si>
    <t>29.695162420039946, -95.31740865302265</t>
  </si>
  <si>
    <t>Harris Center - Southeast Community Service Center</t>
  </si>
  <si>
    <t>5901 Long Drive</t>
  </si>
  <si>
    <t>Operates the National Suicide Lifeline Hotline - 988 - for 45 counties in Texas.
Primary Medical Care
Outpatient Mental Health
Children Services
Pharmacy
Substance Use Disorder Services</t>
  </si>
  <si>
    <t>https://www.google.com/maps/place/The+Harris+Center+Southeast+Community+Service+Center/@29.6945454,-95.3270697,17z/data=!3m1!4b1!4m6!3m5!1s0x8640be109416bfe5:0xd01a055af2fa4534!8m2!3d29.6945454!4d-95.3244948!16s%2Fg%2F1td6gw8p?entry=ttu&amp;g_ep=EgoyMDI1MTAxNC4wIKXMDSoASAFQAw%3D%3D</t>
  </si>
  <si>
    <t>29.6947224280297, -95.32446260886407</t>
  </si>
  <si>
    <t>Operates the National Suicide Lifeline Hotline - 988 - for 45 counties in Texas.
Outpatient Mental Health
Children Services
Primary Medical Care
Pharmacy
Substance Use Disorder Services</t>
  </si>
  <si>
    <t xml:space="preserve">Operates the National Suicide Lifeline Hotline - 988 - for 45 counties in Texas.
Substance Use Disorder Services
Outpatient Mental Health
Children Services
Primary Medical Care
Pharmacy
</t>
  </si>
  <si>
    <t>Harris Center - Southwest Community Service Center</t>
  </si>
  <si>
    <t>9401 Southwest Fwy</t>
  </si>
  <si>
    <t>Operates the National Suicide Lifeline Hotline - 988 - for 45 counties in Texas.
Primary Medical Care
Pharmacy
Outpatient Mental Health
Children Services
Intellectual Disabilities and Autism
Substance Use Disorder.</t>
  </si>
  <si>
    <t>https://www.google.com/maps/place/The+Harris+Center+Southwest+Community+Service+Center/@29.6784545,-95.5409547,17z/data=!3m2!4b1!5s0x8640c29f264c3a51:0xabdbf83e6c708826!4m6!3m5!1s0x8640c29f2615b457:0xfd4cbe48d3582122!8m2!3d29.6784545!4d-95.5383798!16s%2Fg%2F11c1q8b24n?entry=ttu&amp;g_ep=EgoyMDI1MTAxNC4wIKXMDSoASAFQAw%3D%3D</t>
  </si>
  <si>
    <t>29.678706127491743, -95.53833687803608</t>
  </si>
  <si>
    <t>Braeburn</t>
  </si>
  <si>
    <t>Operates the National Suicide Lifeline Hotline - 988 - for 45 counties in Texas.
Pharmacy
Outpatient Mental Health
Children Services
Primary Medical Care
Intellectual Disabilities and Autism
Substance Use Disorder.</t>
  </si>
  <si>
    <t xml:space="preserve">Operates the National Suicide Lifeline Hotline - 988 - for 45 counties in Texas.
Substance Use Disorder.
Pharmacy
Outpatient Mental Health
Children Services
Primary Medical Care
Intellectual Disabilities and Autism
</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</si>
  <si>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t>
  </si>
  <si>
    <t>Harris County Area Agency on Aging</t>
  </si>
  <si>
    <t>8000 N Stadium Drive</t>
  </si>
  <si>
    <t>832-393-4301</t>
  </si>
  <si>
    <t>One client trying to get assistance has been on a waiting list since Nov 2024.</t>
  </si>
  <si>
    <t>Meals at community and senior centers.
Home delivered meals, 5 days a week.
Referrals to other services.
Benefits counseling.</t>
  </si>
  <si>
    <t>https://www.houstonhealth.org/services/aging</t>
  </si>
  <si>
    <t>29.693408, -95.408383</t>
  </si>
  <si>
    <t>Astrodome Area</t>
  </si>
  <si>
    <t>Harris County Domestic Relations Office</t>
  </si>
  <si>
    <t>1310 Prairie Street</t>
  </si>
  <si>
    <t>Suite 1080</t>
  </si>
  <si>
    <t>713-274-7300</t>
  </si>
  <si>
    <t>Provides legal representation of Harris County parents to establish/enforce parenting time visitation and child support, establish parentage, terminate income withholding orders, provide child support accountings and conduct attorney consultations.
Must not be on TANF.
Valid ID, Proof of Address, Child's birth certificate, Marriage Certificate, Green Card.
$25 application fee and $50 for attorney consultation.</t>
  </si>
  <si>
    <t>https://dro.harriscountytx.gov/Child-Support/Services</t>
  </si>
  <si>
    <t>https://maps.google.com/?q=Harris%20County%20Domestic%20Relations%20Office%201310%20Prairie%20St%2C%20Ste%201080%20Houston%20TX%2070002</t>
  </si>
  <si>
    <t>29.7590005510204, -95.3591968367347</t>
  </si>
  <si>
    <t>Harris County Eastgate Cemetery</t>
  </si>
  <si>
    <t>21122 Crosby Eastgate Road</t>
  </si>
  <si>
    <t>713-696-1952</t>
  </si>
  <si>
    <t>Mo, We, Fr 8 a.m. to 3 p.m.</t>
  </si>
  <si>
    <t>Part of the Harris County Bereavement Program.
Ensure deceased individuals have access to a dignified funeral service and burial.
Referrals normally through Institute of Forensic Sciences, local hospitals or funeral homes.</t>
  </si>
  <si>
    <t>https://hcd.harriscountytx.gov/Residents/Bereavement-Services</t>
  </si>
  <si>
    <t>https://www.google.com/maps/place/Harris+County+Eastgate+Cemetery/@29.9853319,-95.0238284,17z/data=!3m1!4b1!4m6!3m5!1s0x863f5543a6febb79:0xb005d404fc5a1ac9!8m2!3d29.9853273!4d-95.0212535!16s%2Fg%2F11gjss66zd?entry=ttu&amp;g_ep=EgoyMDI1MDUxMS4wIKXMDSoASAFQAw%3D%3D</t>
  </si>
  <si>
    <t>29.985559570124586, -95.02124276511859</t>
  </si>
  <si>
    <t>{"regular":[{"days":["Mo","We","Fr"],"open":"08:00","close":"15:00"}]}</t>
  </si>
  <si>
    <t>Harris County Housing &amp; Community Development</t>
  </si>
  <si>
    <t>8410 Lantern Point Drive</t>
  </si>
  <si>
    <t>832-927-4957</t>
  </si>
  <si>
    <t>Home Repair Program.  
Fill out application online.
Must be at least one of the following:  1)  62 years or older, 2)  disabled or 3)  have a disabled person residing in the home.
Address health and safety hazards in homes owned and occupied by very low to low income residents.</t>
  </si>
  <si>
    <t>https://hcd.harriscountytx.gov/Residents/Home-Repair-Program</t>
  </si>
  <si>
    <t>https://www.google.com/maps/place/1111+Fannin+St,+Houston,+TX+77002/@29.7552171,-95.3695025,17z/data=!3m1!4b1!4m6!3m5!1s0x8640bf3f8e29b9a9:0x8fd7ee903ef77abb!8m2!3d29.7552125!4d-95.3646316!16s%2Fg%2F11ltpgk85w?entry=ttu&amp;g_ep=EgoyMDI1MDUxMS4wIKXMDSoASAFQAw%3D%3D</t>
  </si>
  <si>
    <t>29.6847108163265, -95.4156223673469</t>
  </si>
  <si>
    <t>77005, 77014, 77015, 77016, 77029, 77032, 77037, 77038, 77039, 77040, 77041, 77044, 77047, 77049, 77050, 77053, 77058, 77060, 77064, 77065, 77066, 77067, 77069, 77070, 77073, 77078, 77082, 77084, 77086, 77088, 77089, 77090, 77093, 77094, 77095, 77336, 77338, 77339, 77345, 77346, 77357, 77365, 77373, 77375, 77377, 77379, 77388, 77389, 77396, 77401, 77429, 77429, 77433, 77447, 77449, 77450, 77484, 77493, 77494, 77507, 77530, 77532, 77532, 77536, 77546, 77547, 77547, 77562, 77571, 77586, 77587, 77598</t>
  </si>
  <si>
    <t>Harris County Housing Authority</t>
  </si>
  <si>
    <t>1933 Hussion Street</t>
  </si>
  <si>
    <t>713-578-2100</t>
  </si>
  <si>
    <t>Waitlist closed in Nov 2016.  Unknown when it will reopen.</t>
  </si>
  <si>
    <t>Housing Choice Voucher Program allows low-income families to rent in the private market using federal funds.
Must meet income eligibility requirements.</t>
  </si>
  <si>
    <t>https://hchatexas.org/</t>
  </si>
  <si>
    <t>https://maps.google.com/?q=Harris%20County%20Housing%20Authority%20%20%20TX%20</t>
  </si>
  <si>
    <t>29.7360877221137, -95.343436636923</t>
  </si>
  <si>
    <t>Harris County Oats Cemetery</t>
  </si>
  <si>
    <t>5434 Oates Road</t>
  </si>
  <si>
    <t>77013</t>
  </si>
  <si>
    <t>Mo &amp; Th 8 a.m. to 3 p.m.</t>
  </si>
  <si>
    <t>https://www.google.com/maps/place/Harris+County+Cemetery/@29.8152693,-95.2393573,17z/data=!3m1!4b1!4m6!3m5!1s0x8640bb2583833435:0xee53b2c3fb77944f!8m2!3d29.8152647!4d-95.2367824!16s%2Fg%2F1vntk8dl?entry=ttu&amp;g_ep=EgoyMDI1MDUxMS4wIKXMDSoASAFQAw%3D%3D</t>
  </si>
  <si>
    <t>29.8146086443647, -95.2404586149396</t>
  </si>
  <si>
    <t>{"regular":[{"days":["Mo","Th"],"open":"08:00","close":"15:00"}]}</t>
  </si>
  <si>
    <t>El Dorado / Oates Prairie</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</si>
  <si>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t>
  </si>
  <si>
    <t>Harris County Resources for Children and Adults</t>
  </si>
  <si>
    <t>2525 Murworth Drive</t>
  </si>
  <si>
    <t>713-394-4000</t>
  </si>
  <si>
    <t>Mo - Sa 8 a.m. to 5 p.m.</t>
  </si>
  <si>
    <t>Emergency shelter for youths aged 12 to 17 years.</t>
  </si>
  <si>
    <t>https://resources.harriscountytx.gov/About-Us/Who-We-Are</t>
  </si>
  <si>
    <t>https://www.google.com/maps/place/Harris+County+Resources+for+Children+and+Adults/@29.6846563,-95.4195168,16z/data=!3m1!4b1!4m6!3m5!1s0x8640c0222098f103:0xf23ddb54b95c6976!8m2!3d29.6846517!4d-95.4169365!16s%2Fg%2F1t_hzcfk?entry=ttu&amp;g_ep=EgoyMDI1MTAxMy4wIKXMDSoASAFQAw%3D%3D</t>
  </si>
  <si>
    <t>29.685038464028278, -95.41690966915023</t>
  </si>
  <si>
    <t>{"regular":[{"days":["Mo","Tu","We","Th","Fr","Sa"],"open":"08:00","close":"17:00"}]}</t>
  </si>
  <si>
    <t>Harris County Social Services</t>
  </si>
  <si>
    <t>9418 Jensen Drive</t>
  </si>
  <si>
    <t>832-927-4955</t>
  </si>
  <si>
    <t>No assistance for past 3 years according to CCSC client.  Website refers people to 211.</t>
  </si>
  <si>
    <t>Clients are seen on a walk-in basis. Waiting time depends on the number of appointments for the day. However, recommend clients call first.
Current government issued picture ID and Social Security Card. Original documents, not copies.
US Citizens/Permanent Residents.
Applicant must reside in household seeking assistance.
House deed, lease agreement or housing contract.
Proof of current or most recent and/or proof of past management of rent. Verification of all income must be provided for ALL household members who are receiving income. Income must be verifiable. Income documentation may include SS Disability award letters, TANF award letters, Food Stamp award letters, VA award letters, Child Support, paycheck stubs or letter from employer. IF there is no income from a household member who is 18 years or older, a certification of income form must be completed.-Bank Transaction History Report and receipts (for the last 30 days from the date of appointment).
Verification of other assistance. If you are currently receiving assistance from another agency or organization, please provide proof of ALL pledges and assistance.</t>
  </si>
  <si>
    <t>https://hcd.harriscountytx.gov/</t>
  </si>
  <si>
    <t>https://maps.app.goo.gl/WPuB2MH9d6FTxm9e7</t>
  </si>
  <si>
    <t>29.847218, -95.342847</t>
  </si>
  <si>
    <t>Harris County Veterans Services Department</t>
  </si>
  <si>
    <t>2000 Travis Street</t>
  </si>
  <si>
    <t>Suite 210</t>
  </si>
  <si>
    <t>281-876-6600</t>
  </si>
  <si>
    <t>Veterans
Advocates for veterans and their dependents in Harris and surrounding counties.
Assistance with compensation, pension, medical, educational, insurance, death benefits and obtaining necessary documentation to apply for benefits.</t>
  </si>
  <si>
    <t>https://www.harrisvets.com/claims</t>
  </si>
  <si>
    <t>https://www.google.com/maps/place/2000+Travis+St,+Houston,+TX+77002/@29.7500194,-95.3743053,17z/data=!3m1!4b1!4m5!3m4!1s0x8640bf3fe1f88cb1:0x4e6a2f3cb4c836a4!8m2!3d29.7500148!4d-95.371725?entry=ttu&amp;g_ep=EgoyMDI2MDIxMS4wIKXMDSoASAFQAw%3D%3D</t>
  </si>
  <si>
    <t>29.750238303558806, -95.37168207898542</t>
  </si>
  <si>
    <t>Harris Health</t>
  </si>
  <si>
    <t>4800 Fournace Place</t>
  </si>
  <si>
    <t>713-634-1000</t>
  </si>
  <si>
    <t>Harris Health is the safety-net healthcare provider for Harris County focusing on low-income uninsured and underinsured patients.
It operates two hospitals, 16 Community Health centers, four mobile clinics as well as multiple emergency shelters for the unhoused and school based clinics.  Each health facility is listed individually in this database.</t>
  </si>
  <si>
    <t>https://www.harrishealth.org</t>
  </si>
  <si>
    <t>https://www.google.com/maps/place/Harris+Health+Corporate+Office/@29.7168245,-95.4817272,15z/data=!3m1!5s0x8640c16edf11b053:0x4add2405afe1aba8!4m10!1m2!2m1!1sHarris+Health+System!3m6!1s0x8640c1d14d503349:0x4f3423ea719c88d5!8m2!3d29.7168245!4d-95.4626728!15sChRIYXJyaXMgSGVhbHRoIFN5c3RlbSIDiAEBkgEQY29ycG9yYXRlX29mZmljZaoBZQoNL2cvMTFjMXdrMDN2ORABKhgiFGhhcnJpcyBoZWFsdGggc3lzdGVtKAAyHhABIhrcC92RdDxkf4w4A7GWYZSfUNxkTax7pBEK2jIYEAIiFGhhcnJpcyBoZWFsdGggc3lzdGVt4AEA!16s%2Fg%2F11rv5vq4vt?entry=ttu&amp;g_ep=EgoyMDI1MDUyMS4wIKXMDSoASAFQAw%3D%3D</t>
  </si>
  <si>
    <t>29.716716661017, -95.462143779661</t>
  </si>
  <si>
    <t>Harris Health - Acres Home</t>
  </si>
  <si>
    <t>818 Ringold Street</t>
  </si>
  <si>
    <t>281-448-6391</t>
  </si>
  <si>
    <t>Adult and pediatric primary care, adult dentistry, ophthalmology, podiatry, on-site lab, pharmacy, x-ray services, nutrition, counseling and social services.
Harris Health is the safety-net healthcare provider for Harris County focusing on low-income uninsured and underinsured patients.</t>
  </si>
  <si>
    <t>https://www.harrishealth.org/locations-hh/Pages/acres-home-health-center.aspx</t>
  </si>
  <si>
    <t>https://www.google.com/maps/place/Harris+Health+Acres+Home+Health+Center/@29.8758543,-95.4213997,16z/data=!3m1!4b1!4m6!3m5!1s0x8640c86de9652fa7:0x936a59c12f7e8ddd!8m2!3d29.8758497!4d-95.4188194!16s%2Fg%2F1tg4x6ts?entry=ttu&amp;g_ep=EgoyMDI1MDUyMS4wIKXMDSoASAFQAw%3D%3D</t>
  </si>
  <si>
    <t>29.8751200528619, -95.4189603724318</t>
  </si>
  <si>
    <t>Acres Home</t>
  </si>
  <si>
    <t>Harris Health - Aldine</t>
  </si>
  <si>
    <t>4755 Aldine Mail Route</t>
  </si>
  <si>
    <t>281-985-7600</t>
  </si>
  <si>
    <t>Primary healthcare, dental care, mammography services, OB/GYN, podiatry, psychiatry, on-site lab, pharmacy, x-ray services, nutrition, counseling and social services.
Harris Health is the safety-net healthcare provider for Harris County focusing on low-income uninsured and underinsured patients.</t>
  </si>
  <si>
    <t>https://www.harrishealth.org/locations-hh/Pages/aldine-health-center.aspx</t>
  </si>
  <si>
    <t>https://www.google.com/maps/place/Harris+Health+Aldine+Health+Center/@29.9032127,-95.3235658,16z/data=!3m1!4b1!4m6!3m5!1s0x8640b7256679bf63:0xd195fa76b13c3a3e!8m2!3d29.9032081!4d-95.3209855!16s%2Fg%2F1tgz0znw?entry=ttu&amp;g_ep=EgoyMDI1MDUyMS4wIKXMDSoASAFQAw%3D%3D</t>
  </si>
  <si>
    <t>29.9029053061225, -95.3226580408163</t>
  </si>
  <si>
    <t>Vision
Harris Health provides vision care but specifics are unclear.
Harris Health is the safety-net healthcare provider for Harris County focusing on low-income uninsured and underinsured patients.</t>
  </si>
  <si>
    <t>Harris Health - Baytown</t>
  </si>
  <si>
    <t>1602 Garth Road</t>
  </si>
  <si>
    <t>281-837-2700</t>
  </si>
  <si>
    <t>Primary care services with specialists in pediatrics, geriatrics, ophthalmology, mammography, podiatry, psychiatry, radiology, on site lab, pharmacy services and nutrition and health education.
Harris Health is the safety-net healthcare provider for Harris County focusing on low-income uninsured and underinsured patients.</t>
  </si>
  <si>
    <t>https://www.harrishealth.org/locations-hh/Pages/baytown-health-center.aspx</t>
  </si>
  <si>
    <t>https://www.google.com/maps/place/Harris+Health+Baytown+Health+Center/@29.7446409,-94.9793789,16z/data=!3m1!4b1!4m6!3m5!1s0x863f5e808517a3ad:0x7e6c32939669e3a0!8m2!3d29.7446363!4d-94.9767986!16s%2Fg%2F1263l5c19?entry=ttu&amp;g_ep=EgoyMDI1MDUyMS4wIKXMDSoASAFQAw%3D%3D</t>
  </si>
  <si>
    <t>29.7440374448195, -94.9787792242936</t>
  </si>
  <si>
    <t>Harris Health - Ben Taub Hospital</t>
  </si>
  <si>
    <t>1504 Taub Loop</t>
  </si>
  <si>
    <t>713-873-2000</t>
  </si>
  <si>
    <t>Specialty Clinic: 7 a.m. to 5 p.m.</t>
  </si>
  <si>
    <t>Harris Health is the safety-net healthcare provider for Harris County focusing on low-income uninsured and underinsured patients.</t>
  </si>
  <si>
    <t>https://www.harrishealth.org/locations-hh/Pages/ben-taub.aspx</t>
  </si>
  <si>
    <t>https://www.google.com/maps/place/Harris+Health+Ben+Taub+Hospital/@29.7110084,-95.3961757,17z/data=!3m1!5s0x8640c0762b63f5f5:0x73238771294260bb!4m10!1m2!2m1!1sben+taub!3m6!1s0x8640c0763339cd31:0x1bbd8ebf70c2247d!8m2!3d29.7108129!4d-95.3942132!15sCghiZW4gdGF1YpIBCGhvc3BpdGFsqgE8CgkvbS8wZHh5eDgQATIfEAEiG-Ak1rXT6DB_DYE95Tcb5hFGknDuuT_aVVM7QTIMEAIiCGJlbiB0YXVi4AEA!16zL20vMGR4eXg4?entry=ttu&amp;g_ep=EgoyMDI1MDUyMS4wIKXMDSoASAFQAw%3D%3D</t>
  </si>
  <si>
    <t>29.7106109, -95.39342919183</t>
  </si>
  <si>
    <t>Harris Health - C. E. Odom</t>
  </si>
  <si>
    <t>5516 Lockwood Drive</t>
  </si>
  <si>
    <t>713-497-0000</t>
  </si>
  <si>
    <t>Care of newborns to teens up to 18 years old.  Primary care and treatment of acute and chronic diseases.
Harris Health is the safety-net healthcare provider for Harris County focusing on low-income uninsured and underinsured patients.</t>
  </si>
  <si>
    <t>https://www.harrishealth.org/locations-hh/Pages/c-e-odom-pediatric-and-adolescent-health-center.aspx</t>
  </si>
  <si>
    <t>https://www.google.com/maps/place/Harris+Health+C.E.+Odom+Pediatric+and+Adolescent+Health+Center/@29.8105635,-95.3192549,17z/data=!3m1!4b1!4m6!3m5!1s0x8640b97b40784413:0xfc6248cc253a0ff5!8m2!3d29.8105589!4d-95.3166746!16s%2Fg%2F11gglt7d97?entry=ttu&amp;g_ep=EgoyMDI1MDUyMS4wIKXMDSoASAFQAw%3D%3D</t>
  </si>
  <si>
    <t>29.81071895, -95.316644459306</t>
  </si>
  <si>
    <t>Harris Health - Casa de Amigos</t>
  </si>
  <si>
    <t>1615 North Main Street</t>
  </si>
  <si>
    <t>77009</t>
  </si>
  <si>
    <t>713-222-2272</t>
  </si>
  <si>
    <t>Mo - Fr 7 a.m. to 4 p.m.</t>
  </si>
  <si>
    <t>Primary care service, OB/GYN, ophthalmology, psychiatry, on site lab, pharmacy services and nutrition, counseling and social services.
Harris Health is the safety-net healthcare provider for Harris County focusing on low-income uninsured and underinsured patients.</t>
  </si>
  <si>
    <t>https://www.harrishealth.org/locations-hh/Pages/casa-de-amigos-health-center.aspx</t>
  </si>
  <si>
    <t>https://www.google.com/maps/place/Harris+Health+Casa+De+Amigos+Health+Center/@29.7738946,-95.3635215,17z/data=!3m1!4b1!4m6!3m5!1s0x8640b8d2c5bde5b7:0x49a1b4d6b4f95e3!8m2!3d29.77389!4d-95.3609412!16s%2Fg%2F1tgx2dhc?entry=ttu&amp;g_ep=EgoyMDI1MDUyMS4wIKXMDSoASAFQAw%3D%3D</t>
  </si>
  <si>
    <t>29.77380855, -95.3610553729517</t>
  </si>
  <si>
    <t>{"regular":[{"days":["Mo","Tu","We","Th","Fr"],"open":"07:00","close":"16:00"}]}</t>
  </si>
  <si>
    <t>Harris Health - Cypress</t>
  </si>
  <si>
    <t>12340 Jones Road</t>
  </si>
  <si>
    <t>77070</t>
  </si>
  <si>
    <t>713-873-5240</t>
  </si>
  <si>
    <t>Primary care, treatment of acute and chronic diseases, specialty care for pediatric patients includes psychiatry, behavioral health therapy and weight management.
Harris Health is the safety-net healthcare provider for Harris County focusing on low-income uninsured and underinsured patients.</t>
  </si>
  <si>
    <t>https://www.harrishealth.org/locations-hh/Pages/cypress-health-center.aspx</t>
  </si>
  <si>
    <t>https://www.google.com/maps/place/Harris+Health+Cypress+Health+Center/@29.9537051,-95.5865345,17z/data=!3m1!4b1!4m6!3m5!1s0x8640d221f251a4c3:0x8ec2f2b73d1591d3!8m2!3d29.9537005!4d-95.5839542!16s%2Fg%2F11cjhq99b5?entry=ttu&amp;g_ep=EgoyMDI1MDUyMS4wIKXMDSoASAFQAw%3D%3D</t>
  </si>
  <si>
    <t>29.9532622355925, -95.5847975798426</t>
  </si>
  <si>
    <t>Mill Ridge North</t>
  </si>
  <si>
    <t>Behavioral and mental health counseling</t>
  </si>
  <si>
    <t>Harris Health - Danny Jackson</t>
  </si>
  <si>
    <t>5503 N Fry Road</t>
  </si>
  <si>
    <t>77449</t>
  </si>
  <si>
    <t>713-982-7071</t>
  </si>
  <si>
    <t>Primary care, treatment of acute and chronic disease and care coordination for essential medical services to adults and and children.
Harris Health is the safety-net healthcare provider for Harris County focusing on low-income uninsured and underinsured patients.</t>
  </si>
  <si>
    <t>https://www.harrishealth.org/locations-hh/Pages/danny-jackson-health-center.aspx</t>
  </si>
  <si>
    <t>https://www.google.com/maps/place/Harris+Health+Danny+Jackson+Health+Center/@29.8503882,-95.7217981,16z/data=!3m1!4b1!4m6!3m5!1s0x8640d81d558affb7:0x1d5d1143a74e74a0!8m2!3d29.8503836!4d-95.7192178!16s%2Fg%2F11b70cbpt8?entry=ttu&amp;g_ep=EgoyMDI1MDUyMS4wIKXMDSoASAFQAw%3D%3D</t>
  </si>
  <si>
    <t>29.8511421, -95.7186474</t>
  </si>
  <si>
    <t>Villages Of Bear Creek</t>
  </si>
  <si>
    <t>Harris Health - Dental Center</t>
  </si>
  <si>
    <t>5230 Griggs Road</t>
  </si>
  <si>
    <t>713-757-0572</t>
  </si>
  <si>
    <t>Dental
Preventive and restorative dental care including examinations, cleanings, fillings, extractions and emergency care.
Dental treatment available to established Harris Health adult patients only with valid financial assistance plans.
Must be referred by primary care physician.
Harris Health is the safety-net healthcare provider for Harris County focusing on low-income uninsured and underinsured patients.</t>
  </si>
  <si>
    <t>https://www.harrishealth.org/locations-hh/Pages/dental-program.aspx</t>
  </si>
  <si>
    <t>https://www.google.com/maps/place/Harris+Health+Dental+Center/@29.696282,-95.3379907,16z/data=!3m1!4b1!4m6!3m5!1s0x8640bfb2ed85fbcb:0x35972ee8ff7fd474!8m2!3d29.6962774!4d-95.3354104!16s%2Fg%2F11g1pq9dw7?entry=ttu&amp;g_ep=EgoyMDI1MDUyMS4wIKXMDSoASAFQAw%3D%3D</t>
  </si>
  <si>
    <t>29.6976763061225, -95.3363851428571</t>
  </si>
  <si>
    <t>Harris Health - El Franco Lee</t>
  </si>
  <si>
    <t>8901 Boone Road</t>
  </si>
  <si>
    <t>77099</t>
  </si>
  <si>
    <t>281-454-0500</t>
  </si>
  <si>
    <t>Primary care, on site optometry, pharmacy, podiatry, psychiatry and radiology services and nutrition, counseling and social services.
Harris Health is the safety-net healthcare provider for Harris County focusing on low-income uninsured and underinsured patients.</t>
  </si>
  <si>
    <t>https://www.harrishealth.org/locations-hh/Pages/el-franco-lee-health-center.aspx</t>
  </si>
  <si>
    <t>https://www.google.com/maps/place/Harris+Health+El+Franco+Lee+Health+Center/@29.6804541,-95.5769875,16z/data=!3m1!4b1!4m6!3m5!1s0x8640dd5ae14f6e69:0x1ae2691fe6b59e84!8m2!3d29.6804495!4d-95.5744072!16s%2Fg%2F11b6wh_y_q?entry=ttu&amp;g_ep=EgoyMDI1MDUyMS4wIKXMDSoASAFQAw%3D%3D</t>
  </si>
  <si>
    <t>29.6800646, -95.5730186</t>
  </si>
  <si>
    <t>Harris Health - Gulfgate</t>
  </si>
  <si>
    <t>7550 Office City Drive</t>
  </si>
  <si>
    <t>713-495-3700</t>
  </si>
  <si>
    <t>Primary healthcare, OB/GYN, dental, psychiatry, on site lab, pharmacy, x-ray services and nutrition, counseling and social services.
Harris Health is the safety-net healthcare provider for Harris County focusing on low-income uninsured and underinsured patients.</t>
  </si>
  <si>
    <t>https://www.harrishealth.org/locations-hh/Pages/gulfgate-health-center.aspx</t>
  </si>
  <si>
    <t>https://www.google.com/maps/place/Harris+Health+Gulfgate+Health+Center/@29.6997779,-95.2883048,17z/data=!3m1!4b1!4m6!3m5!1s0x8640bd93784a65c1:0x72d463c89480905d!8m2!3d29.6997733!4d-95.2857245!16s%2Fg%2F1tz963qh?entry=ttu&amp;g_ep=EgoyMDI1MDUyMS4wIKXMDSoASAFQAw%3D%3D</t>
  </si>
  <si>
    <t>29.69956305, -95.2856118007138</t>
  </si>
  <si>
    <t>Greater East End</t>
  </si>
  <si>
    <t>Harris Health - LBJ Hospital</t>
  </si>
  <si>
    <t>5656 Kelley Street</t>
  </si>
  <si>
    <t>713-566-5000</t>
  </si>
  <si>
    <t>Harris Health is the safety-net healthcare provider for Harris County focusing on low-income uninsured and underinsured patients.
Harris Health is the safety-net healthcare provider for Harris County focusing on low-income uninsured and underinsured patients.</t>
  </si>
  <si>
    <t>https://www.harrishealth.org/locations-hh/Pages/lbj.aspx</t>
  </si>
  <si>
    <t>https://www.google.com/maps/place/Lyndon+B.+Johnson+Hospital+Emergency+Room/@29.8120223,-95.3168451,17z/data=!3m2!4b1!5s0x88602f187266b603:0x923a0355d1884044!4m6!3m5!1s0x8640b97d755e51ad:0x818b0ea39e4ca28d!8m2!3d29.8120177!4d-95.3119688!16s%2Fg%2F11f291r2jj?entry=ttu&amp;g_ep=EgoyMDI1MDUyMS4wIKXMDSoASAFQAw%3D%3D</t>
  </si>
  <si>
    <t>29.8132289849885, -95.3121062206132</t>
  </si>
  <si>
    <t>Harris Health - Martin Luther King Jr</t>
  </si>
  <si>
    <t>3550 Swingle Road</t>
  </si>
  <si>
    <t>77047</t>
  </si>
  <si>
    <t>713-547-1000</t>
  </si>
  <si>
    <t>Adult and pediatric primary care, OB/GYN, ophthalmology, podiatry, psychiatry, on site lab, mammography, x-ray services and nutrition, counseling and social services.
Harris Health is the safety-net healthcare provider for Harris County focusing on low-income uninsured and underinsured patients.</t>
  </si>
  <si>
    <t>https://www.harrishealth.org/locations-hh/Pages/martin-luther-king-jr-health-center.aspx</t>
  </si>
  <si>
    <t>https://www.google.com/maps/place/Harris+Health+Martin+Luther+King+Jr.+Health+Center/@29.6196453,-95.3695031,16z/data=!3m1!4b1!4m6!3m5!1s0x864094ef11aabe2f:0x2e3a131c5bf49c2d!8m2!3d29.6196407!4d-95.3669228!16s%2Fg%2F1tpc8bp6?entry=ttu&amp;g_ep=EgoyMDI1MDUyMS4wIKXMDSoASAFQAw%3D%3D</t>
  </si>
  <si>
    <t>29.6210014285714, -95.3669173673469</t>
  </si>
  <si>
    <t>South Acres / Crestmont Park</t>
  </si>
  <si>
    <t>Harris Health - Monroe</t>
  </si>
  <si>
    <t>8539 Gulf Freeway</t>
  </si>
  <si>
    <t>713-218-2697</t>
  </si>
  <si>
    <t>Mo - Sa 8 a.m. to 8 p.m.</t>
  </si>
  <si>
    <t>For minor illnesses and injuries.
No appointment needed.
Harris Health is the safety-net healthcare provider for Harris County focusing on low-income uninsured and underinsured patients.</t>
  </si>
  <si>
    <t>https://www.harrishealth.org/locations-hh/Pages/monroe-clinic.aspx</t>
  </si>
  <si>
    <t>https://www.google.com/maps/place/Harris+Health+Monroe+Clinic/@29.6689242,-95.263044,16z/data=!3m1!4b1!4m6!3m5!1s0x864097ced0144bb1:0x63d4ddb2f4832b6!8m2!3d29.6689196!4d-95.2604637!16s%2Fg%2F11gr30wbw5?entry=ttu&amp;g_ep=EgoyMDI1MDUyMS4wIKXMDSoASAFQAw%3D%3D</t>
  </si>
  <si>
    <t>29.6689385, -95.2603907</t>
  </si>
  <si>
    <t>{"regular":[{"days":["Mo","Tu","We","Th","Fr","Sa"],"open":"08:00","close":"20:00"}]}</t>
  </si>
  <si>
    <t>Harris Health - Northwest</t>
  </si>
  <si>
    <t>1100 W 34th Street</t>
  </si>
  <si>
    <t>77018</t>
  </si>
  <si>
    <t>713-861-3939</t>
  </si>
  <si>
    <t>Primary care, OB/GYN, ophthalmology, podiatry, psychiatry, case management of HIV/AIDS, on site lab, pharmacy and nutrition, counseling and social services.
Harris Health is the safety-net healthcare provider for Harris County focusing on low-income uninsured and underinsured patients.</t>
  </si>
  <si>
    <t>https://www.harrishealth.org/locations-hh/Pages/northwest-health-center.aspx</t>
  </si>
  <si>
    <t>https://www.google.com/maps/place/Harris+Health+Northwest+Health+Center/@29.8183144,-95.4209388,17z/data=!3m1!4b1!4m6!3m5!1s0x8640c7a093af5811:0x1109bde063c823d1!8m2!3d29.8183098!4d-95.4183585!16s%2Fg%2F1tgwsn6q?entry=ttu&amp;g_ep=EgoyMDI1MDUyMS4wIKXMDSoASAFQAw%3D%3D</t>
  </si>
  <si>
    <t>29.81836255, -95.4183650878389</t>
  </si>
  <si>
    <t>Central Northwest</t>
  </si>
  <si>
    <t>Harris Health - Outpatient Center</t>
  </si>
  <si>
    <t>5550 Kelley Street</t>
  </si>
  <si>
    <t>713-566-4858</t>
  </si>
  <si>
    <t>Located on LBJ Hospital Campus.
For outpatients requiring specialty and outpatient diagnostic surgical care.
Harris Health is the safety-net healthcare provider for Harris County focusing on low-income uninsured and underinsured patients.</t>
  </si>
  <si>
    <t>https://www.harrishealth.org/locations-hh/Pages/outpatient-center.aspx</t>
  </si>
  <si>
    <t>https://www.google.com/maps/place/Harris+Health+Outpatient+Center/@29.8115523,-95.315884,17z/data=!3m1!4b1!4m6!3m5!1s0x8640b97cfb307c89:0x88e3d7b28eba7c4d!8m2!3d29.8115477!4d-95.3133037!16s%2Fg%2F11c525w7f1?entry=ttu&amp;g_ep=EgoyMDI1MDUyMS4wIKXMDSoASAFQAw%3D%3D</t>
  </si>
  <si>
    <t>29.8137010476116, -95.3126564303921</t>
  </si>
  <si>
    <t>Trinity / Houston Gardens</t>
  </si>
  <si>
    <t>Harris Health - Pasadena</t>
  </si>
  <si>
    <t>3925 Fairmont Parkway</t>
  </si>
  <si>
    <t>713-873-6300</t>
  </si>
  <si>
    <t>Primary care for newborns to teens up to 18 years old including treatment of acute and chronic diseases.  Specialty care includes pulmonary/developmental/high risk, gastrointestinal, endocrinology, cardiology, psychiatry, neurology and behavioral health therapy and psychology.
Harris Health is the safety-net healthcare provider for Harris County focusing on low-income uninsured and underinsured patients.</t>
  </si>
  <si>
    <t>https://www.harrishealth.org/locations-hh/Pages/pediatric-adolescent-health-center.aspx</t>
  </si>
  <si>
    <t>https://www.google.com/maps/place/Harris+Health+Pasadena+Pediatric+and+Adolescent+Health+Center/@29.6515471,-95.1883539,17z/data=!3m1!4b1!4m6!3m5!1s0x86409857c3182259:0xec63279e76e03716!8m2!3d29.6515425!4d-95.1857736!16s%2Fg%2F11bbrj3f8r?entry=ttu&amp;g_ep=EgoyMDI1MDUyMS4wIKXMDSoASAFQAw%3D%3D</t>
  </si>
  <si>
    <t>29.6511177943145, -95.1860518966931</t>
  </si>
  <si>
    <t>Harris Health - Quentin Mease</t>
  </si>
  <si>
    <t>3601 North MacGregor Way</t>
  </si>
  <si>
    <t>713-873-3700</t>
  </si>
  <si>
    <t>HIV/AIDS and Endoscopic services.
Harris Health is the safety-net healthcare provider for Harris County focusing on low-income uninsured and underinsured patients.</t>
  </si>
  <si>
    <t>https://www.harrishealth.org/locations-hh/Pages/quentin-mease.aspx</t>
  </si>
  <si>
    <t>https://www.google.com/maps/place/Harris+Health+Quentin+Mease+Health+Center/@29.711139,-95.362228,16z/data=!3m2!4b1!5s0x8640bfb11f7c6ae1:0xb8a348e1b92412a3!4m6!3m5!1s0x8640b8cc5ad31719:0x46f54af1a0382a5c!8m2!3d29.7111344!4d-95.3596477!16s%2Fg%2F1tfydz1v?entry=ttu&amp;g_ep=EgoyMDI1MDUyMS4wIKXMDSoASAFQAw%3D%3D</t>
  </si>
  <si>
    <t>29.7112702, -95.3594982944923</t>
  </si>
  <si>
    <t>Harris Health - Sareen</t>
  </si>
  <si>
    <t>8888 W Bellfort Avenue</t>
  </si>
  <si>
    <t>For minor illnesses and injuries.
No appointment needed.
Co-located in India House.
Harris Health is the safety-net healthcare provider for Harris County focusing on low-income uninsured and underinsured patients.</t>
  </si>
  <si>
    <t>https://www.harrishealth.org/locations-hh/Pages/sareen-same-day.aspx</t>
  </si>
  <si>
    <t>https://www.google.com/maps/place/Harris+Health+Sareen+Clinic/@29.6567287,-95.5355176,16z/data=!3m1!4b1!4m6!3m5!1s0x8640e83bd4a02323:0x8f526c08026f8142!8m2!3d29.6567241!4d-95.5329373!16s%2Fg%2F11b70ghk6s?entry=ttu&amp;g_ep=EgoyMDI1MDUyMS4wIKXMDSoASAFQAw%3D%3D</t>
  </si>
  <si>
    <t>29.656826, -95.5330430226804</t>
  </si>
  <si>
    <t>Harris Health - Settegast</t>
  </si>
  <si>
    <t>9105 N Wayside Drive</t>
  </si>
  <si>
    <t>713-633-2020</t>
  </si>
  <si>
    <t>Primary care, specialty care in optometry, podiatry, psychiatry, on site lab, pharmacy and nutrition, counseling and social services.
Harris Health is the safety-net healthcare provider for Harris County focusing on low-income uninsured and underinsured patients.</t>
  </si>
  <si>
    <t>https://www.harrishealth.org/locations-hh/Pages/settegast-health-center.aspx</t>
  </si>
  <si>
    <t>https://www.google.com/maps/place/Harris+Health+Settegast+Health+Center/@29.8453713,-95.2889164,16z/data=!3m1!4b1!4m6!3m5!1s0x8640ba41d80dc0af:0x89f01d1a68ed4bfe!8m2!3d29.8453667!4d-95.2863361!16s%2Fg%2F1tdwf9hz?entry=ttu&amp;g_ep=EgoyMDI1MDUyMS4wIKXMDSoASAFQAw%3D%3D</t>
  </si>
  <si>
    <t>29.8450907959184, -95.2846374897959</t>
  </si>
  <si>
    <t>East Houston</t>
  </si>
  <si>
    <t>Harris Health - Smith Clinic</t>
  </si>
  <si>
    <t>2525-A Holly Hall Street</t>
  </si>
  <si>
    <t>713-566-3600</t>
  </si>
  <si>
    <t>Diagnostic and specialty clinics as well as MRI and ultrasound diagnostics.
See website for full list of specialties covered.
Harris Health is the safety-net healthcare provider for Harris County focusing on low-income uninsured and underinsured patients.</t>
  </si>
  <si>
    <t>https://www.harrishealth.org/locations-hh/Pages/smith-clinic.aspx</t>
  </si>
  <si>
    <t>https://www.google.com/maps/place/Harris+Health+Smith+Clinic/@29.6862273,-95.3898745,17z/data=!3m1!4b1!4m6!3m5!1s0x863f5e805f9cadf3:0x6305e2c2bfb127eb!8m2!3d29.6862227!4d-95.3872942!16s%2Fg%2F1yfj55yns?entry=ttu&amp;g_ep=EgoyMDI1MDUyMS4wIKXMDSoASAFQAw%3D%3D</t>
  </si>
  <si>
    <t>29.685644, -95.388481</t>
  </si>
  <si>
    <t>Harris Health - Squatty Lyons</t>
  </si>
  <si>
    <t>1712 First Street E</t>
  </si>
  <si>
    <t>Suite M20</t>
  </si>
  <si>
    <t>281-446-4139</t>
  </si>
  <si>
    <t>Adult and pediatric primary care, psychiatry, pharmacy services and nutrition, counseling and social services.
Harris Health is the safety-net healthcare provider for Harris County focusing on low-income uninsured and underinsured patients.</t>
  </si>
  <si>
    <t>https://www.harrishealth.org/locations-hh/Pages/ea-squatty-lyons-health-center.aspx</t>
  </si>
  <si>
    <t>29.99844959648907, -95.24824259686477</t>
  </si>
  <si>
    <t>Harris Health - Strawberry</t>
  </si>
  <si>
    <t>927 Shaw Avenue</t>
  </si>
  <si>
    <t>77506</t>
  </si>
  <si>
    <t>713-982-5900</t>
  </si>
  <si>
    <t>Primary care, mammography, dental care, podiatry, pulmonology, psychiatry and nutrition, counseling and social services.
Harris Health is the safety-net healthcare provider for Harris County focusing on low-income uninsured and underinsured patients.</t>
  </si>
  <si>
    <t>https://www.harrishealth.org/locations-hh/Pages/strawberry-health-center.aspx</t>
  </si>
  <si>
    <t>https://www.google.com/maps/place/Harris+Health+Strawberry+Health+Center/@29.7134196,-95.2048264,16z/data=!3m1!4b1!4m6!3m5!1s0x8640a2c975cc1837:0xe6bb38d9d21dd738!8m2!3d29.713415!4d-95.2022461!16s%2Fg%2F1tfzh48r?entry=ttu&amp;g_ep=EgoyMDI1MDUyMS4wIKXMDSoASAFQAw%3D%3D</t>
  </si>
  <si>
    <t>29.7127396734694, -95.2025909795919</t>
  </si>
  <si>
    <t>Harris Health - Sunset Heights</t>
  </si>
  <si>
    <t>1623 Airline Drive</t>
  </si>
  <si>
    <t>Suite 100B</t>
  </si>
  <si>
    <t>https://www.harrishealth.org/locations-hh/Pages/sunset-heights-clinic.aspx</t>
  </si>
  <si>
    <t>https://www.google.com/maps/place/Harris+Health+Sunset+Heights+Clinic/@29.8010981,-95.384798,16z/data=!3m1!4b1!4m6!3m5!1s0x8640b8973552df5b:0x2ff521c996db970!8m2!3d29.8010935!4d-95.3822177!16s%2Fg%2F11b70h90fp?entry=ttu&amp;g_ep=EgoyMDI1MDUyMS4wIKXMDSoASAFQAw%3D%3D</t>
  </si>
  <si>
    <t>29.8006800731707, -95.3819585853659</t>
  </si>
  <si>
    <t>Harris Health - Urgent Care</t>
  </si>
  <si>
    <t>Must have valid Harris Health Financial Assistance Plan or in-network insurance.
Ability to pay co-pay or deposit at time of service.
No appointment needed.
Minor illnesses and injuries.
Fast medical treatment for non-emergency conditions.
Harris Health is the safety-net healthcare provider for Harris County focusing on low-income uninsured and underinsured patients.</t>
  </si>
  <si>
    <t>https://www.harrishealth.org/locations-hh/Pages/urgent-care.aspx</t>
  </si>
  <si>
    <t>https://www.google.com/maps/place/%E2%80%8B%E2%80%8BHarris+Health+Urgent+Care+at+Outpatient+Center/@29.8119078,-95.3146645,16z/data=!3m2!4b1!5s0x88602f187266b603:0x923a0355d1884044!4m6!3m5!1s0x8640b97d0149d42b:0xc78b8bf47cb08b75!8m2!3d29.8119032!4d-95.3120842!16s%2Fg%2F11c5xthhyk?entry=ttu&amp;g_ep=EgoyMDI1MDUyMS4wIKXMDSoASAFQAw%3D%3D</t>
  </si>
  <si>
    <t>Harris Health - Vallbona</t>
  </si>
  <si>
    <t>6630 DeMoss Drive</t>
  </si>
  <si>
    <t>713-272-2600</t>
  </si>
  <si>
    <t>Primary care. OB/GYN, mammography, podiatry, psychiatry, on site lab, pharmacy, x-ray services and nutrition, counseling and social services.
Harris Health is the safety-net healthcare provider for Harris County focusing on low-income uninsured and underinsured patients.</t>
  </si>
  <si>
    <t>https://www.harrishealth.org/locations-hh/Pages/vallbona-health-center.aspx</t>
  </si>
  <si>
    <t>https://www.google.com/maps/place/Harris+Health+Vallbona+Health+Center/@29.7076745,-95.5028598,17z/data=!3m1!4b1!4m6!3m5!1s0x8640c247bd15c2dd:0xa56894ed48f376fc!8m2!3d29.7076699!4d-95.5002795!16s%2Fg%2F1tjbsk6j?entry=ttu&amp;g_ep=EgoyMDI1MDUyMS4wIKXMDSoASAFQAw%3D%3D</t>
  </si>
  <si>
    <t>29.707740321398553, -95.50015774585029</t>
  </si>
  <si>
    <t>Harris Health- Rehabilitation Services</t>
  </si>
  <si>
    <t>713-526-4243</t>
  </si>
  <si>
    <t>Physical, occupational and speech therapy.
Harris Health is the safety-net healthcare provider for Harris County focusing on low-income uninsured and underinsured patients.</t>
  </si>
  <si>
    <t>https://www.harrishealth.org/locations-hh/Pages/fournace.aspx</t>
  </si>
  <si>
    <t>https://www.google.com/maps/place/Harris+Health+Rehabilitation+Services+at+Fournace/@29.7171909,-95.465765,17z/data=!3m1!4b1!4m6!3m5!1s0x8640c177b71c6bf7:0x677a5ec31d89637c!8m2!3d29.7171863!4d-95.4631847!16s%2Fg%2F11rn3yc4y6?entry=ttu&amp;g_ep=EgoyMDI1MDUyMS4wIKXMDSoASAFQAw%3D%3D</t>
  </si>
  <si>
    <t>Healthcare for the Homeless Caroline Street Clinic</t>
  </si>
  <si>
    <t>1934 Caroline Street</t>
  </si>
  <si>
    <t>713-286-6000</t>
  </si>
  <si>
    <t>Mo, Tu, We, Th 8 a.m. to 4:30 p.m. &amp; Fr 8 a.m. to 12 p.m.  Closed 12 p.m. to 12:45 p.m.</t>
  </si>
  <si>
    <t>Free services for people living on streets, in shelters, in transitional or permanent supportive housing and for those at-risk of homelessness.
Insurance not required and co-pay never charged for services.  Do not have to be unhoused to receive service.
Services include primary care, dental care, vision and ophthalmology, podiatry, mental and behavioral health, women's care, pediatric medicine, case management, transportation.</t>
  </si>
  <si>
    <t>https://www.homeless-healthcare.org/</t>
  </si>
  <si>
    <t>https://www.google.com/maps/place/Caroline+Street+Clinic/@29.7481927,-95.3708166,17z/data=!3m1!4b1!4m6!3m5!1s0x8640bf15ddbac77d:0xb8db8925827229c0!8m2!3d29.7481881!4d-95.3682363!16s%2Fg%2F11gy7zfq5n?entry=ttu&amp;g_ep=EgoyMDI1MDYxNy4wIKXMDSoASAFQAw%3D%3D</t>
  </si>
  <si>
    <t>29.748425, -95.3679518367347</t>
  </si>
  <si>
    <t>{"regular":[{"days":["Mo","Tu","We","Th"],"open":"08:00","close":"16:30"},{"days":["Fr"],"open":"08:00","close":"12:00"}]}</t>
  </si>
  <si>
    <t xml:space="preserve">Dental &amp; Vision
Free care for people living on streets, in shelters, in transitional or permanent supportive housing and for those at-risk of homelessness.
Insurance not required and co-pay never charged for services.  Do not have to be unhoused to receive service.
Dental services include exams, cleanings, fillings, extractions, restorations and oral hygiene education.
Vision and Ophthalmology services include screening, eye exams and an annual vision fair providing prescription eyeglasses.
</t>
  </si>
  <si>
    <t xml:space="preserve">Free counseling for people living on streets, in shelters, in transitional or permanent supportive housing and for those at-risk of homelessness.
Insurance not required and co-pay never charged for services.  Do not have to be unhoused to receive service.
</t>
  </si>
  <si>
    <t>Healthcare for the Homeless Cathedral Clinic at The Beacon</t>
  </si>
  <si>
    <t>1212 Prairie Street</t>
  </si>
  <si>
    <t>Mo - Fr 7:30 a.m. to 12 p.m.</t>
  </si>
  <si>
    <t>https://www.google.com/maps/place/CATHEDRAL+CLINIC/@29.7592201,-95.3623399,17z/data=!3m1!4b1!4m6!3m5!1s0x8640bf250743c239:0x5dd2bb009e0a7442!8m2!3d29.7592155!4d-95.3597596!16s%2Fg%2F11kbykj46f?entry=ttu&amp;g_ep=EgoyMDI1MDYxNy4wIKXMDSoASAFQAw%3D%3D</t>
  </si>
  <si>
    <t>29.7595176122449, -95.360054755102</t>
  </si>
  <si>
    <t>{"regular":[{"days":["Mo","Tu","We","Th","Fr"],"open":"07:30","close":"12:00"}]}</t>
  </si>
  <si>
    <t>Healthcare for the Homeless Reed Family Clinic</t>
  </si>
  <si>
    <t>Mo - Th 8 a.m. to 4:30 p.m.  Closed 12 p.m. to 1 p.m.</t>
  </si>
  <si>
    <t>https://www.google.com/maps/place/Reed+Family+Clinic/@29.6592208,-95.3927318,17z/data=!3m1!4b1!4m6!3m5!1s0x8640954a4ae55555:0x1bbd2f0f37994cae!8m2!3d29.6592162!4d-95.3901515!16s%2Fg%2F11ttbhyt4b?entry=ttu&amp;g_ep=EgoyMDI1MDYxNy4wIKXMDSoASAFQAw%3D%3D</t>
  </si>
  <si>
    <t>{"regular":[{"days":["Mo","Tu","We","Th"],"open":"08:00","close":"16:30"}]}</t>
  </si>
  <si>
    <t>Healthwell Foundation</t>
  </si>
  <si>
    <t>20440 Century Blvd</t>
  </si>
  <si>
    <t>Suite 250</t>
  </si>
  <si>
    <t>Germantown</t>
  </si>
  <si>
    <t>20874</t>
  </si>
  <si>
    <t>800-675-8416</t>
  </si>
  <si>
    <t>Provides direct financial aid to insured patients to cover copays, premiums, deductibles and out of pocket expenses for essential treatments and medications.
Eligibility requirements include specific diseases, treatment types and income guidelines.
Apply online
A charitable patient assistance foundation.</t>
  </si>
  <si>
    <t>https://www.healthwellfoundation.org</t>
  </si>
  <si>
    <t>https://www.google.com/maps/place/HealthWell+Foundation/@39.1932987,-77.270919,16z/data=!3m1!4b1!4m6!3m5!1s0x89b62c0c7fb732eb:0xc689b99656b87990!8m2!3d39.1932987!4d-77.2683387!16s%2Fg%2F11cry0x3c4?entry=ttu&amp;g_ep=EgoyMDI2MDEyMC4wIKXMDSoKLDEwMDc5MjA2OUgBUAM%3D</t>
  </si>
  <si>
    <t>39.19373102212976, -77.26818311580274</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</si>
  <si>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t>
  </si>
  <si>
    <t>Heights Interfaith Ministries</t>
  </si>
  <si>
    <t>3523 Beauchamp Street</t>
  </si>
  <si>
    <t>713-861-6155</t>
  </si>
  <si>
    <t>Th 4 p.m. to 6 p.m. &amp; Sa 10 a.m. to 12 p.m.</t>
  </si>
  <si>
    <t>Photo ID and a bill with Houston address.
Receive food once every 30 days or once a week if unhoused.
Also provide diapers and baby formula.</t>
  </si>
  <si>
    <t>https://himfoodpantry.org/</t>
  </si>
  <si>
    <t>https://www.google.com/maps/place/Heights+Interfaith+Ministries+Food+Pantry/@29.7896836,-95.3794885,17z/data=!4m15!1m8!3m7!1s0x8640b8b8cb9f7867:0x333471333229d64f!2s3523+Beauchamp+St,+Houston,+TX+77009!3b1!8m2!3d29.789679!4d-95.3746122!16s%2Fg%2F1hjhd84fr!3m5!1s0x8640b8b8ca573b5d:0x68ef4538f2ee034f!8m2!3d29.7897141!4d-95.3745733!16s%2Fg%2F124yc2256?entry=ttu&amp;g_ep=EgoyMDI1MDYwMy4wIKXMDSoASAFQAw%3D%3D</t>
  </si>
  <si>
    <t>29.7895478367347, -95.3742684489796</t>
  </si>
  <si>
    <t>{"regular":[{"days":["Th"],"open":"16:00","close":"18:00"},{"days":["Sa"],"open":"10:00","close":"12:00"}]}</t>
  </si>
  <si>
    <t>Hiram Clarke Multi-Service Center</t>
  </si>
  <si>
    <t>Mo - Fr 8:30 a.m to 3:30 p.m.</t>
  </si>
  <si>
    <t>Help applying for health and other benefits</t>
  </si>
  <si>
    <t>https://www.houstonhealth.org/services/multi-service-centers/hiram-clarke-multi-service-center</t>
  </si>
  <si>
    <t>https://www.google.com/maps/place/Hiram+Clarke+Multi-Service+Center/@29.6141554,-95.4361658,16z/data=!3m1!4b1!4m6!3m5!1s0x8640eb0a25265bb7:0x3a7e70b8b4f8e2ca!8m2!3d29.6141508!4d-95.4335909!16s%2Fg%2F11b75gm51g?entry=ttu&amp;g_ep=EgoyMDI2MDIwMS4wIKXMDSoKLDEwMDc5MjA2OUgBUAM%3D</t>
  </si>
  <si>
    <t>29.614519181117675, -95.43359089180484</t>
  </si>
  <si>
    <t>Hiram Clarke</t>
  </si>
  <si>
    <t>77459, 77477, 77489, 77545</t>
  </si>
  <si>
    <t>Holy Family (SVdP D2) Missouri City</t>
  </si>
  <si>
    <t>1510 5th Street</t>
  </si>
  <si>
    <t>281-499-6246</t>
  </si>
  <si>
    <t>Th 10 a.m. to 12 p.m.</t>
  </si>
  <si>
    <t xml:space="preserve">By appointment only and when funding is available.
</t>
  </si>
  <si>
    <t>https://holyfamilychurch.us/about/ministries/st-vincent-de-paul/</t>
  </si>
  <si>
    <t>https://maps.google.com/?q=Holy%20Family%20(SVdP%20D2)%20Missouri%20City%201510%205th%20St%20Missouri%20City%20TX%2077489</t>
  </si>
  <si>
    <t>29.61813955, -95.5354184680796</t>
  </si>
  <si>
    <t>{"regular":[{"days":["Th"],"open":"10:00","close":"12:00"}]}</t>
  </si>
  <si>
    <t>Tu 10 a.m. to 1 p.m. &amp; 4th Sa 10 a.m. to 12 p.m.</t>
  </si>
  <si>
    <t>{"regular":[{"days":["Tu"],"open":"10:00","close":"13:00"}],"special":[{"pattern":"4th Sa","open":"10:00","close":"12:00"}]}</t>
  </si>
  <si>
    <t>77550, 77551, 77552, 77553, 77554, 77555</t>
  </si>
  <si>
    <t>Holy Family (SVdP D7) Galveston</t>
  </si>
  <si>
    <t>1525 25th Street</t>
  </si>
  <si>
    <t>409-356-5135</t>
  </si>
  <si>
    <t>Mo - Th 10 a.m. to 1:30 p.m.</t>
  </si>
  <si>
    <t>https://holyfamilygb.com/hfp-groups/society-of-st-vincent-de-paul/</t>
  </si>
  <si>
    <t>https://maps.google.com/?q=Holy%20Family%20(SVdP%20D7)%20Galveston%201525%2025th%20St%20Galveston%20TX%2077550</t>
  </si>
  <si>
    <t>29.29407482695225, -94.79364067423829</t>
  </si>
  <si>
    <t>{"regular":[{"days":["Mo","Tu","We","Th"],"open":"10:00","close":"13:30"}]}</t>
  </si>
  <si>
    <t>Holy Name</t>
  </si>
  <si>
    <t>1920 Marion Street</t>
  </si>
  <si>
    <t>713-222-1255</t>
  </si>
  <si>
    <t>Th 9 a.m. to 12 p.m.</t>
  </si>
  <si>
    <t>https://www.holynamecatholichouston.org/</t>
  </si>
  <si>
    <t>https://maps.google.com/?q=Holy%20Name%201920%20Marion%20St%20Houston%20TX%2077009</t>
  </si>
  <si>
    <t>29.7785114081633, -95.3559996326531</t>
  </si>
  <si>
    <t>{"regular":[{"days":["Th"],"open":"09:00","close":"12:00"}]}</t>
  </si>
  <si>
    <t>77002, 77004, 77021, 77033, 77054</t>
  </si>
  <si>
    <t>Holy Rosary (SVdP D5)</t>
  </si>
  <si>
    <t>3617 Milam Street</t>
  </si>
  <si>
    <t>281-310-1925</t>
  </si>
  <si>
    <t>We - Fr 9 a.m. to 12 p.m.</t>
  </si>
  <si>
    <t>Confirmed by Bill Pribyl</t>
  </si>
  <si>
    <t>https://holyrosarycatholic.org/</t>
  </si>
  <si>
    <t>https://maps.google.com/?q=Holy%20Rosary%20(SVdP%20D5)%203617%20Milam%20St%20Houston%20TX%2077002</t>
  </si>
  <si>
    <t>29.739544, -95.38062</t>
  </si>
  <si>
    <t>{"regular":[{"days":["We","Th","Fr"],"open":"09:00","close":"12:00"}]}</t>
  </si>
  <si>
    <t>77451, 77469, 77471, 77474</t>
  </si>
  <si>
    <t>Holy Rosary (SVdP) Rosenberg</t>
  </si>
  <si>
    <t>1416 George Street</t>
  </si>
  <si>
    <t>281-342-3089</t>
  </si>
  <si>
    <t>https://www.hrccr.com/</t>
  </si>
  <si>
    <t>https://maps.google.com/?q=Holy%20Rosary%20(SVdP)%20Rosenberg%201416%20George%20St%20Rosenberg%20TX%2077471</t>
  </si>
  <si>
    <t>29.5533036666667, -95.8164933333333</t>
  </si>
  <si>
    <t>Allendale Manor</t>
  </si>
  <si>
    <t>Hope Center Houston</t>
  </si>
  <si>
    <t>821 Peakwood Drive</t>
  </si>
  <si>
    <t>832-965-5511</t>
  </si>
  <si>
    <t>Mo - Fr 9 a.m.</t>
  </si>
  <si>
    <t>Coalition for the Homeless (CFTH) Partner/Rapid Rehousing
Hair grooming for both men and women.  Service days dependent on volunteer availability.
Food services every weekday starting at 9 a.m.
Medical and Dental care.  Dental service days dependent on volunteer availability.
Laundry, clothing, shower, computer access, job skills training, substance abuse counseling and life skills classes.
Case management</t>
  </si>
  <si>
    <t>https://hopecenterhouston.org</t>
  </si>
  <si>
    <t>https://www.google.com/maps/place/Hope+Center+Houston/@30.020301,-95.4478682,16z/data=!3m1!4b1!4m6!3m5!1s0x8640cbeeb92e2717:0x6ab75b25672d0f50!8m2!3d30.0202964!4d-95.4452933!16s%2Fg%2F11fmsbvtfm?entry=ttu&amp;g_ep=EgoyMDI1MDgyNC4wIKXMDSoASAFQAw%3D%3D</t>
  </si>
  <si>
    <t>30.020626131202985, -95.44542203934162</t>
  </si>
  <si>
    <t>{"regular":[{"days":["Mo","Tu","We","Th","Fr"],"open":"09:00","close":null}]}</t>
  </si>
  <si>
    <t>Westador</t>
  </si>
  <si>
    <t>Dental
Include basic dental exams, cleanings, extractions, pain relief treatment and oral hygiene education
Dental services are on site and are free but scheduled based on volunteer availability.
Laundry, clothing, shower, computer access, job skills training, substance abuse counseling and life skills classes.
Case management</t>
  </si>
  <si>
    <t>Hope Clinic</t>
  </si>
  <si>
    <t>7001 Corporate Drive</t>
  </si>
  <si>
    <t>Suite 120</t>
  </si>
  <si>
    <t>713-773-0803</t>
  </si>
  <si>
    <t>Adult and pediatric care, immunizations, acute care, sports physicals, OB/GYN, lab services and pharmacy.
Services provided on a sliding fee program based on income and family size.</t>
  </si>
  <si>
    <t>https://www.hopechc.org</t>
  </si>
  <si>
    <t>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t>
  </si>
  <si>
    <t>29.7035738460518, -95.5514724942076</t>
  </si>
  <si>
    <t>Dental &amp; Vision
Dental services include cleanings, fillings, extractions and oral health education.
Vision care includes eye exams, eyeglasses, contact lenses, treatment of uveitis and infections, foreign body removal and preventive care.
Services provided on a sliding fee program based on income and family size.</t>
  </si>
  <si>
    <t>Treatment and management by medication and counselling services.
Medication management, eating disorders and individual and family therapy.
Services provided on a sliding fee program based on income and family size.</t>
  </si>
  <si>
    <t>Hope for the Warriors</t>
  </si>
  <si>
    <t>Verified online.  No response to email</t>
  </si>
  <si>
    <t>Financial Assistance with rent, mortgage and utilities.
Funded by the Texas Veterans Commission.  
UNCLEAR FROM WEBSITE WHAT THE REQUIREMENTS ARE OR HOW TO APPLY FOR ASSISTANCE.  SET TO INACTIVE UNTIL CLARIFICATION RECEIVED FROM ORGANIZATION.</t>
  </si>
  <si>
    <t>https://www.hopeforthewarriors.org/programs-and-services/connect-to-services/</t>
  </si>
  <si>
    <t>Hospitality Apartments</t>
  </si>
  <si>
    <t>7300 Bertner Avenue</t>
  </si>
  <si>
    <t>713-790-9120</t>
  </si>
  <si>
    <t>Call to be placed on the waiting list.</t>
  </si>
  <si>
    <t>Rent-free temporary housing for patients receiving medical treatment at the Texas Medical Center and their caregivers.
There is a waiting list that runs two to three months.
Medical housing</t>
  </si>
  <si>
    <t>https://www.hospitalityapartments.org/guests/request</t>
  </si>
  <si>
    <t>https://www.google.com/maps/place/Hospitality+Apartments/@29.6974711,-95.4039597,16z/data=!3m1!4b1!4m6!3m5!1s0x8640c00bf709ff5b:0xf165d7005246adb6!8m2!3d29.6974712!4d-95.3990834!16s%2Fg%2F1vp6_kjw?entry=ttu&amp;g_ep=EgoyMDI2MDExMS4wIKXMDSoKLDEwMDc5MjA2OUgBUAM%3D</t>
  </si>
  <si>
    <t>29.697862445872833, -95.39905656617317</t>
  </si>
  <si>
    <t>Texas Medical Center</t>
  </si>
  <si>
    <t>77036, 77042, 77072, 77082, 77099</t>
  </si>
  <si>
    <t>House of Amos</t>
  </si>
  <si>
    <t>11169 Beechnut Street</t>
  </si>
  <si>
    <t>Suite G</t>
  </si>
  <si>
    <t>832-977-1208</t>
  </si>
  <si>
    <t>Sudden and significant loss of income, i.e. recent loss of job or cut in hours. Long term unemployment or fixed income is not considered sudden and significant loss of income.
Must have children under the age of 15 living at home. Their names must be on the lease.
Amount owed does not exceed $1,000. No partial payment, i.e. if total owed cannot be greater than $1,000 even if the difference is going to be made up elsewhere.
Funds budgeted on a monthly basis. Call to make sure funds are available.
Complete online application.
Copy of the lease agreement with all residents on the lease.
Proof of children's ages.
Detailed rental account ledger with at least six months of activity if you have lived there for longer than six months and all activity if less than six months.
Proof of sudden and significant loss of income.
Photo ID.
Financial assistance is once per 12 month period.</t>
  </si>
  <si>
    <t>https://www.houseofamos.org/</t>
  </si>
  <si>
    <t>https://maps.google.com/?q=House%20of%20Amos%2011169%20Beechnut%20St%2C%20Suite%20G%20Houston%20TX%2077072</t>
  </si>
  <si>
    <t>29.6879664857647, -95.5740879653597</t>
  </si>
  <si>
    <t>Sudden and significant loss of income, i.e. recent loss of job or cut in hours. Long term unemployment or fixed income is not considered sudden and significant loss of income.
Must have children under the age of 15 living at home. Their names must be on the lease.
Amount owed does not exceed $1,000. No partial payment, i.e. if total owed cannot be greater than $1,000 even if the difference is going to be made up elsewhere.
Funds budgeted on a monthly basis. Call to make sure funds are available.
Complete online application.
Current copy of utility bill.
Proof of children's ages.
Proof of sudden and significant loss of income.
Photo ID.
Financial assistance is once per 12 month period.</t>
  </si>
  <si>
    <t>Mo - We 9 a.m. to 11:45 a.m. &amp; Sa 10 a.m. to 11:45 a.m.</t>
  </si>
  <si>
    <t>Walk-In
Food distribution once every 60 days per household.
Copy of lease agreement with names of all members of household. If family of one, current utility bill is acceptable.
Stop serving clients 15 minutes before closing time.
Includes toiletries/hygiene kit..</t>
  </si>
  <si>
    <t>{"regular":[{"days":["Mo","Tu","We"],"open":"09:00","close":"11:45"},{"days":["Sa"],"open":"10:00","close":"11:45"}]}</t>
  </si>
  <si>
    <t>Will reopen as soon as they find a teacher.</t>
  </si>
  <si>
    <t>ESL at a cost of $50 per year.</t>
  </si>
  <si>
    <t>House of Help</t>
  </si>
  <si>
    <t>716 1st Street</t>
  </si>
  <si>
    <t>979-826-4445</t>
  </si>
  <si>
    <t>Tu - Sa 10 a.m. to 3 p.m.</t>
  </si>
  <si>
    <t>ID, Proof of Residence, SNAP Letter, Paystubs or Unemployment Eligibility Letter.
Need to sign up online.  There are daily limits.</t>
  </si>
  <si>
    <t>https://hohhempstead.org/</t>
  </si>
  <si>
    <t>https://www.google.com/maps/place/House+Of+Help+Thrift+Shop+%26+Food+Pantry/@30.0978198,-96.0701706,16z/data=!3m1!4b1!4m6!3m5!1s0x8646b5f61dbfa0b5:0x129e9e0b57382dbd!8m2!3d30.0978152!4d-96.0675957!16s%2Fg%2F12616hh5f?entry=ttu&amp;g_ep=EgoyMDI1MDgwNC4wIKXMDSoASAFQAw%3D%3D</t>
  </si>
  <si>
    <t>30.09823749124015, -96.06748840134394</t>
  </si>
  <si>
    <t>{"regular":[{"days":["Tu","We","Th","Fr","Sa"],"open":"10:00","close":"15:00"}]}</t>
  </si>
  <si>
    <t>Housing and Community Development</t>
  </si>
  <si>
    <t>2100 Travis Street</t>
  </si>
  <si>
    <t>9th Floor</t>
  </si>
  <si>
    <t>832-394-6200</t>
  </si>
  <si>
    <t>All funding exhausted.  No indication when and if funding becomes available again.</t>
  </si>
  <si>
    <t>Home Repair
Eligibility requirements include own your home located in Houston but outside the floodway, it is your primary home, property taxes are current and income is at or below 80% of Area Median Income.
Check floodway and Area Median Income on website.
Consideration to seniors over the age of 62, families with children under 18 years old and people with disabilities.</t>
  </si>
  <si>
    <t>https://www.houstontx.gov/housing/home-repair.html#docs</t>
  </si>
  <si>
    <t>https://www.google.com/maps/place/City+of+Houston+Housing+and+Community+Development+Department/@29.7491917,-95.3776636,16z/data=!3m2!4b1!5s0x8640bf1553ff700d:0x5b1c65c6eb045e0!4m6!3m5!1s0x8640bfe464235301:0xc2345c26b1bc829!8m2!3d29.7491871!4d-95.3727927!16s%2Fg%2F11fm68gpwr?entry=ttu&amp;g_ep=EgoyMDI2MDIwMS4wIKXMDSoKLDEwMDc5MjA2OUgBUAM%3D</t>
  </si>
  <si>
    <t>29.749554855877776, -95.37272831584828</t>
  </si>
  <si>
    <t>Houston Area Women's Center</t>
  </si>
  <si>
    <t>3077 El Camino Street</t>
  </si>
  <si>
    <t>713-528-2121 (Domestic)
713-528-7273 (Sexual)</t>
  </si>
  <si>
    <t>Coalition for the Homeless (CFTH) Partner/Rapid Rehousing
Hospital Advocacy &amp; Support
Safety Planning
Rape Crisis Support
Legal Advocacy
Children's Services
Career Development</t>
  </si>
  <si>
    <t>https://hawc.org/what-we-do/</t>
  </si>
  <si>
    <t>29.6866485891899, -95.3830850981797</t>
  </si>
  <si>
    <t>Houston Bar Association Veterans Legal Initiative</t>
  </si>
  <si>
    <t>2002 Holcolmbe Blvd</t>
  </si>
  <si>
    <t>Suite 108A</t>
  </si>
  <si>
    <t>713-228-0735</t>
  </si>
  <si>
    <t>Mo - Fr 8 a.m. to 12 p.m. (phone)
Fr 1 p.m. to 3:30 p.m. (free clinic)</t>
  </si>
  <si>
    <t>No appointment needed for free clinic</t>
  </si>
  <si>
    <t>Veterans
Free Clinic at the Michael E. DeBakey VA Medical Center for veterans.
No appointment needed.
Including Family Law, Wills &amp; Probate, Consumer Law, Real Estate &amp; Property, Tax Law, Disability and Veterans Affairs and other legal issues.</t>
  </si>
  <si>
    <t>https://www.hba.org/?pg=Veterans-Legal-Initiative</t>
  </si>
  <si>
    <t>https://www.google.com/maps/place/2002+Holcombe+Blvd,+Houston,+TX+77030/@29.7006264,-95.3913561,16z/data=!3m1!4b1!4m6!3m5!1s0x8640bff5abf01f45:0xdf739e8e76d24278!8m2!3d29.7006218!4d-95.3887758!16s%2Fg%2F11c1glnxs3?entry=ttu&amp;g_ep=EgoyMDI2MDIxMS4wIKXMDSoASAFQAw%3D%3D</t>
  </si>
  <si>
    <t>29.701045779053903, -95.38870605257519</t>
  </si>
  <si>
    <t>Houston Children's Charity</t>
  </si>
  <si>
    <t>5151 Mitchelldale Street</t>
  </si>
  <si>
    <t>Suite A4</t>
  </si>
  <si>
    <t>713-524-2878</t>
  </si>
  <si>
    <t>Tu 9 a.m. to 4 p.m.</t>
  </si>
  <si>
    <t>The HCC Closet provides gently used and new clothing, shoes and accessories for childrens and families at no cost.</t>
  </si>
  <si>
    <t>https://houstonchildrenscharity.org/programs/hcc-closet/</t>
  </si>
  <si>
    <t>https://www.google.com/maps/place/Houston+Children's+Charity+Closet/@29.813218,-95.4684879,16z/data=!3m1!4b1!4m6!3m5!1s0x8640c70046913169:0x3900490624f818a1!8m2!3d29.8132134!4d-95.465913!16s%2Fg%2F11vwl7_jsh?entry=ttu&amp;g_ep=EgoyMDI1MTIwOS4wIKXMDSoKLDEwMDc5MjA2OUgBUAM%3D</t>
  </si>
  <si>
    <t>29.752228267922707, -95.45727898119307</t>
  </si>
  <si>
    <t>{"regular":[{"days":["Tu"],"open":"09:00","close":"16:00"}]}</t>
  </si>
  <si>
    <t>1600 West Loop South</t>
  </si>
  <si>
    <t>Suite 610</t>
  </si>
  <si>
    <t>Financial assistance for families with children receiving treatment at the Texas Children's Hospital.
Assistance may include paying for lodging, mortgage, car payments, meals and parking.</t>
  </si>
  <si>
    <t>https://houstonchildrenscharity.org/programs/texas-childrens-hospital-emergency-fund/</t>
  </si>
  <si>
    <t>https://www.google.com/maps/place/Houston+Children's+Charity/@29.7520932,-95.4598968,17z/data=!3m2!4b1!5s0x8640c140acd58ac7:0xb7723db0b664d1ee!4m6!3m5!1s0x8640c0cebce503a5:0x40339623af6dace8!8m2!3d29.7520886!4d-95.4573219!16s%2Fg%2F1v_0k3vy?entry=ttu&amp;g_ep=EgoyMDI1MTIwOS4wIKXMDSoKLDEwMDc5MjA2OUgBUAM%3D</t>
  </si>
  <si>
    <t>29.81363690564813, -95.46597736367714</t>
  </si>
  <si>
    <t>Afton Oaks</t>
  </si>
  <si>
    <t>Through their Chariots for Children program give handicapped accessible vans to families with disabled, wheelchair-bound children</t>
  </si>
  <si>
    <t>https://houstonchildrenscharity.org/programs/chariots-children/</t>
  </si>
  <si>
    <t>Annual toy distribution for children at event held at George R Brown Convention Center.
Applications are taken online until all spots are filled, prior to the Holiday season.</t>
  </si>
  <si>
    <t>https://houstonchildrenscharity.org/programs/annual-toy-distribution/</t>
  </si>
  <si>
    <t>Furniture
Through a program called A Better Night's Sleep provides mattresses, bed frames, sheets pillows and blankets to children.</t>
  </si>
  <si>
    <t>https://houstonchildrenscharity.org/programs/better-nights-sleep/</t>
  </si>
  <si>
    <t>Student Backpacks
Back2School program provides students with backpacks filled with school supplies. 
This is for specific school districts in five counties in the Houston area.
Applications are open for a certain time period before the start of the school year.</t>
  </si>
  <si>
    <t>https://houstonchildrenscharity.org/programs/back-2-school/</t>
  </si>
  <si>
    <t>Houston Eviction Advocacy Center</t>
  </si>
  <si>
    <t>346-771-7260</t>
  </si>
  <si>
    <t>Free legal assistance to Harris County tenant facing eviction.
Services include legal representation, housing assistance, rent relief and clearinghouse of tenant and eviction information. 
Assistance is provided regardless of income, race, immigration status or native language.</t>
  </si>
  <si>
    <t>https://www.houstoneac.org/our-mission-vision-statement-and-guiding-principles/</t>
  </si>
  <si>
    <t>Houston Eye Associates Foundation</t>
  </si>
  <si>
    <t>7155 Old Katy Road</t>
  </si>
  <si>
    <t>Suite S110</t>
  </si>
  <si>
    <t>713-668-6828</t>
  </si>
  <si>
    <t>Mo - Fr 8 a.m. to 6 p.m.</t>
  </si>
  <si>
    <t>Vision
Surgical treatments for cataracts, retina and cornea issues, glaucoma and uveitis.
Eye Care for Kids program identifies students who cannot afford eyeglasses.  The foundation arranges for a free eye exam and provides eyeglasses.
All services are available free of charge to low-income Texas residents.</t>
  </si>
  <si>
    <t>https://foundation.houstoneye.com/about-us/</t>
  </si>
  <si>
    <t>https://www.google.com/maps/place/Eye+Care+For+Kids+%2F+Houston+Eye+Associates+Foundation/@29.7828415,-95.453116,17z/data=!3m1!5s0x8640c6c50d3c0871:0x5fcece2938a04fae!4m16!1m9!3m8!1s0x8640c20a0c1990f1:0x34fe64fa192faf32!2sEye+Care+For+Kids+%2F+Houston+Eye+Associates+Foundation!8m2!3d29.7828416!4d-95.4482397!9m1!1b1!16s%2Fg%2F1tcz_xhk!3m5!1s0x8640c20a0c1990f1:0x34fe64fa192faf32!8m2!3d29.7828416!4d-95.4482397!16s%2Fg%2F1tcz_xhk?entry=ttu&amp;g_ep=EgoyMDI2MDEyNS4wIKXMDSoKLDEwMDc5MjA2OUgBUAM%3D</t>
  </si>
  <si>
    <t>29.783018344845797, -95.44826114965123</t>
  </si>
  <si>
    <t>{"regular":[{"days":["Mo","Tu","We","Th","Fr"],"open":"08:00","close":"18:00"}]}</t>
  </si>
  <si>
    <t>Memorial Villages</t>
  </si>
  <si>
    <t>Houston First Baptist Church</t>
  </si>
  <si>
    <t>8009 Long Point Road</t>
  </si>
  <si>
    <t>713-957-5863</t>
  </si>
  <si>
    <t>Mo - Th 8 a.m. to 12 p.m.</t>
  </si>
  <si>
    <t>Appointments for first 25 callers for financial assistance who meet requirements.
Employment verification (pay stubs).
If laid-off, letter from employer
Two copies of lease.
Copy of Late Notice
IDs for all residents</t>
  </si>
  <si>
    <t>https://www.houstonsfirst.org/missions/faith-centers</t>
  </si>
  <si>
    <t>https://maps.google.com/?q=First%20Baptist%20(Long%20Point%20Baptist)%208009%20Long%20Point%20Road%20Houston%20TX%2077055</t>
  </si>
  <si>
    <t>29.802807877551, -95.4890740612245</t>
  </si>
  <si>
    <t>Appointments for first 25 callers for financial assistance who meet requirements.
Employment verification (pay stubs)
If laid-off, letter from employer
Two copies of lease.
Copy of Late Notice
IDs for all residents</t>
  </si>
  <si>
    <t>5860 Ranchester Drive</t>
  </si>
  <si>
    <t>Suite 888</t>
  </si>
  <si>
    <t>713-335-6459</t>
  </si>
  <si>
    <t>Tu, Th &amp; Sa 10 a.m. to 1 p.m.</t>
  </si>
  <si>
    <t>By appointment only.  Call and leave message.</t>
  </si>
  <si>
    <t>https://www.google.com/maps/place/Faith+Center+Harwin+Food+Pantry/@29.7148287,-95.5491823,18z/data=!3m1!4b1!4m6!3m5!1s0x8640c2d90ab77585:0x99e7b71c420b49cd!8m2!3d29.7148275!4d-95.5485386!16s%2Fg%2F11cs3p2k09?entry=ttu&amp;g_ep=EgoyMDI1MDcxNi4wIKXMDSoASAFQAw%3D%3D</t>
  </si>
  <si>
    <t>29.714902, -95.547943</t>
  </si>
  <si>
    <t>{"regular":[{"days":["Tu","Th","Sa"],"open":"10:00","close":"13:00"}]}</t>
  </si>
  <si>
    <t>8244 Long Point Road</t>
  </si>
  <si>
    <t>713-554-8820</t>
  </si>
  <si>
    <t>Tu, Th &amp; Sa 8 a.m. to 12 p.m.</t>
  </si>
  <si>
    <t>Provide hygiene kits.
By appointment only.  Call and leave message.
Once every 60 days.
ID and proof of address required.</t>
  </si>
  <si>
    <t>https://www.google.com/maps/place/Faith+Center+-+Food+Pantry+%26+Clothes+Closet/@29.8035203,-95.4937519,20z/data=!4m15!1m8!3m7!1s0x8640c430b4a2fc5d:0xf59290e6a154af37!2s8244+Long+Point+Rd,+Houston,+TX+77055!3b1!8m2!3d29.8035157!4d-95.49343!16s%2Fg%2F11bw41t5rs!3m5!1s0x8640c430b49a5093:0x9adc19126aaa5d66!8m2!3d29.8035925!4d-95.49345!16s%2Fg%2F11b6f6mhh8?entry=ttu&amp;g_ep=EgoyMDI1MDcxNi4wIKXMDSoASAFQAw%3D%3D</t>
  </si>
  <si>
    <t>29.8030461836735, -95.4925592857143</t>
  </si>
  <si>
    <t>{"regular":[{"days":["Tu","Th","Sa"],"open":"08:00","close":"12:00"}]}</t>
  </si>
  <si>
    <t>By appointment only.  Call and leave message.
Once every 60 days.
ID and proof of address required.</t>
  </si>
  <si>
    <t>7401 Katy Freeway</t>
  </si>
  <si>
    <t>713-681-8000</t>
  </si>
  <si>
    <t>Car Care Ministry
For single parents and widows
Routine maintenance, labor only</t>
  </si>
  <si>
    <t>https://www.google.com/maps/place/Houston's+First+Baptist+Church+-+The+Loop/@29.7824525,-95.4648454,17z/data=!3m2!4b1!5s0x8640c6b9b35e2bc5:0xfda58267e716dd90!4m6!3m5!1s0x8640c6b997ede1b1:0xb1255f58581366ed!8m2!3d29.7824479!4d-95.4599745!16s%2Fg%2F1tmz79pf?entry=ttu&amp;g_ep=EgoyMDI1MDcxNi4wIKXMDSoASAFQAw%3D%3D</t>
  </si>
  <si>
    <t>Houston Food Bank</t>
  </si>
  <si>
    <t>535 Portwall Street</t>
  </si>
  <si>
    <t>77029</t>
  </si>
  <si>
    <t>713-223-3700</t>
  </si>
  <si>
    <t>By appointment only.
SNAP assistance curbside.</t>
  </si>
  <si>
    <t>https://www.houstonfoodbank.org/#</t>
  </si>
  <si>
    <t>https://maps.google.com/?q=Houston%20Food%20Bank%20535%20Portwall%20St%20Houston%20TX%2077029</t>
  </si>
  <si>
    <t>29.7809711, -95.274738629654</t>
  </si>
  <si>
    <t>Pleasantville</t>
  </si>
  <si>
    <t>Assistance with applying for SNAP, TANF, CHIP and other social services.
TX Health &amp; Human Services Level 3 Community Partner. Help with enrollment, document uploads, benefit renewals and case management.</t>
  </si>
  <si>
    <t>Houston Hope Lodge</t>
  </si>
  <si>
    <t>6801 Ardmore Street</t>
  </si>
  <si>
    <t>713-848-8905</t>
  </si>
  <si>
    <t>Free lodging for cancer patients and caregivers.
Patients must be in active cancer treatment.
Lodging requests begin with referral from treatment facility which must be located near the Hope Lodge.
Guests are responsible for their meals but local community groups, religious organizations and friends of the Lodge prepare and provide dinners during the week.
Owned by the American Cancer Society.
Medical housing.</t>
  </si>
  <si>
    <t>https://www.cancer.org/support-programs-and-services/patient-lodging/hope-lodge/houston.html</t>
  </si>
  <si>
    <t>https://www.google.com/maps/place/American+Cancer+Society+-+Richard+M.+Schulze+Family+Foundation+Hope+Lodge+–+Houston,+TX/@29.6998571,-95.379507,17z/data=!3m1!4b1!4m6!3m5!1s0x8640bfa83b8f26b7:0x791a03947dcb42ef!8m2!3d29.6998571!4d-95.3769267!16s%2Fg%2F11pqcynp5l?entry=ttu&amp;g_ep=EgoyMDI2MDExMS4wIKXMDSoKLDEwMDc5MjA2OUgBUAM%3D</t>
  </si>
  <si>
    <t>29.706102132582185, -95.37572367613176</t>
  </si>
  <si>
    <t>Houston Humane Society</t>
  </si>
  <si>
    <t>14700 Almeda Road</t>
  </si>
  <si>
    <t>77053</t>
  </si>
  <si>
    <t>713-433-6421</t>
  </si>
  <si>
    <t>Mo - Sa 9 a.m. to 4 p.m.</t>
  </si>
  <si>
    <t>Wellness clinic offers low cost veterinary services including general care, dentistry, vaccinations, diagnostic testing, prevention and surgeries.
By appointment only and appointments have to be made online.</t>
  </si>
  <si>
    <t>https://www.houstonhumane.org/clinic/about-our-clinic</t>
  </si>
  <si>
    <t>https://www.google.com/maps/place/Houston+Humane+Society/@29.5913746,-95.4391306,15z/data=!4m6!3m5!1s0x8640eb7b87f0944b:0x383740f24083c682!8m2!3d29.5913783!4d-95.4291105!16s%2Fg%2F1xtf1z1c?entry=ttu&amp;g_ep=EgoyMDI1MDkyMi4wIKXMDSoASAFQAw%3D%3D</t>
  </si>
  <si>
    <t>29.59240048678968, -95.4290024047893</t>
  </si>
  <si>
    <t>{"regular":[{"days":["Mo","Tu","We","Th","Fr","Sa"],"open":"09:00","close":"16:00"}]}</t>
  </si>
  <si>
    <t>Orchard Grove</t>
  </si>
  <si>
    <t>Houston MetroLift</t>
  </si>
  <si>
    <t>1900 Main Street</t>
  </si>
  <si>
    <t>713-225-6716</t>
  </si>
  <si>
    <t>Must meet eligibility requirements which include functional limitations, i.e. a disability that prevents your from walking or rolling to a bus stop without assistance or you require assistance to board, navigate, ride or disembark from Metro accessible services.
A health professional will need to sign-off on the certification form,
In person interview.
Must reside within Metro's service area.
Valid, government issued photo ID.
Decision is typically within 21 days of the interview.</t>
  </si>
  <si>
    <t>https://www.ridemetro.org/riding-metro/transit-services/metrolift-paratransit</t>
  </si>
  <si>
    <t>https://www.google.com/maps/place/Metropolitan+Transit+Authority+of+Harris+County+(METRO)/@29.7502068,-95.373268,16z/data=!3m1!4b1!4m6!3m5!1s0x8640bf3fd093bc6b:0x140c85ed0d209f79!8m2!3d29.7502022!4d-95.3706931!16s%2Fg%2F1tf_hsz3?entry=ttu&amp;g_ep=EgoyMDI2MDIwMS4wIKXMDSoKLDEwMDc5MjA2OUgBUAM%3D</t>
  </si>
  <si>
    <t>29.750607341256657, -95.37067163303459</t>
  </si>
  <si>
    <t>Houston Recovery Center</t>
  </si>
  <si>
    <t>150 N Chenevert Street</t>
  </si>
  <si>
    <t>713-236-7800</t>
  </si>
  <si>
    <t>Medication Assisted Treatment
Substance Use Disorder
Scheduling Doctors Appointments
Assistance applying for food stamps, Harris Health, Medicaid, etc.</t>
  </si>
  <si>
    <t>https://www.google.com/maps/place/Houston+Recovery+Center+LGC-+Sobering+Center/@29.7617845,-95.3533955,16z/data=!3m1!4b1!4m6!3m5!1s0x8640bed8194a6c21:0xbca6b2c6e94fd961!8m2!3d29.7617799!4d-95.3508206!16s%2Fg%2F12hp2pnc4?entry=ttu&amp;g_ep=EgoyMDI1MDUxMy4xIKXMDSoASAFQAw%3D%3D</t>
  </si>
  <si>
    <t>29.761567, -95.350932</t>
  </si>
  <si>
    <t>Houston ToolBank</t>
  </si>
  <si>
    <t>1215 Gazin Street</t>
  </si>
  <si>
    <t>713-674-0262</t>
  </si>
  <si>
    <t>Has an inventory of more than 300 tools and equipment that member non-profit organizations can borrow for a nominal fee.</t>
  </si>
  <si>
    <t>https://www.houstontoolbank.org/borrow/</t>
  </si>
  <si>
    <t>https://www.google.com/maps/place/Houston+Community+ToolBank/@29.766933,-95.3065453,16z/data=!3m1!4b1!4m6!3m5!1s0x8640bc04619f4ca1:0x77d9885582f53fff!8m2!3d29.766933!4d-95.303965!16s%2Fg%2F11b7jgbdcj?entry=ttu&amp;g_ep=EgoyMDI2MDExMy4wIKXMDSoKLDEwMDc5MjA2OUgBUAM%3D</t>
  </si>
  <si>
    <t>29.767417239023374, -95.30413128655019</t>
  </si>
  <si>
    <t>Houston Volunteer Lawyers</t>
  </si>
  <si>
    <t>1000 Louisiana Street</t>
  </si>
  <si>
    <t>Suite 3600</t>
  </si>
  <si>
    <t>Started by the Houston Bar Association, Houston Volunteer Lawyers provides free legal assistance to eligible low income area residents.
Complete an online application to determine eligibility.
Common practice areas include divorce, custody, eviction, federal taxes, debt collection, veterans, wills, probate and misdemeanor convictions.</t>
  </si>
  <si>
    <t>https://www.makejusticehappen.org/programs/</t>
  </si>
  <si>
    <t>https://www.google.com/maps/place/Houston+Volunteer+Lawyers/@29.758516,-95.3708292,17z/data=!3m2!4b1!5s0x8640bf3a2b949039:0xe6f16368b6e34694!4m6!3m5!1s0x8640bf3ade8cef81:0x5e8349c5d3cdf865!8m2!3d29.7585114!4d-95.3682543!16s%2Fg%2F1q5cdpts1?entry=ttu&amp;g_ep=EgoyMDI1MTIwOS4wIKXMDSoKLDEwMDc5MjA2OUgBUAM%3D</t>
  </si>
  <si>
    <t>29.7587162576688, -95.36825429501279</t>
  </si>
  <si>
    <t>77044, 77302, 77306, 77336, 77338, 77339, 77345, 77346, 77347, 77357, 77365, 77372, 77396, 77532</t>
  </si>
  <si>
    <t>Humble Area Assistance Ministries</t>
  </si>
  <si>
    <t>1302 1st Street East</t>
  </si>
  <si>
    <t>281-446-3663</t>
  </si>
  <si>
    <t>HAAM reviews randomly selected applications on the 10th of each month.</t>
  </si>
  <si>
    <t>All new clients must register online and create an account.
Complete online Request for Assistance form.
Government issued photo ID for each adult in the household.
Two to four pay stubs showing gross income.
Any Award Letters.
Current lease agreement.
Notice to Vacate or Eviction.
Rent assistance provided once every 24 months.</t>
  </si>
  <si>
    <t>https://haamministries.org/</t>
  </si>
  <si>
    <t>https://maps.google.com/?q=Humble%20Area%20Assistance%20Ministries%201302%201st%20St%20East%20Humble%20TX%2077338</t>
  </si>
  <si>
    <t>29.998568, -95.253811</t>
  </si>
  <si>
    <t>All new clients must register online and create an account.
Complete online Request for Assistance form.
Other than the above two items, requirements for utilities assistance is not defined on their website.</t>
  </si>
  <si>
    <t>All new clients must register online and create an account. 
Complete online Request for Assistance form.</t>
  </si>
  <si>
    <t>GED and ESL.
Financial literacy.</t>
  </si>
  <si>
    <t>Resume writing and interview coaching.
Job search assistance.
Interview skills.
Computer lab.
Job fairs and hiring events.</t>
  </si>
  <si>
    <t>Meals on Wheels.
Computer literacy class referrals.
Case management.</t>
  </si>
  <si>
    <t>Humble Clinic</t>
  </si>
  <si>
    <t>1730 Humble Place Drive</t>
  </si>
  <si>
    <t>https://www.google.com/maps/place/Humble+Dental+Clinic/@29.9951463,-95.2508657,17z/data=!3m1!4b1!4m6!3m5!1s0x8640b242971686f3:0xfe7b8451c3c6c8cc!8m2!3d29.9951463!4d-95.2482854!16s%2Fg%2F11c452z1s4?entry=ttu&amp;g_ep=EgoyMDI2MDEyNS4wIKXMDSoKLDEwMDc5MjA2OUgBUAM%3D</t>
  </si>
  <si>
    <t>29.995378547774102, -95.24830685177537</t>
  </si>
  <si>
    <t>832-927-1300</t>
  </si>
  <si>
    <t>Dental
Free or low-cost dental services for children and adolescents (6 mo to 21 years).
Services include exams. x-rays, cleanings, sealants, oral hygiene counseling, fillings, pulpotomy, crowns and extractions</t>
  </si>
  <si>
    <t>https://publichealth.harriscountytx.gov/Divisions-Offices/Divisions/Community-Health-Wellness-Division/Behavioral-Health-Services</t>
  </si>
  <si>
    <t>ICNA Relief</t>
  </si>
  <si>
    <t>100 Sharpstown Center</t>
  </si>
  <si>
    <t>Suite 55</t>
  </si>
  <si>
    <t xml:space="preserve">888-905-4262
</t>
  </si>
  <si>
    <t>Fr &amp; Sa</t>
  </si>
  <si>
    <t>Phone number receives texts only.
Text "Join" to register as a new client.
Text registration number to book appointment.</t>
  </si>
  <si>
    <t>https://icnarelief.org/houston/</t>
  </si>
  <si>
    <t>https://www.google.com/maps/place/Food+Pantry+-+ICNA+Relief+Houston/@29.7080499,-95.5162012,16z/data=!3m2!4b1!5s0x8640c2599376632f:0x1e54ca82300c3490!4m6!3m5!1s0x8640c24ab58b6807:0x386543be3d9ef859!8m2!3d29.7080453!4d-95.5136263!16s%2Fg%2F11c30qz5hn?entry=ttu&amp;g_ep=EgoyMDI1MDUxNS4xIKXMDSoASAFQAw%3D%3D</t>
  </si>
  <si>
    <t>29.7075642, -95.5141049</t>
  </si>
  <si>
    <t>{"regular":[{"days":["Fr","Sa"],"open":null,"close":null}]}</t>
  </si>
  <si>
    <t>Immaculate Conception</t>
  </si>
  <si>
    <t>7250 Harrisburg Blvd</t>
  </si>
  <si>
    <t>713-921-1261</t>
  </si>
  <si>
    <t>https://icchouston.church/</t>
  </si>
  <si>
    <t>https://maps.google.com/?q=Immaculate%20Conception%207250%20Harrisburg%20Blvd%20Houston%20TX%2077011</t>
  </si>
  <si>
    <t>29.7339106666667, -95.2968246666667</t>
  </si>
  <si>
    <t>77474, 77477</t>
  </si>
  <si>
    <t>Immaculate Conception Sealy</t>
  </si>
  <si>
    <t>608 5th Street</t>
  </si>
  <si>
    <t>979-885-3868</t>
  </si>
  <si>
    <t>Mo, We, Fr 10 a.m. to 12 p.m.</t>
  </si>
  <si>
    <t>https://icc-sealy.org/</t>
  </si>
  <si>
    <t>https://maps.google.com/?q=Immaculate%20Conception%20Sealy%20608%205th%20St%20Sealy%20TX%2077474</t>
  </si>
  <si>
    <t>29.7784841, -96.1604704328634</t>
  </si>
  <si>
    <t>{"regular":[{"days":["Mo","We","Fr"],"open":"10:00","close":"12:00"}]}</t>
  </si>
  <si>
    <t>Mo &amp; We &amp; Fr 10 a.m. to 12 p.m.</t>
  </si>
  <si>
    <t>Immigrant Defense Project</t>
  </si>
  <si>
    <t>P.O. Box 1765</t>
  </si>
  <si>
    <t>10027</t>
  </si>
  <si>
    <t>212-725-6422</t>
  </si>
  <si>
    <t>What to do in various situations in English and Spanish. Other languages available also.</t>
  </si>
  <si>
    <t>https://www.immigrantdefenseproject.org/criminal-immigration-helpline/</t>
  </si>
  <si>
    <t>40.8116, -73.955</t>
  </si>
  <si>
    <t>Manhattan</t>
  </si>
  <si>
    <t>Immigration Legal Resource Center</t>
  </si>
  <si>
    <t>833-468-4664</t>
  </si>
  <si>
    <t>https://houstonimmigration.org/for-community/hotline/</t>
  </si>
  <si>
    <t>Impact Houston Church of Christ</t>
  </si>
  <si>
    <t>1704 Weber Street</t>
  </si>
  <si>
    <t>713-864-5667</t>
  </si>
  <si>
    <t>Tu 7:30 a.m. to 11:00 a.m. &amp; We 4:30 p.m. to 8 p.m.</t>
  </si>
  <si>
    <t>Call to verify requirements</t>
  </si>
  <si>
    <t>https://impacthoustonchurch.org/resourcecenter/</t>
  </si>
  <si>
    <t>https://www.google.com/maps/place/Impact+Houston+Church+of+Christ/@29.7775053,-95.3778354,17z/data=!3m1!4b1!4m6!3m5!1s0x8640b8b5d22b486f:0xe462f348fc335710!8m2!3d29.7775007!4d-95.3752605!16s%2Fg%2F1tnss98g?entry=ttu&amp;g_ep=EgoyMDI1MDUxNS4xIKXMDSoASAFQAw%3D%3D</t>
  </si>
  <si>
    <t>29.77737, -95.3749707755102</t>
  </si>
  <si>
    <t>{"regular":[{"days":["Tu"],"open":"07:30","close":"11:00"},{"days":["We"],"open":"16:30","close":"20:00"}]}</t>
  </si>
  <si>
    <t>Mo - Th 9 a.m. to 2:30 p.m. &amp; We 6:30 p.m. &amp; Fr 6 p.m. to 8 p.m.</t>
  </si>
  <si>
    <t>https://impacthoustonchurch.org/gethelp/</t>
  </si>
  <si>
    <t>{"regular":[{"days":["Mo","Tu","We","Th"],"open":"09:00","close":"14:30"},{"days":["We"],"open":"18:30","close":null},{"days":["Fr"],"open":"18:00","close":"20:00"}]}</t>
  </si>
  <si>
    <t>India House Houston</t>
  </si>
  <si>
    <t>8888 W Belfort Avenue</t>
  </si>
  <si>
    <t>713-929-1900</t>
  </si>
  <si>
    <t>2nd &amp; 4th We</t>
  </si>
  <si>
    <t>Check website for hours.</t>
  </si>
  <si>
    <t>https://www.indiahouseinc.org/community-support/food-distribution/</t>
  </si>
  <si>
    <t>https://www.google.com/maps/place/India+House/@29.6568322,-95.5355147,16z/data=!3m1!4b1!4m6!3m5!1s0x8640e83bd63efaf3:0xb687657e2e1a4536!8m2!3d29.6568276!4d-95.5329398!16s%2Fg%2F1tnplc_4?entry=ttu&amp;g_ep=EgoyMDI1MDUxNS4xIKXMDSoASAFQAw%3D%3D</t>
  </si>
  <si>
    <t>29.656737, -95.533053</t>
  </si>
  <si>
    <t>{"special":[{"pattern":"2nd &amp; 4th We","open":null,"close":null}]}</t>
  </si>
  <si>
    <t>Sa 9 a.m. to 1 p.m.</t>
  </si>
  <si>
    <t>By appointment only.  Call on weekday to make appointment.</t>
  </si>
  <si>
    <t>Check up, routine lab work, blood draws, prescriptions, consultations.
Discounted fees for lab work.
Virendra Mathur Charity Clinic</t>
  </si>
  <si>
    <t>https://www.indiahouseinc.org/india-house-charity-volunteer-clinic/</t>
  </si>
  <si>
    <t>{"regular":[{"days":["Sa"],"open":"09:00","close":"13:00"}]}</t>
  </si>
  <si>
    <t>Mo 4 p.m. to 5 p.m. &amp; 1st &amp; 3rd We 12:30 p.m. to 2 p.m.</t>
  </si>
  <si>
    <t>All consultations over phone</t>
  </si>
  <si>
    <t>Call during business hours to make an appointment.
Only 1st consultation is free.
Mondays for Family Law and Wednesdays for Immigration</t>
  </si>
  <si>
    <t>https://www.indiahouseinc.org/community-support/legal-center/</t>
  </si>
  <si>
    <t>{"regular":[{"days":["Mo"],"open":"16:00","close":"17:00"}],"special":[{"pattern":"1st &amp; 3rd We","open":"12:30","close":"14:00"}]}</t>
  </si>
  <si>
    <t>77058, 77059, 77062, 77546, 77565, 77573, 77586, 77089, 77518, 77539, 77598</t>
  </si>
  <si>
    <t>Interfaith Caring Ministries</t>
  </si>
  <si>
    <t>151 Park Avenue</t>
  </si>
  <si>
    <t>281-332-3881 Ext 1100</t>
  </si>
  <si>
    <t>Mo, Tu, We, Th 9 a.m. to 4:30 p.m. &amp; Fr 9 a.m. to 1 p.m.</t>
  </si>
  <si>
    <t>77089, 77518, 77539 &amp; 77598 limited to CCISD.</t>
  </si>
  <si>
    <t>Budgeting workshops.
US Citizens/Permanent Residents.
Documentation of address.
Pay statement, utility bill or other documentation of your income and expenses.
Bring proof if you have applied for social security, workman's comp or unemployment.</t>
  </si>
  <si>
    <t>https://icmtx.org/</t>
  </si>
  <si>
    <t>https://maps.google.com/?q=Interfaith%20Caring%20Ministries%20151%20Park%20Ave%20League%20City%20TX%2077573</t>
  </si>
  <si>
    <t>29.509722755102, -95.0905124693878</t>
  </si>
  <si>
    <t>{"regular":[{"days":["Mo","Tu","We","Th"],"open":"09:00","close":"16:30"},{"days":["Fr"],"open":"09:00","close":"13:00"}]}</t>
  </si>
  <si>
    <t>Call to make an appointment.
Complete online Intake Form.
US Citizens/Permanent Residents.
Unexpired TX DL or ID Card.
Current lease agreement.
Current utility bill.
Disconnect or cut-off notice.
Three most recent paycheck stubs for all workers in household.
Proof of child support.
Any Award Letters, e.g. TANF, SSI, unemployment, Worker's Comp, etc.
Documentation of crisis.</t>
  </si>
  <si>
    <t>281-332-3881</t>
  </si>
  <si>
    <t>Mo - Th 8:30 a.m. to 1 p.m.</t>
  </si>
  <si>
    <t>Call to make an appointment.
Complete online Intake Form.
Social Security Card or birth certificate for all household members.
US Citizens/Permanent Residents.
Unexpired TX DL or ID Card.
Current lease agreement.
Three most recent paycheck stubs for all workers in household.
Proof of child support.
Any Award Letters, e.g. TANF, SSI, unemployment, Worker's Comp, etc.
Documentation of crisis.</t>
  </si>
  <si>
    <t>{"regular":[{"days":["Mo","Tu","We","Th"],"open":"08:30","close":"13:00"}]}</t>
  </si>
  <si>
    <t>281-332-3881 Ext 1104</t>
  </si>
  <si>
    <t>Mo - Fr 10 a.m. to 6 p.m. &amp; Sa 10 a.m. to 5 p.m.</t>
  </si>
  <si>
    <t>Free monthly food box delivery meeting the following criteria:
Disabled or homebound.
Low income and older than 60 years.
Live alone or with spouse.</t>
  </si>
  <si>
    <t>{"regular":[{"days":["Mo","Tu","We","Th","Fr"],"open":"10:00","close":"18:00"},{"days":["Sa"],"open":"10:00","close":"17:00"}]}</t>
  </si>
  <si>
    <t>77089, 77518, 77539 &amp; 77598 limited to CCISD. 
In August only.</t>
  </si>
  <si>
    <t>School supplies in August.
Families who received client services the previous year are eligible.</t>
  </si>
  <si>
    <t>Interfaith Ministries for Greater Houston</t>
  </si>
  <si>
    <t>3303 Main Street</t>
  </si>
  <si>
    <t>713-533-4900</t>
  </si>
  <si>
    <t>Tu, We, &amp; Th 8:30 a.m. to 7 p.m.</t>
  </si>
  <si>
    <t>Meals on Wheels program.
60 years or olde
Homebound
Demonstrated need for nutrition assistance, e.g. mobility issues, income restrictions, etc.
Live within the 94 zip code service areas of Harris and Galveston counties.</t>
  </si>
  <si>
    <t>https://imgh.org/</t>
  </si>
  <si>
    <t>https://maps.google.com/?q=Interfaith%20Ministries%20for%20Greater%20Houston%203303%20Main%20St%20Houston%20TX%2077002</t>
  </si>
  <si>
    <t>29.7407746326531, -95.3776236734694</t>
  </si>
  <si>
    <t>{"regular":[{"days":["Tu","We"],"open":null,"close":null},{"days":["Th"],"open":"08:30","close":"19:00"}]}</t>
  </si>
  <si>
    <t>Senior Citizens only
Meals and veterinary care for pets.</t>
  </si>
  <si>
    <t>77354, 77375, 77380, 77381, 77382, 77384, 77385, 77386, 77389</t>
  </si>
  <si>
    <t>Interfaith of the Woodlands</t>
  </si>
  <si>
    <t>4242 Interfaith Way</t>
  </si>
  <si>
    <t>77381</t>
  </si>
  <si>
    <t>281-367-1230</t>
  </si>
  <si>
    <t>Mo - Th 8:30 a.m. to 4:30 p.m. &amp; Fr 8:30 a.m. to 12 p.m.</t>
  </si>
  <si>
    <t>Restricted to Sterling Ridge for 77354 and Montgomery County for 77389</t>
  </si>
  <si>
    <t>https://maps.google.com/?q=Interfaith%20of%20the%20Woodlands%204242%20Interfaith%20Way%20Spring%20TX%2077381</t>
  </si>
  <si>
    <t>30.166222, -95.499716</t>
  </si>
  <si>
    <t>{"regular":[{"days":["Mo","Tu","We","Th"],"open":"08:30","close":"16:30"},{"days":["Fr"],"open":"08:30","close":"12:00"}]}</t>
  </si>
  <si>
    <t>The Woodlands (Cochran's Crossing, Indian Springs)</t>
  </si>
  <si>
    <t>Includes toiletries/hygiene kit. and baby care items.
Grocery delivery to homebound senior adults.</t>
  </si>
  <si>
    <t>Clothing vouchers to be used in own Resale Shop.</t>
  </si>
  <si>
    <t>Short term emergency shelter.
School supplies.</t>
  </si>
  <si>
    <t>ESL, citizenship and personal finance classes.</t>
  </si>
  <si>
    <t>Plans events for seniors.
Support and referral services.</t>
  </si>
  <si>
    <t>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t>
  </si>
  <si>
    <t>Islamic Society of Greater Houston</t>
  </si>
  <si>
    <t>10333 Harwin Drive</t>
  </si>
  <si>
    <t>Suite 245</t>
  </si>
  <si>
    <t>713-684-8939</t>
  </si>
  <si>
    <t>Tu &amp; Th 9:30 a.m. to 3:30 p.m.</t>
  </si>
  <si>
    <t>Apply in person</t>
  </si>
  <si>
    <t>Verified over phone</t>
  </si>
  <si>
    <t>Priority to muslims.
Fill out online application.
Photo ID
US Citizens/Permanent Residents.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t>
  </si>
  <si>
    <t>https://isgh.org/</t>
  </si>
  <si>
    <t>https://maps.app.goo.gl/K6Z73EZDgLPsfm299</t>
  </si>
  <si>
    <t>29.7164593731729, -95.5493977269113</t>
  </si>
  <si>
    <t>{"regular":[{"days":["Tu","Th"],"open":"09:30","close":"15:30"}]}</t>
  </si>
  <si>
    <t>Priority to muslims.
Fill out online application.
Photo ID
Social Security Card for all adults (US Citizen).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t>
  </si>
  <si>
    <t>Sa</t>
  </si>
  <si>
    <t>Call or check online for hours</t>
  </si>
  <si>
    <t>Certain Saturdays. Varies by month and location. Check website.</t>
  </si>
  <si>
    <t>Fill out online application.
Photo ID
US Citizens/Permanent Residents.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 event.</t>
  </si>
  <si>
    <t>{"regular":[{"days":["Sa"],"open":null,"close":null}]}</t>
  </si>
  <si>
    <t>Kailee Mills Foundation</t>
  </si>
  <si>
    <t>25003 Pitkin Road</t>
  </si>
  <si>
    <t>Suite C100</t>
  </si>
  <si>
    <t>77386</t>
  </si>
  <si>
    <t xml:space="preserve">Financial assistance for medical or funeral expenses resulting from a vehicle crash.  
Grief counseling.
</t>
  </si>
  <si>
    <t>https://www.kaileemillsfoundation.org</t>
  </si>
  <si>
    <t>https://www.google.com/maps/place/Kailee+Mills+Foundation/@30.1225077,-95.4427258,17z/data=!3m1!4b1!4m6!3m5!1s0x8647339f8439801f:0xde23c0419bf97b8d!8m2!3d30.1225077!4d-95.4401509!16s%2Fg%2F11gdrzml_b?entry=ttu&amp;g_ep=EgoyMDI1MDUxNS4wIKXMDSoASAFQAw%3D%3D</t>
  </si>
  <si>
    <t>30.1235025, -95.4397236</t>
  </si>
  <si>
    <t>77084, 77094, 77406, 77407, 77423, 77441, 77449, 77450, 77464, 77476, 77485, 77493, 77494</t>
  </si>
  <si>
    <t>Katy Christian Ministries</t>
  </si>
  <si>
    <t>3506 Porter Road</t>
  </si>
  <si>
    <t>Suite F</t>
  </si>
  <si>
    <t>281-391-9623</t>
  </si>
  <si>
    <t>Mo - Th 9 a.m. to 5 p.m.   Closed 12 p.m. to 1 p.m.</t>
  </si>
  <si>
    <t>Apply in person. Recommend clients call first.</t>
  </si>
  <si>
    <t>https://ktcm.org/</t>
  </si>
  <si>
    <t>https://maps.google.com/?q=Katy%20Christian%20Ministries%203506%20Porter%20Rd%2C%20Suite%20F%20Houston%20TX%2077493</t>
  </si>
  <si>
    <t>29.8248503239616, -95.7899629453831</t>
  </si>
  <si>
    <t>Day Center
Meals, clean clothing and toiletries/hygiene kit.
Structured recovery program
Closed certain holidays. Check website.</t>
  </si>
  <si>
    <t>Application form is available online but must apply in person. Recommend clients call first.
There is a resale shop that, in addition to clothing, includes furniture and household items.
Once approved, clients receive vouchers for the resale shop.</t>
  </si>
  <si>
    <t>281-391-4357 (DV), 281-693-7273 (SA)</t>
  </si>
  <si>
    <t xml:space="preserve">Phone numbers are for domestic violence (DV) and sexual assault (SA).
Crisis intervention, safety planning, therapy services accompaniments, transportation and educational services.
Help getting placed in a shelter but do not have a shelter themselves.
</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</si>
  <si>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 77423, 77445, 77446, 77466, 77484, 77492</t>
  </si>
  <si>
    <t>281-712-8314</t>
  </si>
  <si>
    <t>Call for assessment</t>
  </si>
  <si>
    <t xml:space="preserve">Financial Assistance with rent, mortgage and utilities.
Funded by the Texas Veterans Commission.  </t>
  </si>
  <si>
    <t>https://ktcm.org/social-services/</t>
  </si>
  <si>
    <t>Keturah's Haven</t>
  </si>
  <si>
    <t>2215 Porter Road</t>
  </si>
  <si>
    <t>832-437-8529</t>
  </si>
  <si>
    <t>SVdP Church Help for Moms Ministry
No new applicants</t>
  </si>
  <si>
    <t>Pregnant (12 weeks to 6 months), unhoused women between the ages of 18 and 30.
Currently drug and alcohol-free.
Not diagnosed with severe mental illness.
No other children currently under care.
Must participate in GED classes and volunteer.</t>
  </si>
  <si>
    <t>https://keturahshaven.org/</t>
  </si>
  <si>
    <t>29.804637301563695, -95.79937627824205</t>
  </si>
  <si>
    <t>77302, 77354, 77355, 77362, 77375, 77380, 77381, 77382, 77385, 77386</t>
  </si>
  <si>
    <t>Kids' Meals</t>
  </si>
  <si>
    <t>5517 FM 1488</t>
  </si>
  <si>
    <t>Suite E</t>
  </si>
  <si>
    <t>77354</t>
  </si>
  <si>
    <t>713-695-5437</t>
  </si>
  <si>
    <t>Home delivery of meals Mo - Fr and periodic bags of groceries.
Must have a child under the age of five in the home and qualify for Medicaid, TANF, SNAP or WIC.
Eligibility guidelines are on a monthly basis.</t>
  </si>
  <si>
    <t>https://kidsmealsinc.org/need-help/</t>
  </si>
  <si>
    <t>https://www.google.com/maps/place/Woodlands+Plaza+1488,+5517+FM+1488,+Magnolia,+TX+77354/@30.2226991,-95.5549706,17z/data=!3m1!4b1!4m6!3m5!1s0x86473006379f2de9:0x7d456a967fa0fd09!8m2!3d30.2226945!4d-95.5523957!16s%2Fg%2F11rr8fg055?entry=ttu&amp;g_ep=EgoyMDI1MTIwOS4wIKXMDSoKLDEwMDc5MjA2OUgBUAM%3D</t>
  </si>
  <si>
    <t>30.222898401342263, -95.5523956949435</t>
  </si>
  <si>
    <t>77003, 77004, 77007, 77008, 77009, 77011, 77012, 77016, 77018, 77020, 77021, 77022, 77028, 77029, 77033, 77035, 77036, 77037, 77038, 77039, 77040, 77041, 77045, 77051, 77055, 77060, 77063, 77071, 77074, 77076, 77078, 77080, 77087, 77088, 77091, 77093, 77096, 77547</t>
  </si>
  <si>
    <t>8790 Hammerly Blvd</t>
  </si>
  <si>
    <t>https://www.google.com/maps/place/Kids'+Meals/@29.8114364,-95.5126829,17z/data=!3m1!4b1!4m6!3m5!1s0x8640c79ac7954d85:0xa72b5d8c3f144491!8m2!3d29.8114318!4d-95.507812!16s%2Fg%2F11b7jwdw8s?entry=ttu&amp;g_ep=EgoyMDI1MTIwOS4wIKXMDSoKLDEwMDc5MjA2OUgBUAM%3D</t>
  </si>
  <si>
    <t>29.811748131823716, -95.5078656301226</t>
  </si>
  <si>
    <t>Legacy Health - Alief Bissonnet OB/GYN</t>
  </si>
  <si>
    <t>12345 Bissonnet Street</t>
  </si>
  <si>
    <t>713-814-3598</t>
  </si>
  <si>
    <t>As a Federally Qualified Health Center (FQHC), its services are open to all regardless of ability to pay.  This does not mean services are free.  Their Specialists will help you find grants, financial assistance, sliding fee scale, etc. to make your care affordable.
OB/GYN
Vaccinations</t>
  </si>
  <si>
    <t>https://www.legacycommunityhealth.org</t>
  </si>
  <si>
    <t>https://www.google.com/maps/place/Legacy+Comunity+Health+-+Alief+Clinic/@29.675233,-95.596399,15z/data=!4m15!1m8!3m7!1s0x8640dd7c60ebdc5b:0x93de6f2c7fcd62b0!2s12345+Bissonnet+St,+Houston,+TX+77099!3b1!8m2!3d29.6752333!4d-95.5963993!16s%2Fg%2F11trr6qdnn!3m5!1s0x8640ddf5dca410c5:0xdbb2f304370bd668!8m2!3d29.6753794!4d-95.5963405!16s%2Fg%2F11t89f6w0m?hl=en&amp;entry=ttu&amp;g_ep=EgoyMDI1MTAxNC4wIKXMDSoASAFQAw%3D%3D</t>
  </si>
  <si>
    <t>29.67627703066744, -95.59629171051989</t>
  </si>
  <si>
    <t>Legacy Health - BakerRipley</t>
  </si>
  <si>
    <t>Building B, Suite 200</t>
  </si>
  <si>
    <t>713-351-7350</t>
  </si>
  <si>
    <t xml:space="preserve">Adult medicine, acute care, chronic disease management, sexual health, on-site lab, endocrinology, geriatrics, HIV/STD screening, LGBTQ services OB/GYN and maternity, pediatrics, pharmacy and immunizations.
As a Federally Qualified Health Center (FQHC), its services are open to all regardless of ability to pay.  This does not mean services are free.  Their Specialists will help you find grants, financial assistance, sliding fee scale, etc. to make your care affordable.
</t>
  </si>
  <si>
    <t>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t>
  </si>
  <si>
    <t>29.711907660495925, -95.49791662630348</t>
  </si>
  <si>
    <t>Dental
As a Federally Qualified Health Center (FQHC), its services are open to all regardless of ability to pay.  This does not mean services are free.  Their Specialists will help you find grants, financial assistance, sliding fee scale, etc. to make your care affordable.
Dental services include children's dentistry, cleanings, exams, extractions, screenings, fillings and urgent care (Emergencies).</t>
  </si>
  <si>
    <t xml:space="preserve">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t>
  </si>
  <si>
    <t>Legacy Health - Baytown Garth</t>
  </si>
  <si>
    <t>3509 Garth Road</t>
  </si>
  <si>
    <t>77521</t>
  </si>
  <si>
    <t>281-420-8400</t>
  </si>
  <si>
    <t>Mo - Th 8 a.m. to 5:30 p.m. &amp; Fr 8 a.m. to 6 p.m.</t>
  </si>
  <si>
    <t>As a Federally Qualified Health Center (FQHC), its services are open to all regardless of ability to pay.  This does not mean services are free.  Their Specialists will help you find grants, financial assistance, sliding fee scale, etc. to make your care affordable.
Behavioral Health
OB/GYN
Pediatrics</t>
  </si>
  <si>
    <t>https://www.google.com/maps/place/Legacy+Community+Health+-+Baytown+Garth/@29.760791,-94.97853,15z/data=!4m15!1m8!3m7!1s0x863f5e9e10884a09:0xac9587bb56633f77!2s3509+Garth+Rd,+Baytown,+TX+77521!3b1!8m2!3d29.7607909!4d-94.9785298!16s%2Fg%2F11hbmnnnyq!3m5!1s0x863f5fe1a4158cdf:0x45883d67eb831369!8m2!3d29.7608248!4d-94.9785618!16s%2Fg%2F11vdw8g21b?hl=en&amp;entry=ttu&amp;g_ep=EgoyMDI1MTAxNC4wIKXMDSoASAFQAw%3D%3D</t>
  </si>
  <si>
    <t>29.761685120954283, -94.97868020506112</t>
  </si>
  <si>
    <t>{"regular":[{"days":["Mo","Tu","We","Th"],"open":"08:00","close":"17:30"},{"days":["Fr"],"open":"08:00","close":"18:00"}]}</t>
  </si>
  <si>
    <t>Legacy Health - Bissonnet Pediatrics</t>
  </si>
  <si>
    <t>12667 Bissonnet Street</t>
  </si>
  <si>
    <t>As a Federally Qualified Health Center (FQHC), its services are open to all regardless of ability to pay.  This does not mean services are free.  Their Specialists will help you find grants, financial assistance, sliding fee scale, etc. to make your care affordable.
Pediatrics
Behavioral Health
Vaccinations</t>
  </si>
  <si>
    <t>https://www.google.com/maps/place/Legacy+Community+Health+-+Bissonnet+Pediatrics/@29.676783,-95.601627,16z/data=!4m15!1m8!3m7!1s0x8640dd78d4868625:0xe616961881a2f86d!2s12667+Bissonnet+St,+Houston,+TX+77099!3b1!8m2!3d29.6767825!4d-95.6016268!16s%2Fg%2F11c5kckhbc!3m5!1s0x8640dd78c39e740f:0x963e00119d2858b!8m2!3d29.6767825!4d-95.6016268!16s%2Fg%2F11b6j71gry?hl=en&amp;entry=ttu&amp;g_ep=EgoyMDI1MTAxNC4wIKXMDSoASAFQAw%3D%3D</t>
  </si>
  <si>
    <t>29.677099933001386, -95.6015733556588</t>
  </si>
  <si>
    <t>Legacy Health - Deer Park</t>
  </si>
  <si>
    <t>3430 Center Street</t>
  </si>
  <si>
    <t>281-628-2040</t>
  </si>
  <si>
    <t>As a Federally Qualified Health Center (FQHC), its services are open to all regardless of ability to pay.  This does not mean services are free.  Their Specialists will help you find grants, financial assistance, sliding fee scale, etc. to make your care affordable.
Pediatrics
Behavioral Health
OB/GYN
Vaccinations</t>
  </si>
  <si>
    <t>https://www.google.com/maps/place/Legacy+Community+Health+-+Deer+Park/@29.679992,-95.124661,15z/data=!4m15!1m8!3m7!1s0x86409f5d18ab2f03:0x3786ce705584b3f1!2s3430+Center+St,+Deer+Park,+TX+77536!3b1!8m2!3d29.6799918!4d-95.1246608!16s%2Fg%2F11bw3y_yq8!3m5!1s0x86409f5d18aaae7d:0x9f1e8c35fd99102a!8m2!3d29.6799723!4d-95.1246391!16s%2Fg%2F11df0x5803?hl=en&amp;entry=ttu&amp;g_ep=EgoyMDI1MTAxNC4wIKXMDSoASAFQAw%3D%3D</t>
  </si>
  <si>
    <t>29.680812270963965, -95.12463954213996</t>
  </si>
  <si>
    <t>Legacy Health - Fifth Ward Lyons</t>
  </si>
  <si>
    <t>3811 Lyons Avenue</t>
  </si>
  <si>
    <t>832-548-5400</t>
  </si>
  <si>
    <t>Mo - Fr 8 a.m. to 5:15 p.m. &amp; 4th &amp; 5th Sa 8 a.m. to 4 p.m.</t>
  </si>
  <si>
    <t>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Children
Behavioral Health
HIV/STI Care
OB/GYN
Pharmacy
Vaccinations
Vision</t>
  </si>
  <si>
    <t>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t>
  </si>
  <si>
    <t>29.776965985874888, -95.33133796385674</t>
  </si>
  <si>
    <t>{"regular":[{"days":["Mo","Tu","We","Th","Fr"],"open":"08:00","close":"17:15"}],"special":[{"pattern":"4th &amp; 5th Sa","open":"08:00","close":"16:00"}]}</t>
  </si>
  <si>
    <t>Dental &amp; Vision
As a Federally Qualified Health Center (FQHC), its services are open to all regardless of ability to pay.  This does not mean services are free.  Their Specialists will help you find grants, financial assistance, sliding fee scale, etc. to make your care affordable.
Dental services include children's dentistry, cleanings, exams, extractions, screenings, fillings and urgent care (Emergencies).
Vision services include eye exams, diabetic vision screens, glaucoma testing, HIV vision exams, prescription glasses, contact lenses and frames.</t>
  </si>
  <si>
    <t>Legacy Health - Galena Park</t>
  </si>
  <si>
    <t>13940 Bonham Street</t>
  </si>
  <si>
    <t>77015</t>
  </si>
  <si>
    <t>832-548-5240</t>
  </si>
  <si>
    <t xml:space="preserve">As a Federally Qualified Health Center (FQHC), its services are open to all regardless of ability to pay.  This does not mean services are free.  Their Specialists will help you find grants, financial assistance, sliding fee scale, etc. to make your care affordable.
Dental
</t>
  </si>
  <si>
    <t>https://www.google.com/maps/place/Legacy+Galena+Park+Dental+Clinic+at+Almatha+Clark+Taylor+Clinic/@29.775996,-95.176222,15z/data=!4m15!1m8!3m7!1s0x8640a38669a0dafd:0x4f22e38d37775ed5!2s13940+Bonham+St,+Houston,+TX+77015!3b1!8m2!3d29.7759964!4d-95.1762219!16s%2Fg%2F11bw3ysfpb!3m5!1s0x8640a39be342dc43:0xe6891a57f4ec7402!8m2!3d29.7760042!4d-95.1762259!16s%2Fg%2F11l6tjrwxw?hl=en&amp;entry=ttu&amp;g_ep=EgoyMDI1MTAxNC4wIKXMDSoASAFQAw%3D%3D</t>
  </si>
  <si>
    <t>29.776703738193493, -95.1760288795972</t>
  </si>
  <si>
    <t>Legacy Health - Gulfton Dashwood</t>
  </si>
  <si>
    <t>5420 Dashwood Drive</t>
  </si>
  <si>
    <t>713-779-7200, 713-814-3553 (HIV)</t>
  </si>
  <si>
    <t>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and Children
OB/GYN
Endocrinology
Vaccinations
HIV/STI Care
Behavioral Health</t>
  </si>
  <si>
    <t>https://www.google.com/maps/place/Legacy+Community+Health+-+Gulfton+Dashwood/@29.7079481,-95.4799541,16z/data=!3m2!4b1!5s0x8640c188ffd40d4b:0xb1250d9b80f5591f!4m6!3m5!1s0x8640c11894eee1e1:0x93b35dfd7c425b41!8m2!3d29.7079482!4d-95.4750778!16s%2Fg%2F11k3ry7gdf?entry=ttu&amp;g_ep=EgoyMDI1MTAxNC4wIKXMDSoASAFQAw%3D%3D</t>
  </si>
  <si>
    <t>29.708264853959573, -95.47500805381556</t>
  </si>
  <si>
    <t>Legacy Health - Missouri City</t>
  </si>
  <si>
    <t>3021 Texas Parkway</t>
  </si>
  <si>
    <t>713-814-3655 (Seniors), 832-548-5000 (Pediatrics)</t>
  </si>
  <si>
    <t xml:space="preserve">As a Federally Qualified Health Center (FQHC), its services are open to all regardless of ability to pay.  This does not mean services are free.  Their Specialists will help you find grants, financial assistance, sliding fee scale, etc. to make your care affordable.
Primary Care, Nutrition Counseling, Behavioral Health and social services for Seniors
Pediatrics
</t>
  </si>
  <si>
    <t>https://www.google.com/maps/place/Legacy+Community+Health+-+Missouri+City/@29.582179,-95.525044,16z/data=!4m15!1m8!3m7!1s0x8640e8d357c5ee9f:0xc1ce0f701f4cee35!2s3021+Texas+Pkwy,+Missouri+City,+TX+77489!3b1!8m2!3d29.5821788!4d-95.5250441!16s%2Fg%2F11s7phw6zw!3m5!1s0x8640e9106ff9abc9:0x9f496310fe4abe37!8m2!3d29.581806!4d-95.524787!16s%2Fg%2F11x_m3bzxk?hl=en&amp;entry=ttu&amp;g_ep=EgoyMDI1MTAxNC4wIKXMDSoASAFQAw%3D%3D</t>
  </si>
  <si>
    <t>29.58232828462606, -95.52471140559021</t>
  </si>
  <si>
    <t>Quail Green South</t>
  </si>
  <si>
    <t>Legacy Health - Montrose</t>
  </si>
  <si>
    <t>1415 California Street</t>
  </si>
  <si>
    <t>832-548-5100</t>
  </si>
  <si>
    <t xml:space="preserve">Mo - Th 8 a.m. to 8 p.m. &amp; Fr 8 a.m. to 6 p.m. &amp; Sa 8 a.m. to 5 p.m. </t>
  </si>
  <si>
    <t>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Seniors
Behavioral Health
Dental
Endocrinology
HIV/STI Care
OB/GYN
Pharmacy
Vision</t>
  </si>
  <si>
    <t>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t>
  </si>
  <si>
    <t>29.745216478038515, -95.39412237160275</t>
  </si>
  <si>
    <t>{"regular":[{"days":["Mo","Tu","We","Th"],"open":"08:00","close":"20:00"},{"days":["Fr"],"open":"08:00","close":"18:00"},{"days":["Sa"],"open":"08:00","close":"17:00"}]}</t>
  </si>
  <si>
    <t>Hyde Park</t>
  </si>
  <si>
    <t>Legacy Health - Northline</t>
  </si>
  <si>
    <t>5598 A-1 North Fwy</t>
  </si>
  <si>
    <t>281-628-2030</t>
  </si>
  <si>
    <t>As a Federally Qualified Health Center (FQHC), its services are open to all regardless of ability to pay.  This does not mean services are free.  Their Specialists will help you find grants, financial assistance, sliding fee scale, etc. to make your care affordable.
Behavioral Health
HIV/STI Care
OB/GYN
Vaccinations</t>
  </si>
  <si>
    <t>https://www.google.com/maps/place/Legacy+Community+Health+-+Northline/@29.848071,-95.393357,15z/data=!4m6!3m5!1s0x8640b809e0f6b0ed:0xf7f613c774793379!8m2!3d29.8480506!4d-95.3935508!16s%2Fg%2F11f4qlpxm6?hl=en&amp;entry=ttu&amp;g_ep=EgoyMDI1MTAxNC4wIKXMDSoASAFQAw%3D%3D</t>
  </si>
  <si>
    <t>29.84900156368832, -95.39329262639133</t>
  </si>
  <si>
    <t>Legacy Health - Northside Irvington</t>
  </si>
  <si>
    <t>3517 Irvington Blvd</t>
  </si>
  <si>
    <t>713-814-3590</t>
  </si>
  <si>
    <t>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Children
Behavioral Health
OB/GYN
Vaccinations</t>
  </si>
  <si>
    <t>https://www.google.com/maps/place/Legacy+Community+Health+-+Northside+Irvington/@29.792784,-95.361366,14z/data=!4m15!1m8!3m7!1s0x8640b8dce828d4a5:0x7988ac73433370d4!2s3517+Irvington+Blvd,+Houston,+TX+77009!3b1!8m2!3d29.7924589!4d-95.3612297!16s%2Fg%2F11s3vw7plt!3m5!1s0x8640b931dfb4d773:0xa7b60a6f2d5f3c67!8m2!3d29.7924589!4d-95.3612297!16s%2Fg%2F11s_zrfz4z?hl=en&amp;entry=ttu&amp;g_ep=EgoyMDI1MTAxNC4wIKXMDSoASAFQAw%3D%3D</t>
  </si>
  <si>
    <t>29.794050266565662, -95.3611514205488</t>
  </si>
  <si>
    <t>Legacy Health - San Jacinto</t>
  </si>
  <si>
    <t>4301 Garth Road</t>
  </si>
  <si>
    <t>Suite 400</t>
  </si>
  <si>
    <t>Mo, Tu, Th, Fr 8 a.m. to 6 p.m.</t>
  </si>
  <si>
    <t>As a Federally Qualified Health Center (FQHC), its services are open to all regardless of ability to pay.  This does not mean services are free.  Their Specialists will help you find grants, financial assistance, sliding fee scale, etc. to make your care affordable.
Pediatrics
OB/GYN
Behavioral Health
HIV/STI Care</t>
  </si>
  <si>
    <t>https://www.google.com/maps/place/Legacy+Community+Health+-+San+Jacinto/@29.76821,-94.980158,15z/data=!3m1!5s0x863f5ea105f2ba5b:0xe13b58db4d4a4029!4m15!1m8!3m7!1s0x863f5ea105848eb3:0x8b061118091a66bf!2s4301+Garth+Rd,+Baytown,+TX+77521!3b1!8m2!3d29.7682095!4d-94.9801584!16s%2Fg%2F11bw3ytp1f!3m5!1s0x863f5ea08e8b1a95:0x1bdd7ed32477e6ba!8m2!3d29.7682941!4d-94.9800503!16s%2Fg%2F11b86bplsk?hl=en&amp;entry=ttu&amp;g_ep=EgoyMDI1MTAxNC4wIKXMDSoASAFQAw%3D%3D</t>
  </si>
  <si>
    <t>29.768992297723653, -94.97996487943409</t>
  </si>
  <si>
    <t>{"regular":[{"days":["Mo","Tu","Th","Fr"],"open":"08:00","close":"18:00"}]}</t>
  </si>
  <si>
    <t>Legacy Health - Santa Clara</t>
  </si>
  <si>
    <t>5616 Lawndale Street</t>
  </si>
  <si>
    <t>713-921-0075</t>
  </si>
  <si>
    <t>As a Federally Qualified Health Center (FQHC), its services are open to all regardless of ability to pay.  This does not mean services are free.  Their Specialists will help you find grants, financial assistance, sliding fee scale, etc. to make your care affordable.
Primary Care for Adult &amp; Children
Behavioral Health
OB/GYN
Vaccinations</t>
  </si>
  <si>
    <t>https://www.google.com/maps/place/Legacy+Community+Health+-+Santa+Clara/@29.726118,-95.316704,15z/data=!4m15!1m8!3m7!1s0x8640be7dcd183349:0x340b8b9134115064!2s5616+Lawndale+St,+Houston,+TX+77023!3b1!8m2!3d29.7261181!4d-95.3167038!16s%2Fg%2F11bw3zc99_!3m5!1s0x8640be7db67531d1:0xadaece6aa33f701a!8m2!3d29.7261181!4d-95.3169372!16s%2Fg%2F11bv2p83z0?hl=en&amp;entry=ttu&amp;g_ep=EgoyMDI1MTAxNC4wIKXMDSoASAFQAw%3D%3D</t>
  </si>
  <si>
    <t>29.727086966027247, -95.31681128939701</t>
  </si>
  <si>
    <t>Legacy Health - Southwest</t>
  </si>
  <si>
    <t>6441 High Star Drive</t>
  </si>
  <si>
    <t>832-548-5300</t>
  </si>
  <si>
    <t>Mo - Fr 8 a.m. to 8 p.m. &amp; Su 12 p.m. to 6 p.m.</t>
  </si>
  <si>
    <t>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Children
HIV/STI Care
OB/GYN
Pharmacy
Vaccinations</t>
  </si>
  <si>
    <t>https://www.google.com/maps/place/6441+High+Star+Dr,+Houston,+TX+77074/@29.710416,-95.495616,16z/data=!4m6!3m5!1s0x8640c2377b0477d9:0xe243bb94ad97913c!8m2!3d29.7104159!4d-95.4956161!16s%2Fg%2F11fs6hvxbs?hl=en&amp;entry=ttu&amp;g_ep=EgoyMDI1MTAxNC4wIKXMDSoASAFQAw%3D%3D</t>
  </si>
  <si>
    <t>29.7108632850486, -95.49566964441873</t>
  </si>
  <si>
    <t>{"regular":[{"days":["Mo","Tu","We","Th","Fr"],"open":"08:00","close":"20:00"},{"days":["Su"],"open":"12:00","close":"18:00"}]}</t>
  </si>
  <si>
    <t>Legacy Health - Stafford Fountains</t>
  </si>
  <si>
    <t>12540 Sugardale Drive</t>
  </si>
  <si>
    <t>832-548-5000</t>
  </si>
  <si>
    <t>As a Federally Qualified Health Center (FQHC), its services are open to all regardless of ability to pay.  This does not mean services are free.  Their Specialists will help you find grants, financial assistance, sliding fee scale, etc. to make your care affordable.
Behavioral Health
OB/GYN
Pediatrics
Vaccinations</t>
  </si>
  <si>
    <t>https://www.google.com/maps/place/Legacy+Community+Health+-+Stafford+Fountains/@29.641479,-95.585778,16z/data=!4m15!1m8!3m7!1s0x8640e7b923928035:0x7f5e233133f37076!2s12540+Sugardale+Dr,+Stafford,+TX+77477!3b1!8m2!3d29.6414787!4d-95.5857776!16s%2Fg%2F11bw3hr1gq!3m5!1s0x8640e74ec1c4a667:0x34b9f2fff95a7763!8m2!3d29.6414763!4d-95.585811!16s%2Fg%2F11smzsdxyr?hl=en&amp;entry=ttu&amp;g_ep=EgoyMDI1MTAxNC4wIKXMDSoASAFQAw%3D%3D</t>
  </si>
  <si>
    <t>29.641926591785012, -95.58576727111193</t>
  </si>
  <si>
    <t>The Fountains</t>
  </si>
  <si>
    <t>Legacy Health - Third Ward</t>
  </si>
  <si>
    <t>2222 Cleburne Street</t>
  </si>
  <si>
    <t>713-814-3655</t>
  </si>
  <si>
    <t>As a Federally Qualified Health Center (FQHC), its services are open to all regardless of ability to pay.  This does not mean services are free.  Their Specialists will help you find grants, financial assistance, sliding fee scale, etc. to make your care affordable.
Senior Primary Care
Vaccinations</t>
  </si>
  <si>
    <t>https://www.google.com/maps/place/Legacy+Community+Health+-+Third+Ward/@29.729134,-95.371113,15z/data=!4m15!1m8!3m7!1s0x8640bf0ae3441097:0xf8edee53a602da51!2s2222+Cleburne+St+Ste.+108,+Houston,+TX+77004!3b1!8m2!3d29.729134!4d-95.3711129!16s%2Fg%2F11zjcj5clc!3m5!1s0x8640bf735787af4b:0x2f0d6c58ede560c!8m2!3d29.729134!4d-95.3711129!16s%2Fg%2F11pxxb6w21?hl=en&amp;entry=ttu&amp;g_ep=EgoyMDI1MTAxNC4wIKXMDSoASAFQAw%3D%3D</t>
  </si>
  <si>
    <t>29.72995386969733, -95.37109154215139</t>
  </si>
  <si>
    <t>Legacy Health - Wellness Bar</t>
  </si>
  <si>
    <t>120 Westheimer Road</t>
  </si>
  <si>
    <t>713-814-3730</t>
  </si>
  <si>
    <t>Mo 10 a.m. to 7 p.m. &amp; Tu - Th 8:30 a.m. to 5:30 p.m. &amp; Fr 7 a.m. to 4 p.m.</t>
  </si>
  <si>
    <t>As a Federally Qualified Health Center (FQHC), its services are open to all regardless of ability to pay.  This does not mean services are free.  Their Specialists will help you find grants, financial assistance, sliding fee scale, etc. to make your care affordable.
HIV/STI Care</t>
  </si>
  <si>
    <t>https://www.google.com/maps/place/Wellness+Bar+by+Legacy/@29.7448359,-95.3851878,17z/data=!3m1!4b1!4m6!3m5!1s0x8640bfa1548255f5:0x6f521dceaff7fef5!8m2!3d29.7448359!4d-95.3826075!16s%2Fg%2F11llbmyfyz?entry=ttu&amp;g_ep=EgoyMDI1MTAxNC4wIKXMDSoASAFQAw%3D%3D</t>
  </si>
  <si>
    <t>29.745078044033825, -95.38254312009549</t>
  </si>
  <si>
    <t>{"regular":[{"days":["Mo"],"open":"10:00","close":"19:00"},{"days":["Tu","We","Th"],"open":"08:30","close":"17:30"},{"days":["Fr"],"open":"07:00","close":"16:00"}]}</t>
  </si>
  <si>
    <t>Lifehouse Houston</t>
  </si>
  <si>
    <t>2315 Minnesota Street</t>
  </si>
  <si>
    <t>77034</t>
  </si>
  <si>
    <t>713-623-2120</t>
  </si>
  <si>
    <t>Shared residential space for pregnant mothers
Educational Classes
Counseling &amp; Case Management
Workforce Development
Adoption Referrals
Shelter</t>
  </si>
  <si>
    <t>https://lifehousehouston.org/</t>
  </si>
  <si>
    <t>29.64776185, -95.2375250058051</t>
  </si>
  <si>
    <t>Edgebrook Area</t>
  </si>
  <si>
    <t>Living Hope Wheelchair Association</t>
  </si>
  <si>
    <t>9500 Westview Drive</t>
  </si>
  <si>
    <t>Suite 104</t>
  </si>
  <si>
    <t>281-764-6251</t>
  </si>
  <si>
    <t>Monthly distribution of supplies and medical equipment, e.g. wheelchairs, scooters and hospital beds.
Wheelchair repair and maintenance.
To request medical supplies or equipment email:  servicios@lhwassociation.org</t>
  </si>
  <si>
    <t>https://www.lhwassociation.org/</t>
  </si>
  <si>
    <t>https://www.google.com/maps/place/Living+Hope+Wheelchair+Association/@29.7932354,-95.529078,17z/data=!3m1!4b1!4m9!3m8!1s0x8640db47a5ae9cf1:0x96cf8723d6996be0!5m2!4m1!1i2!8m2!3d29.7932308!4d-95.5242071!16s%2Fg%2F11cm0kck5h?entry=ttu&amp;g_ep=EgoyMDI1MDUxMS4wIKXMDSoASAFQAw%3D%3D</t>
  </si>
  <si>
    <t>29.792989, -95.523808</t>
  </si>
  <si>
    <t>Lonestar Legal Aid</t>
  </si>
  <si>
    <t>1415 Fannin Street</t>
  </si>
  <si>
    <t>713-652-0077
713-652-5911</t>
  </si>
  <si>
    <t>Mo - Fr 8:30 a.m. to 12:30 p.m.</t>
  </si>
  <si>
    <t>https://www.lonestarlegal.org/</t>
  </si>
  <si>
    <t>https://maps.google.com/?q=Lonestar%20Legal%20Aid%201415%20Fannin%20Houston%20TX%2077002</t>
  </si>
  <si>
    <t>29.7527619, -95.3665744858516</t>
  </si>
  <si>
    <t>{"regular":[{"days":["Mo","Tu","We","Th","Fr"],"open":"08:30","close":"12:30"}]}</t>
  </si>
  <si>
    <t>Must meet financial and legal status eligibility requirements.
However, may still be able to help even if you earn more than 125% of the Federal Poverty Guidelines.
Service 76 counties. See website for location near you.
May apply online.
Consumer, Crime Victims Unit, Disaster Relief, Education, Employment, Eviction Defense, Fair Housing, Family Law, Financial Assistance &amp; Public Benefits, Foreclosure Prevention, Sexual Assault Project, Children's Health and Security, Low Income Taxpayer, Neighborhood Problems, Medical and Military &amp; Veterans.</t>
  </si>
  <si>
    <t>Lord of the Streets</t>
  </si>
  <si>
    <t>3401 Fannin Street</t>
  </si>
  <si>
    <t>713-526-0311</t>
  </si>
  <si>
    <t xml:space="preserve">Coalition for the Homeless (CFTH) Partner/Rapid Rehousing
Clothing and hygiene kits.
Partnership with UofH School of Optometry provides loaner glasses, eye exams and voucher for glasses.
Mobile showers once a week
</t>
  </si>
  <si>
    <t>https://www.lotshouston.org/services-we-offer.html</t>
  </si>
  <si>
    <t>https://www.google.com/maps/place/Lord+of+the+Streets/@29.7395326,-95.37956,17z/data=!3m1!4b1!4m6!3m5!1s0x8640bf6dc0907353:0x66d6db853817e704!8m2!3d29.739528!4d-95.3769851!16s%2Fg%2F11kbyknd41?entry=ttu&amp;g_ep=EgoyMDI1MTAwOC4wIKXMDSoASAFQAw%3D%3D</t>
  </si>
  <si>
    <t>29.739835373225258, -95.37717821243359</t>
  </si>
  <si>
    <t xml:space="preserve">Vision
Partnership with UofH School of Optometry provides loaner glasses, eye exams and voucher for glasses.
</t>
  </si>
  <si>
    <t>Low Cost Pet Vax</t>
  </si>
  <si>
    <t>3202 West Irving Blvd</t>
  </si>
  <si>
    <t>Irving</t>
  </si>
  <si>
    <t>75061</t>
  </si>
  <si>
    <t>817-282-1000</t>
  </si>
  <si>
    <t>Sa &amp; Su</t>
  </si>
  <si>
    <t>Check website for locations, dates and times.</t>
  </si>
  <si>
    <t>Mobile clinic at various locations.
Not free but low cost.
Check website for prices location, days and hours.</t>
  </si>
  <si>
    <t>https://www.lowcostpetvaccinations.net/texas-pet-vaccination-clinics/houston/</t>
  </si>
  <si>
    <t>29.7594, -95.3594</t>
  </si>
  <si>
    <t>{"regular":[{"days":["Sa","Su"],"open":null,"close":null}]}</t>
  </si>
  <si>
    <t>M I Lewis Social Service Center</t>
  </si>
  <si>
    <t>245 FM 517 E</t>
  </si>
  <si>
    <t>281-534-2043</t>
  </si>
  <si>
    <t>Tu - Fr 8:30 a.m. to 1 p.m.</t>
  </si>
  <si>
    <t>US Citizens or legal residents</t>
  </si>
  <si>
    <t>https://www.milewisctr.org/emergency-assistance</t>
  </si>
  <si>
    <t>https://www.google.com/maps/place/M.I.+Lewis+Social+Service+Center/@29.4507511,-95.0780018,17z/data=!3m1!4b1!4m6!3m5!1s0x863f7d828ad418a1:0x21267f366390e618!8m2!3d29.4507511!4d-95.0754215!16s%2Fg%2F1tk6w8v7?entry=ttu&amp;g_ep=EgoyMDI1MDcwOS4wIKXMDSoASAFQAw%3D%3D</t>
  </si>
  <si>
    <t>29.450984610214718, -95.07535712077423</t>
  </si>
  <si>
    <t>{"regular":[{"days":["Tu","We","Th","Fr"],"open":"08:30","close":"13:00"}]}</t>
  </si>
  <si>
    <t xml:space="preserve">US Citizens or legal residents.
Pre Registration required.
</t>
  </si>
  <si>
    <t>https://www.milewisctr.org/food-assistance</t>
  </si>
  <si>
    <t>Once a month home delivery of groceries.
Must be 60+ years or disabled.
Homebound with no means of transportation.
Meet income eligibility.
Pre Registration required.
US Citizens or legal residents</t>
  </si>
  <si>
    <t>https://www.milewisctr.org/senior-delivieries</t>
  </si>
  <si>
    <t>School supplies in August.
DISD students who qualify for free or reduced lunch.
Pre Registration required.</t>
  </si>
  <si>
    <t>https://www.milewisctr.org/school-supplies</t>
  </si>
  <si>
    <t>Magnificat Houses</t>
  </si>
  <si>
    <t>2009 Congress Street</t>
  </si>
  <si>
    <t>713-529-4231</t>
  </si>
  <si>
    <t>Tu - Sa 11 a.m. &amp; Su 8:30 a.m.</t>
  </si>
  <si>
    <t>Hot, home cooked meals served six days a week
Lunch Mo-Sa and Breakfast on Su</t>
  </si>
  <si>
    <t>https://mhihouston.org/what-we-do/meals/</t>
  </si>
  <si>
    <t>https://www.google.com/maps/place/Loaves+%26+Fishes+Soup+Kitchen+(Magnificat+Houses)/@29.7570348,-95.3543245,16z/data=!3m1!4b1!4m6!3m5!1s0x8640bed8a687e55f:0xd108073051089752!8m2!3d29.7570348!4d-95.3517496!16s%2Fg%2F1hc90fjsx?entry=ttu&amp;g_ep=EgoyMDI1MDQwOS4wIKXMDSoASAFQAw%3D%3D</t>
  </si>
  <si>
    <t>29.757046877551, -95.3518886938776</t>
  </si>
  <si>
    <t>{"regular":[{"days":["Tu","We","Th","Fr","Sa"],"open":"11:00","close":null},{"days":["Su"],"open":"08:30","close":null}]}</t>
  </si>
  <si>
    <t>East Downtown</t>
  </si>
  <si>
    <t>1410 Elgin Street</t>
  </si>
  <si>
    <t>Coalition for the Homeless (CFTH) Partner/Rapid Rehousing
Intake interviews in person, limited walk-in availability
Three meals a day
Work clothing
On-campus jobs, skills training</t>
  </si>
  <si>
    <t>https://mhihouston.org/what-we-do/housing/</t>
  </si>
  <si>
    <t>https://www.google.com/maps/place/Magnificat+Houses,+Inc.+(Admissions+and+Supportive+Services)/@29.7389347,-95.3756947,16z/data=!3m1!4b1!4m6!3m5!1s0x8640bf6d4a1761bf:0x6615d6c658102de!8m2!3d29.7389347!4d-95.3731198!16s%2Fg%2F1hc2bj425?entry=ttu&amp;g_ep=EgoyMDI1MDQwOS4wIKXMDSoASAFQAw%3D%3D</t>
  </si>
  <si>
    <t>29.739391122449, -95.3734663265306</t>
  </si>
  <si>
    <t>Annual health assessment and flu shot
Assistance finding doctors and dentists
Transportation to medical appointments</t>
  </si>
  <si>
    <t>Magnolia Multi-Service Center</t>
  </si>
  <si>
    <t>713-743-2773</t>
  </si>
  <si>
    <t>Appointment only</t>
  </si>
  <si>
    <t>Speech, Language and Hearing Clinic
University of Houston and United Way run services providing evaluation, screening and treatment for children with speech, language and/or hearing problems</t>
  </si>
  <si>
    <t>https://www.houstonhealth.org/services/multi-service-centers/magnolia-multi-service-center</t>
  </si>
  <si>
    <t>https://www.google.com/maps/place/Houston+Health+Department+Magnolia+Multi-Service+Center/@29.732484,-95.3032207,16.64z/data=!4m6!3m5!1s0x8640bc2de78f87a3:0x1235e8616601823b!8m2!3d29.7345178!4d-95.3009019!16s%2Fg%2F1tg870nd?entry=ttu&amp;g_ep=EgoyMDI2MDIwMS4wIKXMDSoKLDEwMDc5MjA2OUgBUAM%3D</t>
  </si>
  <si>
    <t>29.734713974086542, -95.30085223475542</t>
  </si>
  <si>
    <t>832-395-3408</t>
  </si>
  <si>
    <t>Mo 8 a.m. to 5 p.m. &amp; Tu - Fr 7 a.m. to 4 p.m.</t>
  </si>
  <si>
    <t>Dental
Preventative and restorative services for adults and children.
Medicaid:  6 months through 21 years old
Chip Card:  1 year through 18 years old
Title V:  6 months through 21 years and do not have dental insurance.  Pregnant women during pregnancy and through 90 days after delivery.</t>
  </si>
  <si>
    <t>713-295-2255</t>
  </si>
  <si>
    <t>Mo 8 a.m. to 4 p.m.</t>
  </si>
  <si>
    <t>832-395-3422</t>
  </si>
  <si>
    <t>832-395-3437</t>
  </si>
  <si>
    <t>2nd Mo 8 a.m. to 11 a.m.</t>
  </si>
  <si>
    <t>Food Distribution
by the Houston Food Bank for low income seniors only</t>
  </si>
  <si>
    <t>Main Street Ministries</t>
  </si>
  <si>
    <t>5100 Travis Street</t>
  </si>
  <si>
    <t>Mo - Th 9 a.m. to 2:30 p.m.</t>
  </si>
  <si>
    <t>No financial assistance. Will tell you to call 211.</t>
  </si>
  <si>
    <t>https://msmhouston.org/</t>
  </si>
  <si>
    <t>https://maps.google.com/?q=Main%20Street%20Ministries%20%20%20TX%20</t>
  </si>
  <si>
    <t>29.72925, -95.388211</t>
  </si>
  <si>
    <t>{"regular":[{"days":["Mo","Tu","We","Th"],"open":"09:00","close":"14:30"}]}</t>
  </si>
  <si>
    <t>Homeless - Other</t>
  </si>
  <si>
    <t>Help get state issued IDs.
Life empowerment workshops.
No walk-ins. Need to schedule an appointment.</t>
  </si>
  <si>
    <t>Mamie George Community Center</t>
  </si>
  <si>
    <t>1111 Collins Road</t>
  </si>
  <si>
    <t>281-202-6254
281-202-6200</t>
  </si>
  <si>
    <t>Tu 5 p.m. to 7 p.m. &amp; Th 8:30 a.m. to 11:30 a.m.</t>
  </si>
  <si>
    <t>No appointment necessary
Periodic food fairs. Check website for dates.
Part of Catholic Charities</t>
  </si>
  <si>
    <t>https://catholiccharities.org/mgcc/</t>
  </si>
  <si>
    <t>https://www.google.com/maps/place/Catholic+Charities'+Mamie+George+Community+Center/@29.5902807,-95.7756345,17z/data=!3m1!4b1!4m6!3m5!1s0x86411e8a0b6c3067:0x8f10e7da6befccca!8m2!3d29.5902807!4d-95.7730596!16s%2Fg%2F11bbrmdcs1?entry=ttu&amp;g_ep=EgoyMDI1MDQwOS4wIKXMDSoASAFQAw%3D%3D</t>
  </si>
  <si>
    <t>29.5903713, -95.773278003501</t>
  </si>
  <si>
    <t>{"regular":[{"days":["Tu"],"open":"17:00","close":"19:00"},{"days":["Th"],"open":"08:30","close":"11:30"}]}</t>
  </si>
  <si>
    <t>77511, 77546, 77581</t>
  </si>
  <si>
    <t>Mary Queen Friendswood</t>
  </si>
  <si>
    <t>606 Cedarwood Drive</t>
  </si>
  <si>
    <t>Friendswood</t>
  </si>
  <si>
    <t>77546</t>
  </si>
  <si>
    <t>281-482-1391</t>
  </si>
  <si>
    <t>No indication from their website that they provide any financial assistance.</t>
  </si>
  <si>
    <t>https://www.maryqueencatholicchurch.org/social-concerns</t>
  </si>
  <si>
    <t>https://maps.google.com/?q=Mary%20Queen%20Friendswood%20%20%20TX%20</t>
  </si>
  <si>
    <t>29.5256381365554, -95.2004493226213</t>
  </si>
  <si>
    <t>In addition to a Food Pantry, they also do Meals on Wheels but is very limited; upto 16 meals one day, every nine weeks depending on the number of volunteers.</t>
  </si>
  <si>
    <t>Masonic Children &amp; Family Services of Texas</t>
  </si>
  <si>
    <t>1240 Keller Pkwy, Suite 200</t>
  </si>
  <si>
    <t>Keller</t>
  </si>
  <si>
    <t>76248</t>
  </si>
  <si>
    <t>877-203-9111</t>
  </si>
  <si>
    <t>Cannot have an eviction notice or be more than one month behind on you rent.
Must have a child 21 years old or under living with you and you must be the legal guardian.
Proof of income, lease and relationship of child required.
Apply online.</t>
  </si>
  <si>
    <t>https://masonichometx.org/</t>
  </si>
  <si>
    <t>32.9342661330585, -97.2253077144289</t>
  </si>
  <si>
    <t>877-203-9111
817-503-1500</t>
  </si>
  <si>
    <t>Must have a child 21 years old or under living with you and you must be the legal guardian.
Funding for dental and medical treatment or medical supplies for your child.
Proof of income and relationship of child required.
Completed Referral Form from doctor with treatment plan and insurance coverage details.
Apply online.</t>
  </si>
  <si>
    <t>Scholarships for Texas high school seniors who plan to attend an accredited college or trade school.
$2500 award paid directly to the school.  200 awards per year.
Application deadline is October 1st thru March 1st.  Winners notified on April 15th.</t>
  </si>
  <si>
    <t>Maternal &amp; Child Health Program</t>
  </si>
  <si>
    <t>1111 Fannin Street</t>
  </si>
  <si>
    <t>713-368-6667</t>
  </si>
  <si>
    <t>Call to enroll</t>
  </si>
  <si>
    <t>Program to reduce maternal and infant mortality rates.
Trained professionals provide one-on-one in-home assistance for up to three years.
Personalized support for emotional well-being during pregnancy and ensure a healthy bond between mother and child.
Information and assistance in finding prenatal and postpartum care.  Resources include counseling, mental health services, substance use disorder, job placement support, pregnancy and after pregnancy care services, food assistance and educational advancement assistance.
Must be Harris County resident and currently pregnant or delivered or lost a baby within the last 12 months.</t>
  </si>
  <si>
    <t>https://publichealth.harriscountytx.gov/Divisions-Offices/Divisions/Community-Health-Wellness-Division/Maternal-Child-Health</t>
  </si>
  <si>
    <t>https://www.google.com/maps/place/Harris+County+Public+Health/@29.7263836,-95.4519715,13.01z/data=!4m10!1m2!2m1!1sharris+county+public+health+clinic!3m6!1s0x8640c11553c34fe1:0x455d350513ba73ef!8m2!3d29.7549995!4d-95.3645572!15sCiJoYXJyaXMgY291bnR5IHB1YmxpYyBoZWFsdGggY2xpbmljWiQiImhhcnJpcyBjb3VudHkgcHVibGljIGhlYWx0aCBjbGluaWOSARhwdWJsaWNfaGVhbHRoX2RlcGFydG1lbnSaASNDaFpEU1VoTk1HOW5TMFZKUTBGblRVTlplR1JNTlU5bkVBReABAPoBBAgAEBA!16s%2Fg%2F1tyyxhfh?entry=ttu&amp;g_ep=EgoyMDI2MDEyNi4wIKXMDSoKLDEwMDc5MjA2OUgBUAM%3D</t>
  </si>
  <si>
    <t>29.758778071543638, -95.36439811507474</t>
  </si>
  <si>
    <t>77008, 77009, 77018, 77022, 77024, 77037, 77039, 77040, 77041, 77043, 77055, 77076, 77088, 77091, 77092</t>
  </si>
  <si>
    <t>Memorial Assistance Ministries (MAM)</t>
  </si>
  <si>
    <t>1625 Blalock Road</t>
  </si>
  <si>
    <t>713-468-4516</t>
  </si>
  <si>
    <t>Mo - Th 8:30 a.m. to 4:30 p.m. &amp; Fr 8:30 a.m. to 1:30 p.m.</t>
  </si>
  <si>
    <t>Seek assistance in person at the Blalock location but call to verify they have funding for  current month.  It is not unusual for them to run out of funds early in the month.
Priority is given to clients enrolled in programs that help ensure financial stability.</t>
  </si>
  <si>
    <t>https://www.mamhouston.org/services</t>
  </si>
  <si>
    <t>https://maps.google.com/?q=Memorial%20Assistance%20Ministries%201625%20Blalock%20Rd%20Houston%20TX%2077080</t>
  </si>
  <si>
    <t>29.8007285, -95.5248507</t>
  </si>
  <si>
    <t>{"regular":[{"days":["Mo","Tu","We","Th"],"open":"08:30","close":"16:30"},{"days":["Fr"],"open":"08:30","close":"13:30"}]}</t>
  </si>
  <si>
    <t>Mo, Tu, We, Fr 10 a.m. to 6 p.m. &amp; Th 10 a.m. to 8 p.m. &amp; Sa 10 a.m. to 4:30 p.m.</t>
  </si>
  <si>
    <t>Vouchers to the MAM Resale Store.</t>
  </si>
  <si>
    <t>{"regular":[{"days":["Mo","Tu","We","Fr"],"open":"10:00","close":"18:00"},{"days":["Th"],"open":"10:00","close":"20:00"},{"days":["Sa"],"open":"10:00","close":"16:30"}]}</t>
  </si>
  <si>
    <t>Free immunizations for children
Free health screenings for HIV/STI, cholesterol, glucose and blood pressure.</t>
  </si>
  <si>
    <t>Vision
Free eye exams</t>
  </si>
  <si>
    <t>346-145-6153 or 346-415-4260</t>
  </si>
  <si>
    <t>Individual and family counseling for depression, anxiety, trauma, parenting skills, grief, behavior issues and coping skills</t>
  </si>
  <si>
    <t>Assistance with state or county benefits enrollment.
This includes SNAP, CHIP, Medicaid, TANF, etc.
Apply in person at the Blalock location.</t>
  </si>
  <si>
    <t xml:space="preserve">Assist with urgent physical and mental illness to prevent loss of work.
Immunizations and eye exams for children
Medical screenings and eye exams for adults
Flu shots
</t>
  </si>
  <si>
    <t>Numerous classes on ESL, financial education, job coaching, vocational training, computer literacy, citizenship, employment for young adults, tax preparation, etc.
Tremendous focus on helping families be financially stable</t>
  </si>
  <si>
    <t>Gifts for children for families who received assistance that year.</t>
  </si>
  <si>
    <t>77041, 77043, 77079, 77084, 77094, 77095, 77433, 77449</t>
  </si>
  <si>
    <t>Mesa-Outreach Inc</t>
  </si>
  <si>
    <t>16000 Rippling Water Drive</t>
  </si>
  <si>
    <t>77084</t>
  </si>
  <si>
    <t>281-599-8536</t>
  </si>
  <si>
    <t>Th by appointment only.  No appointment for Sa.</t>
  </si>
  <si>
    <t xml:space="preserve">Current photo ID.
Proof of income and address.
Located north side of Bear Creek United Methodist Church.
Complete online registration.
</t>
  </si>
  <si>
    <t>https://www.mesa-outreach.org/programs/food-pantry/</t>
  </si>
  <si>
    <t>https://www.google.com/maps/place/MESA-OUTREACH,+INC./@29.8486599,-95.6441137,17z/data=!3m1!4b1!4m6!3m5!1s0x8640dbca6ec278cf:0xa9c7052bf6bc8d8d!8m2!3d29.8486553!4d-95.6415388!16s%2Fg%2F11yfnrwhjz?entry=ttu&amp;g_ep=EgoyMDI1MDgxMy4wIKXMDSoASAFQAw%3D%3D</t>
  </si>
  <si>
    <t>29.848869278374163, -95.64152806588</t>
  </si>
  <si>
    <t>Bear Creek</t>
  </si>
  <si>
    <t>Mission Bells Food Pantry</t>
  </si>
  <si>
    <t>15325 Bellaire Blvd</t>
  </si>
  <si>
    <t>77083</t>
  </si>
  <si>
    <t>281-850-0213</t>
  </si>
  <si>
    <t>Tu 9 a.m. to 11 a.m. &amp; We 6 p.m. to 7 p.m. &amp; Sa 9 a.m. to 11 a.m.</t>
  </si>
  <si>
    <t>Located at Christ the King Episcopal Church.
Need to register online beforehand.
Registration card pickup every Wednesday from 6 p.m. to 7 p.m..
Valid ID required.</t>
  </si>
  <si>
    <t>https://www.missionbells.org/about-us.html</t>
  </si>
  <si>
    <t>https://www.google.com/maps/place/Christ+the+King+Episcopal+Church/@29.6992298,-95.6592692,17z/data=!3m1!4b1!4m6!3m5!1s0x8640de6e3113efc1:0xfe2e3c8442ac15ef!8m2!3d29.6992252!4d-95.6566889!16s%2Fg%2F1tcv6pz3?entry=ttu&amp;g_ep=EgoyMDI1MDYwMy4wIKXMDSoASAFQAw%3D%3D</t>
  </si>
  <si>
    <t>29.700729, -95.6551105241936</t>
  </si>
  <si>
    <t>{"regular":[{"days":["Tu"],"open":"09:00","close":"11:00"},{"days":["We"],"open":"18:00","close":"19:00"},{"days":["Sa"],"open":"09:00","close":"11:00"}]}</t>
  </si>
  <si>
    <t>Mission Bend</t>
  </si>
  <si>
    <t>77302, 77303, 77306, 77327, 77328, 77336, 77339, 77345, 77357, 77365, 77372</t>
  </si>
  <si>
    <t>Mission Northeast</t>
  </si>
  <si>
    <t>22098 Loop 494</t>
  </si>
  <si>
    <t>New Caney</t>
  </si>
  <si>
    <t>77357</t>
  </si>
  <si>
    <t>281-354-1200</t>
  </si>
  <si>
    <t>Tu, We &amp; Th 9 a.m. to 11 a.m.</t>
  </si>
  <si>
    <t>Apply in person.
Proof of residence in the form of valid driver's license, current utility bill, current mail or lease agreement.
Proof of income in the form of current pay stub, latest tax return or current Disability Income award Letter.
For each child one of the following 
Medicaid Letter, CHIPS card, Shot record, Letter from doctor, school enrollment letter, Crib card for babies.
Monthly home delivery of food and other assistance for senior and disabled persons.
Lunch delivery program.</t>
  </si>
  <si>
    <t>https://www.missionne.org/</t>
  </si>
  <si>
    <t>https://www.google.com/maps/place/Mission+Northeast/@30.1263271,-95.2247416,16z/data=!3m1!4b1!4m6!3m5!1s0x8647520b68943d01:0xb7c7a71ecf753c14!8m2!3d30.1263225!4d-95.2221667!16s%2Fg%2F1td6n14m?entry=ttu&amp;g_ep=EgoyMDI0MTAwOS4wIKXMDSoASAFQAw%3D%3D</t>
  </si>
  <si>
    <t>30.1281568926175, -95.220987147651</t>
  </si>
  <si>
    <t>{"regular":[{"days":["Tu","We","Th"],"open":"09:00","close":"11:00"}]}</t>
  </si>
  <si>
    <t>Adult GED and ESL classes onsite.</t>
  </si>
  <si>
    <t>Job training and jobs ministry.</t>
  </si>
  <si>
    <t>Assistance with home repairs, yard cleanup, wheelchair ramps, utilities and more based on available funds and volunteers.</t>
  </si>
  <si>
    <t>Mission of Yahweh</t>
  </si>
  <si>
    <t>10247 Algiers Road</t>
  </si>
  <si>
    <t>77041</t>
  </si>
  <si>
    <t>713-466-4785</t>
  </si>
  <si>
    <t>Coalition for the Homeless (CFTH) Partner/Rapid Rehousing
Emergency Shelter for Women &amp; Children
Case management, spiritual counseling, after school tutoring for children.</t>
  </si>
  <si>
    <t>https://missionofyahweh.org</t>
  </si>
  <si>
    <t>29.8452550201898, -95.5468253522972</t>
  </si>
  <si>
    <t>For surrounding neighborhoods
Thanksgiving Dinner
Food and toys distribution for Christmas
Christmas Day celebration</t>
  </si>
  <si>
    <t>Mobile Dental Unit</t>
  </si>
  <si>
    <t>10918 1/2 Bentley Street</t>
  </si>
  <si>
    <t>832-927-7373</t>
  </si>
  <si>
    <t>Tu 8 a.m. to 3 p.m.</t>
  </si>
  <si>
    <t>Call for appointment but walk-ins welcome.</t>
  </si>
  <si>
    <t>Dental
@ James Driver Park
For adults and children
First visit is initial screening; follow-up for cleanings and basic treatment.</t>
  </si>
  <si>
    <t>https://publichealth.harriscountytx.gov/Divisions-Offices/Divisions/Community-Health-Wellness-Division/Dental-Health-Prevention/Community-Dental-Services</t>
  </si>
  <si>
    <t>https://www.google.com/maps/place/James+Driver+All-Inclusive+Park/@29.8749546,-95.3362787,17z/data=!3m1!4b1!4m6!3m5!1s0x8640b767045b110f:0x5c155ea1c560238c!8m2!3d29.8749546!4d-95.3336984!16s%2Fg%2F11bz08xmpz?entry=ttu&amp;g_ep=EgoyMDI2MDEyNi4wIKXMDSoKLDEwMDc5MjA2OUgBUAM%3D</t>
  </si>
  <si>
    <t>29.875149914021442, -95.33361256392786</t>
  </si>
  <si>
    <t>{"regular":[{"days":["Tu"],"open":"08:00","close":"15:00"}]}</t>
  </si>
  <si>
    <t>1503 S Houston Avenue</t>
  </si>
  <si>
    <t>1st &amp; 3rd Fr 8 a.m. to 3 p.m.</t>
  </si>
  <si>
    <t>Dental
@ Octavia Fields Library
For adults and children
First visit is initial screening; follow-up for cleanings and basic treatment.</t>
  </si>
  <si>
    <t>https://www.google.com/maps/place/Octavia+Fields+Branch+Library/@29.9804567,-95.2625923,17z/data=!3m1!4b1!4m6!3m5!1s0x8640b2371806945d:0xb55b6d463df22b15!8m2!3d29.9804567!4d-95.260012!16s%2Fg%2F1tfk06xz?entry=ttu&amp;g_ep=EgoyMDI2MDEyNi4wIKXMDSoKLDEwMDc5MjA2OUgBUAM%3D</t>
  </si>
  <si>
    <t>29.98073545267908, -95.26025875723494</t>
  </si>
  <si>
    <t>{"special":[{"pattern":"1st &amp; 3rd Fr","open":"08:00","close":"15:00"}]}</t>
  </si>
  <si>
    <t>7122 Gessner Road</t>
  </si>
  <si>
    <t>Mo 8 a.m. to 3 p.m.</t>
  </si>
  <si>
    <t>Dental
@ Fairbanks Library
For adults and children
First visit is initial screening; follow-up for cleanings and basic treatment.</t>
  </si>
  <si>
    <t>https://www.google.com/maps/place/Fairbanks+Library/@29.8720013,-95.543751,17z/data=!3m1!4b1!4m6!3m5!1s0x8640cf9355146beb:0xcf6f02dd11cda91c!8m2!3d29.8720013!4d-95.5411707!16s%2Fg%2F1tf7bgzt?entry=ttu&amp;g_ep=EgoyMDI2MDEyNi4wIKXMDSoKLDEwMDc5MjA2OUgBUAM%3D</t>
  </si>
  <si>
    <t>29.872233835126703, -95.54117069402113</t>
  </si>
  <si>
    <t>{"regular":[{"days":["Mo"],"open":"08:00","close":"15:00"}]}</t>
  </si>
  <si>
    <t>7340 Spencer Highway</t>
  </si>
  <si>
    <t>77505</t>
  </si>
  <si>
    <t>We 8 a.m. to 3 p.m.</t>
  </si>
  <si>
    <t>Dental
@ Olson Park
For adults and children
First visit is initial screening; follow-up for cleanings and basic treatment.</t>
  </si>
  <si>
    <t>https://www.google.com/maps/place/7340+Spencer+Hwy,+Pasadena,+TX+77505/@29.6605524,-95.1282972,17z/data=!3m1!4b1!4m6!3m5!1s0x86409f3c2513b38b:0x9e8a827402316fcf!8m2!3d29.6605524!4d-95.1257169!16s%2Fg%2F11c43tfbm6?entry=ttu&amp;g_ep=EgoyMDI2MDEyNi4wIKXMDSoKLDEwMDc5MjA2OUgBUAM%3D</t>
  </si>
  <si>
    <t>29.660832041079075, -95.12566324839443</t>
  </si>
  <si>
    <t>{"regular":[{"days":["We"],"open":"08:00","close":"15:00"}]}</t>
  </si>
  <si>
    <t>Montgomery County Women's Center</t>
  </si>
  <si>
    <t>1401 Airport Road</t>
  </si>
  <si>
    <t>936-441-7273</t>
  </si>
  <si>
    <t>Coalition for the Homeless (CFTH) Partner/Rapid Rehousing
Counseling &amp; Support
Advocacy &amp; Accompaniment
Legal Services
Transitional Housing
Thrift Store</t>
  </si>
  <si>
    <t>https://mcwctx.org/our-services/</t>
  </si>
  <si>
    <t>30.323814169512, -95.4414064474392</t>
  </si>
  <si>
    <t>Montrose Grace Place</t>
  </si>
  <si>
    <t>2515 Waugh Drive</t>
  </si>
  <si>
    <t>832-239-0824</t>
  </si>
  <si>
    <t>Mo, We &amp; Th 6 p.m.</t>
  </si>
  <si>
    <t>Dinner, served family style, for individuals between 13 and 24 years old.
Clothing and toiletries/hygiene kit.
Access to computer and other services like obtaining identification, government benefits, housing, job readiness and legal aid.
Mentorship.</t>
  </si>
  <si>
    <t>https://www.montrosegraceplace.org</t>
  </si>
  <si>
    <t>https://www.google.com/maps/place/Montrose+Grace+Place/@29.7464002,-95.3965054,17z/data=!3m1!4b1!4m6!3m5!1s0x8640bf60282edf19:0x114fde4ed42e1be0!8m2!3d29.7464002!4d-95.3939305!16s%2Fg%2F11c0vph0w9?entry=ttu&amp;g_ep=EgoyMDI1MDUyMS4wIKXMDSoASAFQAw%3D%3D</t>
  </si>
  <si>
    <t>29.746496, -95.3938259443223</t>
  </si>
  <si>
    <t>{"regular":[{"days":["Mo","We","Th"],"open":"18:00","close":null}]}</t>
  </si>
  <si>
    <t>Moving Waters Ecclesia</t>
  </si>
  <si>
    <t>1100 Elder Street</t>
  </si>
  <si>
    <t>832-790-7499</t>
  </si>
  <si>
    <t>Mobile Showers @ Ecclesia Downtown</t>
  </si>
  <si>
    <t>https://www.movingwaters-houston.org/showers</t>
  </si>
  <si>
    <t>https://www.google.com/maps/place/Ecclesia+Houston+-+Downtown+Campus/@29.7686528,-95.3697745,16z/data=!3m1!4b1!4m6!3m5!1s0x8640bf338d127f11:0x506bb795c4dd643!8m2!3d29.7686528!4d-95.3671996!16s%2Fg%2F1hhhqtb6n?entry=ttu&amp;g_ep=EgoyMDI1MDUyMS4wIKXMDSoASAFQAw%3D%3D</t>
  </si>
  <si>
    <t>29.7687796, -95.3671576139898</t>
  </si>
  <si>
    <t>Moving Waters Emergency Aid Coalition</t>
  </si>
  <si>
    <t>Th 10 a.m. to 1 p.m.</t>
  </si>
  <si>
    <t>Mobile Showers @ Emergency Aid Coalition</t>
  </si>
  <si>
    <t>https://www.google.com/maps/place/Emergency+Aid+Coalition/@29.7264726,-95.3900795,17z/data=!3m1!4b1!4m6!3m5!1s0x8640bf7f55756945:0xcceb3ea4d7a260ab!8m2!3d29.7264726!4d-95.3875046!16s%2Fg%2F1tf6xqx9?entry=ttu&amp;g_ep=EgoyMDI1MDUyMS4wIKXMDSoASAFQAw%3D%3D</t>
  </si>
  <si>
    <t>{"regular":[{"days":["Th"],"open":"10:00","close":"13:00"}]}</t>
  </si>
  <si>
    <t>Moving Waters Northwest Assistance Ministries</t>
  </si>
  <si>
    <t>15555 Kuykendahl Road</t>
  </si>
  <si>
    <t>Fr</t>
  </si>
  <si>
    <t>Verify hours online</t>
  </si>
  <si>
    <t>Mobile Showers @ Northwest Assistance Ministries</t>
  </si>
  <si>
    <t>https://www.google.com/maps/place/Northwest+Assistance+Ministries/@30.0037415,-95.4646401,17z/data=!3m2!4b1!5s0x8640cb7564e1e487:0xad353ce1e04558a2!4m6!3m5!1s0x8640cb7417ffa571:0x87e1b18d3f01969b!8m2!3d30.0037415!4d-95.4620652!16s%2Fg%2F1td6135_?entry=ttu&amp;g_ep=EgoyMDI1MDUyMS4wIKXMDSoASAFQAw%3D%3D</t>
  </si>
  <si>
    <t>30.0056433635391, -95.4623423018708</t>
  </si>
  <si>
    <t>{"regular":[{"days":["Fr"],"open":null,"close":null}]}</t>
  </si>
  <si>
    <t>Moving Waters St Joseph Catholic Church</t>
  </si>
  <si>
    <t>1505 Kane Street</t>
  </si>
  <si>
    <t>We</t>
  </si>
  <si>
    <t>Mobile Showers @ St Joseph Catholic Church</t>
  </si>
  <si>
    <t>https://www.google.com/maps/place/St.+Joseph+Catholic+Church/@29.7658333,-95.3756305,17z/data=!3m1!4b1!4m6!3m5!1s0x8640bf49e1fc26f7:0x78f160f62d7822ce!8m2!3d29.7658333!4d-95.3730556!16s%2Fg%2F1tg50tfh?entry=ttu&amp;g_ep=EgoyMDI1MDUyMS4wIKXMDSoASAFQAw%3D%3D</t>
  </si>
  <si>
    <t>29.7660760612245, -95.3725138163265</t>
  </si>
  <si>
    <t>{"regular":[{"days":["We"],"open":null,"close":null}]}</t>
  </si>
  <si>
    <t>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t>
  </si>
  <si>
    <t>My Brother's Keeper</t>
  </si>
  <si>
    <t>12621 Bissonnet Street</t>
  </si>
  <si>
    <t>281-498-9933</t>
  </si>
  <si>
    <t>Mo, We, Fr 10 a.m. to 1:30 p.m.</t>
  </si>
  <si>
    <t>Call to make an appointment. No walk-ins.
Assistance provided for documented crisis.
Proof of residency in Harris or Ft Bend counties.
Photo ID.
Late, Vacate or Eviction Notice.
Completion of financial literacy course that they provide.</t>
  </si>
  <si>
    <t>https://www.mybkoutreach.org/programs-and-services</t>
  </si>
  <si>
    <t>https://maps.google.com/?q=My%20Brother's%20Keeper%2012621%20Bissonnet%20Street%20Houston%20TX%2077099</t>
  </si>
  <si>
    <t>29.677238, -95.600176</t>
  </si>
  <si>
    <t>{"regular":[{"days":["Mo","We","Fr"],"open":"10:00","close":"13:30"}]}</t>
  </si>
  <si>
    <t>Call to make an appointment. No walk-ins.
Assistance provided for documented crisis.
Proof of residency in Harris or Ft Bend counties.
Photo ID.
Late or Disconnect Notice.
Completion of financial literacy course that they provide.</t>
  </si>
  <si>
    <t>Walk-ins welcome on a first come, first served basis.
The Food Pantry supplies food to individuals and families who have established a need through Client Services. 
Proof of residency in Harris or Ft Bend counties.
Photo ID.
Special food packages during Thanksgiving and Christmas.</t>
  </si>
  <si>
    <t>Registration required.
School supplies for Pre-K thru 12th grade students registered in the Inspiring Minds School Supply Program.
Proof of residency in Harris or Ft Bend counties.
Photo ID for adult applicant and birth certificate for each child.
Enrollment period is mid Jun thru 3rd week of July. Call for specific dates.</t>
  </si>
  <si>
    <t>Free online course. Call to activate.
Assistance provided for documented crisis.
Proof of residency in Harris or Ft Bend counties.
Photo ID.
Late, Vacate, Eviction or Disconnect Notice.</t>
  </si>
  <si>
    <t>Holiday Outreach. Enrollment required.
Thanksgiving groceries. Enrollment mid-Oct to mid-Nov. Enrollment mid-Nov to mid-Dec.
Christmas gifts for children aged one to ten years.
Proof of residency in Harris or Ft Bend counties.
Photo ID for adult applicant and birth certificate for each child.</t>
  </si>
  <si>
    <t>Nabor House Community - Spring Branch</t>
  </si>
  <si>
    <t>346-718-2186 or 832-908-6803</t>
  </si>
  <si>
    <t xml:space="preserve">Childcare
Monthly cost per child is $200 (check website for current cost).
From 2 months through 3 years old.
Work minimum of 30 hours a week or go to school full time.
Combination of work and school.
</t>
  </si>
  <si>
    <t>https://naborhousecommunity.org/enroll</t>
  </si>
  <si>
    <t>https://www.google.com/maps/place/Nabor+House+Community/@29.8015676,-95.4906399,17z/data=!3m1!4b1!4m6!3m5!1s0x8640c4254c67d2d5:0x886b07f248f8618d!8m2!3d29.801563!4d-95.488065!16s%2Fg%2F11cn8tfdvz?entry=ttu&amp;g_ep=EgoyMDI1MDgxMy4wIKXMDSoASAFQAw%3D%3D</t>
  </si>
  <si>
    <t>29.801758458110932, -95.48798989307681</t>
  </si>
  <si>
    <t>Nabor House Community - St Thomas Presbyterian</t>
  </si>
  <si>
    <t>14100 Memorial Drive</t>
  </si>
  <si>
    <t>77079</t>
  </si>
  <si>
    <t>281-741-4109 or 832-517-1320</t>
  </si>
  <si>
    <t>https://www.google.com/maps/place/Nabor+House+Community/@29.7703837,-95.5956811,17z/data=!3m1!4b1!4m6!3m5!1s0x8640db005547b721:0x62352b57f2b81935!8m2!3d29.7703791!4d-95.5931062!16s%2Fg%2F11xfr3cp2w?entry=ttu&amp;g_ep=EgoyMDI1MDgxMy4wIKXMDSoASAFQAw%3D%3D</t>
  </si>
  <si>
    <t>29.77063981126969, -95.59313838024084</t>
  </si>
  <si>
    <t>Memorial</t>
  </si>
  <si>
    <t>National Organization for Rare Disorders (NORD)</t>
  </si>
  <si>
    <t>120 Longwater Drive</t>
  </si>
  <si>
    <t>Norwell</t>
  </si>
  <si>
    <t>02061</t>
  </si>
  <si>
    <t>800-999-6673</t>
  </si>
  <si>
    <t>Mo - Th 8:30 a.m. to 7 p.m &amp; Fr 8:30 a.m. to 6 p.m.</t>
  </si>
  <si>
    <t>Provides financial assistance for patients with rare diseases with copayments, insurance premiums, travel and caregiver respite.
Check availability and eligibility and apply online.
A charitable patient assistance foundation.</t>
  </si>
  <si>
    <t>https://rarediseases.org/patient-assistance-programs/financial-assistance/</t>
  </si>
  <si>
    <t>https://www.google.com/maps/place/120+Longwater+Dr,+Norwell,+MA+02061/@42.1567896,-70.8816777,17z/data=!3m1!4b1!4m6!3m5!1s0x89e49e3c424bb2b9:0xfa983ef0f37d0da4!8m2!3d42.1567896!4d-70.8790974!16s%2Fg%2F11bw4372cf?entry=ttu&amp;g_ep=EgoyMDI2MDEyMC4wIKXMDSoKLDEwMDc5MjA2OUgBUAM%3D</t>
  </si>
  <si>
    <t>42.156916796752675, -70.8790973948636</t>
  </si>
  <si>
    <t>{"regular":[{"days":["Mo","Tu","We","Th"],"open":"08:30","close":"19:00"},{"days":["Fr"],"open":"08:30","close":"18:00"}]}</t>
  </si>
  <si>
    <t>NeedyMeds</t>
  </si>
  <si>
    <t>50 Whittemore Street</t>
  </si>
  <si>
    <t>Gloucester</t>
  </si>
  <si>
    <t>01930</t>
  </si>
  <si>
    <t>800-503-6897</t>
  </si>
  <si>
    <t xml:space="preserve">Comprehensive and up-to-date information on Patient Assistance Programs and other programs that provide assistance with medical costs.
Search for free or low-cost clinics by zip code.
Search by program category, e.g. diagnosis, prescription, medical travel, etc.
Search by drugs
Search by program name
Search for drug coupons
</t>
  </si>
  <si>
    <t>https://www.needymeds.org</t>
  </si>
  <si>
    <t>https://www.google.com/maps/place/NeedyMeds/@42.618269,-70.6791911,16z/data=!3m1!4b1!4m6!3m5!1s0x89e324fb38caafb1:0xe53f1bc93d7188a2!8m2!3d42.618269!4d-70.6766108!16s%2Fg%2F11csbw_ntg?entry=ttu&amp;g_ep=EgoyMDI2MDEyMC4wIKXMDSoKLDEwMDc5MjA2OUgBUAM%3D</t>
  </si>
  <si>
    <t>42.61864791166833, -70.67671270985733</t>
  </si>
  <si>
    <t>Central</t>
  </si>
  <si>
    <t>New Hope Housing Avenue C</t>
  </si>
  <si>
    <t>7520 Avenue C</t>
  </si>
  <si>
    <t>713-222-0290</t>
  </si>
  <si>
    <t>Available in 2026.
This is one of several properties owned by New Hope which, with support from the city of Houston and Harris Country, provides apartments at below market rates.
Must meet income eligibility requirements and pass a criminal background check.  For Seniors (55+)
There is no central intake.  You must apply in person at the property you are interested in renting.</t>
  </si>
  <si>
    <t>https://newhopehousing.com/</t>
  </si>
  <si>
    <t>https://www.google.com/maps/place/7520+Avenue+C,+Houston,+TX+77012/@29.7336117,-95.2938043,17z/data=!4m5!3m4!1s0x8640bc35bc8dffad:0x4a3730ad9e7b0f63!8m2!3d29.7336072!4d-95.2912294?entry=ttu&amp;g_ep=EgoyMDI1MDUxMS4wIKXMDSoASAFQAw%3D%3D</t>
  </si>
  <si>
    <t>29.7335692626263, -95.2913562626263</t>
  </si>
  <si>
    <t>New Hope Housing Avenue J</t>
  </si>
  <si>
    <t>5220 Avenue J</t>
  </si>
  <si>
    <t>346-502-5220</t>
  </si>
  <si>
    <t>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t>
  </si>
  <si>
    <t>https://www.google.com/maps/place/Avenue+J/@29.748855,-95.3396514,15z/data=!4m10!1m2!2m1!1snew+hope+housing+avenue+j!3m6!1s0x8640bf8dfe8b37c7:0x16c4fdb6d43f08f2!8m2!3d29.748855!4d-95.320597!15sChluZXcgaG9wZSBob3VzaW5nIGF2ZW51ZSBqIgOIAQGSARFhcGFydG1lbnRfY29tcGxleKoBZwoNL2cvMTFiN2M5dzVoZhABKhQiEG5ldyBob3BlIGhvdXNpbmcoADIfEAEiGzMcBMeE4n0NfOxOpaMfsrWy27xUxVjvM78YSjIdEAIiGW5ldyBob3BlIGhvdXNpbmcgYXZlbnVlIGrgAQA!16s%2Fg%2F11swvjlcm_?entry=ttu&amp;g_ep=EgoyMDI1MDUxMS4wIKXMDSoASAFQAw%3D%3D</t>
  </si>
  <si>
    <t>29.7489816122449, -95.3208546326531</t>
  </si>
  <si>
    <t>New Hope Housing Berry</t>
  </si>
  <si>
    <t>346-787-8623</t>
  </si>
  <si>
    <t>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
A Bezos Academy preschool for children between 3 to 5 years old is planned for this location.</t>
  </si>
  <si>
    <t>https://www.google.com/maps/place/NHH+Berry+Apartments/@29.8403468,-95.3735682,16z/data=!4m15!1m8!3m7!1s0x8640b99aed520dd7:0xaead79675e30ebfe!2s8855+McGallion+Rd,+Houston,+TX+77022!3b1!8m2!3d29.8403422!4d-95.3686973!16s%2Fg%2F11vjxng5l9!3m5!1s0x8640b9b119524a33:0x43c501675b5ca753!8m2!3d29.8403422!4d-95.3686973!16s%2Fg%2F11y96249m7?entry=ttu&amp;g_ep=EgoyMDI1MDUxMS4wIKXMDSoASAFQAw%3D%3D</t>
  </si>
  <si>
    <t>New Hope Housing Brays Crossing</t>
  </si>
  <si>
    <t>6311 Gulf Freeway</t>
  </si>
  <si>
    <t>713-777-6311</t>
  </si>
  <si>
    <t>https://www.google.com/maps/place/New+Hope+Housing+Brays+Crossing/@29.7106381,-95.3262834,15z/data=!4m10!1m2!2m1!1snew+hope+housing+avenue+j!3m6!1s0x8640bddedc2493c9:0xdddf06fcb83ce46c!8m2!3d29.7106381!4d-95.307229!15sChluZXcgaG9wZSBob3VzaW5nIGF2ZW51ZSBqIgOIAQGSARpsb3dfaW5jb21lX2hvdXNpbmdfcHJvZ3JhbaoBZwoNL2cvMTFiN2M5dzVoZhABKhQiEG5ldyBob3BlIGhvdXNpbmcoADIfEAEiGzMcBMeE4n0NfOxOpaMfsrWy27xUxVjvM78YSjIdEAIiGW5ldyBob3BlIGhvdXNpbmcgYXZlbnVlIGrgAQA!16s%2Fg%2F1tf48jn5?entry=ttu&amp;g_ep=EgoyMDI1MDUxMS4wIKXMDSoASAFQAw%3D%3D</t>
  </si>
  <si>
    <t>29.7116435108878, -95.3108339189034</t>
  </si>
  <si>
    <t>New Hope Housing Canal</t>
  </si>
  <si>
    <t>2821 Canal Street</t>
  </si>
  <si>
    <t>713-224-2821</t>
  </si>
  <si>
    <t>https://www.google.com/maps/place/New+Hope+Housing+Canal/@29.7554601,-95.3610743,15z/data=!4m10!1m2!2m1!1snew+hope+housing+avenue+j!3m6!1s0x8640bedcae2446cb:0xcf1d41649ebdb169!8m2!3d29.7554601!4d-95.3420199!15sChluZXcgaG9wZSBob3VzaW5nIGF2ZW51ZSBqIgOIAQGSARNob3VzaW5nX2RldmVsb3BtZW50qgFnCg0vZy8xMWI3Yzl3NWhmEAEqFCIQbmV3IGhvcGUgaG91c2luZygAMh8QASIbMxwEx4TifQ187E6lox-ytbLbvFTFWO8zvxhKMh0QAiIZbmV3IGhvcGUgaG91c2luZyBhdmVudWUgauABAA!16s%2Fg%2F1v46_r31?entry=ttu&amp;g_ep=EgoyMDI1MDUxMS4wIKXMDSoASAFQAw%3D%3D</t>
  </si>
  <si>
    <t>29.75571675, -95.3419819620354</t>
  </si>
  <si>
    <t>New Hope Housing Congress</t>
  </si>
  <si>
    <t>1414 Congress Street</t>
  </si>
  <si>
    <t>713-224-1414</t>
  </si>
  <si>
    <t>https://www.google.com/maps/place/New+Hope+Housing+Congress/@29.7598105,-95.3759714,15z/data=!4m10!1m2!2m1!1snew+hope+housing+avenue+j!3m6!1s0x8640bf26773131ad:0xacdc10793b2ea637!8m2!3d29.7598105!4d-95.356917!15sChluZXcgaG9wZSBob3VzaW5nIGF2ZW51ZSBqIgOIAQGSARJhcGFydG1lbnRfYnVpbGRpbmeqAWcKDS9nLzExYjdjOXc1aGYQASoUIhBuZXcgaG9wZSBob3VzaW5nKAAyHxABIhszHATHhOJ9DXzsTqWjH7K1stu8VMVY7zO_GEoyHRACIhluZXcgaG9wZSBob3VzaW5nIGF2ZW51ZSBq4AEA!16s%2Fg%2F1tflgm4j?entry=ttu&amp;g_ep=EgoyMDI1MDUxMS4wIKXMDSoASAFQAw%3D%3D</t>
  </si>
  <si>
    <t>29.7599841428571, -95.3571202857143</t>
  </si>
  <si>
    <t>New Hope Housing Dale Carnegie</t>
  </si>
  <si>
    <t>6015 Dale Carnegie Lane</t>
  </si>
  <si>
    <t>713-258-7025</t>
  </si>
  <si>
    <t>https://www.google.com/maps/place/New+Hope+Housing+Dale+Carnegie/@29.7155753,-95.5255177,15z/data=!4m10!1m2!2m1!1snew+hope+housing+avenue+j!3m6!1s0x8640c391c38a2c03:0x73da9740e56572d1!8m2!3d29.7155753!4d-95.5064633!15sChluZXcgaG9wZSBob3VzaW5nIGF2ZW51ZSBqIgOIAQGSAQ9ob3VzaW5nX2NvbXBsZXiqAWcKDS9nLzExYjdjOXc1aGYQASoUIhBuZXcgaG9wZSBob3VzaW5nKAAyHxABIhszHATHhOJ9DXzsTqWjH7K1stu8VMVY7zO_GEoyHRACIhluZXcgaG9wZSBob3VzaW5nIGF2ZW51ZSBq4AEA!16s%2Fg%2F11p9mxy9j8?entry=ttu&amp;g_ep=EgoyMDI1MDUxMS4wIKXMDSoASAFQAw%3D%3D</t>
  </si>
  <si>
    <t>29.7142975440654, -95.5068509317796</t>
  </si>
  <si>
    <t>New Hope Housing Ennis</t>
  </si>
  <si>
    <t>1887 Ennis Street</t>
  </si>
  <si>
    <t>https://www.google.com/maps/place/New+Hope+Housing+-+Ennis/@29.739865,-95.3767614,15z/data=!4m10!1m2!2m1!1snew+hope+housing+avenue+j!3m6!1s0x8640bf00533f2509:0xf59868b3a5612ccc!8m2!3d29.7398685!4d-95.3531917!15sChluZXcgaG9wZSBob3VzaW5nIGF2ZW51ZSBqIgOIAQGSARpsb3dfaW5jb21lX2hvdXNpbmdfcHJvZ3JhbaoBZwoNL2cvMTFiN2M5dzVoZhABKhQiEG5ldyBob3BlIGhvdXNpbmcoADIfEAEiGzMcBMeE4n0NfOxOpaMfsrWy27xUxVjvM78YSjIdEAIiGW5ldyBob3BlIGhvdXNpbmcgYXZlbnVlIGrgAQA!16s%2Fg%2F11vz540q7l?entry=ttu&amp;g_ep=EgoyMDI1MDUxMS4wIKXMDSoASAFQAw%3D%3D</t>
  </si>
  <si>
    <t>29.7399327838599, -95.3530217604263</t>
  </si>
  <si>
    <t>New Hope Housing Gray</t>
  </si>
  <si>
    <t>346-816+2604</t>
  </si>
  <si>
    <t>This is one of several properties owned by New Hope which, with support from the city of Houston and Harris Country, provides apartments at below market rates.
Must meet income eligibility requirements and pass a criminal background check.  For Seniors (55+)
There is no central intake.  You must apply in person at the property you are interested in renting.
A Bezos Academy preschool for children between 3 to 5 years old is planned for this location.</t>
  </si>
  <si>
    <t>https://www.google.com/maps/place/New+Hope+Housing/@29.739865,-95.3767614,15z/data=!4m10!1m2!2m1!1snew+hope+housing+avenue+j!3m6!1s0x8640bf1b5c312da7:0xf6fac1d77da403a0!8m2!3d29.739865!4d-95.357707!15sChluZXcgaG9wZSBob3VzaW5nIGF2ZW51ZSBqIgOIAQGqAWcKDS9nLzExYjdjOXc1aGYQASoUIhBuZXcgaG9wZSBob3VzaW5nKAAyHxABIhszHATHhOJ9DXzsTqWjH7K1stu8VMVY7zO_GEoyHRACIhluZXcgaG9wZSBob3VzaW5nIGF2ZW51ZSBq4AEA!16s%2Fg%2F11xcn6qfy0?entry=ttu&amp;g_ep=EgoyMDI1MDUxMS4wIKXMDSoASAFQAw%3D%3D</t>
  </si>
  <si>
    <t>New Hope Housing Harrisburg</t>
  </si>
  <si>
    <t>3315 Harrisburg Blvd</t>
  </si>
  <si>
    <t>713-223-3315</t>
  </si>
  <si>
    <t>https://www.google.com/maps/place/New+Hope+Housing,+Inc./@29.7488888,-95.3463625,16z/data=!3m1!4b1!4m6!3m5!1s0x8640bf94a729fea7:0xdd4120c22f542cac!8m2!3d29.7488842!4d-95.3414916!16s%2Fg%2F11g2r89vjv?entry=ttu&amp;g_ep=EgoyMDI1MDUxMS4wIKXMDSoASAFQAw%3D%3D</t>
  </si>
  <si>
    <t>29.7487751428571, -95.3419574285714</t>
  </si>
  <si>
    <t>New Hope Housing Perry</t>
  </si>
  <si>
    <t>4415 Perry Street</t>
  </si>
  <si>
    <t>713-522-4415</t>
  </si>
  <si>
    <t>https://www.google.com/maps/place/New+Hope+Housing+Perry/@29.6966019,-95.3708283,15z/data=!4m10!1m2!2m1!1snew+hope+housing+avenue+j!3m6!1s0x8640bec322192db9:0x14f077d5b67f3deb!8m2!3d29.6966019!4d-95.3517739!15sChluZXcgaG9wZSBob3VzaW5nIGF2ZW51ZSBqIgOIAQGSARNob3VzaW5nX2RldmVsb3BtZW50qgFnCg0vZy8xMWI3Yzl3NWhmEAEqFCIQbmV3IGhvcGUgaG91c2luZygAMh8QASIbMxwEx4TifQ187E6lox-ytbLbvFTFWO8zvxhKMh0QAiIZbmV3IGhvcGUgaG91c2luZyBhdmVudWUgauABAA!16s%2Fg%2F1264d89w9?entry=ttu&amp;g_ep=EgoyMDI1MDUxMS4wIKXMDSoASAFQAw%3D%3D</t>
  </si>
  <si>
    <t>29.6963481428571, -95.3522355714286</t>
  </si>
  <si>
    <t>New Hope Housing Reed</t>
  </si>
  <si>
    <t>713-733-2605</t>
  </si>
  <si>
    <t>https://www.google.com/maps/place/New+Hope+Housing+Reed/@29.659254,-95.4092445,15z/data=!4m10!1m2!2m1!1snew+hope+housing+avenue+j!3m6!1s0x8640954a5fbe0387:0xbdf27f08427efa04!8m2!3d29.659254!4d-95.3901901!15sChluZXcgaG9wZSBob3VzaW5nIGF2ZW51ZSBqIgOIAQGSARpsb3dfaW5jb21lX2hvdXNpbmdfcHJvZ3JhbaoBZwoNL2cvMTFiN2M5dzVoZhABKhQiEG5ldyBob3BlIGhvdXNpbmcoADIfEAEiGzMcBMeE4n0NfOxOpaMfsrWy27xUxVjvM78YSjIdEAIiGW5ldyBob3BlIGhvdXNpbmcgYXZlbnVlIGrgAQA!16s%2Fg%2F11f5hm6zp8?entry=ttu&amp;g_ep=EgoyMDI1MDUxMS4wIKXMDSoASAFQAw%3D%3D</t>
  </si>
  <si>
    <t>29.65926220736464, -95.39020097122284</t>
  </si>
  <si>
    <t>New Hope Housing Rittenhouse</t>
  </si>
  <si>
    <t>577 W Rittenhouse Road</t>
  </si>
  <si>
    <t>https://www.google.com/maps/place/New+Hope+Housing+Rittenhouse/@29.863851,-95.4275565,15z/data=!4m10!1m2!2m1!1snew+hope+housing+avenue+j!3m6!1s0x8640c809faee24fb:0x37f95bfe352245b9!8m2!3d29.863851!4d-95.4085021!15sChluZXcgaG9wZSBob3VzaW5nIGF2ZW51ZSBqIgOIAQGSAQ9ob3VzaW5nX2NvbXBsZXiqAWcKDS9nLzExYjdjOXc1aGYQASoUIhBuZXcgaG9wZSBob3VzaW5nKAAyHxABIhszHATHhOJ9DXzsTqWjH7K1stu8VMVY7zO_GEoyHRACIhluZXcgaG9wZSBob3VzaW5nIGF2ZW51ZSBq4AEA!16s%2Fg%2F11bxd7v90b?entry=ttu&amp;g_ep=EgoyMDI1MDUxMS4wIKXMDSoASAFQAw%3D%3D</t>
  </si>
  <si>
    <t>29.8641184605605, -95.4089888445774</t>
  </si>
  <si>
    <t>New Hope Housing Sakowitz</t>
  </si>
  <si>
    <t>2424 Sakowitz Street</t>
  </si>
  <si>
    <t>https://www.google.com/maps/place/New+Hope+Housing+Sakowitz/@29.7830314,-95.3321486,15z/data=!4m10!1m2!2m1!1snew+hope+housing+avenue+j!3m6!1s0x8640b956fab7f5d1:0x79de931a7438e00d!8m2!3d29.7830314!4d-95.3130942!15sChluZXcgaG9wZSBob3VzaW5nIGF2ZW51ZSBqIgOIAQGSARpsb3dfaW5jb21lX2hvdXNpbmdfcHJvZ3JhbaoBZwoNL2cvMTFiN2M5dzVoZhABKhQiEG5ldyBob3BlIGhvdXNpbmcoADIfEAEiGzMcBMeE4n0NfOxOpaMfsrWy27xUxVjvM78YSjIdEAIiGW5ldyBob3BlIGhvdXNpbmcgYXZlbnVlIGrgAQA!16s%2Fg%2F1wl4qz_3?entry=ttu&amp;g_ep=EgoyMDI1MDUxMS4wIKXMDSoASAFQAw%3D%3D</t>
  </si>
  <si>
    <t>29.7831465510204, -95.3134</t>
  </si>
  <si>
    <t>New Hope Housing Savoy</t>
  </si>
  <si>
    <t>6315 Savoy Drive</t>
  </si>
  <si>
    <t>832-615-6315</t>
  </si>
  <si>
    <t>https://www.google.com/maps/place/Savoy/@29.7159035,-95.5059678,17z/data=!4m15!1m8!3m7!1s0x8640c317a2e6851d:0x4dd1bda02663375a!2s6315+Savoy+Dr,+Houston,+TX+77036!3b1!8m2!3d29.715899!4d-95.5036718!16s%2Fg%2F11v0y9ndr2!3m5!1s0x8640c3b47e908e23:0x389d9d096549425c!8m2!3d29.7155309!4d-95.5041055!16s%2Fg%2F11vf5l24hs?entry=ttu&amp;g_ep=EgoyMDI1MDUxMS4wIKXMDSoASAFQAw%3D%3D</t>
  </si>
  <si>
    <t>29.7153505436941, -95.504962452189</t>
  </si>
  <si>
    <t>New Life</t>
  </si>
  <si>
    <t>11439 Spring Cypress Road</t>
  </si>
  <si>
    <t>Building C</t>
  </si>
  <si>
    <t>Tomball</t>
  </si>
  <si>
    <t>77377</t>
  </si>
  <si>
    <t>281-955-1001</t>
  </si>
  <si>
    <t>Non-profit adoption agency</t>
  </si>
  <si>
    <t>https://newlifeadopt.com/</t>
  </si>
  <si>
    <t>https://www.google.com/maps/place/11439+Spring+Cypress+Rd,+Tomball,+TX+77377/@30.0122229,-95.6003604,17z/data=!3m1!4b1!4m6!3m5!1s0x8640d2e6ba648b6b:0x8ada0ab5865303ea!8m2!3d30.0122229!4d-95.5977855!16s%2Fg%2F11f54v0m64?entry=ttu&amp;g_ep=EgoyMDI1MDQwOS4wIKXMDSoASAFQAw%3D%3D</t>
  </si>
  <si>
    <t>30.0128989249442, -95.5954538345903</t>
  </si>
  <si>
    <t>Nora's Home</t>
  </si>
  <si>
    <t>8300 El Rio Street</t>
  </si>
  <si>
    <t>832-831-3720</t>
  </si>
  <si>
    <t>New guests complete online request form.</t>
  </si>
  <si>
    <t>Medical housing for solid organ transplant and organ failure patients and their families traveling to the Texas Medical Center for treatment.
Stays are limited to 30 days but can be extended to a maximum of 90 days on a case by case basis.
Medical housing.</t>
  </si>
  <si>
    <t>https://norashome.org/admission-criteria</t>
  </si>
  <si>
    <t>https://www.google.com/maps/place/Nora's+Home/@29.6832195,-95.3925905,16z/data=!3m1!4b1!4m6!3m5!1s0x8640bffef25ba781:0x51ccf9907672a725!8m2!3d29.6832195!4d-95.3900102!16s%2Fg%2F11b6dkfk60?entry=ttu&amp;g_ep=EgoyMDI2MDExMS4wIKXMDSoKLDEwMDc5MjA2OUgBUAM%3D</t>
  </si>
  <si>
    <t>29.68400232138505, -95.39016570616874</t>
  </si>
  <si>
    <t>77013, 77015, 77029, 77044, 77049, 77078, 77530</t>
  </si>
  <si>
    <t>North Channel Assistance Ministries</t>
  </si>
  <si>
    <t>13837 Bonham Street</t>
  </si>
  <si>
    <t>713-497-5610</t>
  </si>
  <si>
    <t>Tu - Th 8 a.m. to 2 p.m.</t>
  </si>
  <si>
    <t>By appointment only.</t>
  </si>
  <si>
    <t>https://maps.google.com/?q=North%20Channel%20Assistance%20Ministries%2013837%20Bonham%20Dt%20Houston%20TX%2077015</t>
  </si>
  <si>
    <t>29.776231, -95.178367</t>
  </si>
  <si>
    <t>{"regular":[{"days":["Tu","We","Th"],"open":"08:00","close":"14:00"}]}</t>
  </si>
  <si>
    <t>Northeast Multi-Service Center</t>
  </si>
  <si>
    <t>9720 Spaulding Street</t>
  </si>
  <si>
    <t>77016</t>
  </si>
  <si>
    <t>Mo 9 a.m. to 6 p.m. &amp; We &amp; Th 8 a.m. to 5 p.m. &amp; 3rd Sa 8 a.m. to 12 p.m.</t>
  </si>
  <si>
    <t>https://www.houstonhealth.org/services/multi-service-centers/northeast-multi-service-center</t>
  </si>
  <si>
    <t>https://www.google.com/maps/place/Houston+Health+Department+Northeast+Multi-Service+Center/@29.8494671,-95.3072852,17z/data=!3m1!4b1!4m6!3m5!1s0x8640ba1bec1d4d1d:0x916c1316cb5b15ba!8m2!3d29.8494625!4d-95.3047103!16s%2Fg%2F11bw5t6nzd?entry=ttu&amp;g_ep=EgoyMDI2MDIwMS4wIKXMDSoKLDEwMDc5MjA2OUgBUAM%3D</t>
  </si>
  <si>
    <t>29.84962064397578, -95.30472102508149</t>
  </si>
  <si>
    <t>East Little York</t>
  </si>
  <si>
    <t>832-395-0475</t>
  </si>
  <si>
    <t>Meals
Onsite for seniors older than 60 years.  
Includes social services, exercises, nutrition, education and other programming.</t>
  </si>
  <si>
    <t>Northvale Village (RHF)</t>
  </si>
  <si>
    <t>14422 Cornerstone Village Drive</t>
  </si>
  <si>
    <t>281-880-6144</t>
  </si>
  <si>
    <t>https://rhf.org/northvale-village/</t>
  </si>
  <si>
    <t>https://www.google.com/maps/place/Northvale+Village/@29.990179,-95.484496,16z/data=!4m6!3m5!1s0x8640cc7bb5279051:0x31eae4436bf5cdab!8m2!3d29.990179!4d-95.484496!16s%2Fg%2F1263cmq6g?hl=en&amp;entry=ttu&amp;g_ep=EgoyMDI1MDUxMS4wIKXMDSoASAFQAw%3D%3D</t>
  </si>
  <si>
    <t>29.9895843348578, -95.4844577166686</t>
  </si>
  <si>
    <t>77014, 77032, 77038, 77050, 77060, 77064, 77066, 77067, 77068, 77069, 77070, 77073, 77086, 77090, 77373, 77379, 77388, 77389</t>
  </si>
  <si>
    <t>Northwest Area Ministries</t>
  </si>
  <si>
    <t>281-885-4555</t>
  </si>
  <si>
    <t>Mo - Th 8 a.m. to 5 p.m. &amp; Fr 8 a.m. to 4 p.m.</t>
  </si>
  <si>
    <t>Apply throughout the month. Random selection on the 1st of the following month for further review.
Process takes 7-10 business days.</t>
  </si>
  <si>
    <t>https://www.namonline.org/</t>
  </si>
  <si>
    <t>https://maps.google.com/?q=Northwest%20Area%20Ministries%2015555%20Kuykendahl%20Rd%20Houston%20TX%2077080</t>
  </si>
  <si>
    <t>{"regular":[{"days":["Mo","Tu","We","Th"],"open":"08:00","close":"17:00"},{"days":["Fr"],"open":"08:00","close":"16:00"}]}</t>
  </si>
  <si>
    <t>281-885-4555 Ext 4519</t>
  </si>
  <si>
    <t>281-885-4519</t>
  </si>
  <si>
    <t>Mo - Fr 9 a.m. to 2 p.m.</t>
  </si>
  <si>
    <t>Apply in person.
Check website for required documents..</t>
  </si>
  <si>
    <t>{"regular":[{"days":["Mo","Tu","We","Th","Fr"],"open":"09:00","close":"14:00"}]}</t>
  </si>
  <si>
    <t>281-885-4595</t>
  </si>
  <si>
    <t>Permanent supportive housing.
Have to be unhoused and at least one member of household has a documented disability.
Assessment conducted at a designated Coordinated Access site (check website for additional information).</t>
  </si>
  <si>
    <t>713-387-7180</t>
  </si>
  <si>
    <t>Tu &amp; We 8 a.m. to 5 p.m.</t>
  </si>
  <si>
    <t>Has been rebranded to Spring Branch Community Health Center Northwest.</t>
  </si>
  <si>
    <t>{"regular":[{"days":["Tu","We"],"open":"08:00","close":"17:00"}]}</t>
  </si>
  <si>
    <t>281-885-4662</t>
  </si>
  <si>
    <t>Mental Health Counseling including family, parenting, couples and grief.</t>
  </si>
  <si>
    <t>281-885-4673</t>
  </si>
  <si>
    <t>Crisis hotline
Peer advocates
Case management
One on one therapy</t>
  </si>
  <si>
    <t>https://www.namonline.org/fvc</t>
  </si>
  <si>
    <t>281-885-4523</t>
  </si>
  <si>
    <t>Vocational Training
Complete online pre-screening form or call.</t>
  </si>
  <si>
    <t>281-885-4600</t>
  </si>
  <si>
    <t>Tu - Fr 8 a.m. to 3 p.m. &amp; Mo 8 a.m. to 5 p.m.</t>
  </si>
  <si>
    <t>Meals on Wheels
Free lunches
Activities for Seniors. There is an annual and daily fee for this.</t>
  </si>
  <si>
    <t>{"regular":[{"days":["Tu","We","Th","Fr"],"open":"08:00","close":"15:00"},{"days":["Mo"],"open":"08:00","close":"17:00"}]}</t>
  </si>
  <si>
    <t>Notre Dame Catholic Church</t>
  </si>
  <si>
    <t>7720 Boone Road</t>
  </si>
  <si>
    <t>281-498-4653</t>
  </si>
  <si>
    <t>https://ndgh.org/</t>
  </si>
  <si>
    <t>https://maps.google.com/?q=Notre%20Dame%20Catholic%20Church%207720%20Boone%20Rd%20Houston%20TX%2077072</t>
  </si>
  <si>
    <t>29.69477, -95.575167</t>
  </si>
  <si>
    <t>Office of Veterans &amp; Military Affairs</t>
  </si>
  <si>
    <t>170 Heights Blvd</t>
  </si>
  <si>
    <t>832-393-0992</t>
  </si>
  <si>
    <t>Veterans
Advocate and coordinates and facilitates access to resources in Federal, State and local programs for veterans and their families and survivors.</t>
  </si>
  <si>
    <t>https://houstontx.gov/vetaffairs/</t>
  </si>
  <si>
    <t>https://www.google.com/maps/place/170+Heights+Blvd,+Houston,+TX+77007/@29.7725268,-95.4016586,17z/data=!3m1!4b1!4m6!3m5!1s0x8640c754d83428b3:0xaa4f65a9c8d458e9!8m2!3d29.7725222!4d-95.3967823!16s%2Fg%2F11bw4bzbp9?entry=ttu&amp;g_ep=EgoyMDI2MDIxMS4wIKXMDSoASAFQAw%3D%3D</t>
  </si>
  <si>
    <t>29.772754839670746, -95.3968144763415</t>
  </si>
  <si>
    <t>Open Door Mission</t>
  </si>
  <si>
    <t>5803 Harrisburg Blvd</t>
  </si>
  <si>
    <t>713-921-7520</t>
  </si>
  <si>
    <t>Coalition for the Homeless (CFTH) Partner
16 week residential program for men to address root cause of adult male trauma.</t>
  </si>
  <si>
    <t>https://www.opendoorhouston.org/doorway</t>
  </si>
  <si>
    <t>https://www.google.com/maps/place/Open+Door+Mission/@29.7404488,-95.3196831,17z/data=!3m1!4b1!4m6!3m5!1s0x8640be9b3696a5e7:0x550ce3e191cc1b99!8m2!3d29.7404442!4d-95.3171082!16s%2Fg%2F1tdk0zby?entry=ttu&amp;g_ep=EgoyMDI1MTAwOC4wIKXMDSoASAFQAw%3D%3D</t>
  </si>
  <si>
    <t>29.740565253704528, -95.31710819718892</t>
  </si>
  <si>
    <t>Our Lady of Fatima</t>
  </si>
  <si>
    <t>713-675-0981</t>
  </si>
  <si>
    <t>https://www.olfparishgp.org/</t>
  </si>
  <si>
    <t>https://maps.google.com/?q=Our%20Lady%20of%20Fatima%201705%208th%20St%20Galena%20Park%20TX%2077547</t>
  </si>
  <si>
    <t>29.7384172323232, -95.2381531111111</t>
  </si>
  <si>
    <t>Our Lady of Guadalupe Baytown</t>
  </si>
  <si>
    <t>1124 Beech Street</t>
  </si>
  <si>
    <t>281-428-1506</t>
  </si>
  <si>
    <t>https://olgbaytown.org/en/homepage/</t>
  </si>
  <si>
    <t>https://maps.google.com/?q=Our%20Lady%20of%20Guadalupe%20Baytown%201124%20Beech%20St%20Baytown%20TX%2077520</t>
  </si>
  <si>
    <t>29.731861877551, -94.998852122449</t>
  </si>
  <si>
    <t>Amelia Airhart</t>
  </si>
  <si>
    <t>77480, 77486</t>
  </si>
  <si>
    <t>Our Lady of Perpetual Help (SVdP)</t>
  </si>
  <si>
    <t>310 N McKinney Street</t>
  </si>
  <si>
    <t>Sweeny</t>
  </si>
  <si>
    <t>77480</t>
  </si>
  <si>
    <t>979-345-4999</t>
  </si>
  <si>
    <t>Mo - Th</t>
  </si>
  <si>
    <t>https://olphsja.org/ministries</t>
  </si>
  <si>
    <t>https://maps.google.com/?q=Our%20Lady%20of%20Perpetual%20Help%20(SVdP)%20310%20N%20McKinney%20St%20Sweeny%20TX%2077480</t>
  </si>
  <si>
    <t>29.0483087609633, -95.6910325315355</t>
  </si>
  <si>
    <t>{"regular":[{"days":["Mo","Tu","We","Th"],"open":null,"close":null}]}</t>
  </si>
  <si>
    <t>77020, 77029</t>
  </si>
  <si>
    <t>Our Mother of Mercy (SVdP D1)</t>
  </si>
  <si>
    <t>2007 Granger Street</t>
  </si>
  <si>
    <t>713-672-1022</t>
  </si>
  <si>
    <t>Fr 8:30 a.m. to 11 a.m.</t>
  </si>
  <si>
    <t>https://www.ourmotherofmercy.net/</t>
  </si>
  <si>
    <t>https://maps.google.com/?q=Our%20Mother%20of%20Mercy%20(SVdP%20D1)%202007%20Granger%20St%20Houston%20TX%2077020</t>
  </si>
  <si>
    <t>29.7801250408163, -95.3306172857143</t>
  </si>
  <si>
    <t>{"regular":[{"days":["Fr"],"open":"08:30","close":"11:00"}]}</t>
  </si>
  <si>
    <t>PadSplit</t>
  </si>
  <si>
    <t>Membership housing alternative to apartments but 50% cheaper.
Modeled as a Airbnb but longer term.
Rents private rooms. One payment, weekly, covering all expenses
Requires income approval or deposit if unemployed.
Through a partner, and if approved, can provide rental assistance via a 0% interest loan.
More rules than if you were renting an apartment.</t>
  </si>
  <si>
    <t>https://www.padsplit.com/rooms-for-rent/houston-tx</t>
  </si>
  <si>
    <t>77015, 77058, 77059, 77501, 77502, 77503, 77504, 77505, 77506, 77507, 77508, 77536, 77586, 77089, 77546, 77548, 77549, 77598</t>
  </si>
  <si>
    <t>Pasadena Community Ministries</t>
  </si>
  <si>
    <t>2301 South Houston Road</t>
  </si>
  <si>
    <t>77502</t>
  </si>
  <si>
    <t>713-477-4336</t>
  </si>
  <si>
    <t>Tu &amp; Th 9 a.m. to 12 p.m. &amp; 1st Sa 9 a.m. to 11 a.m.</t>
  </si>
  <si>
    <t>Number disconnected.</t>
  </si>
  <si>
    <t>https://www.pcm-texas.org/</t>
  </si>
  <si>
    <t>https://maps.google.com/?q=Pasadena%20Community%20Ministries%202301%20South%20Houston%20Rd%20Pasadena%20TX%2077502</t>
  </si>
  <si>
    <t>29.6776776452152, -95.2215099776574</t>
  </si>
  <si>
    <t>{"regular":[{"days":["Tu","Th"],"open":"09:00","close":"12:00"}],"special":[{"pattern":"1st Sa","open":"09:00","close":"11:00"}]}</t>
  </si>
  <si>
    <t>Queens Knoll</t>
  </si>
  <si>
    <t>Serves Pasadena and Deer Park residents only.
Proof of residence, e.g. utility bill or lease agreement.
Allowed once a month.</t>
  </si>
  <si>
    <t>Patient Access Network (PAN) Foundation</t>
  </si>
  <si>
    <t>1032 15th Street NW</t>
  </si>
  <si>
    <t>Suite 413</t>
  </si>
  <si>
    <t>Washington</t>
  </si>
  <si>
    <t>DC</t>
  </si>
  <si>
    <t>20005</t>
  </si>
  <si>
    <t>866-316-7263</t>
  </si>
  <si>
    <t>Mo - Fr 9 a.m. to 5:30 p.m.</t>
  </si>
  <si>
    <t>Provides direct financial assistance in the form of grants to insured patients to help defray their out-of-pocket healthcare costs.
Awards are income based.
Process starts by looking for a fund that covers your disease or medication on their website.
If the fund is open, you apply for a grant online otherwise join the waitlist.
Grants range from $500 to just under $10,000 depending on the fund.
A charitable patient assistance foundation.</t>
  </si>
  <si>
    <t>https://www.panfoundation.org/find-disease-fund/</t>
  </si>
  <si>
    <t>https://www.google.com/maps/place/PAN+Foundation/@38.8999625,-77.0502225,16z/data=!3m1!5s0x89b7b7bef9b31fc3:0xd150b404a0212d9f!4m10!1m2!2m1!1spatient+access+network+foundation,+washington,+dc!3m6!1s0x89b7b7ba18d8071d:0x299505d94cdc82d1!8m2!3d38.9034383!4d-77.0350372!15sCjFwYXRpZW50IGFjY2VzcyBuZXR3b3JrIGZvdW5kYXRpb24sIHdhc2hpbmd0b24sIGRjWjEiL3BhdGllbnQgYWNjZXNzIG5ldHdvcmsgZm91bmRhdGlvbiB3YXNoaW5ndG9uIGRjkgEbYXNzb2NpYXRpb25fb3Jfb3JnYW5pemF0aW9umgEkQ2hkRFNVaE5NRzluUzBWSlEwRm5TVVI0ZEdOdGJteEJSUkFC4AEA-gEECAAQLw!16s%2Fg%2F1tcws0fw?entry=ttu&amp;g_ep=EgoyMDI2MDEyMC4wIKXMDSoKLDEwMDc5MjA2OUgBUAM%3D</t>
  </si>
  <si>
    <t>38.903853125918744, -77.03514512736562</t>
  </si>
  <si>
    <t>{"regular":[{"days":["Mo","Tu","We","Th","Fr"],"open":"9:00","close":"17:30"}]}</t>
  </si>
  <si>
    <t>Downtown</t>
  </si>
  <si>
    <t>Patient Advocate Foundation</t>
  </si>
  <si>
    <t>421 Butler Farm Road</t>
  </si>
  <si>
    <t>Hampton</t>
  </si>
  <si>
    <t>23666</t>
  </si>
  <si>
    <t>800-532-5274</t>
  </si>
  <si>
    <t>Free case management services to patients with confirmed serious health condition.
Must be in active treatment, starting treatment in the next 60 days or finished treatment in the last six months.
Must be a US citizen or permanent resident.
Case management includes getting prescribed medical treatment, explaining health insurance coverage and options, appealing insurance denials, applying for Medicaid, SSDI and other government programs, applying for programs to pay for living expenses.
A charitable patient assistance foundation.</t>
  </si>
  <si>
    <t>https://www.patientadvocate.org/connect-with-services/case-management-services-and-carelines/</t>
  </si>
  <si>
    <t>https://www.google.com/maps/place/Patient+Advocate+Foundation/@37.0617733,-76.4118891,17z/data=!3m1!4b1!4m6!3m5!1s0x89ba83010a452603:0x5ebd3cb48ede74e4!8m2!3d37.0617734!4d-76.4070128!16s%2Fg%2F1vkxn4xs?entry=ttu&amp;g_ep=EgoyMDI2MDEyMC4wIKXMDSoKLDEwMDc5MjA2OUgBUAM%3D</t>
  </si>
  <si>
    <t>37.06199579816504, -76.40699132812145</t>
  </si>
  <si>
    <t>Northampton</t>
  </si>
  <si>
    <t>Co-Pay Relief is a program that provides direct financial assistance to help defray the cost of co-payments, co-insurance and deductibles.
A charitable patient assistance foundation.
The Financial Aid Funds provide direct on-time grants to patients who meet financial, medical and other criteria.  Funds are distributed until depleted.  
Most grants are small ranging from $300 to $1500.
Some grants require application online and some require calling in.  Check website for details.
A charitable patient assistance foundation.</t>
  </si>
  <si>
    <t>https://www.patientadvocate.org/connect-with-services/financial-aid-funds/</t>
  </si>
  <si>
    <t>PetSet</t>
  </si>
  <si>
    <t>4265 San Felipe Street</t>
  </si>
  <si>
    <t>Suite 1100</t>
  </si>
  <si>
    <t>713-960-6622</t>
  </si>
  <si>
    <t>Appointments required</t>
  </si>
  <si>
    <t>Spay &amp; Neuter $20, Vaccinations &amp; Microchip Free
This is a mobile unit.  Check website of location on any given day.
Appointments are required and made online.
See website for limitations and requirements.</t>
  </si>
  <si>
    <t>https://pet-set.org/spay-neuter/</t>
  </si>
  <si>
    <t>https://www.google.com/maps/place/4265+San+Felipe+St,+Houston,+TX+77027/@29.746345,-95.4528293,17z/data=!3m1!4b1!4m6!3m5!1s0x8640c11602426951:0x668c344ef44f68ee!8m2!3d29.746345!4d-95.450249!16s%2Fg%2F11nnkxcf4j?entry=ttu&amp;g_ep=EgoyMDI2MDIyNS4wIKXMDSoASAFQAw%3D%3D</t>
  </si>
  <si>
    <t>29.746521937038278, -95.45024899549786</t>
  </si>
  <si>
    <t>River Oaks District</t>
  </si>
  <si>
    <t>Pink Fund</t>
  </si>
  <si>
    <t>P.O. Box 607</t>
  </si>
  <si>
    <t>Southfield</t>
  </si>
  <si>
    <t>MI</t>
  </si>
  <si>
    <t>48037</t>
  </si>
  <si>
    <t xml:space="preserve">Financial assistance for patients in active treatment for breast cancer.
Applicant or spouse must have been working at the time of diagnosis and be able to show loss of income due to the breast cancer diagnosis.
Must meet income guidelines and have been diagnosed with breast cancer within two years of applying for assistance with the Pink Fund.
Check eligibility and apply online.
A charitable patient assistance foundation.
</t>
  </si>
  <si>
    <t>https://apply.pinkfund.org/qualification/intro</t>
  </si>
  <si>
    <t>https://www.google.com/maps/place/Southfield,+MI+48037/@42.4869961,-83.2687969,16z/data=!3m1!4b1!4m6!3m5!1s0x8824b7dd5fdd06a9:0xbbe824566e584419!8m2!3d42.4869968!4d-83.2636363!16s%2Fm%2F07nqt03?entry=ttu&amp;g_ep=EgoyMDI2MDEyMC4wIKXMDSoKLDEwMDc5MjA2OUgBUAM%3D</t>
  </si>
  <si>
    <t>42.487391603813414, -83.26355043591595</t>
  </si>
  <si>
    <t>P.O. Boxes</t>
  </si>
  <si>
    <t>POZ Impact Mobile Mechanic</t>
  </si>
  <si>
    <t>Settegast</t>
  </si>
  <si>
    <t>832-573-7274</t>
  </si>
  <si>
    <t>Auto repair and maintenance for financially struggling individuals.</t>
  </si>
  <si>
    <t>https://www.pozimpact.org</t>
  </si>
  <si>
    <t>https://www.google.com/maps/place/Settegast,+Houston,+TX+77028/@29.8155206,-95.2895838,15z/data=!3m1!4b1!4m6!3m5!1s0x8640bbae2057c609:0x52165e6a6f16f5e0!8m2!3d29.8153817!4d-95.2809519!16s%2Fg%2F1hhxv8jpb?entry=ttu&amp;g_ep=EgoyMDI1MDcxNi4wIKXMDSoASAFQAw%3D%3D</t>
  </si>
  <si>
    <t>29.81825688034088, -95.27808209210907</t>
  </si>
  <si>
    <t>Presbyterian Children's Homes and Services</t>
  </si>
  <si>
    <t>5020 W Belfort Drive</t>
  </si>
  <si>
    <t>800-888-1904
713-723-3976</t>
  </si>
  <si>
    <t>Long term residential program for single parent families.
This is not an emergency shelter.
Clients are only accepting through an application, interview and assessment process.  To apply call the the toll free number.
In addition to housing, program covers employment assistance, educational and vocational help, counseling, money management and life skills, parenting classes and assistance with obtaining food stamps and health insurance.</t>
  </si>
  <si>
    <t>https://www.pchas.org/what-we-do/single-parent-family</t>
  </si>
  <si>
    <t>https://www.google.com/maps/place/St.+John's+Presbyterian+Church/@29.6687136,-95.4699797,17z/data=!4m15!1m8!3m7!1s0x8640ea0589afac6d:0xe49f7e32934aec1b!2s5020+W+Bellfort+Ave,+Houston,+TX+77035!3b1!8m2!3d29.668709!4d-95.4674048!16s%2Fg%2F11cpgq59hw!3m5!1s0x8640ea0f6c4bfb13:0x71341dab24cb490e!8m2!3d29.6686021!4d-95.4674609!16s%2Fg%2F1tdzgcw3?entry=ttu&amp;g_ep=EgoyMDI1MDUxMS4wIKXMDSoASAFQAw%3D%3D</t>
  </si>
  <si>
    <t>29.694079771364656, -95.46720088914002</t>
  </si>
  <si>
    <t>77064, 77066, 77069, 77070</t>
  </si>
  <si>
    <t>Prince of Peace</t>
  </si>
  <si>
    <t>19222 TX-249</t>
  </si>
  <si>
    <t>281-469-2686</t>
  </si>
  <si>
    <t>Sign up for interview online.
Note financial assistance zip codes are different from food assistance.
ID for all members of household.
Lease agreement.
Proof of current emergency.
Three day Vacate of Eviction Notice.</t>
  </si>
  <si>
    <t>https://www.pophouston.org/necessities/</t>
  </si>
  <si>
    <t>https://maps.google.com/?q=Prince%20of%20Peace%2019222%20TX-249%20Houston%20TX%2077070</t>
  </si>
  <si>
    <t>29.9738215, -95.5620351</t>
  </si>
  <si>
    <t>Willowbrook</t>
  </si>
  <si>
    <t>Sign up for interview online.
Note financial assistance zip codes are different from food assistance.
ID for all members of household.
Lease agreement.
Proof of current emergency.
Copy of bill.</t>
  </si>
  <si>
    <t>Tu, We &amp; Th 10 a.m. to 1 p.m. &amp; Fr 10 a.m. to 11:30 a.m.</t>
  </si>
  <si>
    <t>Sign up online.</t>
  </si>
  <si>
    <t>{"regular":[{"days":["Tu","We","Th"],"open":"10:00","close":"13:00"},{"days":["Fr"],"open":"10:00","close":"11:30"}]}</t>
  </si>
  <si>
    <t>Project One Day</t>
  </si>
  <si>
    <t>7000 Bellaire Blvd</t>
  </si>
  <si>
    <t>Childcare
Facility for children between ages of six weeks and four years.
Parents volunteer one day a week to receive 40 hours of free childcare.
Free training is provided and takes 30 classroom hours to complete.
Apply online</t>
  </si>
  <si>
    <t>https://www.podhouston.org/</t>
  </si>
  <si>
    <t>29.7040757714286, -95.5068695714286</t>
  </si>
  <si>
    <t>77568</t>
  </si>
  <si>
    <t>Queen of Peace LaMarque</t>
  </si>
  <si>
    <t>1224 Cedar Drive</t>
  </si>
  <si>
    <t>La Marque</t>
  </si>
  <si>
    <t>409-938-7000</t>
  </si>
  <si>
    <t>Mo - Th 9 a.m. to 12 p.m. &amp; 1 p.m. to 4 p.m.</t>
  </si>
  <si>
    <t>https://www.queenofpeacelamarque.org/</t>
  </si>
  <si>
    <t>https://maps.google.com/?q=Queen%20of%20Peace%20LaMarque%201224%20Cedar%20Dr%20La%20Marque%20TX%2077568</t>
  </si>
  <si>
    <t>29.3702104285714, -94.9666921020408</t>
  </si>
  <si>
    <t>{"regular":[{"days":["Mo","Tu","We","Th"],"open":"09:00","close":"12:00"}]}</t>
  </si>
  <si>
    <t>Rainbow of Love</t>
  </si>
  <si>
    <t>713-779-8877</t>
  </si>
  <si>
    <t>Offices hours.  Services are 24/7</t>
  </si>
  <si>
    <t>Coalition For the Homeless (CFTH) Partner
Operates ROLhouse for youths aged 1 to 17 years.
Services include temporary shelter, meals, hygiene kits, medical care, mental health services.
Educational support, tutoring, financial literacy, job readiness and personal development.
Family mediation and crisis intervention and counseling.
Access to long term or transitional housing programs.</t>
  </si>
  <si>
    <t>https://rainbowofloveusa.org/programs/</t>
  </si>
  <si>
    <t>https://www.google.com/maps/place/Rainbow+of+Love/@29.6690647,-95.5105405,16z/data=!3m1!4b1!4m6!3m5!1s0x8640e9d98aa414a7:0xc99cf4ee3eef4e84!8m2!3d29.6690601!4d-95.5079656!16s%2Fg%2F1tk239w_?entry=ttu&amp;g_ep=EgoyMDI1MTAwOC4wIKXMDSoASAFQAw%3D%3D</t>
  </si>
  <si>
    <t>29.669409637695818, -95.50807288121864</t>
  </si>
  <si>
    <t>Refugee &amp; Immigrant Center for Education and Legal Services (RAICES)</t>
  </si>
  <si>
    <t>1900 St James Place</t>
  </si>
  <si>
    <t>833-372-4237</t>
  </si>
  <si>
    <t>https://www.raicestexas.org/legal</t>
  </si>
  <si>
    <t>29.746969, -95.473211</t>
  </si>
  <si>
    <t>Rehabilitation Services Volunteer Project (RSVP)</t>
  </si>
  <si>
    <t>9551 Fannin Street</t>
  </si>
  <si>
    <t>855-825-7787</t>
  </si>
  <si>
    <t>1st &amp; 3rd Sa</t>
  </si>
  <si>
    <t>Free of charge physical, speech and occupational therapies for patients with traumatic brain injuries, strokes, spinal cord injuries and amputations only.
Services are free of charge and by appointment only.
Donation of gently used medical equipment based on availability.  Call to inquire about availability and schedule an appointment.
Their website also has videos on how to maintain and assemble some medical equipment.</t>
  </si>
  <si>
    <t>https://www.rsvptexas.org/</t>
  </si>
  <si>
    <t>29.6643033659053, -95.4026496250862</t>
  </si>
  <si>
    <t>{"special":[{"pattern":"1st &amp; 3rd Sa","open":null,"close":null}]}</t>
  </si>
  <si>
    <t>Rejoice Counseling Apostolate</t>
  </si>
  <si>
    <t>1801 Sage Road</t>
  </si>
  <si>
    <t>844-295-3167</t>
  </si>
  <si>
    <t>Mo - Su</t>
  </si>
  <si>
    <t>Wide Range of Counseling Services
Mental Health</t>
  </si>
  <si>
    <t>https://www.rejoicecounseling.com/houston-tx/</t>
  </si>
  <si>
    <t>29.748979509434, -95.4672613207547</t>
  </si>
  <si>
    <t>{"regular":[{"days":["Mo","Tu","We","Th","Fr","Sa","Su"],"open":null,"close":null}]}</t>
  </si>
  <si>
    <t>Resource &amp; Crisis Center of Galveston County Inc.</t>
  </si>
  <si>
    <t>1204 45th Street</t>
  </si>
  <si>
    <t>888-919-7233</t>
  </si>
  <si>
    <t>Emergency Shelter
Sexual Assault Services
Case Management
Housing Advocacy
Accompaniment
Therapy Referrals
Legal Referrals-Homelessness Prevention
Career Development</t>
  </si>
  <si>
    <t>https://www.rccgc.org/services</t>
  </si>
  <si>
    <t>29.29150335, -94.816199566076</t>
  </si>
  <si>
    <t>Riceville Mt Olive Baptist Church</t>
  </si>
  <si>
    <t>11539 South Gessner Road</t>
  </si>
  <si>
    <t>713-778-0992</t>
  </si>
  <si>
    <t>Online applications on 2nd Monday of each month only</t>
  </si>
  <si>
    <t xml:space="preserve">Status set to Limited because applications are only accepted one day per month
Apply online
If selected, someone will call on Wednesday with appointment date and time.
</t>
  </si>
  <si>
    <t>https://www.ricevillechurch.org/https://ricevillechurch.org/benevolence/#rent</t>
  </si>
  <si>
    <t>https://maps.google.com/?q=Riceville%20Mt%20Olive%20Baptist%20Church%2011539%20South%20Gessner%20Rd%20Houston%20TX%2077071</t>
  </si>
  <si>
    <t>29.6530821886792, -95.527891754717</t>
  </si>
  <si>
    <t>11231 South Gessner Road</t>
  </si>
  <si>
    <t>3rd Sa 9 a.m. to 12 p.m.</t>
  </si>
  <si>
    <t>Status set to Limited because pantry is open only one day a month
Appointment not needed.</t>
  </si>
  <si>
    <t>https://ricevillechurch.org/benevolence/#food</t>
  </si>
  <si>
    <t>https://www.google.com/maps/place/11231+S+Gessner+Rd,+Houston,+TX+77071/@29.657203,-95.530101,16z/data=!3m1!4b1!4m6!3m5!1s0x8640e831283eeced:0x3f5372481103960f!8m2!3d29.657203!4d-95.5275207!16s%2Fg%2F11c21gshbs?entry=ttu&amp;g_ep=EgoyMDI2MDIyNC4wIKXMDSoASAFQAw%3D%3D</t>
  </si>
  <si>
    <t>29.65763182480788, -95.52749386768329</t>
  </si>
  <si>
    <t>Status set to Limited because clothing closet is open only one day a month
Appointment not needed.</t>
  </si>
  <si>
    <t>Mo - Fr 10 a.m. to 3 p.m. &amp; Su 10 a.m. to 11 a.m.</t>
  </si>
  <si>
    <t>Hours are for application pickup, one month before distirbution</t>
  </si>
  <si>
    <t xml:space="preserve">Thanksgiving &amp; Christmas Food Basket Giveaway.
Start accepting applications a month before distribution.
Gift giveaway for children.  Application available after 10 a.m. worship on four Sundays prior to gift distribution.  </t>
  </si>
  <si>
    <t>Ronald McDonald House - Amschwand House</t>
  </si>
  <si>
    <t>4115 Drake Street</t>
  </si>
  <si>
    <t>77005</t>
  </si>
  <si>
    <t>Opens in 2026</t>
  </si>
  <si>
    <t>Located 10 minutes from the Texas Medical Center.
This is a 16-unit apartment building, currently being renovated.  Slated to open in 2026.
Each fully furnished one and two-bedroom apartment has queen-sized beds, full kitchen, full bath and in-unit laundry.
Medical housing.</t>
  </si>
  <si>
    <t>https://www.google.com/maps/place/4115+Drake+St,+Houston,+TX+77005/@29.7252966,-95.443885,17z/data=!4m16!1m9!3m8!1s0x8640c107a028ad13:0x753df1f9d6823d75!2s4115+Drake+St,+Houston,+TX+77005!3b1!8m2!3d29.725034!4d-95.4438632!10e5!16s%2Fg%2F11c4sr0fdz!3m5!1s0x8640c107a028ad13:0x753df1f9d6823d75!8m2!3d29.725034!4d-95.4438632!16s%2Fg%2F11c4sr0fdz?entry=ttu&amp;g_ep=EgoyMDI1MTIwOS4wIKXMDSoKLDEwMDc5MjA2OUgBUAM%3D</t>
  </si>
  <si>
    <t>29.72527335630975, -95.44385284212558</t>
  </si>
  <si>
    <t>Ronald McDonald House - Children's Memorial Hermann Hospital</t>
  </si>
  <si>
    <t>6411 Fannin Street</t>
  </si>
  <si>
    <t>713-704-6827</t>
  </si>
  <si>
    <t>Mo - Fr 9 a.m. to 7 p.m.</t>
  </si>
  <si>
    <t>Located inside the Children's Memorial Hermann Hospital, serving families with children in Pediatric ICU, Neonatal ICU, Neonatal Special Care Unit and Pediatric Heart ICU.
There are 20 private bedrooms with some private and shared bathrooms.  All services free of charge.
Common kitchen and dining area, complimentary grab-and-go meals, laundry facilities and shared spaces for relaxing.
Medical housing.</t>
  </si>
  <si>
    <t>https://rmhchouston.org/what-we-do/houses-lounges/childrens-memorial-hospital/</t>
  </si>
  <si>
    <t>https://www.google.com/maps/place/Memorial+Hermann+Texas+Medical+Center+Emergency+Room/@29.7143704,-95.3969611,17z/data=!3m1!5s0x886040a97ba498c5:0x94ed68fd3d58385b!4m15!1m8!3m7!1s0x8640c079c8c00001:0x4ebe811552550c3!2s6411+Fannin+St,+Houston,+TX+77030!3b1!8m2!3d29.7143658!4d-95.3969611!16s%2Fg%2F11t_sy4341!3m5!1s0x8640c079d176858f:0x1bbe1c69b7d95949!8m2!3d29.7135985!4d-95.3944754!16s%2Fm%2F04g3lkg?entry=ttu&amp;g_ep=EgoyMDI1MTIwOS4wIKXMDSoKLDEwMDc5MjA2OUgBUAM%3D</t>
  </si>
  <si>
    <t>29.713843889409983, -95.3944612906729</t>
  </si>
  <si>
    <t>{"regular":[{"days":["Mo","Tu","We","Th","Fr"],"open":"09:00","close":"19:00"}]}</t>
  </si>
  <si>
    <t>Ronald McDonald House - Holcombe</t>
  </si>
  <si>
    <t>1907 Holcombe Blvd</t>
  </si>
  <si>
    <t>713-765-3500</t>
  </si>
  <si>
    <t>Located in the Texas Medical Center.  There is a suggested donation per night but no one is turned away due to inability to pay.
There are 70 private rooms with a full bathroom.  Each room has two queen-sized beds.
Prepared meals, laundry facilities, community kitchen and shared spaces.
Shuttle service to Texas Medical Center hospitals and social services for resources and support.
Free parking and staffed 24 hours.
Medical Housing.</t>
  </si>
  <si>
    <t>https://rmhchouston.org/what-we-do/houses-lounges/holcombe-house/</t>
  </si>
  <si>
    <t>https://www.google.com/maps/place/Ronald+McDonald+House+Charities+Greater+Houston/@29.7064704,-95.3932544,17z/data=!3m2!4b1!5s0x8640bf8bba7617ed:0xc87ca6b75c305f37!4m6!3m5!1s0x8640bf8bb092c82b:0xa9d0cf1b95465439!8m2!3d29.7064658!4d-95.3906795!16s%2Fg%2F1ts1n01b?entry=ttu&amp;g_ep=EgoyMDI1MTIwOS4wIKXMDSoKLDEwMDc5MjA2OUgBUAM%3D</t>
  </si>
  <si>
    <t>29.706726677127104, -95.39069022246589</t>
  </si>
  <si>
    <t>Ronald McDonald House - M.D. Anderson Children's Cancer Hospital</t>
  </si>
  <si>
    <t>1515 Holcombe Blvd</t>
  </si>
  <si>
    <t>713-745-4930</t>
  </si>
  <si>
    <t>Located inside the M.D. Anderson Children's Hospital for families of pediatric cancer patients.
There are two private bedrooms with a shared bathroom.  All services are free of charge.
There is a community kitchen and grab-and-go meals.
Medical housing.</t>
  </si>
  <si>
    <t>https://rmhchouston.org/what-we-do/houses-lounges/md-anderson/</t>
  </si>
  <si>
    <t>https://www.google.com/maps/place/MD+Anderson+Children's+Cancer+Hospital/@29.7078668,-95.3984437,19z/data=!3m1!4b1!4m6!3m5!1s0x8640c1e9a82f276f:0xf1c0e306b9288982!8m2!3d29.7078656!4d-95.3978!16s%2Fg%2F11f5vby375?entry=ttu&amp;g_ep=EgoyMDI1MTIwOS4wIKXMDSoKLDEwMDc5MjA2OUgBUAM%3D</t>
  </si>
  <si>
    <t>29.70792383865789, -95.39780804629812</t>
  </si>
  <si>
    <t>Ronald McDonald House - Texas Children's Hospital</t>
  </si>
  <si>
    <t>6621 Fannin Street</t>
  </si>
  <si>
    <t>Abercrombie Building</t>
  </si>
  <si>
    <t>832-824-8600</t>
  </si>
  <si>
    <t>Located inside the Texas Children's Hospital, serving families with children in Neonatal, Pediatric and Cardiovascular Intensive Care.
There are 19 bedrooms with a full-size bed and a private bathroom.  Rooms are available free of charge.
Prepared meals, laundry facilities, community kitchen and shared spaces.
Medical housing.</t>
  </si>
  <si>
    <t>https://rmhchouston.org/what-we-do/houses-lounges/texas-childrens-hospital/</t>
  </si>
  <si>
    <t>https://www.google.com/maps/place/Texas+Children's+Hospital+Abercrombie+Building/@29.7078157,-95.4039381,17z/data=!3m1!4b1!4m6!3m5!1s0x8640c0722a0df095:0x53e2a64bf0938dda!8m2!3d29.7078111!4d-95.4013632!16s%2Fg%2F1tdkmm3t?entry=ttu&amp;g_ep=EgoyMDI1MTIwOS4wIKXMDSoKLDEwMDc5MjA2OUgBUAM%3D</t>
  </si>
  <si>
    <t>29.70804401820612, -95.40140610984271</t>
  </si>
  <si>
    <t>77301, 77302, 77303, 77304, 77306, 77316, 77327, 77328, 77356, 77378</t>
  </si>
  <si>
    <t>Sacred Heart (SVdP D6) Conroe</t>
  </si>
  <si>
    <t>109 N Frazier Street</t>
  </si>
  <si>
    <t>936-539-1188</t>
  </si>
  <si>
    <t>Mo - Th 10 a.m. to 2 p.m.</t>
  </si>
  <si>
    <t>https://shconroe.org/st-vincent-de-paul/</t>
  </si>
  <si>
    <t>https://maps.google.com/?q=Sacred%20Heart%20(SVdP%20D6)%20Conroe%20109%20N%20Frazier%20St%20Conroe%20TX%2077301</t>
  </si>
  <si>
    <t>30.3092954, -95.4614134729342</t>
  </si>
  <si>
    <t>{"regular":[{"days":["Mo","Tu","We","Th"],"open":"10:00","close":"14:00"}]}</t>
  </si>
  <si>
    <t>We 9 a.m. to 12 p.m.</t>
  </si>
  <si>
    <t>{"regular":[{"days":["We"],"open":"09:00","close":"12:00"}]}</t>
  </si>
  <si>
    <t>Sacred Heart Co-Cathedral</t>
  </si>
  <si>
    <t>1111 St Joseph Pkwy</t>
  </si>
  <si>
    <t>713-659-1561</t>
  </si>
  <si>
    <t>https://www.sacredhearthouston.org/</t>
  </si>
  <si>
    <t>https://maps.google.com/?q=Sacred%20Heart%20Co-Cathedral%201111%20St%20Joseph%20Pkwy%20Houston%20TX%2077002</t>
  </si>
  <si>
    <t>29.74987725, -95.3686941480549</t>
  </si>
  <si>
    <t>Sacred Heart Crosby (SVdP D5)</t>
  </si>
  <si>
    <t>915 Runneburg Road</t>
  </si>
  <si>
    <t>281-328-1967</t>
  </si>
  <si>
    <t>Leave message</t>
  </si>
  <si>
    <t>https://shcrosby.org/ministries/st-vincent-de-paul/</t>
  </si>
  <si>
    <t>https://maps.google.com/?q=Sacred%20Heart%20Crosby%20(SVdP%20D5)%20915%20Runneburg%20Rd%20Crosby%20TX%2077532</t>
  </si>
  <si>
    <t>29.9118805, -95.058928</t>
  </si>
  <si>
    <t>Burris</t>
  </si>
  <si>
    <t>Sacred Heart of Jesus/Manvel</t>
  </si>
  <si>
    <t>14307 Hwy 6</t>
  </si>
  <si>
    <t>Rosharon</t>
  </si>
  <si>
    <t>77583</t>
  </si>
  <si>
    <t>281-431-0969</t>
  </si>
  <si>
    <t>Mo 1 p.m. to 3 p.m. &amp; We 10 a.m. to 12 p.m. &amp; 1:30 p.m. to 6 p.m.</t>
  </si>
  <si>
    <t>Mo for Seniors only.</t>
  </si>
  <si>
    <t>https://sacredheartmanvel.org/food-pantry</t>
  </si>
  <si>
    <t>https://maps.google.com/?q=Sacred%20Heart%20of%20Jesus%2FManvel%2014307%20Hwy%206%20Rosharon%20TX%2077583</t>
  </si>
  <si>
    <t>29.490524696787435, -95.41601662028063</t>
  </si>
  <si>
    <t>{"regular":[{"days":["Mo"],"open":"13:00","close":"15:00"},{"days":["We"],"open":"10:00","close":"12:00"}]}</t>
  </si>
  <si>
    <t>Manvel</t>
  </si>
  <si>
    <t>Sagetree Terrace (RHF)</t>
  </si>
  <si>
    <t>15505 Bammel N Houston Road</t>
  </si>
  <si>
    <t>281-440-7000</t>
  </si>
  <si>
    <t>https://rhf.org/sagetree-terrace/</t>
  </si>
  <si>
    <t>https://www.google.com/maps/place/Sagetree+Terrace/@29.9956106,-95.4826693,17z/data=!3m1!4b1!4m6!3m5!1s0x8640cc7f013378cb:0xecf01f4027b1350f!8m2!3d29.995606!4d-95.4800944!16s%2Fg%2F11h3vby36j?entry=ttu&amp;g_ep=EgoyMDI1MDUxMS4wIKXMDSoASAFQAw%3D%3D</t>
  </si>
  <si>
    <t>29.995578738725143, -95.48004162342973</t>
  </si>
  <si>
    <t>Salute, Inc.</t>
  </si>
  <si>
    <t>P.O. Box 2663</t>
  </si>
  <si>
    <t>Palatine</t>
  </si>
  <si>
    <t>IL</t>
  </si>
  <si>
    <t>60078</t>
  </si>
  <si>
    <t>847-359-8811</t>
  </si>
  <si>
    <t>Post 9/11 veterans and active duty service members</t>
  </si>
  <si>
    <t>Reason for financial assistance must be medical or military related.
Very specific requirements.  Check website to make sure you qualify.</t>
  </si>
  <si>
    <t>https://www.saluteinc.org/get-assistance/</t>
  </si>
  <si>
    <t>41.8119, -87.6873</t>
  </si>
  <si>
    <t>Other financial assistance besides rent and utilities including auto and everyday expenses.
Reason for financial assistance must be medical or military related.
Very specific requirements.  Check website to make sure you qualify.</t>
  </si>
  <si>
    <t>Salvation Army - Jones Residence</t>
  </si>
  <si>
    <t>1603 McGowen Street</t>
  </si>
  <si>
    <t>713-650-6530</t>
  </si>
  <si>
    <t>Office:  Mo - Fr 8:30 a.m. to 4:30 p.m. &amp; Shelter:  4 p.m. to 8 p.m.</t>
  </si>
  <si>
    <t>Coalition for the Homeless (CFTH) Partner/Rapid Rehousing
Case management, childcare, job skills training, substance abuse counseling and job placement.</t>
  </si>
  <si>
    <t>https://salvationarmyhouston.org/houston/sns/</t>
  </si>
  <si>
    <t>https://www.google.com/maps/place/The+Salvation+Army+Jones+Residence/@29.7422291,-95.3711227,17z/data=!3m1!4b1!4m6!3m5!1s0x8640bf13c357bf79:0xf13cf6213aa637b0!8m2!3d29.7422245!4d-95.3685478!16s%2Fg%2F1tg_gfg1?entry=ttu&amp;g_ep=EgoyMDI1MTAwOC4wIKXMDSoASAFQAw%3D%3D</t>
  </si>
  <si>
    <t>29.742373497815162, -95.36853706758512</t>
  </si>
  <si>
    <t>{"labeled":[{"days":["Mo","Tu","We","Th","Fr"],"open":"08:30","close":"16:30","label":"Office"},{"label":"Shelter","days":null,"open":"16:00","close":"20:00"}]}</t>
  </si>
  <si>
    <t>Salvation Army - Wayne Bergstrom Center of Hope</t>
  </si>
  <si>
    <t>304 Avenue E</t>
  </si>
  <si>
    <t>936-760-2440</t>
  </si>
  <si>
    <t>Coalition for the Homeless (CFTH) Partner/Rapid Rehousing</t>
  </si>
  <si>
    <t>https://salvationarmyhouston.org/houston/conroe/</t>
  </si>
  <si>
    <t>https://www.google.com/maps/place/The+Salvation+Army+Conroe+Community+Center/@30.3093695,-95.4551366,18z/data=!4m6!3m5!1s0x8647393994c125cd:0x6e6f43952e2a3c51!8m2!3d30.3094517!4d-95.4531108!16s%2Fg%2F1tt1t22y?entry=ttu&amp;g_ep=EgoyMDI1MTAwOC4wIKXMDSoASAFQAw%3D%3D</t>
  </si>
  <si>
    <t>30.309533850651913, -95.45309812457769</t>
  </si>
  <si>
    <t>Salvation Army - Young Adult Resource Center</t>
  </si>
  <si>
    <t>1621 McGowen Street</t>
  </si>
  <si>
    <t>713-752-0677</t>
  </si>
  <si>
    <t>Mo - Th 11 a.m. to 3 p.m.</t>
  </si>
  <si>
    <t>Coalition for the Homeless (CFTH) Partner/Rapid Rehousing
For homeless youths aged 18 to 25 years.
Hot lunches, carryout meals and snacks.
Access to phones, internet, computer lab, showers, lockers, laundry facilities, hygiene kits, clothing, assistance in obtaining an ID, referrals to emergency shelters.</t>
  </si>
  <si>
    <t>https://salvationarmyhouston.org/houston/YARC</t>
  </si>
  <si>
    <t>https://www.google.com/maps/place/The+Salvation+Army+Young+Adult+Resource+Center+(YARC)/@29.7423419,-95.3710994,17z/data=!3m1!4b1!4m6!3m5!1s0x8640bf1482fc5e7d:0xb671a23d50703073!8m2!3d29.7423373!4d-95.3685245!16s%2Fg%2F1hc27yfkd?entry=ttu&amp;g_ep=EgoyMDI1MTAwOC4wIKXMDSoASAFQAw%3D%3D</t>
  </si>
  <si>
    <t>29.74247698340284, -95.36857814108662</t>
  </si>
  <si>
    <t>{"regular":[{"days":["Mo","Tu","We","Th"],"open":"11:00","close":"15:00"}]}</t>
  </si>
  <si>
    <t>Salvation Army of Greater Houston</t>
  </si>
  <si>
    <t>1500 Austin Street</t>
  </si>
  <si>
    <t>Mo - Fr 8:30 a.m. to 4:30 p.m.  Closed 12 p.m. to 1 p.m.</t>
  </si>
  <si>
    <t>Only when grant money is available.</t>
  </si>
  <si>
    <t>Call in advance to ensure funds are available.
Must have eviction notice.
Live within the Harris County Appraisal District.
Demonstrate loss of income, ability to maintain home after assistance and financial need.
Bring late notice, eviction notice or court eviction documents.
Bring lease 
all pages and addendums.
Documentation of unexpected loss of income.
Two forms of ID</t>
  </si>
  <si>
    <t>https://salvationarmyhouston.org/</t>
  </si>
  <si>
    <t>https://maps.google.com/?q=Salvation%20Army%20of%20Greater%20Houston%201500%20Austin%20St%20Houston%20TX%2077002</t>
  </si>
  <si>
    <t>29.751086, -95.364578</t>
  </si>
  <si>
    <t>{"regular":[{"days":["Mo","Tu","We","Th","Fr"],"open":"08:30","close":"16:30"}]}</t>
  </si>
  <si>
    <t>Call in advance.
One box of groceries every 12 months.
Two forms of ID
Lease 
all pages and addendums.
Letter of referral from SNAP if not the first time receiving food.</t>
  </si>
  <si>
    <t>713-658-9205</t>
  </si>
  <si>
    <t>San Jose Clinic</t>
  </si>
  <si>
    <t>713-490-2610</t>
  </si>
  <si>
    <t>Mo - Fr 8 a.m. to 5 p.m. &amp; 2nd Sa 8 a.m. to 4:30 p.m.</t>
  </si>
  <si>
    <t>Serving uninsured and the uninsurable communities.
Primary care, dental, vision, laboratory, and pharmacy services.
Must complete eligibility interview.
Photo ID, proof of household income and address</t>
  </si>
  <si>
    <t>https://www.sanjoseclinic.org</t>
  </si>
  <si>
    <t>https://www.google.com/maps/place/San+José+Clinic+(Midtown)/@29.7444641,-95.3744277,18z/data=!3m1!5s0x8640bf6b53201e67:0x8d4dcaf421678526!4m15!1m8!3m7!1s0x8640bf6b5322b615:0x45a7696543bcce6b!2s2615+Fannin+St,+Houston,+TX+77002!3b1!8m2!3d29.7444595!4d-95.3731402!16s%2Fg%2F11bw3zns_s!3m5!1s0x8640bf2743d93a0f:0x9ee05ba74ffee0e1!8m2!3d29.7445857!4d-95.3731026!16s%2Fg%2F1tdh8v29?entry=ttu&amp;g_ep=EgoyMDI0MDkxNi4wIKXMDSoASAFQAw%3D%3D</t>
  </si>
  <si>
    <t>29.7446491428571, -95.3732587142857</t>
  </si>
  <si>
    <t>{"regular":[{"days":["Mo","Tu","We","Th","Fr"],"open":"08:00","close":"17:00"}],"special":[{"pattern":"2nd Sa","open":"08:00","close":"16:30"}]}</t>
  </si>
  <si>
    <t>Dental &amp; Vision
Serving uninsured and the uninsurable communities.
Dental services include comprehensive care, preventatives, fillings, root canals, crowns extractions and dentures/partials.
Vision includes ophthalmology and optometry
Must complete eligibility interview.
Photo ID, proof of household income and address</t>
  </si>
  <si>
    <t>Santa Maria - Bonita House</t>
  </si>
  <si>
    <t>2605 Parker Road</t>
  </si>
  <si>
    <t>713-691-0900</t>
  </si>
  <si>
    <t>Coalition for the Homeless (CFTH) Partner
Outpatient and residential substance abuse treatment center
Care for pregnant and parenting women and their children
Court Liaison Services
Transitional Living (Shelter)</t>
  </si>
  <si>
    <t>https://www.santamariahostel.org/</t>
  </si>
  <si>
    <t>https://www.google.com/maps/place/Santa+Maria+Hostel,+Inc./@29.859774,-95.3469676,17z/data=!3m1!4b1!4m6!3m5!1s0x8640cf6555555555:0x4ac7fac4e0510aa2!8m2!3d29.859774!4d-95.3443927!16s%2Fg%2F1tk1zf9j?entry=ttu&amp;g_ep=EgoyMDI1MDQwOS4wIKXMDSoASAFQAw%3D%3D</t>
  </si>
  <si>
    <t>29.8595536063434, -95.3452350820779</t>
  </si>
  <si>
    <t>Santa Maria - Women's Recovery</t>
  </si>
  <si>
    <t>807 Paschall Street</t>
  </si>
  <si>
    <t>https://www.google.com/maps/place/Santa+Maria+Hostel/@29.7794353,-95.3633303,16z/data=!4m15!1m8!3m7!1s0x8640b8d18f02a06f:0xbd79310d1fd1c64b!2s807+Paschall+St,+Houston,+TX+77009!3b1!8m2!3d29.7794307!4d-95.3607554!16s%2Fg%2F11whsz6z_c!3m5!1s0x8640b8d18fab1935:0xda20999e55dd4d22!8m2!3d29.7793616!4d-95.3607524!16s%2Fg%2F1v_0k3tp?entry=ttu&amp;g_ep=EgoyMDI1MTAwOC4wIKXMDSoASAFQAw%3D%3D</t>
  </si>
  <si>
    <t>29.779966090609097, -95.36069101405802</t>
  </si>
  <si>
    <t>Sarah's House</t>
  </si>
  <si>
    <t>711 Perla Road</t>
  </si>
  <si>
    <t>24/7 Hotline:  833-954-8050, 713-475-1480</t>
  </si>
  <si>
    <t>Coalition for the Homeless (CFTH) Partner/Rapid Rehousing
Geared to women and families escaping domestic abuse.</t>
  </si>
  <si>
    <t>https://www.sarahshouse.org/index.html</t>
  </si>
  <si>
    <t>https://www.google.com/maps/place/Sarah's+House/@29.6737146,-95.2043369,17z/data=!3m1!4b1!4m6!3m5!1s0x8640998f60adb379:0x6f41c69f62f1964b!8m2!3d29.67371!4d-95.201762!16s%2Fg%2F11v5j79v1k?entry=ttu&amp;g_ep=EgoyMDI1MTAwOC4wIKXMDSoASAFQAw%3D%3D</t>
  </si>
  <si>
    <t>29.673868420419332, -95.20169762295687</t>
  </si>
  <si>
    <t>Search Homeless Services</t>
  </si>
  <si>
    <t>2015 Congress Street</t>
  </si>
  <si>
    <t>713-739-7752</t>
  </si>
  <si>
    <t>Mo - Fr 9 a.m. to 4 p.m.  Closed from 12 p.m. to 1 p.m.</t>
  </si>
  <si>
    <t>https://www.searchhomeless.org/services/house/</t>
  </si>
  <si>
    <t>https://www.google.com/maps/place/SEARCH+Homeless+Services/@29.7568616,-95.3544119,19z/data=!4m15!1m8!3m7!1s0x8640bed8b00b107f:0x37cd7d58344059ed!2s2015+Congress+St,+Houston,+TX+77002!3b1!8m2!3d29.756857!4d-95.3514668!16s%2Fg%2F11csp4qz70!3m5!1s0x8640bf14b43f1027:0x5d73ed6e7be99135!8m2!3d29.7570978!4d-95.351522!16s%2Fg%2F1v_vt8s2?entry=ttu&amp;g_ep=EgoyMDI1MDcwOS4wIKXMDSoASAFQAw%3D%3D</t>
  </si>
  <si>
    <t>29.7570242857143, -95.3518517142857</t>
  </si>
  <si>
    <t>Second Mile</t>
  </si>
  <si>
    <t>281-261-9199</t>
  </si>
  <si>
    <t>Mo - Fr 10 a.m. to 4 p.m.</t>
  </si>
  <si>
    <t>Groceries every two weeks.
Schedule appointment online.</t>
  </si>
  <si>
    <t>https://secondmile.org/programs/food/</t>
  </si>
  <si>
    <t>https://maps.google.com/?q=Second%20Mile%201135%20Hwy%2090%20Alt%20Suite%20E%20Missouri%20City%20TX%2077489</t>
  </si>
  <si>
    <t>{"regular":[{"days":["Mo","Tu","We","Th","Fr"],"open":"10:00","close":"16:00"}]}</t>
  </si>
  <si>
    <t>Periodic classes on finding a job, ESL, finance, fitness and nutrition.
Check website for classes being offered and schedule.</t>
  </si>
  <si>
    <t>https://secondmile.org/programs/classes/</t>
  </si>
  <si>
    <t>SERJobs Houston</t>
  </si>
  <si>
    <t>1710 Telephone Road</t>
  </si>
  <si>
    <t>713-773-6000</t>
  </si>
  <si>
    <t>Occupational training and apprenticeships in a wide range of blue and white collar jobs.
Job readiness skills, financial counselling and career coaching.
Assistance with transitional employment and part-time jobs.
US Citizens/Permanent Residents.
Women in non-traditional occupations encouraged to apply.
Online application.</t>
  </si>
  <si>
    <t>https://serjobs.org</t>
  </si>
  <si>
    <t>https://www.google.com/maps/place/SERJobs/@29.7254776,-95.3272402,17z/data=!3m1!4b1!4m6!3m5!1s0x8640bdaded861397:0x6bd4fc532a2a61ba!8m2!3d29.7254776!4d-95.3246599!16s%2Fg%2F1tfl0l98?entry=ttu&amp;g_ep=EgoyMDI1MDYyNi4wIKXMDSoASAFQAw%3D%3D</t>
  </si>
  <si>
    <t>29.7255463061224, -95.324533244898</t>
  </si>
  <si>
    <t>Sheldon Health Hub</t>
  </si>
  <si>
    <t>8530 C.E. King Pkwy</t>
  </si>
  <si>
    <t>77044</t>
  </si>
  <si>
    <t>https://www.google.com/maps/place/Sheldon+Health+Hub/@29.8484311,-95.2163474,17z/data=!3m1!4b1!4m6!3m5!1s0x8640a5006bf10a5f:0x25d8b2446202eb3b!8m2!3d29.8484312!4d-95.2114711!16s%2Fg%2F11xtkk2zg_?entry=ttu&amp;g_ep=EgoyMDI2MDEyNi4wIKXMDSoKLDEwMDc5MjA2OUgBUAM%3D</t>
  </si>
  <si>
    <t>29.84864505110939, -95.21149254781372</t>
  </si>
  <si>
    <t>Houmont Park</t>
  </si>
  <si>
    <t>Sheltering Arms &amp; Neighborhood Center Emergency Assistance Program</t>
  </si>
  <si>
    <t>3838 Aberdeen Way</t>
  </si>
  <si>
    <t>713-685-6577</t>
  </si>
  <si>
    <t>Call to schedule an appointment.
Resident of Harris County.
Must meet US Dept of Health &amp; Human Services Poverty Income Guidelines.
Proof of Income for last 30 days for all household members over 18 years, e.g. wages, Social Security, Unemployment, Food Stamp award Letter, Retirement, VA Disability, etc.
Current utility bill and, if applicable, disconnect notice. Reliant customers must provide meter number.</t>
  </si>
  <si>
    <t>29.6977629795918, -95.4383455918367</t>
  </si>
  <si>
    <t>Shrine of the True Cross (SVdP) Missouri City</t>
  </si>
  <si>
    <t>300 FM 517 Road E</t>
  </si>
  <si>
    <t>832-820-8325</t>
  </si>
  <si>
    <t>Tu, We &amp; Th 9:30 a.m. to 11:30 a.m.</t>
  </si>
  <si>
    <t>The associated Society of St Vincent de Paul (SVdP) is closed.</t>
  </si>
  <si>
    <t>https://www.truecrosschurch.org/st-vincent-de-paul</t>
  </si>
  <si>
    <t>https://maps.google.com/?q=Shrine%20of%20the%20True%20Cross%20(SVdP)%20Missouri%20City%20%20%20TX%20</t>
  </si>
  <si>
    <t>29.449580530145095, -95.07404476483545</t>
  </si>
  <si>
    <t>{"regular":[{"days":["Tu","We","Th"],"open":"09:30","close":"11:30"}]}</t>
  </si>
  <si>
    <t>Small Steps Nurturing Center</t>
  </si>
  <si>
    <t>2902 Jensen Drive</t>
  </si>
  <si>
    <t>713-236-0330</t>
  </si>
  <si>
    <t>Childcare
Accredited program providing high quality education, transportation and nutritious meals to economically at risk children between the ages of two through six living in poverty.
Fill out online application to see if child qualifies</t>
  </si>
  <si>
    <t>https://ssnc.org/about-small-steps/our-program/</t>
  </si>
  <si>
    <t>https://www.google.com/maps/place/Small+Steps+Nurturing+Center/@29.787857,-95.3441581,16z/data=!3m1!4b1!4m6!3m5!1s0x8640b9252b5acec3:0xbda8297edc60a00b!8m2!3d29.787857!4d-95.3415832!16s%2Fg%2F1v3h_c2r?entry=ttu&amp;g_ep=EgoyMDI1MDQwOS4wIKXMDSoASAFQAw%3D%3D</t>
  </si>
  <si>
    <t>29.7876667959184, -95.3418676734694</t>
  </si>
  <si>
    <t>713-402-5196</t>
  </si>
  <si>
    <t>Childcare
Accredited program providing high quality education, transportation and nutritious meals to economically at risk children between the ages of two through six living in poverty.
Located in St Luke's Methodist Church campus
Fill out online application to see if child qualifies</t>
  </si>
  <si>
    <t>https://www.google.com/maps/place/Small+Steps+Nurturing+Center+-+Gulfton/@29.7059031,-95.5063715,16z/data=!3m1!4b1!4m6!3m5!1s0x8640c3fb3d12fe23:0x8dfaa86fdd2a5c32!8m2!3d29.7059031!4d-95.5037966!16s%2Fg%2F11trtsn8hg?entry=ttu&amp;g_ep=EgoyMDI1MDQwOS4wIKXMDSoASAFQAw%3D%3D</t>
  </si>
  <si>
    <t>77336, 77339, 77345, 77346, 77357, 77365</t>
  </si>
  <si>
    <t>Society of St Stephen</t>
  </si>
  <si>
    <t>2307 Crystal Springs Drive</t>
  </si>
  <si>
    <t>Kingwood</t>
  </si>
  <si>
    <t>77339</t>
  </si>
  <si>
    <t>281-358-7722</t>
  </si>
  <si>
    <t>Mo, We &amp; Fr 9:30 a.m. to 11:30 a.m.</t>
  </si>
  <si>
    <t>https://kingwoodmethodist.org/community-support/</t>
  </si>
  <si>
    <t>https://maps.google.com/?q=Society%20of%20St%20Stephen%202307%20Crystal%20Springs%20Dr%20Kingwood%20TX%2077339</t>
  </si>
  <si>
    <t>30.0414524846694, -95.2228750911494</t>
  </si>
  <si>
    <t>{"regular":[{"days":["Mo","We","Fr"],"open":"09:30","close":"11:30"}]}</t>
  </si>
  <si>
    <t>77336, 77339, 77345, 77346, 77357, 77365, 77372</t>
  </si>
  <si>
    <t>First 10 clients for the day.</t>
  </si>
  <si>
    <t>Photo ID.
Current utility bill &amp; lease.
Official documentation for everyone in the household (birth certificate, Social Security card, Medicaid card, school report card, shot record for children).
US Citizens/Permanent Residents.
Rent assistance is limited to once every 12 months.</t>
  </si>
  <si>
    <t>Photo ID.
Current utility bill &amp; lease.
Official documentation for everyone in the household (birth certificate, Social Security card, Medicaid card, school report card, shot record for children).
US Citizens/Permanent Residents.
Food Pantry is limited to once every 30 days.</t>
  </si>
  <si>
    <t>Photo ID.
Current utility bill &amp; lease.
Official documentation for everyone in the household (birth certificate, Social Security card, Medicaid card, school report card, shot record for children) 
US Citizens/Permanent Residents.
Clothing is limited to once every 30 days.</t>
  </si>
  <si>
    <t>South Texas College of Law Houston</t>
  </si>
  <si>
    <t>1303 San Jacinto Street</t>
  </si>
  <si>
    <t>713-646-2990</t>
  </si>
  <si>
    <t>https://www.stcl.edu/academics/legal-clinics/request-legal-assistance/</t>
  </si>
  <si>
    <t>29.7534991428571, -95.3649745918367</t>
  </si>
  <si>
    <t>77017, 77034, 77061, 77075, 77087, 77089, 77587, 77598</t>
  </si>
  <si>
    <t>Southeast Area Ministries</t>
  </si>
  <si>
    <t>2102 Houston Blvd</t>
  </si>
  <si>
    <t>South Houston</t>
  </si>
  <si>
    <t>77587</t>
  </si>
  <si>
    <t>713-944-0093</t>
  </si>
  <si>
    <t>Permanently Closed</t>
  </si>
  <si>
    <t>Call to schedule interview.
Photo ID
US Citizens/Permanent Residents.
Proof of address.
Proof of income.
Late or Disconnect Notice.</t>
  </si>
  <si>
    <t>https://southeastareaministries.com/houston-assistance-ministries/</t>
  </si>
  <si>
    <t>https://maps.google.com/?q=Southeast%20Area%20Ministries%202102%20Houston%20Blvd%20South%20Houston%20TX%2077587</t>
  </si>
  <si>
    <t>29.657224, -95.230515</t>
  </si>
  <si>
    <t>Mo - Th 9:30 a.m. to 11:30 a.m.</t>
  </si>
  <si>
    <t>Call to make next day appointments.</t>
  </si>
  <si>
    <t>{"regular":[{"days":["Mo","Tu","We","Th"],"open":"09:30","close":"11:30"}]}</t>
  </si>
  <si>
    <t>Southeast Clinic</t>
  </si>
  <si>
    <t>3737 Red Bluff Road</t>
  </si>
  <si>
    <t>https://www.google.com/maps/place/Harris+County+Public+Health+Southeast+WIC/@29.6854876,-95.1608821,17z/data=!3m1!4b1!4m6!3m5!1s0x864098160bc4268d:0x1cd5b02fc06569c4!8m2!3d29.6854877!4d-95.1560058!16s%2Fg%2F1thn5x2x?entry=ttu&amp;g_ep=EgoyMDI2MDEyNS4wIKXMDSoKLDEwMDc5MjA2OUgBUAM%3D</t>
  </si>
  <si>
    <t>29.685627334285183, -95.15603798042811</t>
  </si>
  <si>
    <t>713-274-9430</t>
  </si>
  <si>
    <t>Free or low-cost dental services for children and adolescents (6 mo to 21 years).
Services include exams. x-rays, cleanings, sealants, oral hygiene counseling, fillings, pulpotomy, crowns and extractions</t>
  </si>
  <si>
    <t>Southwest Multi-Service Center</t>
  </si>
  <si>
    <t>6400 High Star Drive</t>
  </si>
  <si>
    <t>832-395-9910</t>
  </si>
  <si>
    <t>Mo - Fr 8:30 a.m. to 11:30 p.m &amp; Mo - Fr  1"30 p.m. to 3:30 p.m.</t>
  </si>
  <si>
    <t>https://www.houstonhealth.org/services/multi-service-centers/southwest-multi-service-center</t>
  </si>
  <si>
    <t>https://www.google.com/maps/place/Southwest+Multi-Service+Center/@29.7111474,-95.4988017,17z/data=!3m1!4b1!4m6!3m5!1s0x8640c2377687510d:0xd3c02798ea401cfc!8m2!3d29.7111428!4d-95.4962268!16s%2Fg%2F11b5wpkljq?entry=ttu&amp;g_ep=EgoyMDI2MDIwMS4wIKXMDSoKLDEwMDc5MjA2OUgBUAM%3D</t>
  </si>
  <si>
    <t>29.711394346185674, -95.4962160649314</t>
  </si>
  <si>
    <t>Mo 9 a.m. to 6 p.m. &amp; Tu - Th 8 a.m. to 5 p.m. &amp; 3rd Sa 8 a.m. to 12 p.m.</t>
  </si>
  <si>
    <t>77090, 77091</t>
  </si>
  <si>
    <t>Springwoods UMC</t>
  </si>
  <si>
    <t>1711 Cypress Creek Pkwy</t>
  </si>
  <si>
    <t>281-444-6466</t>
  </si>
  <si>
    <t>Mo - Fr 9 a.m. to 12 p.m. &amp; 1 p.m. to 3 p.m.</t>
  </si>
  <si>
    <t>https://www.springwoodsumc.org/</t>
  </si>
  <si>
    <t>https://maps.google.com/?q=Springwoods%20UMC%20%20%20TX%20</t>
  </si>
  <si>
    <t>30.0109139, -95.4565575</t>
  </si>
  <si>
    <t>{"regular":[{"days":["Mo","Tu","We","Th","Fr"],"open":"09:00","close":"12:00"}]}</t>
  </si>
  <si>
    <t>77031, 77071</t>
  </si>
  <si>
    <t>St Albert of Trapani (SVdP D3)</t>
  </si>
  <si>
    <t>11027 S Gessner Road</t>
  </si>
  <si>
    <t>713-771-3596</t>
  </si>
  <si>
    <t>Tu &amp; Fr 8:30 a.m. to 4:30 p.m.</t>
  </si>
  <si>
    <t>https://stalbertoftrapani.org/</t>
  </si>
  <si>
    <t>https://maps.google.com/?q=St%20Albert%20of%20Trapani%20(SVdP%20D3)%2011027%20S%20Gessner%20Rd%20Houston%20TX%2077071</t>
  </si>
  <si>
    <t>29.6597531632653, -95.5279483469388</t>
  </si>
  <si>
    <t>{"regular":[{"days":["Tu","Fr"],"open":"08:30","close":"16:30"}]}</t>
  </si>
  <si>
    <t>77018, 77091, 77092</t>
  </si>
  <si>
    <t>St Ambrose (SVdP D4)</t>
  </si>
  <si>
    <t>4213 Mangum Road</t>
  </si>
  <si>
    <t>713-686-3068</t>
  </si>
  <si>
    <t>Mo, We &amp; Fr 9 a.m. to 11 a.m.</t>
  </si>
  <si>
    <t>https://stambrosehouston.org/</t>
  </si>
  <si>
    <t>https://maps.google.com/?q=St%20Ambrose%20(SVdP%20D4)%204213%20Mangum%20Rd%20Houston%20TX%2077092</t>
  </si>
  <si>
    <t>29.8281529915654, -95.4622014254316</t>
  </si>
  <si>
    <t>{"regular":[{"days":["Mo","We","Fr"],"open":"09:00","close":"11:00"}]}</t>
  </si>
  <si>
    <t>77013, 77015, 77029, 77044, 77049, 77530</t>
  </si>
  <si>
    <t>St Andrew (SVdP D5) Channelview</t>
  </si>
  <si>
    <t>827 Sheldon Road</t>
  </si>
  <si>
    <t>Channelview</t>
  </si>
  <si>
    <t>77530</t>
  </si>
  <si>
    <t>281-457-2245</t>
  </si>
  <si>
    <t>http://www.standrewchurch.net/svdp.shtml</t>
  </si>
  <si>
    <t>https://maps.google.com/?q=St%20Andrew%20(SVdP%20D5)%20Channelview%20827%20Sheldon%20Rd%20Channelview%20TX%2077530</t>
  </si>
  <si>
    <t>29.790142455897, -95.1247004351348</t>
  </si>
  <si>
    <t>Tu 5 p.m. to 6 p.m.</t>
  </si>
  <si>
    <t>http://mobile.7067.comcastbiz.net/our-daily-bread.shtml</t>
  </si>
  <si>
    <t>{"regular":[{"days":["Tu"],"open":"17:00","close":"18:00"}]}</t>
  </si>
  <si>
    <t>St Angela Merici (SVdP D2)</t>
  </si>
  <si>
    <t>9909 Sienna Ranch Road</t>
  </si>
  <si>
    <t>281-710-2002</t>
  </si>
  <si>
    <t>https://stamericigh.com/svdp</t>
  </si>
  <si>
    <t>https://maps.google.com/?q=St%20Angela%20Merici%20(SVdP%20D2)%209909%20Sienna%20Ranch%20Rd%20Missouri%20City%20TX%2077459</t>
  </si>
  <si>
    <t>29.5215836046374, -95.5547873163619</t>
  </si>
  <si>
    <t>77006, 77019, 77027, 77098</t>
  </si>
  <si>
    <t>St Anne (SVdP)</t>
  </si>
  <si>
    <t>2140 Westheimer Road</t>
  </si>
  <si>
    <t>832-852-1300</t>
  </si>
  <si>
    <t>https://www.saintanne.org/outreach-ministries#societyofstvincentdepaul</t>
  </si>
  <si>
    <t>https://maps.google.com/?q=St%20Anne%20(SVdP)%202140%20Westheimer%20Rd%20Houston%20TX%2077098</t>
  </si>
  <si>
    <t>29.7429742, -95.4126190672117</t>
  </si>
  <si>
    <t>River Oaks</t>
  </si>
  <si>
    <t>77018, 77022</t>
  </si>
  <si>
    <t>St Anne de Beaupre (SVdP D1)</t>
  </si>
  <si>
    <t>2810 Link Road</t>
  </si>
  <si>
    <t>713-868-1157</t>
  </si>
  <si>
    <t>Fr 8 a.m. to 11 a.m.</t>
  </si>
  <si>
    <t>https://www.archgh.org/parishes/st-anne-de-beaupre-houston/</t>
  </si>
  <si>
    <t>https://maps.google.com/?q=St%20Anne%20de%20Beaupre%20(SVdP%20D1)%202810%20Link%20Rd%20Houston%20TX%2077009</t>
  </si>
  <si>
    <t>29.813209, -95.386005</t>
  </si>
  <si>
    <t>{"regular":[{"days":["Fr"],"open":"08:00","close":"11:00"}]}</t>
  </si>
  <si>
    <t>77375, 77377</t>
  </si>
  <si>
    <t>St Anne Tomball (SVdP D6)</t>
  </si>
  <si>
    <t>1111 S Cherry Street</t>
  </si>
  <si>
    <t>77375</t>
  </si>
  <si>
    <t>281-255-2894</t>
  </si>
  <si>
    <t>https://stanne-tomball.org/st-vincent-de-paul</t>
  </si>
  <si>
    <t>https://maps.google.com/?q=St%20Anne%20Tomball%20(SVdP%20D6)%201111%20S%20Cherry%20St%20Tomball%20TX%2077375</t>
  </si>
  <si>
    <t>30.0886827346939, -95.6114812244898</t>
  </si>
  <si>
    <t>77301, 77302, 77303, 77304, 77305, 77306, 77316, 77318, 77328, 77333, 77339, 77353, 77354, 77355, 77356, 77357, 77362, 77365, 77372, 77373, 77375, 77377, 77378, 77379, 77380, 77381, 77382, 77384, 77385, 77386, 77387, 77388, 77389, 77393</t>
  </si>
  <si>
    <t>St Anthony Bread</t>
  </si>
  <si>
    <t>7985 Bay Branch Drive</t>
  </si>
  <si>
    <t>77382</t>
  </si>
  <si>
    <t>832-482-4210</t>
  </si>
  <si>
    <t xml:space="preserve">Tu, Th &amp; Sa 8 a.m. to 10 a.m. </t>
  </si>
  <si>
    <t>Or until they run out of food.</t>
  </si>
  <si>
    <t>Need to register.
Valid ID.
Food distribution every 14 days.</t>
  </si>
  <si>
    <t>https://ap.church/ministries/outreach/food-pantry/</t>
  </si>
  <si>
    <t>https://maps.google.com/?q=St%20Anthony%20Bread%207985%20Bay%20Branch%20Dr%20Spring%20TX%2077382</t>
  </si>
  <si>
    <t>30.2070670341081, -95.5305157911364</t>
  </si>
  <si>
    <t>{"regular":[{"days":["Tu","Th","Sa"],"open":"08:00","close":"10:00"}]}</t>
  </si>
  <si>
    <t>Alden Bridge</t>
  </si>
  <si>
    <t>77354, 77380, 77381, 77382, 77383, 77384, 77385, 77386, 77389</t>
  </si>
  <si>
    <t>St Anthony of Padua (SVdP D6) The Woodlands</t>
  </si>
  <si>
    <t>7801 Bay Branch Drive</t>
  </si>
  <si>
    <t>The Woodlands</t>
  </si>
  <si>
    <t>281-766-1920</t>
  </si>
  <si>
    <t>https://ap.church/ministries/outreach/</t>
  </si>
  <si>
    <t>https://maps.google.com/?q=St%20Anthony%20of%20Padua%20(SVdP%20D6)%20The%20Woodlands%207801%20Bay%20Branch%20Dr%20The%20Woodlands%20TX%2077382</t>
  </si>
  <si>
    <t>30.204775, -95.52824</t>
  </si>
  <si>
    <t>St Bartholomew (SVdP D4) Katy</t>
  </si>
  <si>
    <t>5356 11th Street</t>
  </si>
  <si>
    <t>Parishioners should contact the church directly. 
All others, within the serviced zip codes, must contact the SVdP associated with the Epiphany of the Lord Catholic Church for a referral. Listed phone number is for the Epiphany SVdP.</t>
  </si>
  <si>
    <t>https://www.st-bart.org/svdp</t>
  </si>
  <si>
    <t>https://maps.google.com/?q=St%20Bartholomew%20(SVdP%20D4)%20Katy%205356%2011th%20St%20Katy%20TX%2077493</t>
  </si>
  <si>
    <t>stbarts.svdp@gmail.com</t>
  </si>
  <si>
    <t>29.7963537423006, -95.8134021005559</t>
  </si>
  <si>
    <t>Katy (Old Town)</t>
  </si>
  <si>
    <t>281-391-1540</t>
  </si>
  <si>
    <t>Limited to 1st 30 families</t>
  </si>
  <si>
    <t>77058, 77059, 77062, 77598</t>
  </si>
  <si>
    <t>St Bernadette Clear Lake</t>
  </si>
  <si>
    <t>15500 El Camino Real</t>
  </si>
  <si>
    <t>77062</t>
  </si>
  <si>
    <t>281-486-0337</t>
  </si>
  <si>
    <t>Tu - Th 9:30 a.m. to 11:30 a.m.</t>
  </si>
  <si>
    <t>https://www.stbchurch.org/</t>
  </si>
  <si>
    <t>https://maps.google.com/?q=St%20Bernadette%20Clear%20Lake%2015500%20El%20Camino%20Real%20Houston%20TX%2077062</t>
  </si>
  <si>
    <t>29.5688081960784, -95.1335037254902</t>
  </si>
  <si>
    <t>77043</t>
  </si>
  <si>
    <t>St Catherine of Sienna</t>
  </si>
  <si>
    <t>10688 Shadow Wood Drive</t>
  </si>
  <si>
    <t>713-467-8170</t>
  </si>
  <si>
    <t>https://stcatherine-houston.org/</t>
  </si>
  <si>
    <t>https://maps.google.com/?q=St%20Catherine%20of%20Sienna%2010688%20Shadow%20Wood%20Dr%20Houston%20TX%2077043</t>
  </si>
  <si>
    <t>29.8048466755964, -95.5594299442399</t>
  </si>
  <si>
    <t>77024, 77043, 77055, 77080</t>
  </si>
  <si>
    <t>St Cecilia (SVdP D4)</t>
  </si>
  <si>
    <t>11720 Joan of Arc Drive</t>
  </si>
  <si>
    <t>713-468-1185</t>
  </si>
  <si>
    <t>Mo - We 9:30 a.m. to 12 p.m.</t>
  </si>
  <si>
    <t>https://saintcecilia.org/svdp</t>
  </si>
  <si>
    <t>https://maps.google.com/?q=St%20Cecilia%20(SVdP%20D4)%2011720%20Joan%20of%20Arc%20Dr%20Houston%20TX%2077024</t>
  </si>
  <si>
    <t>29.7781074081633, -95.5293707551021</t>
  </si>
  <si>
    <t>{"regular":[{"days":["Mo","Tu","We"],"open":"09:30","close":"12:00"}]}</t>
  </si>
  <si>
    <t>77022, 77076</t>
  </si>
  <si>
    <t>St Charles Borromeo (SVdP D1)</t>
  </si>
  <si>
    <t>501 Tidwell Road</t>
  </si>
  <si>
    <t>832-263-3020 (E)
832-242-8319 (S)</t>
  </si>
  <si>
    <t>https://stcharleshouston.org/parish-groups</t>
  </si>
  <si>
    <t>https://maps.google.com/?q=St%20Charles%20Borromeo%20(SVdP%20D1)%20501%20Tidwell%20Rd%20Houston%20TX%2077022</t>
  </si>
  <si>
    <t>29.8478085, -95.368906</t>
  </si>
  <si>
    <t>832-369-9390</t>
  </si>
  <si>
    <t>1st &amp; 3rd We from 1 p.m. &amp; 2nd &amp; 4th Sa from 10 a.m.</t>
  </si>
  <si>
    <t>Fill out online survey before arriving.
Access survey form by texting "HFBPS" to 855-788-3663.</t>
  </si>
  <si>
    <t>{"special":[{"pattern":"1st &amp; 3rd We","open":"13:00","close":null},{"pattern":"2nd &amp; 4th Sa","open":"10:00","close":null}]}</t>
  </si>
  <si>
    <t>77058, 77059, 77062, 77546, 77565, 77573, 77586, 77598</t>
  </si>
  <si>
    <t>St Clare of Assisi (Christ in Action)</t>
  </si>
  <si>
    <t>3131 El Dorado Blvd</t>
  </si>
  <si>
    <t>77059</t>
  </si>
  <si>
    <t>713-530-7452</t>
  </si>
  <si>
    <t>Mo - Th 9 a.m. to 12 p.m.</t>
  </si>
  <si>
    <t>https://stclarehouston.org/christians-in-action</t>
  </si>
  <si>
    <t>https://maps.google.com/?q=St%20Clare%20of%20Assisi%20(Christ%20in%20Action)%203131%20El%20Dorado%20Blvd%20Houston%20TX%2077059</t>
  </si>
  <si>
    <t>29.582611, -95.119361</t>
  </si>
  <si>
    <t>77388, 77389, 77390</t>
  </si>
  <si>
    <t>St Edward Spring</t>
  </si>
  <si>
    <t>2601 Spring Stuebner Road</t>
  </si>
  <si>
    <t>77389</t>
  </si>
  <si>
    <t>281-353-9774</t>
  </si>
  <si>
    <t>Mo - Th 8:30 a.m. to 4:30 p.m.</t>
  </si>
  <si>
    <t>https://www.saintedward.org/</t>
  </si>
  <si>
    <t>https://maps.google.com/?q=St%20Edward%20Spring%202601%20Spring%20Stuebner%20Rd%20Spring%20TX%2077389</t>
  </si>
  <si>
    <t>30.082790613589, -95.4552526834169</t>
  </si>
  <si>
    <t>{"regular":[{"days":["Mo","Tu","We","Th"],"open":"08:30","close":"16:30"}]}</t>
  </si>
  <si>
    <t>77041, 77084, 77095</t>
  </si>
  <si>
    <t>St Elizabeth Ann Seton (SVdP D4)</t>
  </si>
  <si>
    <t>6646 Addicks Satsuma Drive</t>
  </si>
  <si>
    <t>281-463-4560</t>
  </si>
  <si>
    <t>Mo, We, Fr 9 a.m. to 12 p.m.</t>
  </si>
  <si>
    <t>https://seascatholic.org/st-vincent-de-paul</t>
  </si>
  <si>
    <t>https://maps.google.com/?q=St%20Elizabeth%20Ann%20Seton%20(SVdP%20D4)%206646%20Addicks%20Satsuma%20Dr%20Houston%20TX%2077084</t>
  </si>
  <si>
    <t>29.872679614359935, -95.63152331491388</t>
  </si>
  <si>
    <t>{"regular":[{"days":["Mo","We","Fr"],"open":"09:00","close":"12:00"}]}</t>
  </si>
  <si>
    <t>Copperfield</t>
  </si>
  <si>
    <t>3rd Su</t>
  </si>
  <si>
    <t>{"special":[{"pattern":"3rd Su","open":null,"close":null}]}</t>
  </si>
  <si>
    <t>St Francis Cabrini</t>
  </si>
  <si>
    <t>10727 Hartsook Street</t>
  </si>
  <si>
    <t>713-946-5768</t>
  </si>
  <si>
    <t>Tu &amp; Th 9:30 a.m. to 11 a.m.</t>
  </si>
  <si>
    <t>https://cabrinihouston.org/</t>
  </si>
  <si>
    <t>https://maps.google.com/?q=St%20Francis%20Cabrini%2010727%20Hartsook%20St%20Houston%20TX%2077034</t>
  </si>
  <si>
    <t>29.6349083265306, -95.2230652653061</t>
  </si>
  <si>
    <t>{"regular":[{"days":["Tu","Th"],"open":"09:30","close":"11:00"}]}</t>
  </si>
  <si>
    <t>77036, 77074</t>
  </si>
  <si>
    <t>St Francis de Sales (SVdP D3)</t>
  </si>
  <si>
    <t>8200 Roos Road</t>
  </si>
  <si>
    <t>832-280-7837</t>
  </si>
  <si>
    <t>Leave msg.  Calls returned Mo, Th</t>
  </si>
  <si>
    <t>https://sfds-houston.org/society-of-st-vincent-de-paul</t>
  </si>
  <si>
    <t>https://maps.google.com/?q=St%20Francis%20de%20Sales%20(SVdP%20D3)%208200%20Roos%20Rd%20Houston%20TX%2077036</t>
  </si>
  <si>
    <t>29.6998998383838, -95.5290626767677</t>
  </si>
  <si>
    <t>Mo &amp; Th</t>
  </si>
  <si>
    <t>{"regular":[{"days":["Mo","Th"],"open":null,"close":null}]}</t>
  </si>
  <si>
    <t>St Francis of Assisi</t>
  </si>
  <si>
    <t>5102 Dabney Street</t>
  </si>
  <si>
    <t>713-672-7773</t>
  </si>
  <si>
    <t>Tu - Fr 8 a.m. to 10 a.m.</t>
  </si>
  <si>
    <t>https://www.stfrancisofhouston.org/</t>
  </si>
  <si>
    <t>https://maps.google.com/?q=St%20Francis%20of%20Assisi%205102%20Dabney%20St%20Houston%20TX%2077026</t>
  </si>
  <si>
    <t>29.806872, -95.310376</t>
  </si>
  <si>
    <t>{"regular":[{"days":["Tu","We","Th","Fr"],"open":"08:00","close":"10:00"}]}</t>
  </si>
  <si>
    <t>77033, 77047, 77051</t>
  </si>
  <si>
    <t>St Francis Xavier (SVdP D3)</t>
  </si>
  <si>
    <t>4600 Reed Road</t>
  </si>
  <si>
    <t>713-731-2716</t>
  </si>
  <si>
    <t>Mo &amp; Fr 8:30 a.m. to 10:30 a.m.</t>
  </si>
  <si>
    <t>https://sfxhouston.com/</t>
  </si>
  <si>
    <t>https://maps.google.com/?q=St%20Francis%20Xavier%20(SVdP%20D3)%204600%20Reed%20Rd%20Houston%20TX%2077051</t>
  </si>
  <si>
    <t>29.6579308, -95.3576805363885</t>
  </si>
  <si>
    <t>{"regular":[{"days":["Mo","Fr"],"open":"08:30","close":"10:30"}]}</t>
  </si>
  <si>
    <t>77511, 77546, 77581, 77583, 77584</t>
  </si>
  <si>
    <t>St Helen (SVdP D7) Pearland</t>
  </si>
  <si>
    <t>2209 Old Alvin Road</t>
  </si>
  <si>
    <t>77581</t>
  </si>
  <si>
    <t>281-485-2976</t>
  </si>
  <si>
    <t>https://www.sthelenchurch.org/home/ministries_organizations/st-vincent-de-paul-society/</t>
  </si>
  <si>
    <t>https://maps.google.com/?q=St%20Helen%20(SVdP%20D7)%20Pearland%202209%20Old%20Alvin%20Rd%20Pearland%20TX%2077581</t>
  </si>
  <si>
    <t>29.5673385644325, -95.2773378352567</t>
  </si>
  <si>
    <t>Mo &amp; Th 2 p.m. to 4 p.m. &amp; We &amp; Fr 5 p.m. to 7 p.m. &amp; Tu 10 a.m. to 12 p.m. &amp; 6 p.m. to 8 p.m.</t>
  </si>
  <si>
    <t>Food Fairs on the 2nd and 4th Saturdays.</t>
  </si>
  <si>
    <t>{"regular":[{"days":["Mo","Th"],"open":"14:00","close":"16:00"},{"days":["We","Fr"],"open":"17:00","close":"19:00"},{"days":["Tu"],"open":"10:00","close":"12:00"}]}</t>
  </si>
  <si>
    <t>77505, 77536, 77571</t>
  </si>
  <si>
    <t>St Hyacinth (SVdP D5) Deer Park</t>
  </si>
  <si>
    <t>2921 Center Street</t>
  </si>
  <si>
    <t>281-497-3131</t>
  </si>
  <si>
    <t>https://sthyacinth.org/need-help-society-of-st-vincent-de-paul</t>
  </si>
  <si>
    <t>https://maps.google.com/?q=St%20Hyacinth%20(SVdP%20D5)%20Deer%20Park%202921%20Center%20St%20Deer%20Park%20TX%2077536</t>
  </si>
  <si>
    <t>29.6864487473684, -95.1233462631579</t>
  </si>
  <si>
    <t>77073, 77373</t>
  </si>
  <si>
    <t>St James Spring</t>
  </si>
  <si>
    <t>22800 Aldine Westfield Road</t>
  </si>
  <si>
    <t>77373</t>
  </si>
  <si>
    <t>281-353-5053</t>
  </si>
  <si>
    <t>Mo - Th 9 a.m. to 4:30 p.m. &amp; Fr 9 a.m. to 1 p.m.</t>
  </si>
  <si>
    <t>https://www.stjta.org/service-items/88-social-ministry</t>
  </si>
  <si>
    <t>https://maps.google.com/?q=St%20James%20Spring%2022800%20Aldine%20Westfield%20Rd%20Spring%20TX%2077373</t>
  </si>
  <si>
    <t>30.0441146249314, -95.384631885987</t>
  </si>
  <si>
    <t>77040, 77043, 77055, 77080</t>
  </si>
  <si>
    <t>St Jerome (SVdP)</t>
  </si>
  <si>
    <t>8825 Kempwood Drive</t>
  </si>
  <si>
    <t>713-468-5910</t>
  </si>
  <si>
    <t>Tu &amp; Th 9 a.m. to 12 p.m.</t>
  </si>
  <si>
    <t>https://www.stjeromehou.org/stvdepaul</t>
  </si>
  <si>
    <t>https://maps.google.com/?q=St%20Jerome%20(SVdP)%208825%20Kempwood%20Dr%20Houston%20TX%2077080</t>
  </si>
  <si>
    <t>29.8210492894168, -95.5102612915814</t>
  </si>
  <si>
    <t>{"regular":[{"days":["Tu","Th"],"open":"09:00","close":"12:00"}]}</t>
  </si>
  <si>
    <t>St John of the Cross New Caney</t>
  </si>
  <si>
    <t>20000 TX-494 Loop</t>
  </si>
  <si>
    <t>281-399-9008</t>
  </si>
  <si>
    <t>Mo &amp; Th 9:30 a.m. to 11:15 a.m.</t>
  </si>
  <si>
    <t>https://sjotctx.org/ministries/food-pantry</t>
  </si>
  <si>
    <t>https://maps.google.com/?q=St%20John%20of%20the%20Cross%20New%20Caney%2020000%20TX-494%20Loop%20New%20Caney%20TX%2077357</t>
  </si>
  <si>
    <t>30.15705681993237, -95.21165599125787</t>
  </si>
  <si>
    <t>{"regular":[{"days":["Mo","Th"],"open":"09:30","close":"11:15"}]}</t>
  </si>
  <si>
    <t>77511</t>
  </si>
  <si>
    <t>St John the Baptist Alvin</t>
  </si>
  <si>
    <t>110 E South Street</t>
  </si>
  <si>
    <t>Alvin</t>
  </si>
  <si>
    <t>281-331-3751</t>
  </si>
  <si>
    <t>Tu &amp; Th 9 a.m. to 2:45 p.m.</t>
  </si>
  <si>
    <t>https://www.stjohnalvin.org/</t>
  </si>
  <si>
    <t>https://maps.google.com/?q=St%20John%20the%20Baptist%20Alvin%20110%20E%20South%20St%20Alvin%20TX%2077511</t>
  </si>
  <si>
    <t>29.4091288447981, -95.2434043680676</t>
  </si>
  <si>
    <t>{"regular":[{"days":["Tu","Th"],"open":"09:00","close":"14:45"}]}</t>
  </si>
  <si>
    <t>77077, 77079</t>
  </si>
  <si>
    <t>St John Vianney</t>
  </si>
  <si>
    <t>625 Nottingham Oaks Trail</t>
  </si>
  <si>
    <t>281-497-4434</t>
  </si>
  <si>
    <t>Call to schedule an appointment.</t>
  </si>
  <si>
    <t>https://www.stjohnvianney.org/ministries/social-services/food-program/</t>
  </si>
  <si>
    <t>https://maps.google.com/?q=St%20John%20Vianney%20625%20Nottingham%20Oaks%20Trail%20Houston%20TX%2077079</t>
  </si>
  <si>
    <t>29.7688440102041, -95.612840255102</t>
  </si>
  <si>
    <t>77340, 77358</t>
  </si>
  <si>
    <t>St Joseph (SVdP D6) New Waverly</t>
  </si>
  <si>
    <t>101 Elmore Street</t>
  </si>
  <si>
    <t>New Waverly</t>
  </si>
  <si>
    <t>77358</t>
  </si>
  <si>
    <t>936-227-0095</t>
  </si>
  <si>
    <t>Mo - Fr 9 a.m. to 6 p.m.</t>
  </si>
  <si>
    <t>https://www.st-josephtx.org/from-the-desk-of-fr-kim-2/</t>
  </si>
  <si>
    <t>https://maps.google.com/?q=St%20Joseph%20(SVdP%20D6)%20New%20Waverly%20101%20Elmore%20St%20New%20Waverly%20TX%2077358</t>
  </si>
  <si>
    <t>30.535631, -95.481527</t>
  </si>
  <si>
    <t>{"regular":[{"days":["Mo","Tu","We","Th","Fr"],"open":"09:00","close":"18:00"}]}</t>
  </si>
  <si>
    <t>2nd &amp; 4th Mo 9 a.m. to 12 p.m.</t>
  </si>
  <si>
    <t>{"special":[{"pattern":"2nd &amp; 4th Mo","open":"09:00","close":"12:00"}]}</t>
  </si>
  <si>
    <t>77422, 77426</t>
  </si>
  <si>
    <t>St Joseph Brazoria</t>
  </si>
  <si>
    <t>219 County Road 762</t>
  </si>
  <si>
    <t>Brazoria</t>
  </si>
  <si>
    <t>77422</t>
  </si>
  <si>
    <t>979-798-2288</t>
  </si>
  <si>
    <t>https://stjosephonthebrazos.com/st-josephs-helping-hands</t>
  </si>
  <si>
    <t>https://maps.google.com/?q=St%20Joseph%20Brazoria%20219%20County%20Rd%20762%20Brazoria%20TX%2077422</t>
  </si>
  <si>
    <t>29.0444868657718, -95.5585003489933</t>
  </si>
  <si>
    <t>St Joseph Catholic Church</t>
  </si>
  <si>
    <t>713-222-8903</t>
  </si>
  <si>
    <t>Mo 9 a.m. to 12 p.m. &amp; We 10 a.m. to 2 p.m.</t>
  </si>
  <si>
    <t>https://www.saintjoseph.org/en/serve/social-committee</t>
  </si>
  <si>
    <t>https://maps.app.goo.gl/qxuHRbWT6MeMWjHP7</t>
  </si>
  <si>
    <t>{"regular":[{"days":["Mo"],"open":"09:00","close":"12:00"},{"days":["We"],"open":"10:00","close":"14:00"}]}</t>
  </si>
  <si>
    <t>Food pantry.
Toiletries/hygiene kits</t>
  </si>
  <si>
    <t>Sack lunches for unhoused</t>
  </si>
  <si>
    <t>77535</t>
  </si>
  <si>
    <t>St Joseph the Worker Dayton</t>
  </si>
  <si>
    <t>804 S Cleveland Street</t>
  </si>
  <si>
    <t>Dayton</t>
  </si>
  <si>
    <t>936-258-5735</t>
  </si>
  <si>
    <t>Mo &amp; We 9 a.m. to 12 p.m.</t>
  </si>
  <si>
    <t>https://www.stjosephdaytontx.com/Food-Pantry.html</t>
  </si>
  <si>
    <t>https://maps.google.com/?q=St%20Joseph%20the%20Worker%20Dayton%20804%20S%20Cleveland%20St%20Dayton%20TX%2077535</t>
  </si>
  <si>
    <t>30.036961, -94.8858285</t>
  </si>
  <si>
    <t>{"regular":[{"days":["Mo","We"],"open":"09:00","close":"12:00"}]}</t>
  </si>
  <si>
    <t>77082, 77083</t>
  </si>
  <si>
    <t>St Justin Martyr</t>
  </si>
  <si>
    <t>13350 Ashford Point Drive</t>
  </si>
  <si>
    <t>281-556-6882</t>
  </si>
  <si>
    <t>We 8 a.m. to 9:30 a.m.</t>
  </si>
  <si>
    <t>https://www.sjmtx.org/social-ministry</t>
  </si>
  <si>
    <t>https://maps.google.com/?q=St%20Justin%20Martyr%2013350%20Ashford%20Point%20Dr%20Houston%20TX%2077082</t>
  </si>
  <si>
    <t>29.7146637755102, -95.6188316938776</t>
  </si>
  <si>
    <t>{"regular":[{"days":["We"],"open":"08:00","close":"09:30"}]}</t>
  </si>
  <si>
    <t>77445, 77449</t>
  </si>
  <si>
    <t>St Katherine of Drexel Hempstead</t>
  </si>
  <si>
    <t>800 FM 1488</t>
  </si>
  <si>
    <t>979-826-2275</t>
  </si>
  <si>
    <t>Tu - Fr 9 a.m. to 5 p.m.</t>
  </si>
  <si>
    <t>https://skdcc.com/parish-organizations</t>
  </si>
  <si>
    <t>https://maps.google.com/?q=St%20Katherine%20of%20Drexel%20Hempstead%20800%20FM%201488%20Hempstead%20TX%2077445</t>
  </si>
  <si>
    <t>30.098491, -96.067558</t>
  </si>
  <si>
    <t>{"regular":[{"days":["Tu","We","Th","Fr"],"open":"09:00","close":"17:00"}]}</t>
  </si>
  <si>
    <t>77034, 77075, 77076</t>
  </si>
  <si>
    <t>St Luke the Evangelist</t>
  </si>
  <si>
    <t>11011 Hall Road</t>
  </si>
  <si>
    <t>77089</t>
  </si>
  <si>
    <t>281-481-6816</t>
  </si>
  <si>
    <t>Limited to Parishioners.</t>
  </si>
  <si>
    <t>https://stlukescatholic.com/</t>
  </si>
  <si>
    <t>https://maps.google.com/?q=St%20Luke%20the%20Evangelist%2011011%20Hall%20Rd%20Houston%20TX%2077089</t>
  </si>
  <si>
    <t>29.5918627692308, -95.2331493846154</t>
  </si>
  <si>
    <t>South Belt / Ellington</t>
  </si>
  <si>
    <t>77044, 77336, 77338, 77339, 77345, 77346, 77357, 77365, 77372, 77396</t>
  </si>
  <si>
    <t>St Martha (SVdP D1) Kingwood</t>
  </si>
  <si>
    <t>4301 Woodridge Parkway</t>
  </si>
  <si>
    <t>Porter</t>
  </si>
  <si>
    <t>77365</t>
  </si>
  <si>
    <t>281-358-6636</t>
  </si>
  <si>
    <t>Tu &amp; Th 10 a.m. to 2 p.m.</t>
  </si>
  <si>
    <t>https://stmartha.com/st-vincent-de-paul-society</t>
  </si>
  <si>
    <t>https://maps.google.com/?q=St%20Martha%20(SVdP%20D1)%20Kingwood%204301%20Woodridge%20Parkway%20Porter%20TX%2077365</t>
  </si>
  <si>
    <t>30.0734581978645, -95.222331618106</t>
  </si>
  <si>
    <t>77520, 77521, 77535, 77562</t>
  </si>
  <si>
    <t>St Martin de Porres (SVdP D5)</t>
  </si>
  <si>
    <t>12606 Crosby Lynchburg Road</t>
  </si>
  <si>
    <t>281-813-4506</t>
  </si>
  <si>
    <t>1st We &amp; 3rd Sa</t>
  </si>
  <si>
    <t>https://stmartinbarrett.org/</t>
  </si>
  <si>
    <t>https://maps.google.com/?q=St%20Martin%20de%20Porres%20(SVdP%20D5)%2012606%20Crosby%20Lynchburg%20Rd%20Crosby%20TX%2077532</t>
  </si>
  <si>
    <t>29.8747058333333, -95.0635471666667</t>
  </si>
  <si>
    <t>{"special":[{"pattern":"1st We","open":null,"close":null},{"pattern":"3rd Sa","open":null,"close":null}]}</t>
  </si>
  <si>
    <t>77044, 77338, 77346, 77347, 77396</t>
  </si>
  <si>
    <t>St Mary Magdalene Humble</t>
  </si>
  <si>
    <t>527 South Houston Avenue</t>
  </si>
  <si>
    <t>281-540-1907</t>
  </si>
  <si>
    <t>Mo, We &amp; Fr 9:30 a.m. to 12:30 p.m.</t>
  </si>
  <si>
    <t>https://st-mm.com/social-ministry</t>
  </si>
  <si>
    <t>https://maps.google.com/?q=St%20Mary%20Magdalene%20Humble%20527%20South%20Houston%20Ave%20Humble%20TX%2077338</t>
  </si>
  <si>
    <t>29.990495, -95.257573</t>
  </si>
  <si>
    <t>{"regular":[{"days":["Mo","We","Fr"],"open":"09:30","close":"12:30"}]}</t>
  </si>
  <si>
    <t>77518, 77539, 77565, 77573, 77586, 77598</t>
  </si>
  <si>
    <t>St Mary of the Expectation</t>
  </si>
  <si>
    <t>1612 E Walker Street</t>
  </si>
  <si>
    <t>281-332-3031</t>
  </si>
  <si>
    <t>We 10 a.m. to 12 p.m.</t>
  </si>
  <si>
    <t>https://saintmcc.org/food-pantry</t>
  </si>
  <si>
    <t>https://maps.google.com/?q=St%20Mary%20of%20the%20Expectation%201612%20E%20Walker%20St%20League%20City%20TX%2077573</t>
  </si>
  <si>
    <t>29.5142535, -95.079834</t>
  </si>
  <si>
    <t>{"regular":[{"days":["We"],"open":"10:00","close":"12:00"}]}</t>
  </si>
  <si>
    <t>77004, 77021</t>
  </si>
  <si>
    <t>St Mary of the Purification (SVdP D3)</t>
  </si>
  <si>
    <t>713-524-3772</t>
  </si>
  <si>
    <t>https://stmaryshouston.org/st-vincent-de-paul</t>
  </si>
  <si>
    <t>https://maps.google.com/?q=St%20Mary%20of%20the%20Purification%20(SVdP%20D3)%203006%20Rosedale%20St%20Houston%20TX%2077004</t>
  </si>
  <si>
    <t>29.7199164242424, -95.3686874242424</t>
  </si>
  <si>
    <t>77571</t>
  </si>
  <si>
    <t>St Mary's (SVdP D5) La Porte</t>
  </si>
  <si>
    <t>816 Park Drive</t>
  </si>
  <si>
    <t>La Porte</t>
  </si>
  <si>
    <t>281-471-2000</t>
  </si>
  <si>
    <t>https://stmaryslaporte.com/st-vincent-de-paul-store</t>
  </si>
  <si>
    <t>https://maps.google.com/?q=St%20Mary's%20(SVdP%20D5)%20La%20Porte%20816%20Park%20Dr%20La%20Porte%20TX%2077571</t>
  </si>
  <si>
    <t>29.6557401836735, -95.0114840816326</t>
  </si>
  <si>
    <t>Beach Park</t>
  </si>
  <si>
    <t xml:space="preserve">Includes household essentials, dishes and silverware.
</t>
  </si>
  <si>
    <t>77316, 77333, 77363</t>
  </si>
  <si>
    <t>St Mary's (SVdP D6) Plantersville</t>
  </si>
  <si>
    <t>8227 County Road 205</t>
  </si>
  <si>
    <t>Plantersville</t>
  </si>
  <si>
    <t>77363</t>
  </si>
  <si>
    <t>936-894-2362</t>
  </si>
  <si>
    <t>https://smsj.org/</t>
  </si>
  <si>
    <t>https://maps.google.com/?q=St%20Mary's%20%20(SVdP%20D6)%20Plantersville%208227%20County%20Road%20205%20Plantersville%20TX%2077363</t>
  </si>
  <si>
    <t>30.368704, -95.871175</t>
  </si>
  <si>
    <t>St Mary's Texas City (SVdP D7)</t>
  </si>
  <si>
    <t>1604 9th Avenue N</t>
  </si>
  <si>
    <t>409-948-8448</t>
  </si>
  <si>
    <t>Sa 9 a.m. to 11 a.m.</t>
  </si>
  <si>
    <t>https://www.stmarycctc.org/st-vincent-de-paul</t>
  </si>
  <si>
    <t>https://maps.google.com/?q=St%20Mary's%20Texas%20City%20(SVdP%20D7)%201604%209th%20Ave%20N%20Texas%20City%20TX%2077590</t>
  </si>
  <si>
    <t>29.393277, -94.919353</t>
  </si>
  <si>
    <t>{"regular":[{"days":["Sa"],"open":"09:00","close":"11:00"}]}</t>
  </si>
  <si>
    <t>77041, 77088</t>
  </si>
  <si>
    <t>St Matthew the Evangelist</t>
  </si>
  <si>
    <t>9915 Hollister Street</t>
  </si>
  <si>
    <t>713-466-4030</t>
  </si>
  <si>
    <t>https://www.stmatthewhou.org/</t>
  </si>
  <si>
    <t>https://maps.google.com/?q=St%20Matthew%20the%20Evangelist%209915%20Hollister%20St%20Houston%20TX%2077040</t>
  </si>
  <si>
    <t>29.8845241666667, -95.5068628333333</t>
  </si>
  <si>
    <t>77354, 77355, 77362</t>
  </si>
  <si>
    <t>St Matthias (SVdP D6) Magnolia</t>
  </si>
  <si>
    <t>302 Magnolia Blvd</t>
  </si>
  <si>
    <t>281-259-7300</t>
  </si>
  <si>
    <t>https://st-matthias.net/st-vincent-de-paul</t>
  </si>
  <si>
    <t>https://maps.google.com/?q=St%20Matthias%20%20(SVdP%20D6)%20Magnolia%20302%20Magnolia%20Blvd%20Magnolia%20TX%2077355</t>
  </si>
  <si>
    <t>30.208227, -95.748643</t>
  </si>
  <si>
    <t>Fr 9 a.m. to 1:30 p.m.</t>
  </si>
  <si>
    <t>Will deliver to those who are homebound.</t>
  </si>
  <si>
    <t>{"regular":[{"days":["Fr"],"open":"09:00","close":"13:30"}]}</t>
  </si>
  <si>
    <t>Dental &amp; Vision
Help pay for dental care and eyeglasses</t>
  </si>
  <si>
    <t>Help with prescriptions.</t>
  </si>
  <si>
    <t>77430, 77444, 77461</t>
  </si>
  <si>
    <t>St Michael the Archangel (SVdP D2) Needville</t>
  </si>
  <si>
    <t>9214 Main Street</t>
  </si>
  <si>
    <t>Needville</t>
  </si>
  <si>
    <t>77461</t>
  </si>
  <si>
    <t>979-793-4477</t>
  </si>
  <si>
    <t>Mo - Fr 9 a.m. to 2:30 p.m.</t>
  </si>
  <si>
    <t>https://needvillecatholic.com/</t>
  </si>
  <si>
    <t>https://maps.google.com/?q=St%20Michael%20the%20Archangel%20(SVdP%20D2)%20Needville%209214%20Main%20St%20Needville%20TX%2077461</t>
  </si>
  <si>
    <t>29.3974153163265, -95.8354615102041</t>
  </si>
  <si>
    <t>{"regular":[{"days":["Mo","Tu","We","Th","Fr"],"open":"09:00","close":"14:30"}]}</t>
  </si>
  <si>
    <t>77027, 77056, 77057, 77063</t>
  </si>
  <si>
    <t>St Michael the Archangel (SVdP D3)</t>
  </si>
  <si>
    <t>713-403-4102</t>
  </si>
  <si>
    <t>Mo - Fr 8 a.m. to 2 p.m.</t>
  </si>
  <si>
    <t>https://www.stmichaelchurch.net/society-of-st-vincent-de-paul</t>
  </si>
  <si>
    <t>https://maps.google.com/?q=St%20Michael%20the%20Archangel%20(SVdP%20D3)%201801%20Sage%20Rd%20Houston%20TX%2077056</t>
  </si>
  <si>
    <t>{"regular":[{"days":["Mo","Tu","We","Th","Fr"],"open":"08:00","close":"14:00"}]}</t>
  </si>
  <si>
    <t>77531, 77541, 77566</t>
  </si>
  <si>
    <t>St Michael the Archangel (SVdP D7) Lake Jackson</t>
  </si>
  <si>
    <t>100 Oak Drive South</t>
  </si>
  <si>
    <t>Lake Jackson</t>
  </si>
  <si>
    <t>77566</t>
  </si>
  <si>
    <t>979-297-2046</t>
  </si>
  <si>
    <t>https://smlj.org/st-vincent-de-paul</t>
  </si>
  <si>
    <t>https://maps.google.com/?q=St%20Michael%20the%20Archangel%20(SVdP%20D7)%20Lake%20Jackson%20%20100%20Oak%20Drive%20South%20Lake%20Jackson%20TX%2077566</t>
  </si>
  <si>
    <t>29.035051, -95.449637</t>
  </si>
  <si>
    <t>77086, 77088, 77091</t>
  </si>
  <si>
    <t>St Monica (SVdP D1)</t>
  </si>
  <si>
    <t>8421 W Montgomery Road</t>
  </si>
  <si>
    <t>281-447-3212</t>
  </si>
  <si>
    <t>Tu, Th &amp; Fr 9 a.m. to 10:30 a.m.</t>
  </si>
  <si>
    <t>https://www.stmonicafoodpantry.com/</t>
  </si>
  <si>
    <t>https://maps.google.com/?q=St%20Monica%20(SVdP%20D1)%208421%20W%20Montgomery%20Rd%20Houston%20TX%2077088</t>
  </si>
  <si>
    <t>stmonicasvdpdocs@gmail.com</t>
  </si>
  <si>
    <t>29.8701939795918, -95.4361393265306</t>
  </si>
  <si>
    <t>{"regular":[{"days":["Tu","Th","Fr"],"open":"09:00","close":"10:30"}]}</t>
  </si>
  <si>
    <t>77009, 77026</t>
  </si>
  <si>
    <t>St Patrick (SVdP)</t>
  </si>
  <si>
    <t>4918 Cochran Street</t>
  </si>
  <si>
    <t>281-529-5336</t>
  </si>
  <si>
    <t>https://stpatrickhouston.com/help-support</t>
  </si>
  <si>
    <t>https://maps.google.com/?q=St%20Patrick%20(SVdP)%204918%20Cochran%20St%20Houston%20TX%2077009</t>
  </si>
  <si>
    <t>29.8046875, -95.3559124557039</t>
  </si>
  <si>
    <t>77058, 77059, 77062, 77573, 77586,77598</t>
  </si>
  <si>
    <t>St Paul the Apostle (SVdP D7)</t>
  </si>
  <si>
    <t>18223 Point Lookout Drive</t>
  </si>
  <si>
    <t>77058</t>
  </si>
  <si>
    <t>281-333-2509</t>
  </si>
  <si>
    <t>Leave message. Calls only returned if funds available.</t>
  </si>
  <si>
    <t>https://stpaulcatholic.org/foodassistance</t>
  </si>
  <si>
    <t>https://maps.google.com/?q=St%20Paul%20the%20Apostle%20(SVdP%20D7)%2018223%20Point%20Lookout%20Dr%20Houston%20TX%2077058</t>
  </si>
  <si>
    <t>29.5461602750122, -95.0936010344487</t>
  </si>
  <si>
    <t>Nassau Bay</t>
  </si>
  <si>
    <t>We 8:30 a.m. to 11 a.m. &amp; Th 6 p.m. to 8 p.m. &amp; 1st &amp; 3rd Sa 8 a.m.</t>
  </si>
  <si>
    <t xml:space="preserve">Saturdays are Food Fairs which have fresh foods and vegetables.
Food Fairs start at 8 AM until food runs out.
Check website to confirm dates for Food Fairs.
</t>
  </si>
  <si>
    <t>{"regular":[{"days":["We"],"open":"08:30","close":"11:00"},{"days":["Th"],"open":"18:00","close":"20:00"}],"special":[{"pattern":"1st &amp; 3rd Sa","open":"08:00","close":null}]}</t>
  </si>
  <si>
    <t>St Peter &amp; Paul Bellville</t>
  </si>
  <si>
    <t>936 South Front Street</t>
  </si>
  <si>
    <t>979-865-0676</t>
  </si>
  <si>
    <t>https://stsppbellvilletx.org/</t>
  </si>
  <si>
    <t>https://maps.google.com/?q=St%20Peter%20%26%20Paul%20Bellville%20936%20South%20Front%20St%20Bellville%20TX%2077418</t>
  </si>
  <si>
    <t>29.9374088, -96.252053405151</t>
  </si>
  <si>
    <t>St Philip Neri (SVdP D3)</t>
  </si>
  <si>
    <t>10960 Martin Luther King Blvd</t>
  </si>
  <si>
    <t>77048</t>
  </si>
  <si>
    <t>713-734-0320</t>
  </si>
  <si>
    <t>2nd &amp; 3rd Fr</t>
  </si>
  <si>
    <t>https://stphilipnerichurch.org/</t>
  </si>
  <si>
    <t>https://maps.google.com/?q=St%20Philip%20Neri%20(SVdP%20D3)%2010960%20Martin%20Luther%20King%20Blvd%20Houston%20TX%2077048</t>
  </si>
  <si>
    <t>29.6401659565217, -95.338596</t>
  </si>
  <si>
    <t>{"special":[{"pattern":"2nd &amp; 3rd Fr","open":null,"close":null}]}</t>
  </si>
  <si>
    <t>77336, 77346</t>
  </si>
  <si>
    <t>St Philip the Apostle</t>
  </si>
  <si>
    <t>2308 3rd Street</t>
  </si>
  <si>
    <t>Huffman</t>
  </si>
  <si>
    <t>77336</t>
  </si>
  <si>
    <t>832-764-9814</t>
  </si>
  <si>
    <t>https://stphiliphuffmantx.org/contact</t>
  </si>
  <si>
    <t>https://maps.google.com/?q=St%20Philip%20the%20Apostle%202308%203rd%20St%20Huffman%20TX%2077336</t>
  </si>
  <si>
    <t>30.0275289481775, -95.0855670981122</t>
  </si>
  <si>
    <t>77501, 77504, 77506</t>
  </si>
  <si>
    <t>St Pius Pasadena</t>
  </si>
  <si>
    <t>824 Main Street</t>
  </si>
  <si>
    <t>713-473-9484</t>
  </si>
  <si>
    <t>Tu, We &amp; Th 2 p.m. to 4 p.m.</t>
  </si>
  <si>
    <t>https://stpiusvchurch.com/social-mininstry</t>
  </si>
  <si>
    <t>https://maps.google.com/?q=St%20Pius%20Pasadena%20824%20Main%20St%20Pasadena%20TX%2077506</t>
  </si>
  <si>
    <t>29.6983762, -95.2097975</t>
  </si>
  <si>
    <t>{"regular":[{"days":["Tu","We","Th"],"open":"14:00","close":"16:00"}]}</t>
  </si>
  <si>
    <t>77008, 77018</t>
  </si>
  <si>
    <t>St Rose of Lima (SVdP D1)</t>
  </si>
  <si>
    <t>3600 Brinkman Street</t>
  </si>
  <si>
    <t>832-320-4181</t>
  </si>
  <si>
    <t>https://www.stroselima.org/outreach</t>
  </si>
  <si>
    <t>https://maps.google.com/?q=St%20Rose%20of%20Lima%20(SVdP%20D1)%203600%20Brinkman%20Houston%20TX%2077018</t>
  </si>
  <si>
    <t>29.8199487, -95.4152169</t>
  </si>
  <si>
    <t>77083, 77479, 77486, 77498</t>
  </si>
  <si>
    <t>St Theresa (SVdP D2) Sugar Land</t>
  </si>
  <si>
    <t>705 St Theresa Blvd</t>
  </si>
  <si>
    <t>Sugar Land</t>
  </si>
  <si>
    <t>77498</t>
  </si>
  <si>
    <t>281-242-9149</t>
  </si>
  <si>
    <t>Mo - Fr 9:00 a.m. to 5 p.m.</t>
  </si>
  <si>
    <t>https://www.sugarlandcatholic.com/ministry-spotlight--st-vincent-de-paul</t>
  </si>
  <si>
    <t>https://maps.google.com/?q=St%20Theresa%20%20(SVdP%20D2)%20Sugar%20Land%20705%20St%20Theresa%20Blvd%20Sugar%20Land%20TX%2077498</t>
  </si>
  <si>
    <t>29.630249, -95.631475</t>
  </si>
  <si>
    <t>Mo &amp; Fr 10 a.m. to 1 p.m.</t>
  </si>
  <si>
    <t>{"regular":[{"days":["Mo","Fr"],"open":"10:00","close":"13:00"}]}</t>
  </si>
  <si>
    <t>77083, 77099, 77477, 77478</t>
  </si>
  <si>
    <t>St Thomas Aquinas (SVdP D2)</t>
  </si>
  <si>
    <t>12627 W Belfort Avenue</t>
  </si>
  <si>
    <t>77478</t>
  </si>
  <si>
    <t>346-368-2820</t>
  </si>
  <si>
    <t>https://www.stasugarland.com/caring-ministries</t>
  </si>
  <si>
    <t>https://maps.google.com/?q=St%20Thomas%20Aquinas%20(SVdP%20D2)%2012627%20W%20Belfort%20Ave%20Sugar%20Land%20TX%2077478</t>
  </si>
  <si>
    <t>29.660545027959692, -95.60394308072775</t>
  </si>
  <si>
    <t>77035, 77096</t>
  </si>
  <si>
    <t>St Thomas More (SVdP D3)</t>
  </si>
  <si>
    <t>10330 Hillcroft Street</t>
  </si>
  <si>
    <t>713-980-3113</t>
  </si>
  <si>
    <t>Tu 10 a.m. to 2 p.m.</t>
  </si>
  <si>
    <t>https://www.stmhouston.org/st-vincent-de-paul-society</t>
  </si>
  <si>
    <t>https://maps.google.com/?q=St%20Thomas%20More%20(SVdP%20D3)%2010330%20Hillcroft%20St%20Houston%20TX%2077096</t>
  </si>
  <si>
    <t>29.6686092, -95.4948836</t>
  </si>
  <si>
    <t>{"regular":[{"days":["Tu"],"open":"10:00","close":"14:00"}]}</t>
  </si>
  <si>
    <t>Meyerland</t>
  </si>
  <si>
    <t>St Thomas Presbyterian Church</t>
  </si>
  <si>
    <t>281-497-4846</t>
  </si>
  <si>
    <t>https://www.stthomaspc.org/outreach</t>
  </si>
  <si>
    <t>https://www.google.com/maps/place/St.+Thomas+Presbyterian+Church+PC(USA)/@29.7708702,-95.5954455,17z/data=!3m1!4b1!4m6!3m5!1s0x8640db64ccd8cb7b:0xe9a4caf95decff57!8m2!3d29.7708656!4d-95.5928706!16s%2Fg%2F1wk4dfnk?entry=ttu&amp;g_ep=EgoyMDI1MDgxMy4wIKXMDSoASAFQAw%3D%3D</t>
  </si>
  <si>
    <t>29.771107683939725, -95.59288132294776</t>
  </si>
  <si>
    <t>77320, 77375, 77377, 77378</t>
  </si>
  <si>
    <t>St Thomas the Apostle (SVdP D6) Huntsville</t>
  </si>
  <si>
    <t>13223 16th Street</t>
  </si>
  <si>
    <t>77340</t>
  </si>
  <si>
    <t>936-463-8464</t>
  </si>
  <si>
    <t>https://saintthomashuntsville.org/st-vincent-depaul-society</t>
  </si>
  <si>
    <t>https://maps.google.com/?q=St%20Thomas%20the%20Apostle%20%20(SVdP%20D6)%20Huntsville%2013223%2016th%20St%20Huntsville%20TX%2077340</t>
  </si>
  <si>
    <t>30.717610254071875, -95.55359065130237</t>
  </si>
  <si>
    <t>77005, 77025, 77030, 77045, 77081, 77401</t>
  </si>
  <si>
    <t>St Vincent de Paul (SVdP D3)</t>
  </si>
  <si>
    <t>6800 Buffalo Speedway</t>
  </si>
  <si>
    <t>713-664-5350</t>
  </si>
  <si>
    <t>Leave message.  Calls returned 8 a.m. to 4 p.m.</t>
  </si>
  <si>
    <t xml:space="preserve">Initial assessment over phone.
Pertinent documents collected via email.
Home (preferred) or virtual visit to finalize approval.
</t>
  </si>
  <si>
    <t>https://www.svdp77025.org/resources/assistance-organizations</t>
  </si>
  <si>
    <t>https://maps.google.com/?q=St%20Vincent%20de%20Paul%20(SVdP%20D3)%206800%20Buffalo%20Speedway%20Houston%20TX%2077025</t>
  </si>
  <si>
    <t>svdp70225@gmail.com</t>
  </si>
  <si>
    <t>29.705969, -95.427541</t>
  </si>
  <si>
    <t>Initial assessment over phone.
Pertinent documents collected via email.
Home (preferred) or virtual visit to finalize approval.</t>
  </si>
  <si>
    <t>77510, 77517, 77518, 77548, 77549, 77550, 77551, 77552, 77553, 77554, 77555, 77563, 77565, 77568, 77573, 77590, 77591</t>
  </si>
  <si>
    <t>St Vincent's House</t>
  </si>
  <si>
    <t>2817 Post Office Street</t>
  </si>
  <si>
    <t>409-763-8521</t>
  </si>
  <si>
    <t>Mo - Th 8 a.m. to 4:30 p.m. &amp; Fr 8 a.m. to 3 p.m.</t>
  </si>
  <si>
    <t>Complete online application.  No walk-ins.
Once reviewed they will contact via email to schedule an appointment.</t>
  </si>
  <si>
    <t>https://www.stvhope.org/</t>
  </si>
  <si>
    <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t>
  </si>
  <si>
    <t>29.30294666375706, -94.79959910942264</t>
  </si>
  <si>
    <t>{"regular":[{"days":["Mo","Tu","We","Th"],"open":"08:00","close":"16:30"},{"days":["Fr"],"open":"08:00","close":"15:00"}]}</t>
  </si>
  <si>
    <t>Can come in person.  First time visitors need to complete a form.
Groceries and diapers weekly and hygiene products when available.
No ID required for Food Pantry.
Can sign up for homebound grocery delivery.</t>
  </si>
  <si>
    <t>409-765-2242</t>
  </si>
  <si>
    <t>Mo - Fr 8 a.m. to 4 p.m. &amp; Tu &amp; Th 4:30 p.m. to 7 p.m. &amp; Sa 9 a.m. to 1 p.m.</t>
  </si>
  <si>
    <t>Nurse Practitioner day clinic and UTMB student directed clinic on Tuesday and Thursday evening and Saturday.
Call to make an appointment.
Treatment for acute and chronic health needs
Physical, occupational and speech therapy.  Physician referral required.
Vision testing with referrals to local optometrists.  Needs based financial assistance for glasses available.
Dental extractions and simple dental issues on Saturdays.
Mental health services.</t>
  </si>
  <si>
    <t>https://www.stvhope.org/clinical-services</t>
  </si>
  <si>
    <t>{"regular":[{"days":["Mo","Tu","We","Th","Fr"],"open":"08:00","close":"16:00"},{"days":["Tu","Th"],"open":"16:30","close":"19:00"},{"days":["Sa"],"open":"09:00","close":"13:00"}]}</t>
  </si>
  <si>
    <t>Sa 9 a.m. to 12 p.m.</t>
  </si>
  <si>
    <t>Dental
Services are free but limited to extractions, treatment of mouth sores and other simple dental issues</t>
  </si>
  <si>
    <t>Vision
Free vision tests with referrals to local optometrists with financial assistance for eyeglasses.</t>
  </si>
  <si>
    <t>Through a partnership with Family service Center of Galveston County, provides mental health services six days a week.
Individual and family counseling available.</t>
  </si>
  <si>
    <t>Mo - Th 8:30 a.m. to 3:30 p.m. &amp; Fr 8:30 a.m. to 2 p.m.</t>
  </si>
  <si>
    <t>Appointments can be made upto two weeks beforehand and at least one day before.</t>
  </si>
  <si>
    <t>{"regular":[{"days":["Mo","Tu","We","Th"],"open":"08:30","close":"15:30"},{"days":["Fr"],"open":"08:30","close":"14:00"}]}</t>
  </si>
  <si>
    <t>Star of Hope - Cornerstone Community</t>
  </si>
  <si>
    <t>2575 Reed Road</t>
  </si>
  <si>
    <t>713-222-2220</t>
  </si>
  <si>
    <t>Mo - Fr 8 a.m. to 3:30 p.m.</t>
  </si>
  <si>
    <t>Coalition for the Homeless (CFTH) Partner/Rapid Rehousing
For Women &amp; Families (Men w/Children)
Three meals a day
Clothing</t>
  </si>
  <si>
    <t>https://www.sohmission.org/our-services/women-and-family-development-center/</t>
  </si>
  <si>
    <t>https://www.google.com/maps/place/Star+of+Hope+Mission+-+Women+and+Family+Development+Center+at+Star+of+Hope's+Cornerstone+Community/@29.6599078,-95.3952442,17z/data=!3m1!4b1!4m6!3m5!1s0x8640954af49fda95:0xb9b94beff6bf60c2!8m2!3d29.6599032!4d-95.3926693!16s%2Fg%2F11gbfnplcv?entry=ttu&amp;g_ep=EgoyMDI1MDUxMy4xIKXMDSoASAFQAw%3D%3D</t>
  </si>
  <si>
    <t>29.6577333333333, -95.3900846666667</t>
  </si>
  <si>
    <t>{"regular":[{"days":["Mo","Tu","We","Th","Fr"],"open":"08:00","close":"15:30"}]}</t>
  </si>
  <si>
    <t>713-748-0700</t>
  </si>
  <si>
    <t>Help with resume, skills assessment and training and job search and retention.</t>
  </si>
  <si>
    <t>https://www.sohmission.org/our-services/workforce-development/</t>
  </si>
  <si>
    <t>https://www.google.com/maps/place/Star+of+Hope+Mission+-+Administrative+Office/@29.6594925,-95.4119155,15z/data=!4m10!1m2!2m1!1sstar+of+hope+houston!3m6!1s0x8640bfebbd9297df:0x6c5c2ae84b1daf58!8m2!3d29.6594925!4d-95.3928611!15sChRzdGFyIG9mIGhvcGUgaG91c3RvbiIDiAEBkgEQY29ycG9yYXRlX29mZmljZaoBXgoNL2cvMTFma3l5OThsYxABKhAiDHN0YXIgb2YgaG9wZSgAMh8QASIbhWTWxbdxc1Wnv8siLEPBCKczxGbvZrbyr2YtMhgQAiIUc3RhciBvZiBob3BlIGhvdXN0b27gAQA!16s%2Fg%2F1td7zgj0?entry=ttu&amp;g_ep=EgoyMDI1MDUxMy4xIKXMDSoASAFQAw%3D%3D</t>
  </si>
  <si>
    <t>Star of Hope - Doris and Carloss Morris</t>
  </si>
  <si>
    <t>1811 Ruiz Street</t>
  </si>
  <si>
    <t>713-226-5414</t>
  </si>
  <si>
    <t>Coalition for the Homeless (CFTH) Partner/Rapid Rehousing
Men's Shelter
Food, clothing and shelter</t>
  </si>
  <si>
    <t>https://www.sohmission.org/how-we-help/for-men/</t>
  </si>
  <si>
    <t>https://www.google.com/maps/place/Star+Of+Hope+-+Doris+and+Carloss+Morris+Men%E2%80%99s+Development+Center+-+Soup+Kitchen/@29.7605691,-95.354099,17z/data=!3m1!4b1!4m6!3m5!1s0x8640bed80d365773:0xc39e811b3babe46d!8m2!3d29.7605645!4d-95.3515241!16s%2Fg%2F11q3_jmzgn?entry=ttu&amp;g_ep=EgoyMDI1MDUxMy4xIKXMDSoASAFQAw%3D%3D</t>
  </si>
  <si>
    <t>29.7603252222222, -95.3518332222222</t>
  </si>
  <si>
    <t>77380, 77381, 77382, 77384, 77385, 77386</t>
  </si>
  <si>
    <t>Sts Simon &amp; Jude (SVdP D6) The Woodlands</t>
  </si>
  <si>
    <t>26777 Glen Loch Drive</t>
  </si>
  <si>
    <t>281-292-6002</t>
  </si>
  <si>
    <t>Mo - We 8 a.m. to 5 p.m. &amp; Th 8 a.m. to 12 p.m.</t>
  </si>
  <si>
    <t>https://www.ssjwoodlands.com/</t>
  </si>
  <si>
    <t>https://maps.google.com/?q=Sts%20Simon%20%26%20Jude%20%20(SVdP%20D6)%20The%20Woodlands%2026777%20Glen%20Loch%20Dr%20The%20Woodlands%20TX%2077381</t>
  </si>
  <si>
    <t>30.1502312814918, -95.490474753929</t>
  </si>
  <si>
    <t>{"regular":[{"days":["Mo","Tu","We"],"open":"08:00","close":"17:00"},{"days":["Th"],"open":"08:00","close":"12:00"}]}</t>
  </si>
  <si>
    <t>Sunnyside Health and Multi-Service Center</t>
  </si>
  <si>
    <t>4410 Reed Road</t>
  </si>
  <si>
    <t>832-395-0206</t>
  </si>
  <si>
    <t>Mo 8:30 a.m. to 6 p.m. &amp; Tu, Th, Fr 7:30 a.m. to 5 p.m. &amp; We 7:30 a.m. to 12 p.m.</t>
  </si>
  <si>
    <t>PrEP and nPEP is by appointment only (Call:  832-395-9800).
Family planning
STD services
Tuberculosis is by appointment only (Call:  832-395-9800).
Immunization services by appointment only (Call:  832-393-5427)</t>
  </si>
  <si>
    <t>https://www.houstonhealth.org/services/multi-service-centers/sunnyside-multi-service-center</t>
  </si>
  <si>
    <t>https://www.google.com/maps/place/Sunnyside+Health+and+Multi-Service+Center/@29.6577165,-95.3634323,17z/data=!3m1!4b1!4m6!3m5!1s0x864095bcff003253:0x601727849f44c3c6!8m2!3d29.6577119!4d-95.3608574!16s%2Fg%2F1v4ptcnf?entry=ttu&amp;g_ep=EgoyMDI2MDIwMS4wIKXMDSoKLDEwMDc5MjA2OUgBUAM%3D</t>
  </si>
  <si>
    <t>29.657842375864146, -95.36080375257794</t>
  </si>
  <si>
    <t>Sunnyside</t>
  </si>
  <si>
    <t>832-395-0027</t>
  </si>
  <si>
    <t>Mo - Fr 8:30 a.m. to 5:30 p.m.</t>
  </si>
  <si>
    <t>832-395-0016</t>
  </si>
  <si>
    <t>Meals
Onsite for seniors older than 60 years.  
Includes social services, exercises, nutrition, education and other programming.
Have to pre-register for daily warm lunch.</t>
  </si>
  <si>
    <t>Tahirih Justice Center</t>
  </si>
  <si>
    <t>1717 Saint James Place</t>
  </si>
  <si>
    <t>866-575-0071</t>
  </si>
  <si>
    <t>https://www.tahirih.org/get-help/</t>
  </si>
  <si>
    <t>29.7494887960791, -95.4726673421318</t>
  </si>
  <si>
    <t>77011, 77012 77013, 77016, 77020 77023, 77026, 77028, 77029, 77078</t>
  </si>
  <si>
    <t>Target Hunger</t>
  </si>
  <si>
    <t>1260 Shotwell Street</t>
  </si>
  <si>
    <t>281-300-1914</t>
  </si>
  <si>
    <t>Th &amp; Fr 9 a.m. to 11 a.m.</t>
  </si>
  <si>
    <t>Monthly groceries for pick-up or delivery for a year.
Check income requirements online anth apply online.
In addition regular food fairs at various locations.  Check website for schedule and locations.</t>
  </si>
  <si>
    <t>https://www.targethunger.org/monthly-groceries/</t>
  </si>
  <si>
    <t>https://www.google.com/maps/place/Target+Hunger/@29.7645666,-95.3143802,16z/data=!3m1!4b1!4m6!3m5!1s0x8640b92fd90d19f1:0x7b5bcf36f2190529!8m2!3d29.764562!4d-95.3118053!16s%2Fg%2F1tdp9_j5?entry=ttu&amp;g_ep=EgoyMDI1MTAwMS4wIKXMDSoASAFQAw%3D%3D</t>
  </si>
  <si>
    <t>29.76489257374769, -95.31167654620104</t>
  </si>
  <si>
    <t>{"regular":[{"days":["Th","Fr"],"open":"09:00","close":"11:00"}]}</t>
  </si>
  <si>
    <t>832-629-4866</t>
  </si>
  <si>
    <t>Mo - Th 8:30 a.m. to 3:30 p.m.</t>
  </si>
  <si>
    <t>Navigation services.
Information and help applying for various government and community assistance programs, e.g. SNAP, medical insurance, healthcare, home repair, emergency financial assistance, etc.</t>
  </si>
  <si>
    <t>https://www.targethunger.org/navigation-services/</t>
  </si>
  <si>
    <t>{"regular":[{"days":["Mo","Tu","We","Th"],"open":"08:30","close":"15:30"}]}</t>
  </si>
  <si>
    <t>Texas Defender Service</t>
  </si>
  <si>
    <t>1927 Blodgett Street</t>
  </si>
  <si>
    <t>713-222-7788</t>
  </si>
  <si>
    <t>Representation of people sentenced to excessive sentences including the death penalty.
Pro bono work consists of matching deserving candidates with pro bono attorneys.</t>
  </si>
  <si>
    <t>https://www.texasdefender.org/what-we-do/</t>
  </si>
  <si>
    <t>https://www.google.com/maps/place/1927+Blodgett+St,+Houston,+TX+77004/@29.7274268,-95.3785029,16z/data=!3m1!4b1!4m6!3m5!1s0x8640bf759c02f9f9:0x3b910e3e61beb73e!8m2!3d29.7274268!4d-95.3759226!16s%2Fg%2F11b8v7zcpr?entry=ttu&amp;g_ep=EgoyMDI2MDExMy4wIKXMDSoKLDEwMDc5MjA2OUgBUAM%3D</t>
  </si>
  <si>
    <t>29.727780788955574, -95.37583139639035</t>
  </si>
  <si>
    <t>Texas Health &amp; Human Services</t>
  </si>
  <si>
    <t>3880 North Fwy</t>
  </si>
  <si>
    <t>713-699-1098</t>
  </si>
  <si>
    <t>Medicaid and Children's Health Insurance Program (CHIP).
US Citizens/Permanent Residents.</t>
  </si>
  <si>
    <t>https://www.hhs.texas.gov/services/health/medicaid-chip</t>
  </si>
  <si>
    <t>https://www.google.com/maps/place/3880+North+Fwy,+Houston,+TX+77022/@29.8211947,-95.3767647,18z/data=!4m6!3m5!1s0x8640b86181256a6d:0x49bcc30ecbc43268!8m2!3d29.8211901!4d-95.3780468!16s%2Fg%2F11b8yd7_qp?entry=ttu&amp;g_ep=EgoyMDI1MDcwOS4wIKXMDSoASAFQAw%3D%3D</t>
  </si>
  <si>
    <t>29.821225, -95.3782720169492</t>
  </si>
  <si>
    <t>Texas Legal Services Center</t>
  </si>
  <si>
    <t>1302 Preston Street</t>
  </si>
  <si>
    <t>2nd Floor</t>
  </si>
  <si>
    <t>713-274-0605</t>
  </si>
  <si>
    <t>Mo - Fr 8 a.m. to 4:30 p.m.</t>
  </si>
  <si>
    <t>Walk-in only</t>
  </si>
  <si>
    <t>Kiosk located in Harris County Justice of the Peace Precinct 1, Place 2.
Kiosks are available to attend virtual court hearings, attend telehealth appointments, job interviews or meeting with attorneys.  You can also research common legal issues.  Printers and scanners are available for free.
Legal advice is available for Texans who meet income requirements.</t>
  </si>
  <si>
    <t>https://www.tlsc.org/kiosks</t>
  </si>
  <si>
    <t>https://www.google.com/maps/place/1302+Preston+St,+Houston,+TX+77002/@29.7595822,-95.3610911,17z/data=!3m1!4b1!4m6!3m5!1s0x8640bf25c8077653:0x5b9a93ebe6cc0ec7!8m2!3d29.7595776!4d-95.3585162!16s%2Fg%2F11c23gtcj3?entry=ttu&amp;g_ep=EgoyMDI1MTIwOS4wIKXMDSoKLDEwMDc5MjA2OUgBUAM%3D</t>
  </si>
  <si>
    <t>29.759791768954745, -95.35849473700543</t>
  </si>
  <si>
    <t>{"regular":[{"days":["Mo","Tu","We","Th","Fr"],"open":"08:00","close":"16:30"}]}</t>
  </si>
  <si>
    <t>Texas National Guard Family Support Foundation</t>
  </si>
  <si>
    <t>2008 T H Jones Mill Way</t>
  </si>
  <si>
    <t>Salado</t>
  </si>
  <si>
    <t>76571</t>
  </si>
  <si>
    <t>512-535-0053</t>
  </si>
  <si>
    <t>Emergency financial assistance  for mortgage, rent, utilities, phone, vehicle loan, insurance, etc for Texas Guard members.
While their website states limited to Guard members this program is funded by the Texas Veterans Commission (TVC) and are listed on TVC's website as providing support to veterans.</t>
  </si>
  <si>
    <t>https://www.txngfsf.org/emergency-assistance</t>
  </si>
  <si>
    <t>https://www.google.com/maps/place/2008+Th+Jones+Ml+Wy,+Salado,+TX+76571/@30.959497,-97.5129199,17z/data=!3m1!4b1!4m6!3m5!1s0x86453ea43a452dd1:0x8c8aa755ba98b679!8m2!3d30.9594924!4d-97.510345!16s%2Fg%2F11p_82zj3p?entry=ttu&amp;g_ep=EgoyMDI2MDIxMS4wIKXMDSoASAFQAw%3D%3D</t>
  </si>
  <si>
    <t>30.959731558901904, -97.51043082493209</t>
  </si>
  <si>
    <t>Texas Rio Grande Legal Aid</t>
  </si>
  <si>
    <t>4920 N Interstate Hwy 35</t>
  </si>
  <si>
    <t>78751</t>
  </si>
  <si>
    <t>956-996-8752</t>
  </si>
  <si>
    <t>Immigration Preparedness Kit in English only.
Learn how to protect yourself and your family in case of contact with Immigration or Police.
Make a Safety Plan for your family, Sample Special Power of Attorney, List of Essential Documents, etc.</t>
  </si>
  <si>
    <t>https://www.trla.org/</t>
  </si>
  <si>
    <t>https://www.google.com/maps/place/Texas+RioGrande+Legal+Aid/@29.6941615,-97.3275276,9z/data=!4m10!1m2!2m1!1sTexas+RioGrande+Legal+Aid!3m6!1s0x8644ca0efe7ed18d:0x9b98d86b3e60fe84!8m2!3d30.309061!4d-97.7121734!15sChlUZXhhcyBSaW9HcmFuZGUgTGVnYWwgQWlkIgOIAQGSAQ5sZWdhbF9zZXJ2aWNlc6oBdAoNL2cvMTFiYzV2am4xbQoIL20vMDdiX2wQASoXIhNyaW9ncmFuZGUgbGVnYWwgYWlkKAAyHxABIhvX3X7zDH3i_mTUY0WEH4k-hDYx60Ms1d9BTZcyHRACIhl0ZXhhcyByaW9ncmFuZGUgbGVnYWwgYWlk4AEA!16s%2Fg%2F1tgzbr7d?entry=ttu&amp;g_ep=EgoyMDI1MDcwOS4wIKXMDSoASAFQAw%3D%3D</t>
  </si>
  <si>
    <t>30.371194640927637, -97.69667308114192</t>
  </si>
  <si>
    <t>Texas Temporary Assistance for Needy Families (TANF)</t>
  </si>
  <si>
    <t xml:space="preserve">Monthly cash payments to help pay for food, clothing, housing, utilities and other basic needs.
Have a child 18 years of age or younger, be pregnant or be 18 or younger and head of household.
Resident of Texas
US Citizens/Permanent Residents.
Unemployed or underemployed with low or very low income.
</t>
  </si>
  <si>
    <t>https://www.hhs.texas.gov/services/financial/cash/tanf-cash-help</t>
  </si>
  <si>
    <t>Texas Veterans Commission</t>
  </si>
  <si>
    <t>Suite 2a112</t>
  </si>
  <si>
    <t>800-252-8387</t>
  </si>
  <si>
    <t>Veterans
State agency that serves as the official advocate for Texas veterans, their families and survivors.
Free services to help access federal and state benefits.
Counseling and assisting in filing disability claims, appeals and pension matters with the VA.
Assists veterans with employment services, job matching and resume and interview preparation.
Connect to mental health services and training to community providers.
Healthcare advocacy by helping navigate and access to healthcare services.
Guidance and resources for veterans starting or expanding businesses.
Veterans Education.  Administers the Hazelwood Tuition Exemption act.</t>
  </si>
  <si>
    <t>https://tvc.texas.gov/</t>
  </si>
  <si>
    <t>https://www.google.com/maps/place/Texas+Veterans+Commission/@29.7004162,-95.4649195,13z/data=!4m10!1m2!2m1!1stexas+veterans+commission!3m6!1s0x8640bf8ba20f2c3b:0x7d307163a92b7959!8m2!3d29.7004162!4d-95.3887018!15sChl0ZXhhcyB2ZXRlcmFucyBjb21taXNzaW9uWhsiGXRleGFzIHZldGVyYW5zIGNvbW1pc3Npb26SARt2ZXRlcmFuc19hZmZhaXJzX2RlcGFydG1lbnSaAURDaTlEUVVsUlFVTnZaRU5vZEhsalJqbHZUMnBXWmsxRVduVlNNVXBDWTBWS05XVkhhelZXUjJkM1kyMHhhVk5JWXhBQuABAPoBBAgAEDw!16s%2Fg%2F1tdrfrcr?entry=ttu&amp;g_ep=EgoyMDI2MDIxMS4wIKXMDSoASAFQAw%3D%3D</t>
  </si>
  <si>
    <t>The Assistance Fund (TAF)</t>
  </si>
  <si>
    <t>8427 Southpark Circle</t>
  </si>
  <si>
    <t>Orlando</t>
  </si>
  <si>
    <t>32819</t>
  </si>
  <si>
    <t>855-845-3663</t>
  </si>
  <si>
    <t>Provides direct financial assistance with out-of-pocket medical expenses.
Must be a U.S. resident, meet income requirements, be diagnosed with a disease covered by a program, have a prescription for a FDA approved treatment and have health insurance.
Some disease programs are closed and have wait lists.
Check for eligible program and apply online.
A charitable patient assistance foundation.</t>
  </si>
  <si>
    <t>https://tafcares.org/patients/eligibility/</t>
  </si>
  <si>
    <t>https://www.google.com/maps/place/People+Who+Make+A+Difference+Foundation/@28.4598594,-81.4580731,17z/data=!3m2!4b1!5s0x88e77ef17f6df0ff:0xc9b545a2e348cf29!4m6!3m5!1s0x88e77e78e4fa3c8d:0x5e24cac5ad0dbe0e!8m2!3d28.4598594!4d-81.4554928!16s%2Fg%2F11f3wb6p64?entry=ttu&amp;g_ep=EgoyMDI2MDEyMC4wIKXMDSoKLDEwMDc5MjA2OUgBUAM%3D</t>
  </si>
  <si>
    <t>28.460029131079196, -81.45542842262518</t>
  </si>
  <si>
    <t>Florida Center</t>
  </si>
  <si>
    <t>The Ballard House</t>
  </si>
  <si>
    <t>21421 Cinco PArk Road</t>
  </si>
  <si>
    <t>281-717-4670</t>
  </si>
  <si>
    <t>Referrals from Houston area medical facility, physician or social worker.
Housing for patients and their caregiver/family when patient is traveling to the Houston area for medical treatment.
Stays of upto 90 days at no cost.</t>
  </si>
  <si>
    <t>https://www.theballardhouse.org/application</t>
  </si>
  <si>
    <t>https://www.google.com/maps/place/The+Ballard+House/@29.7136892,-95.7460074,17z/data=!3m1!4b1!4m6!3m5!1s0x86412089127e1c87:0x82dacf783bd31977!8m2!3d29.7136892!4d-95.7434271!16s%2Fg%2F1pzy0ynh2?entry=ttu&amp;g_ep=EgoyMDI2MDExMS4wIKXMDSoKLDEwMDc5MjA2OUgBUAM%3D</t>
  </si>
  <si>
    <t>29.71398733055449, -95.7434270923656</t>
  </si>
  <si>
    <t>Cinco Ranch East</t>
  </si>
  <si>
    <t>The Beacon</t>
  </si>
  <si>
    <t>713-220-9737</t>
  </si>
  <si>
    <t>Th - Mo 7 a.m.</t>
  </si>
  <si>
    <t>Coalition for the Homeless (CFTH) Partner/Rapid Rehousing
Breakfast &amp; hot lunch
Laundry Service
Device Charging
Access to phones &amp; computers
Legal Services
Transitional Housing
Life skills training</t>
  </si>
  <si>
    <t>https://www.beaconhomeless.org/whatwedo</t>
  </si>
  <si>
    <t>https://www.google.com/maps/place/The+Beacon/@29.7591015,-95.362167,17z/data=!3m1!4b1!4m6!3m5!1s0x8640bf25a98b1e6f:0xcd719aaef3e02dd6!8m2!3d29.7590969!4d-95.3595921!16s%2Fg%2F1ptw5_kgd?entry=ttu&amp;g_ep=EgoyMDI1MTIwOS4wIKXMDSoKLDEwMDc5MjA2OUgBUAM%3D</t>
  </si>
  <si>
    <t>{"regular":[{"days":["Th","Fr","Sa","Su","Mo"],"open":"07:00","close":null}]}</t>
  </si>
  <si>
    <t>Fr 7 a.m.</t>
  </si>
  <si>
    <t>Sign up at the Beacon Day center on Fridays</t>
  </si>
  <si>
    <t>Legal services provided to the first 25 people to sign up at the Beacon Day Center on Fridays.
Services cover ID restoration, replacement of immigration documents, name change, clearing criminal history, Social Security benefits appeals, certain types of evictions and limited wills and estates.</t>
  </si>
  <si>
    <t>{"regular":[{"days":["Fr"],"open":"07:00","close":null}]}</t>
  </si>
  <si>
    <t>The Bridge Over Troubled Waters</t>
  </si>
  <si>
    <t>3811 Allen Genoa Road</t>
  </si>
  <si>
    <t>713-473-2801 (24/7), 713-472-0753</t>
  </si>
  <si>
    <t>Coalition for the Homeless (CFTH) Partner/Rapid Rehousing
Crisis intervention, safety planning, housing assessments, case management, accompaniments, counseling, parenting classes, financial literacy and life skills.</t>
  </si>
  <si>
    <t>https://tbotw.org</t>
  </si>
  <si>
    <t>29.8154190909091, -94.9994020909091</t>
  </si>
  <si>
    <t>Highland Farms</t>
  </si>
  <si>
    <t>8203 John Martin Road</t>
  </si>
  <si>
    <t>713-473-2801 (24/7), 281-420-5600</t>
  </si>
  <si>
    <t>Crisis intervention, safety planning, housing assessments, case management, accompaniments, counseling, parenting classes, financial literacy and life skills.</t>
  </si>
  <si>
    <t>The Council on Recovery</t>
  </si>
  <si>
    <t>303 Jackson Hill Street</t>
  </si>
  <si>
    <t>713-942-4100</t>
  </si>
  <si>
    <t>Substance Abuse Treatment Program
Inpatient and outpatient services for paying customers
Out-patient and counseling services at reduced cost if you have limited means or no insurance.
They claim not to turn anyone away thru the use of state -funded programs.</t>
  </si>
  <si>
    <t>https://www.councilonrecovery.org/</t>
  </si>
  <si>
    <t>https://www.google.com/maps/place/The+Council+on+Recovery/@29.7643996,-95.4046838,17z/data=!3m1!4b1!4m6!3m5!1s0x8640c0ae5eed786f:0x35b105cb8afa3268!8m2!3d29.7643996!4d-95.4021089!16s%2Fg%2F1tf3p8kv?entry=ttu&amp;g_ep=EgoyMDI1MDQwOS4wIKXMDSoASAFQAw%3D%3D</t>
  </si>
  <si>
    <t>29.76392335, -95.4022126787528</t>
  </si>
  <si>
    <t>The Houston Alumni and Youth Center (HAY)</t>
  </si>
  <si>
    <t>3131 Gulf Fwy Frontage Road</t>
  </si>
  <si>
    <t>832-927-7000</t>
  </si>
  <si>
    <t>Provide youth leaving foster care with a safe and rent-free place to live.  In return they do chores, attend life skill/job training, secondary or post-secondary education, etc. under the supervision of staff.</t>
  </si>
  <si>
    <t>https://www.haycenter.org/</t>
  </si>
  <si>
    <t>https://www.google.com/maps/place/The+HAY+Center/@29.7395132,-95.3546847,16z/data=!3m1!4b1!4m6!3m5!1s0x8640bf007b5b1ef1:0x267fda7572e7beb0!8m2!3d29.7395086!4d-95.3521098!16s%2Fg%2F11x68ys328?entry=ttu&amp;g_ep=EgoyMDI1MDUxMS4wIKXMDSoASAFQAw%3D%3D</t>
  </si>
  <si>
    <t>29.739741443983128, -95.35213125182024</t>
  </si>
  <si>
    <t>The Lamp Project</t>
  </si>
  <si>
    <t>832-617-2953</t>
  </si>
  <si>
    <t>Verified over email</t>
  </si>
  <si>
    <t>https://thelampproject.org/</t>
  </si>
  <si>
    <t>29.706787, -95.401748</t>
  </si>
  <si>
    <t>Assistance with groceries, transportation, appointment and daily essentials.
Detox and recovery program referrals and placement.
Support in the transition toward housing and employment.</t>
  </si>
  <si>
    <t>Help securing identification and vital documents.
Guidance with SSI/SSDI, healthcare and insurance support</t>
  </si>
  <si>
    <t>The Landing</t>
  </si>
  <si>
    <t>Suite 605</t>
  </si>
  <si>
    <t>713-766-1111</t>
  </si>
  <si>
    <t>Drop in center by appointment only.
Complete online referral form</t>
  </si>
  <si>
    <t>Human trafficking and sexual exploitation.
Drop in center where survivors can get food and clothing, hygiene products, phone and computer use, counseling  and support.  
24/7 crisis intervention and advocacy when a child is removed from a harmful situation and taken to a local hospital.  
Help through the recovery process, providing emotional support and in navigating community programs and services</t>
  </si>
  <si>
    <t>https://thelanding.org/our-work/</t>
  </si>
  <si>
    <t>https://www.google.com/maps/place/The+Landing+Drop-In+Center/@29.6771389,-95.5578151,16z/data=!3m1!4b1!4m6!3m5!1s0x8640c2a8e9e9b749:0xeb138e54bcc8caa9!8m2!3d29.6771343!4d-95.5529442!16s%2Fg%2F11d_yph8l8?entry=ttu&amp;g_ep=EgoyMDI2MDIwMS4wIKXMDSoKLDEwMDc5MjA2OUgBUAM%3D</t>
  </si>
  <si>
    <t>29.677670112635003, -95.55300855482018</t>
  </si>
  <si>
    <t>The Lighthouse of Houston</t>
  </si>
  <si>
    <t>3602 W Dallas Street</t>
  </si>
  <si>
    <t>77019</t>
  </si>
  <si>
    <t>713-527-9561</t>
  </si>
  <si>
    <t>Two locations in SW Houston offer independent living for low income, blind or low vision individuals.
Rent is subsidised and determined by income level.</t>
  </si>
  <si>
    <t>https://houstonlighthouse.org/</t>
  </si>
  <si>
    <t>https://www.google.com/maps/place/The+Lighthouse+of+Houston/@29.7573938,-95.411741,17z/data=!3m1!4b1!4m6!3m5!1s0x8640c0ba55ff04f7:0x2804864348e60b5!8m2!3d29.7573892!4d-95.4068701!16s%2Fg%2F1trxf24y?entry=ttu&amp;g_ep=EgoyMDI1MDUxMS4wIKXMDSoASAFQAw%3D%3D</t>
  </si>
  <si>
    <t>29.7572435384615, -95.4072356923077</t>
  </si>
  <si>
    <t>Vision
Health services for blind and low vision individuals, include Low Vision Clinic, Activities of Daily Living (ADL), Orientation &amp; Mobility (O&amp;M) and Behavioral Health.
Help empower low vision and blind individuals to navigate their environment and perform daily tasks.</t>
  </si>
  <si>
    <t>Training on assistive technology devices, software and programs.
Employment training for blind and low vision individuals.</t>
  </si>
  <si>
    <t>The Women's Home</t>
  </si>
  <si>
    <t>607 Westheimer Road</t>
  </si>
  <si>
    <t>713-328-1976</t>
  </si>
  <si>
    <t>Several programs and locations - residential treatment and transitional housing, two permanent supportive housing programs and a service center that provides support service to help prevent homelessness.
Locations include Jane Cizik Garden Place, Mabee WholeLife Service Center and Adele and Ber Pieper Family Place.  They also have a resale shop called The Cottage Shop.</t>
  </si>
  <si>
    <t>https://www.thewomenshome.org/what-we-do/</t>
  </si>
  <si>
    <t>https://www.google.com/maps/place/Women's+Home/@29.7442602,-95.3918399,17z/data=!3m1!4b1!4m6!3m5!1s0x8640bf6141ce535d:0x8e346ab704245bf5!8m2!3d29.7442556!4d-95.389265!16s%2Fg%2F1tf3p8k0?entry=ttu&amp;g_ep=EgoyMDI1MDUxMS4wIKXMDSoASAFQAw%3D%3D</t>
  </si>
  <si>
    <t>29.744498948871193, -95.3893053382441</t>
  </si>
  <si>
    <t>Third Ward Multi-Service Center</t>
  </si>
  <si>
    <t>3611 Ennis Street</t>
  </si>
  <si>
    <t>832-369-9293</t>
  </si>
  <si>
    <t>1st Th 1 p.m. to 3 p.m.</t>
  </si>
  <si>
    <t>https://www.houstonhealth.org/services/multi-service-centers/third-ward-multi-service-center</t>
  </si>
  <si>
    <t>https://www.google.com/maps/place/Third+Ward+Multi-Service+Center/@29.728313,-95.3641706,17z/data=!3m1!4b1!4m6!3m5!1s0x8640bf07dcc6d557:0xdb0dea1035885c15!8m2!3d29.7283084!4d-95.3615957!16s%2Fg%2F1tdz568q?entry=ttu&amp;g_ep=EgoyMDI2MDIwMS4wIKXMDSoKLDEwMDc5MjA2OUgBUAM%3D</t>
  </si>
  <si>
    <t>29.728559903949133, -95.3616278804722</t>
  </si>
  <si>
    <t>77355, 77426, 77428, 77447</t>
  </si>
  <si>
    <t>Tomball Emergency Asst Ministry</t>
  </si>
  <si>
    <t>300 W Main Street</t>
  </si>
  <si>
    <t>281-351-6700</t>
  </si>
  <si>
    <t>Tu 10 a.m. to 2 p.m. &amp; Th 10 a.m. to 12 p.m.</t>
  </si>
  <si>
    <t>US Citizens/Permanent Residents.
Documentation of address.
Pay statement, utility bill or other documentation of your income and expenses.
Lease agreement and utility bill.
Bring proof if you have applied for social security, workman's comp or unemployment.</t>
  </si>
  <si>
    <t>https://teamtomball.com/assistance/</t>
  </si>
  <si>
    <t>https://maps.google.com/?q=Tomball%20Emergency%20Asst%20Ministry%20300%20W%20Main%20St%20Tomball%20TX%2077375</t>
  </si>
  <si>
    <t>30.0973162, -95.6162775</t>
  </si>
  <si>
    <t>{"regular":[{"days":["Tu"],"open":"10:00","close":"14:00"},{"days":["Th"],"open":"10:00","close":"12:00"}]}</t>
  </si>
  <si>
    <t>Once every three weeks.
Includes toiletries/hygiene kit..
US Citizens/Permanent Residents.
Documentation of address.
Pay statement, utility bill or other documentation of your income and expenses.
Bring proof if you have applied for social security, workman's comp or unemployment.</t>
  </si>
  <si>
    <t>US Citizens/Permanent Residents.
Documentation of address.
Pay statement, utility bill or other documentation of your income and expenses.
Bring proof if you have applied for social security, workman's comp or unemployment.</t>
  </si>
  <si>
    <t>Assistance with medical, dental and vision bills..
US Citizens/Permanent Residents.
Documentation of address.
Pay statement, utility bill or other documentation of your income and expenses.
Bring proof if you have applied for social security, workman's comp or unemployment.</t>
  </si>
  <si>
    <t>Jobs counseling and resources.
US Citizens/Permanent Residents.
Documentation of address.
Pay statement, utility bill or other documentation of your income and expenses.
Bring proof if you have applied for social security, workman's comp or unemployment.</t>
  </si>
  <si>
    <t xml:space="preserve">Thanksgiving and Christmas programs.
US Citizens/Permanent Residents.
Documentation of address.
</t>
  </si>
  <si>
    <t>Limited assistance with auto repairs.
US Citizens/Permanent Residents.
Documentation of address.</t>
  </si>
  <si>
    <t>77068, 77069, 77090, 77375, 77379, 77388</t>
  </si>
  <si>
    <t>Trinity Lutheran</t>
  </si>
  <si>
    <t>5201 Spring Cypress Road</t>
  </si>
  <si>
    <t>281-290-4922</t>
  </si>
  <si>
    <t>Assistance request via email: assistance@trinityklein.org.
Must have been a residence for at least four months.
Cannot help if court ordered eviction notice has been issued.
Photo ID.
Proof of income, i.e. one month's pay stub, unemployment, etc.
All award letters, i.e. SNAP, TANF, Medicaid, Social Security, HUD, SSI/SSD, VA, etc. for all household members.
Current bank statements.
Lease agreement.
Proof of financial hardship.
Assistance once a year.</t>
  </si>
  <si>
    <t>https://www.trinityklein.org/restoring-hope/</t>
  </si>
  <si>
    <t>https://maps.google.com/?q=Trinity%20Lutheran%20%20Spring%20TX%2077379</t>
  </si>
  <si>
    <t>assistance@trinityklein.org</t>
  </si>
  <si>
    <t>30.04663, -95.499463</t>
  </si>
  <si>
    <t>Farmette Meadows</t>
  </si>
  <si>
    <t>Assistance request via email: assistance@trinityklein.org.
Photo ID.
Cannot help if disconnect notice has been issued unless a payment plan has already been set up
Proof of income, i.e. one month's pay stub, unemployment, etc.
All award letters, i.e. SNAP, TANF, Medicaid, Social Security, HUD, SSI/SSD, VA, etc. for all household members.
Current bank statements.
Lease agreement.
Utility bill or disconnection notice.
Assistance once a year.</t>
  </si>
  <si>
    <t>Schedule appointment online via their website.
Schedule appointment 2 to 3 weeks in advance.
Proof of residence required.
Proof of income.</t>
  </si>
  <si>
    <t>UH Health Family Care Center</t>
  </si>
  <si>
    <t>4349 Martin Luther King Blvd</t>
  </si>
  <si>
    <t>713-743-9682</t>
  </si>
  <si>
    <t>Part of the University of Houston College of Medicine.
Sliding Fee Discount Program based on household income and size.
Proof of identity, address and income required.
Applications completed in person with an Eligibility Specialist.</t>
  </si>
  <si>
    <t>https://www.uh.edu/medicine/sites/family-care-center/sliding-fee-eligibility/</t>
  </si>
  <si>
    <t>https://www.google.com/maps/place/UH+Health+Family+Care+Center/@29.7168875,-95.3415555,17z/data=!3m1!4b1!4m6!3m5!1s0x8640bf931e325ab3:0x448818b0ba957e16!8m2!3d29.7168875!4d-95.3389752!16s%2Fg%2F11vcsstzgh?entry=ttu&amp;g_ep=EgoyMDI1MDYyNi4wIKXMDSoASAFQAw%3D%3D</t>
  </si>
  <si>
    <t>29.716634, -95.338963</t>
  </si>
  <si>
    <t>United Way of Greater Houston</t>
  </si>
  <si>
    <t>50 Waugh Drive</t>
  </si>
  <si>
    <t>Online searchable database of available resources.</t>
  </si>
  <si>
    <t>https://referral.unitedwayhouston.org/</t>
  </si>
  <si>
    <t>29.76710635, -95.3989559202868</t>
  </si>
  <si>
    <t>University of Houston Law Center Immigration Clinic</t>
  </si>
  <si>
    <t>4170 Martin Luther King Blvd</t>
  </si>
  <si>
    <t>713-743-2094</t>
  </si>
  <si>
    <t>https://www.law.uh.edu/clinic/immi.asp</t>
  </si>
  <si>
    <t>29.723187, -95.338266</t>
  </si>
  <si>
    <t>USA Cares</t>
  </si>
  <si>
    <t>1122 Colorado Street</t>
  </si>
  <si>
    <t>800-773-0387</t>
  </si>
  <si>
    <t>Financial assistance for veterans funded by the Texas Veterans Commission (TVC).
Unclear from their website if they provide support in the Houston area but TVC's website states that they do.</t>
  </si>
  <si>
    <t>https://usacares.org/state-assistance/</t>
  </si>
  <si>
    <t>https://www.google.com/maps/place/1122+Colorado+St,+Austin,+TX+78701/@30.274112,-97.7454547,16z/data=!3m1!4b1!4m6!3m5!1s0x8644b50a937e418f:0x2373b644bc39391d!8m2!3d30.2741074!4d-97.7428798!16s%2Fg%2F11bw3x7nbc?entry=ttu&amp;g_ep=EgoyMDI2MDIxMS4wIKXMDSoASAFQAw%3D%3D</t>
  </si>
  <si>
    <t>30.274528936710162, -97.74281541684016</t>
  </si>
  <si>
    <t>VA Community Resource &amp; Referral Center</t>
  </si>
  <si>
    <t>1700 Webster Street</t>
  </si>
  <si>
    <t>877-424-3838</t>
  </si>
  <si>
    <t>Phone staffed 24/7</t>
  </si>
  <si>
    <t xml:space="preserve">Coalition for the Homeless (CFTH) Partner/Rapid Rehousing
Showers, laundry, minor medical issues and food.
</t>
  </si>
  <si>
    <t>https://www.va.gov/houston-health-care/stories/new-resource-center-open-for-houston-veterans/</t>
  </si>
  <si>
    <t>https://www.google.com/maps/place/1700+Webster/@29.743953,-95.3707484,17z/data=!3m1!4b1!4m6!3m5!1s0x8640bfb987b4bccd:0x76968c0eab680d22!8m2!3d29.7439484!4d-95.3658775!16s%2Fg%2F11rwqwfn6_?entry=ttu&amp;g_ep=EgoyMDI1MTAwOC4wIKXMDSoASAFQAw%3D%3D</t>
  </si>
  <si>
    <t>29.744171786910705, -95.36579165835442</t>
  </si>
  <si>
    <t>77445, 77446, 77466, 77484, 77492</t>
  </si>
  <si>
    <t>Waller Assistance &amp; Restoration Ministries (WARM)</t>
  </si>
  <si>
    <t>40070 Hwy 290 Business</t>
  </si>
  <si>
    <t>Waller</t>
  </si>
  <si>
    <t>77484</t>
  </si>
  <si>
    <t>836-372-5173</t>
  </si>
  <si>
    <t>Complete online application.  Max assistance $350.
Assistance provided to household once every three years.
Must have had a crisis in the last 60 days.
Household income no greater than 80% of Houston area Median Income.
Check website for documents requirements.</t>
  </si>
  <si>
    <t>https://warmwaller.org/financial</t>
  </si>
  <si>
    <t>https://www.google.com/maps/place/Waller+Assistance+and+Restoration+Ministries/@30.0552234,-95.9193817,17z/data=!3m1!4b1!4m6!3m5!1s0x8646cd6ea2864dd7:0xab48b14b384c1ebb!8m2!3d30.0552234!4d-95.9168014!16s%2Fg%2F11c55w1jw9?entry=ttu&amp;g_ep=EgoyMDI1MDcyNy4wIKXMDSoASAFQAw%3D%3D</t>
  </si>
  <si>
    <t>30.055501939966447, -95.91690868167721</t>
  </si>
  <si>
    <t>Complete online application.  Max assistance $2000.
Assistance provided to household once every three years.
Must have had a crisis in the last 60 days.
Household income no greater than 80% of Houston area Median Income.
Check website for documents requirements.</t>
  </si>
  <si>
    <t>Tu - Th 10 a.m. to 3 p.m.</t>
  </si>
  <si>
    <t>New clients need to complete an online form and meet with a caseworker.  For initial visit arrive before 2 p.m.
Government issued ID.
Must meet eligibility requirements once a year.
Proof of benefits or income and residence.</t>
  </si>
  <si>
    <t>https://warmwaller.org/food-pantry</t>
  </si>
  <si>
    <t>{"regular":[{"days":["Tu","We","Th"],"open":"10:00","close":"15:00"}]}</t>
  </si>
  <si>
    <t>Mo - Sa 10 a.m. to 4 p.m.</t>
  </si>
  <si>
    <t>May provide vouchers that can be used for clothing at their thrift store.</t>
  </si>
  <si>
    <t>https://warmwaller.org/vouchers</t>
  </si>
  <si>
    <t>{"regular":[{"days":["Mo","Tu","We","Th","Fr","Sa"],"open":"10:00","close":"16:00"}]}</t>
  </si>
  <si>
    <t>2nd &amp; 4th Mo 10 a.m. to 3 p.m.</t>
  </si>
  <si>
    <t>Assistance with completing applications for SNAP, TANF, Medicaid, CHIP and other government benefits programs.</t>
  </si>
  <si>
    <t>https://warmwaller.org/comunity-assistance-program</t>
  </si>
  <si>
    <t>{"special":[{"pattern":"2nd &amp; 4th Mo","open":"10:00","close":"15:00"}]}</t>
  </si>
  <si>
    <t>Complete online application.  This is financial assistance with medical bills.  Max assistance $50.
Assistance provided to household once every three years.
Must have had a crisis in the last 60 days.
Household income no greater than 80% of Houston area Median Income.
Check website for documents requirements.</t>
  </si>
  <si>
    <t>Wellsprings Village Inc.</t>
  </si>
  <si>
    <t>P.O. Box 311017</t>
  </si>
  <si>
    <t>77231</t>
  </si>
  <si>
    <t>713-529-6559</t>
  </si>
  <si>
    <t>Transitional housing for women between the ages of 25 and 50. Women over the age of 50 are on a case by case basis.
Counseling &amp; Life Skills Education
Transportation Assistance
Case management and employment readiness
Limited food and clothing</t>
  </si>
  <si>
    <t>https://wellspringsvillage.org/</t>
  </si>
  <si>
    <t>29.651703111525425, -95.48195578393388</t>
  </si>
  <si>
    <t>Wesley Community Center</t>
  </si>
  <si>
    <t>1410 Lee Street</t>
  </si>
  <si>
    <t>713-236-9008</t>
  </si>
  <si>
    <t>Verified online - no funding</t>
  </si>
  <si>
    <t>Call to make appointment.
Clients must meet with employment, financial and income Support Coaches.
Valid ID.
Proof of residence.
Social Security Card.
Lease agreement and vacate notice.
SNAP Award Letter.</t>
  </si>
  <si>
    <t>https://wesleyhousehouston.org/adult-family-services/</t>
  </si>
  <si>
    <t>https://maps.google.com/?q=Wesley%20Community%20Center%201410%20Lee%20St%20Houston%20TX%2077009</t>
  </si>
  <si>
    <t>29.7813413061225, -95.3536578979592</t>
  </si>
  <si>
    <t>1235 Lorraine Street</t>
  </si>
  <si>
    <t>713-821-8950</t>
  </si>
  <si>
    <t>Mo - Fr 8 a.m. to 12 p.m. &amp; Tu, We, Th 1 p.m. to 4 p.m.</t>
  </si>
  <si>
    <t>No cost to participate
Valid ID.
Proof of address.</t>
  </si>
  <si>
    <t>https://wesleyhousehouston.org/food-programs/</t>
  </si>
  <si>
    <t>713-236-8131</t>
  </si>
  <si>
    <t>713-821-8994</t>
  </si>
  <si>
    <t>Mo - Fr 7:30 a.m. to 5:30 p.m.</t>
  </si>
  <si>
    <t>Head Start</t>
  </si>
  <si>
    <t>Childcare
This is for Head Start only, children aged 6 weeks to 3 years.
Income, age and zip code restrictions.
No cost to participate.
Need proof of income and age, Texas Assistance, shot records and physician statement of health.</t>
  </si>
  <si>
    <t>https://wesleyhousehouston.org/early-childhood-education/</t>
  </si>
  <si>
    <t xml:space="preserve"> 713-821-8925 (Pre-K)</t>
  </si>
  <si>
    <t>Pre-K</t>
  </si>
  <si>
    <t>Childcare
This is for Pre-K only, children aged from 2 1/2 to 5 years.
All zip codes.  There is a cost but is is sliding scale, income-based.
Need valid ID for parents, birth certificate for children, proof of income, Texas Assistance, shot record and physician statement of health</t>
  </si>
  <si>
    <t>346-327-8573</t>
  </si>
  <si>
    <t>Mo - Fr 8 a.m. to 1 p.m.</t>
  </si>
  <si>
    <t>Seniors 60+ years of age.  Must complete application and renew every October.
No cost to participate.
Valid ID required.
Daily (Mo-Fr) hot meals (Breakfast &amp; Lunch).
Social events, physical fitness, art classes and other activities.</t>
  </si>
  <si>
    <t>https://wesleyhousehouston.org/senior-services/</t>
  </si>
  <si>
    <t>West End Multi-Service Center</t>
  </si>
  <si>
    <t>713-868-1555</t>
  </si>
  <si>
    <t>Mo - Fr 7 a.m. to 6 p.m.</t>
  </si>
  <si>
    <t>Childcare
Provided by the Child Care Council of Greater Houston for children six months to five years of age.</t>
  </si>
  <si>
    <t>https://www.houstonhealth.org/services/multi-service-centers/west-end-multi-service-center</t>
  </si>
  <si>
    <t>https://www.google.com/maps/place/West+End+Multi-Service+Center/@29.7725472,-95.399352,17z/data=!3m1!4b1!4m6!3m5!1s0x8640c754d9f4837f:0x21762eef026d572!8m2!3d29.7725426!4d-95.3967771!16s%2Fg%2F11b70dhgp4?entry=ttu&amp;g_ep=EgoyMDI2MDIwMS4wIKXMDSoKLDEwMDc5MjA2OUgBUAM%3D</t>
  </si>
  <si>
    <t>29.772766053889406, -95.39675563676566</t>
  </si>
  <si>
    <t>77036, 77042, 77057, 77063, 77072, 77077, 77082, 77083, 77099</t>
  </si>
  <si>
    <t>West Houston Assistance Ministries (WHAM)</t>
  </si>
  <si>
    <t>10501 Meadowglen Lane</t>
  </si>
  <si>
    <t>713-780-2727 Ext 200</t>
  </si>
  <si>
    <t>Call on Monday to make appointment.  Limited number of appointments.  Stop taking calls once limit is reached.  Call back the following Monday.
In addition to rent, help with the cost of hotel
Current lease agreement.
Picture ID for all adults.
Birth or shot records for under 18 year olds.
Proof of income.
Documented crisis.</t>
  </si>
  <si>
    <t>https://www.whamministries.org/</t>
  </si>
  <si>
    <t>https://maps.google.com/?q=West%20Houston%20Area%20Ministries%20(WHAM)%2010501%20Meadowglen%20Lane%20Houston%20TX%2077042</t>
  </si>
  <si>
    <t>29.731124, -95.56153</t>
  </si>
  <si>
    <t>Call on Monday to make appointment.  Limited number of appointments.  Stop taking calls once limit is reached.  Call back the following Monday.
Current lease agreement.
Picture ID for all adults.
Birth or shot records for under 18 year olds.
Proof of income.
Documented crisis.</t>
  </si>
  <si>
    <t>713-780-2727</t>
  </si>
  <si>
    <t>Mo 9 a.m. to 11 a.m. &amp;
Tu, We, Th 10 a.m. to 5 p.m. &amp; Fr 8 a.m. to 10 a.m. &amp; 2nd &amp; 4th Sa 9 a.m. to 11 a.m.</t>
  </si>
  <si>
    <t>Registration required</t>
  </si>
  <si>
    <t>Registration on Mondays on first come, first serve basis for the first 30 clients.
Tuesday, Wednesday and Thursday are by appointment.
Friday Drive-Thru no appointment needed.
Saturday Food Fair includes fresh produce, dairy and meat when available for the first 250 families</t>
  </si>
  <si>
    <t>Waiting list is closed due to a lack of volunteers
Food and essential items for disabled and elderly, serving 40 households within a 10 mile radius of WHAM.</t>
  </si>
  <si>
    <t>Tu - Fr 10 a.m. to 5 p.m. &amp; Sa 9 a.m. to 4 p.m.</t>
  </si>
  <si>
    <t>Website no longer mentions clothing assistance or resale store.</t>
  </si>
  <si>
    <t>Appointment required clientservices1@whamministries.org</t>
  </si>
  <si>
    <t>Help with signing up for public benefits including SNAP, CHIP, TANF, Medicaid, Women's Health.
Schedule appointment by emailing client services 1@whamministries.org</t>
  </si>
  <si>
    <t>Help with the cost of Childcare
Call on Monday to make appointment.  Limited number of appointments.  Stop taking calls once limit is reached.  Call back the following Monday.
Current lease agreement.
Picture ID for all adults.
Birth or shot records for under 18 year olds.
Proof of income.
Documented crisis.</t>
  </si>
  <si>
    <t>GED, ESL, job search, health, computer and financial classes.</t>
  </si>
  <si>
    <t>Employment assistance Mo-Fr 10 AM to 2 PM.</t>
  </si>
  <si>
    <t>Website no longer mentions any legal assistance.
Legal services appear to be limited to immigration matters. Call for information.</t>
  </si>
  <si>
    <t>Wheeler Avenue Baptist Church</t>
  </si>
  <si>
    <t>3826 Wheeler Avenue</t>
  </si>
  <si>
    <t>713-747-7101</t>
  </si>
  <si>
    <t>Mo - Th 9 a.m. to 1:00 p.m.</t>
  </si>
  <si>
    <t>Call to make appointment. Do not leave message.
Employment verification (pay stub) for past 60 days.
US Citizens/Permanent Residents.
Lease agreement and Eviction or Vacate notice.
Money order receipt showing some amount of self-payment toward balance and a ledger or statement from leasing company (they do not accept landlord receipts).
Can receive assistance once every two years.</t>
  </si>
  <si>
    <t>https://wheelerbc.org/matthew-25-info</t>
  </si>
  <si>
    <t>https://maps.google.com/?q=Wheeler%20Avenue%20Baptist%20Church%203826%20Wheeler%20Ave%20Houston%20TX%2077004</t>
  </si>
  <si>
    <t>29.7194684415584, -95.3522773506494</t>
  </si>
  <si>
    <t>{"regular":[{"days":["Mo","Tu","We","Th"],"open":"09:00","close":"13:00"}]}</t>
  </si>
  <si>
    <t>Call to make appointment. Do not leave message.
Employment verification (pay stub) for past 60 days.
US Citizens/Permanent Residents.
Lease agreement and utility bill.
Money order receipt showing some amount of self-payment toward balance and a ledger or statement from utility company.
Can receive assistance once every two years.</t>
  </si>
  <si>
    <t>Windsor Village Social Services</t>
  </si>
  <si>
    <t>12041 1/2 Post Oak Road</t>
  </si>
  <si>
    <t>713-551-8792</t>
  </si>
  <si>
    <t>Mo - Th 8 a.m. to 11 a.m.</t>
  </si>
  <si>
    <t>Call to confirm funding and requirements.
Photo ID
US Citizens/Permanent Residents.
Proof of income
Late or delinquent lease statement</t>
  </si>
  <si>
    <t>https://www.kingdombuilders.com/missions/</t>
  </si>
  <si>
    <t>https://maps.google.com/?q=Windsor%20Village%20Social%20Services%2012041%201%2F2%20Post%20Oak%20Rd%20Houston%20TX%2077045</t>
  </si>
  <si>
    <t>29.6471355, -95.4638366</t>
  </si>
  <si>
    <t>{"regular":[{"days":["Mo","Tu","We","Th"],"open":"08:00","close":"11:00"}]}</t>
  </si>
  <si>
    <t>Fill out online application.
Photo ID
US Citizens/Permanent Residents.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t>
  </si>
  <si>
    <t>Tu &amp; We 9 a.m. to 12 p.m. &amp; Th 10:30 a.m. to 12:30 p.m.</t>
  </si>
  <si>
    <t>Call to confirm requirements and availability.</t>
  </si>
  <si>
    <t>{"regular":[{"days":["Tu","We"],"open":"09:00","close":"12:00"},{"days":["Th"],"open":"10:30","close":"12:30"}]}</t>
  </si>
  <si>
    <t>WorkFaith - Main Campus</t>
  </si>
  <si>
    <t>4555 Dacoma Street</t>
  </si>
  <si>
    <t>713-984-9611</t>
  </si>
  <si>
    <t>In-person and online job readiness training programs.
Group and one-on-one career coaching.
Certification programs in Building Maintenance, Carpentry, Child Development, Commercial and Residential Electrical, HVAC, Masonry, Plumbing and Welding.</t>
  </si>
  <si>
    <t>https://workfaith.org</t>
  </si>
  <si>
    <t>https://www.google.com/maps/place/WorkFaith/@29.830246,-95.4952175,14z/data=!4m15!1m8!3m7!1s0x8640c6768bc2b35b:0xa5c1f41b935ff4e0!2sHouston,+TX+77092!3b1!8m2!3d29.8265052!4d-95.4672962!16s%2Fm%2F0212z4_!3m5!1s0x8640c6eb4530d1d1:0xcfc841a23242de3a!8m2!3d29.80739!4d-95.4546601!16s%2Fg%2F1tdwkw_p?entry=ttu&amp;g_ep=EgoyMDI1MDgxMy4wIKXMDSoASAFQAw%3D%3D</t>
  </si>
  <si>
    <t>29.808534494320423, -95.45471283711105</t>
  </si>
  <si>
    <t>WorkFaith - Satellite Campus</t>
  </si>
  <si>
    <t>713-984-9611 or 713-520-2055</t>
  </si>
  <si>
    <t>https://www.google.com/maps/place/WorkFaith/@29.659502,-95.394155,18z/data=!4m6!3m5!1s0x8640bf792ee92aff:0xadb423e2e11c744b!8m2!3d29.6594974!4d-95.3928675!16s%2Fg%2F1txnpvkg?entry=ttu&amp;g_ep=EgoyMDI1MDgxMy4wIKXMDSoASAFQAw%3D%3D</t>
  </si>
  <si>
    <t>29.65961156494774, -95.39284067713568</t>
  </si>
  <si>
    <t>Workforce Solutions</t>
  </si>
  <si>
    <t>9315 Stella Link Road</t>
  </si>
  <si>
    <t>713-334-5980</t>
  </si>
  <si>
    <t>17 month waitlist</t>
  </si>
  <si>
    <t>Financial assistance for childcare
US Citizens/Permanent Residents.</t>
  </si>
  <si>
    <t>https://www.wrksolutions.com/for-individuals/financial-aid/financial-assistance-for-child-care</t>
  </si>
  <si>
    <t>29.6815522474227, -95.4398715360825</t>
  </si>
  <si>
    <t>713-661-3220</t>
  </si>
  <si>
    <t>Multiple locations, including resume, training, vocational rehabilitation
Job search help
Financial assistance for childcare, training or work support to start a job
US Citizens/Permanent Residents.</t>
  </si>
  <si>
    <t>https://www.wrksolutions.com/</t>
  </si>
  <si>
    <t>YMCA International Services</t>
  </si>
  <si>
    <t>3110 Hayes Road</t>
  </si>
  <si>
    <t>713-758-9280</t>
  </si>
  <si>
    <t>https://ymcahouston.org/locations/ymca-international-services/programs</t>
  </si>
  <si>
    <t>29.7325430714286, -95.5755774387755</t>
  </si>
  <si>
    <t>zip_code</t>
  </si>
  <si>
    <t>poverty_level</t>
  </si>
  <si>
    <t>city</t>
  </si>
  <si>
    <t>county</t>
  </si>
  <si>
    <t>state</t>
  </si>
  <si>
    <t>houston_area</t>
  </si>
  <si>
    <t>coordinates</t>
  </si>
  <si>
    <t>zip_link</t>
  </si>
  <si>
    <t>neighborhood</t>
  </si>
  <si>
    <t>county_city_zip</t>
  </si>
  <si>
    <t>county_city_zip_neighborhood</t>
  </si>
  <si>
    <t>Essex</t>
  </si>
  <si>
    <t>N</t>
  </si>
  <si>
    <t>42.616, -70.669</t>
  </si>
  <si>
    <t>Plymouth</t>
  </si>
  <si>
    <t>42.16075, -70.81772</t>
  </si>
  <si>
    <t>https://www.unitedstateszipcodes.org/02061/</t>
  </si>
  <si>
    <t>Suffolk</t>
  </si>
  <si>
    <t>42.35105, -71.07638</t>
  </si>
  <si>
    <t>40.75856, -73.96787</t>
  </si>
  <si>
    <t>https://www.unitedstateszipcodes.org/10022/</t>
  </si>
  <si>
    <t>Turtle Bay, East Side, Midtown, Manhattan</t>
  </si>
  <si>
    <t>https://www.unitedstateszipcodes.org/10027/</t>
  </si>
  <si>
    <t>Morningside Heights|Uptown|Manhattan</t>
  </si>
  <si>
    <t>12775</t>
  </si>
  <si>
    <t>Rock Hill</t>
  </si>
  <si>
    <t>Sullivan</t>
  </si>
  <si>
    <t>41.6134, -74.5872</t>
  </si>
  <si>
    <t>https://www.unitedstateszipcodes.org/12775/</t>
  </si>
  <si>
    <t>Thompsons</t>
  </si>
  <si>
    <t>District of Columbia</t>
  </si>
  <si>
    <t>38.9044, -77.0316</t>
  </si>
  <si>
    <t>https://www.unitedstateszipcodes.org/20005/</t>
  </si>
  <si>
    <t>Montgomery</t>
  </si>
  <si>
    <t>39.05134, -77.12507</t>
  </si>
  <si>
    <t>https://www.unitedstateszipcodes.org/20852/</t>
  </si>
  <si>
    <t>39.1297, -77.2975</t>
  </si>
  <si>
    <t>https://www.unitedstateszipcodes.org/20874/</t>
  </si>
  <si>
    <t>Chesterfield</t>
  </si>
  <si>
    <t>37.4332553, -77.655051</t>
  </si>
  <si>
    <t>https://www.unitedstateszipcodes.org/23112/</t>
  </si>
  <si>
    <t>Hampton City</t>
  </si>
  <si>
    <t>37.058, -76.408</t>
  </si>
  <si>
    <t>https://www.unitedstateszipcodes.org/23666/</t>
  </si>
  <si>
    <t>Orange</t>
  </si>
  <si>
    <t>28.455, -81.474</t>
  </si>
  <si>
    <t>https://www.unitedstateszipcodes.org/32819/</t>
  </si>
  <si>
    <t>Lee</t>
  </si>
  <si>
    <t>26.5228, -81.7065</t>
  </si>
  <si>
    <t>https://www.unitedstateszipcodes.org/33913/</t>
  </si>
  <si>
    <t>Oakland</t>
  </si>
  <si>
    <t>https://www.unitedstateszipcodes.org/48037/</t>
  </si>
  <si>
    <t>Cook</t>
  </si>
  <si>
    <t>https://www.unitedstateszipcodes.org/60078/</t>
  </si>
  <si>
    <t>Collin</t>
  </si>
  <si>
    <t>33.150307, -96.879615</t>
  </si>
  <si>
    <t>https://www.unitedstateszipcodes.org/75034/</t>
  </si>
  <si>
    <t>Dallas</t>
  </si>
  <si>
    <t>32.8267, -96.9633</t>
  </si>
  <si>
    <t>https://www.unitedstateszipcodes.org/75061/</t>
  </si>
  <si>
    <t>Tarrant</t>
  </si>
  <si>
    <t>32.9276, -97.2489</t>
  </si>
  <si>
    <t>https://www.unitedstateszipcodes.org/76248/</t>
  </si>
  <si>
    <t>Bell</t>
  </si>
  <si>
    <t>30.9506, -97.5348</t>
  </si>
  <si>
    <t>https://www.unitedstateszipcodes.org/76571/</t>
  </si>
  <si>
    <t>Y</t>
  </si>
  <si>
    <t>https://www.unitedstateszipcodes.org/77002/</t>
  </si>
  <si>
    <t>Central Business District, Downtown Houston, East Downtown, South Central Houston, Theater District, University Place, Warehouse District</t>
  </si>
  <si>
    <t>29.749808, -95.345901</t>
  </si>
  <si>
    <t>https://www.unitedstateszipcodes.org/77003/</t>
  </si>
  <si>
    <t>East Downtown, Downtown Houston, Second Ward, South Central Houston, South Side</t>
  </si>
  <si>
    <t>29.72717, -95.36185</t>
  </si>
  <si>
    <t>https://www.unitedstateszipcodes.org/77004/</t>
  </si>
  <si>
    <t>East Downtown, Downtown Houston, Houston Museum District, Midtown, Museum District, South Central Houston, South Side, Third Ward, University Place</t>
  </si>
  <si>
    <t>29.718435, -95.423555</t>
  </si>
  <si>
    <t>https://www.unitedstateszipcodes.org/77005/</t>
  </si>
  <si>
    <t>Greenway / Upper Kirby Area, Rice Village, Southside Place, West University Place</t>
  </si>
  <si>
    <t>29.73957, -95.38825</t>
  </si>
  <si>
    <t>https://www.unitedstateszipcodes.org/77006/</t>
  </si>
  <si>
    <t>Hyde Park, Montrose, South Central Houston</t>
  </si>
  <si>
    <t>29.771545, -95.411083</t>
  </si>
  <si>
    <t>https://www.unitedstateszipcodes.org/77007/</t>
  </si>
  <si>
    <t>Downtown Houston, Memorial Park, Rice Military, Sawyer Heights, Washington Avenue Coalition / Memorial Park, Washington Corridor</t>
  </si>
  <si>
    <t>29.798249, -95.416933</t>
  </si>
  <si>
    <t>https://www.unitedstateszipcodes.org/77008/</t>
  </si>
  <si>
    <t>Lazybrook / Timbergrove, Northside, Shady Acres, The Heights, Timbergrove</t>
  </si>
  <si>
    <t>29.795344, -95.36759</t>
  </si>
  <si>
    <t>https://www.unitedstateszipcodes.org/77009/</t>
  </si>
  <si>
    <t>Lindale Park, Near Northside, Northside, Woodland Heights</t>
  </si>
  <si>
    <t>77010</t>
  </si>
  <si>
    <t>29.753624, -95.35981</t>
  </si>
  <si>
    <t>https://www.unitedstateszipcodes.org/77010/</t>
  </si>
  <si>
    <t>Discovery Green, Downtown (Convention District), Downtown Houston</t>
  </si>
  <si>
    <t>29.743564, -95.30891</t>
  </si>
  <si>
    <t>https://www.unitedstateszipcodes.org/77011/</t>
  </si>
  <si>
    <t>Eastwood, Magnolia Park, Second Ward, South Central Houston</t>
  </si>
  <si>
    <t>29.718525, -95.274137</t>
  </si>
  <si>
    <t>https://www.unitedstateszipcodes.org/77012/</t>
  </si>
  <si>
    <t>Greater East End, Harrisburg, Magnolia Park</t>
  </si>
  <si>
    <t>29.791808, -95.228991</t>
  </si>
  <si>
    <t>https://www.unitedstateszipcodes.org/77013/</t>
  </si>
  <si>
    <t>El Dorado / Oates Prairie, Pleasantville</t>
  </si>
  <si>
    <t>29.981209, -95.463971</t>
  </si>
  <si>
    <t>https://www.unitedstateszipcodes.org/77014/</t>
  </si>
  <si>
    <t>Bammel Village, Cornerstone Village North, Northchase</t>
  </si>
  <si>
    <t>29.76393, -95.173121</t>
  </si>
  <si>
    <t>https://www.unitedstateszipcodes.org/77015/</t>
  </si>
  <si>
    <t>Cloverleaf, Northeast Houston, Northshore</t>
  </si>
  <si>
    <t>29.862532, -95.29998</t>
  </si>
  <si>
    <t>https://www.unitedstateszipcodes.org/77016/</t>
  </si>
  <si>
    <t>East Little York, Trinity Gardens</t>
  </si>
  <si>
    <t>29.679879, -95.257113</t>
  </si>
  <si>
    <t>https://www.unitedstateszipcodes.org/77017/</t>
  </si>
  <si>
    <t>Meadowbrook / Allendale, Meadowcreek Village, Park Place</t>
  </si>
  <si>
    <t>29.83399, -95.434241</t>
  </si>
  <si>
    <t>https://www.unitedstateszipcodes.org/77018/</t>
  </si>
  <si>
    <t>Central Northwest, Garden Oaks, Northside, Oak Forest</t>
  </si>
  <si>
    <t>29.75415, -95.409498</t>
  </si>
  <si>
    <t>https://www.unitedstateszipcodes.org/77019/</t>
  </si>
  <si>
    <t>Fourth Ward, Montrose, River Oaks</t>
  </si>
  <si>
    <t>29.773179, -95.314327</t>
  </si>
  <si>
    <t>https://www.unitedstateszipcodes.org/77020/</t>
  </si>
  <si>
    <t>Denver Harbor / Port Houston, Fifth Ward, Northside</t>
  </si>
  <si>
    <t>29.67843, -95.373966</t>
  </si>
  <si>
    <t>https://www.unitedstateszipcodes.org/77021/</t>
  </si>
  <si>
    <t>MacGregor, Riverside Terrace, South Side</t>
  </si>
  <si>
    <t>29.83159, -95.379554</t>
  </si>
  <si>
    <t>https://www.unitedstateszipcodes.org/77022/</t>
  </si>
  <si>
    <t>Independence Heights, Northline, Northside / Northline</t>
  </si>
  <si>
    <t>https://www.unitedstateszipcodes.org/77023/</t>
  </si>
  <si>
    <t>Eastwood, Gulfgate Riverview / Pine Valley, Idylwood, Lawndale / Wayside, Magnolia Park, South Central Houston</t>
  </si>
  <si>
    <t>29.771225, -95.511751</t>
  </si>
  <si>
    <t>https://www.unitedstateszipcodes.org/77024/</t>
  </si>
  <si>
    <t>Hedwig Village, Hunters Creek, Memorial City, Memorial Villages, Northwest Houston, Westside</t>
  </si>
  <si>
    <t>29.685706, -95.434764</t>
  </si>
  <si>
    <t>https://www.unitedstateszipcodes.org/77025/</t>
  </si>
  <si>
    <t>Braeswood, Braeswood Place, Knollwood Village</t>
  </si>
  <si>
    <t>29.800187, -95.328888</t>
  </si>
  <si>
    <t>https://www.unitedstateszipcodes.org/77026/</t>
  </si>
  <si>
    <t>Kashmere Gardens, Northside, Trinity / Houston Gardens</t>
  </si>
  <si>
    <t>29.740079, -95.446409</t>
  </si>
  <si>
    <t>https://www.unitedstateszipcodes.org/77027/</t>
  </si>
  <si>
    <t>Afton Oaks, Greenway / Upper Kirby Area, Highland Village, River Oaks District, Westside</t>
  </si>
  <si>
    <t>29.82281, -95.29687</t>
  </si>
  <si>
    <t>https://www.unitedstateszipcodes.org/77028/</t>
  </si>
  <si>
    <t>East Houston, Northside, Settegast</t>
  </si>
  <si>
    <t>29.759665, -95.256251</t>
  </si>
  <si>
    <t>https://www.unitedstateszipcodes.org/77029/</t>
  </si>
  <si>
    <t>Clinton Park, Pleasantville</t>
  </si>
  <si>
    <t>https://www.unitedstateszipcodes.org/77030/</t>
  </si>
  <si>
    <t>Central Southwest, Houston Museum District, South Central Houston, Southgate, Texas Medical Center</t>
  </si>
  <si>
    <t>29.652205, -95.54623</t>
  </si>
  <si>
    <t>https://www.unitedstateszipcodes.org/77031/</t>
  </si>
  <si>
    <t>Brays Oaks, Fondren Southwest</t>
  </si>
  <si>
    <t>77032</t>
  </si>
  <si>
    <t>29.987805, -95.353412</t>
  </si>
  <si>
    <t>https://www.unitedstateszipcodes.org/77032/</t>
  </si>
  <si>
    <t>Bush IAH / Airport</t>
  </si>
  <si>
    <t>77033</t>
  </si>
  <si>
    <t>29.66868, -95.337865</t>
  </si>
  <si>
    <t>https://www.unitedstateszipcodes.org/77033/</t>
  </si>
  <si>
    <t>29.61903, -95.197354</t>
  </si>
  <si>
    <t>https://www.unitedstateszipcodes.org/77034/</t>
  </si>
  <si>
    <t>Edgebrook Area, Ellington, Southbelt</t>
  </si>
  <si>
    <t>29.653418, -95.475296</t>
  </si>
  <si>
    <t>https://www.unitedstateszipcodes.org/77035/</t>
  </si>
  <si>
    <t>Bellaire, Brays Oaks, Fondren Gardens, Westbury, Willow Meadows/ Willowbend Area, Willowbend</t>
  </si>
  <si>
    <t>29.701847, -95.534537</t>
  </si>
  <si>
    <t>https://www.unitedstateszipcodes.org/77036/</t>
  </si>
  <si>
    <t>Chinatown, Sharpstown, Westside</t>
  </si>
  <si>
    <t>29.89036, -95.392527</t>
  </si>
  <si>
    <t>https://www.unitedstateszipcodes.org/77037/</t>
  </si>
  <si>
    <t>Northline, Northside, Northside / Northline</t>
  </si>
  <si>
    <t>77038</t>
  </si>
  <si>
    <t>29.918595, -95.441194</t>
  </si>
  <si>
    <t>https://www.unitedstateszipcodes.org/77038/</t>
  </si>
  <si>
    <t>Greater Inwood, Hidden Valley</t>
  </si>
  <si>
    <t>29.911171, -95.341182</t>
  </si>
  <si>
    <t>https://www.unitedstateszipcodes.org/77039/</t>
  </si>
  <si>
    <t>Airline, Aldine, Fairgreen, High Meadows</t>
  </si>
  <si>
    <t>29.874575, -95.527099</t>
  </si>
  <si>
    <t>https://www.unitedstateszipcodes.org/77040/</t>
  </si>
  <si>
    <t>Fairbanks / Northwest Crossing, Jersey Village, Northside, Oak Hollow</t>
  </si>
  <si>
    <t>29.8586, -95.580768</t>
  </si>
  <si>
    <t>https://www.unitedstateszipcodes.org/77041/</t>
  </si>
  <si>
    <t>Northwest Houston, Spring Branch North</t>
  </si>
  <si>
    <t>29.741325, -95.560254</t>
  </si>
  <si>
    <t>https://www.unitedstateszipcodes.org/77042/</t>
  </si>
  <si>
    <t>Royal Oaks, Westchase, Westside</t>
  </si>
  <si>
    <t>29.812687, -95.583634</t>
  </si>
  <si>
    <t>https://www.unitedstateszipcodes.org/77043/</t>
  </si>
  <si>
    <t>Northwest Houston, Spring Branch West</t>
  </si>
  <si>
    <t>29.906619, -95.180595</t>
  </si>
  <si>
    <t>https://www.unitedstateszipcodes.org/77044/</t>
  </si>
  <si>
    <t>Houmont Park, Lake Houston, Summerwood</t>
  </si>
  <si>
    <t>29.635793, -95.432889</t>
  </si>
  <si>
    <t>https://www.unitedstateszipcodes.org/77045/</t>
  </si>
  <si>
    <t>Brentwood, Central Southwest, Hiram Clarke</t>
  </si>
  <si>
    <t>77046</t>
  </si>
  <si>
    <t>29.733777, -95.433346</t>
  </si>
  <si>
    <t>https://www.unitedstateszipcodes.org/77046/</t>
  </si>
  <si>
    <t>Greenway Plaza</t>
  </si>
  <si>
    <t>29.61426, -95.39104</t>
  </si>
  <si>
    <t>https://www.unitedstateszipcodes.org/77047/</t>
  </si>
  <si>
    <t>Minnetex, South Acres / Crestmont Park</t>
  </si>
  <si>
    <t>29.625781, -95.340665</t>
  </si>
  <si>
    <t>https://www.unitedstateszipcodes.org/77048/</t>
  </si>
  <si>
    <t>29.832928, -95.14904</t>
  </si>
  <si>
    <t>https://www.unitedstateszipcodes.org/77049/</t>
  </si>
  <si>
    <t>Cloverleaf, Hunterwood, Sheldon</t>
  </si>
  <si>
    <t>77050</t>
  </si>
  <si>
    <t>29.902887, -95.269296</t>
  </si>
  <si>
    <t>https://www.unitedstateszipcodes.org/77050/</t>
  </si>
  <si>
    <t>Fontaine Place, Greens Bayou</t>
  </si>
  <si>
    <t>29.65833, -95.381407</t>
  </si>
  <si>
    <t>https://www.unitedstateszipcodes.org/77051/</t>
  </si>
  <si>
    <t>Central Southwest, South Park, South Side, Sunnyside</t>
  </si>
  <si>
    <t>Fort Bend</t>
  </si>
  <si>
    <t>29.600732, -95.424818</t>
  </si>
  <si>
    <t>https://www.unitedstateszipcodes.org/77053/</t>
  </si>
  <si>
    <t>Briar Villa, Fort Bend Houston, Orchard Grove</t>
  </si>
  <si>
    <t>29.67543, -95.391466</t>
  </si>
  <si>
    <t>https://www.unitedstateszipcodes.org/77054/</t>
  </si>
  <si>
    <t>Astrodome Area, Medical Center South, NRG Park area, South Main</t>
  </si>
  <si>
    <t>29.796871, -95.49165</t>
  </si>
  <si>
    <t>https://www.unitedstateszipcodes.org/77055/</t>
  </si>
  <si>
    <t>Hilshire Village, Montrose, Northwest Houston, Spring Branch East, Washington Avenue Coalition / Memorial Park</t>
  </si>
  <si>
    <t>29.748202, -95.468948</t>
  </si>
  <si>
    <t>https://www.unitedstateszipcodes.org/77056/</t>
  </si>
  <si>
    <t>Galleria, Tanglewood, Uptown, Westside</t>
  </si>
  <si>
    <t>77057</t>
  </si>
  <si>
    <t>29.744081, -95.487974</t>
  </si>
  <si>
    <t>https://www.unitedstateszipcodes.org/77057/</t>
  </si>
  <si>
    <t>Briargrove, Woodlake</t>
  </si>
  <si>
    <t>29.571604, -95.099828</t>
  </si>
  <si>
    <t>https://www.unitedstateszipcodes.org/77058/</t>
  </si>
  <si>
    <t>Clear Lake, Nassau Bay</t>
  </si>
  <si>
    <t>29.60918, -95.11989</t>
  </si>
  <si>
    <t>https://www.unitedstateszipcodes.org/77059/</t>
  </si>
  <si>
    <t>Clear Lake, Pine Brook</t>
  </si>
  <si>
    <t>77060</t>
  </si>
  <si>
    <t>29.934695, -95.394872</t>
  </si>
  <si>
    <t>https://www.unitedstateszipcodes.org/77060/</t>
  </si>
  <si>
    <t>Greenspoint</t>
  </si>
  <si>
    <t>77061</t>
  </si>
  <si>
    <t>29.65688, -95.28316</t>
  </si>
  <si>
    <t>https://www.unitedstateszipcodes.org/77061/</t>
  </si>
  <si>
    <t>Hobby Airport Area, Park Place</t>
  </si>
  <si>
    <t>29.571478, -95.131719</t>
  </si>
  <si>
    <t>https://www.unitedstateszipcodes.org/77062/</t>
  </si>
  <si>
    <t>77063</t>
  </si>
  <si>
    <t>29.736295, -95.523292</t>
  </si>
  <si>
    <t>https://www.unitedstateszipcodes.org/77063/</t>
  </si>
  <si>
    <t>Briarmeadow, Westchase</t>
  </si>
  <si>
    <t>77064</t>
  </si>
  <si>
    <t>29.918045, -95.535685</t>
  </si>
  <si>
    <t>https://www.unitedstateszipcodes.org/77064/</t>
  </si>
  <si>
    <t>Willowbrook, Winchester</t>
  </si>
  <si>
    <t>29.926556, -95.603242</t>
  </si>
  <si>
    <t>https://www.unitedstateszipcodes.org/77065/</t>
  </si>
  <si>
    <t>Cypress, Fairbanks</t>
  </si>
  <si>
    <t>77066</t>
  </si>
  <si>
    <t>29.957234, -95.503258</t>
  </si>
  <si>
    <t>https://www.unitedstateszipcodes.org/77066/</t>
  </si>
  <si>
    <t>Northchase, Northcliffe Manor</t>
  </si>
  <si>
    <t>77067</t>
  </si>
  <si>
    <t>29.952629, -95.446609</t>
  </si>
  <si>
    <t>https://www.unitedstateszipcodes.org/77067/</t>
  </si>
  <si>
    <t>Greenspoint, North Houston District</t>
  </si>
  <si>
    <t>77068</t>
  </si>
  <si>
    <t>30.007063, -95.488362</t>
  </si>
  <si>
    <t>https://www.unitedstateszipcodes.org/77068/</t>
  </si>
  <si>
    <t>Northcliffe, Ponderosa Forest</t>
  </si>
  <si>
    <t>77069</t>
  </si>
  <si>
    <t>29.988446, -95.531201</t>
  </si>
  <si>
    <t>https://www.unitedstateszipcodes.org/77069/</t>
  </si>
  <si>
    <t>Champions</t>
  </si>
  <si>
    <t>29.97967, -95.572835</t>
  </si>
  <si>
    <t>https://www.unitedstateszipcodes.org/77070/</t>
  </si>
  <si>
    <t>Champion Forest, Mill Ridge North, Willowbrook</t>
  </si>
  <si>
    <t>29.652393, -95.521183</t>
  </si>
  <si>
    <t>https://www.unitedstateszipcodes.org/77071/</t>
  </si>
  <si>
    <t>Brays Oaks, Fondren Gardens, Westbury</t>
  </si>
  <si>
    <t>29.699688, -95.584817</t>
  </si>
  <si>
    <t>https://www.unitedstateszipcodes.org/77072/</t>
  </si>
  <si>
    <t>77073</t>
  </si>
  <si>
    <t>29.999296, -95.400207</t>
  </si>
  <si>
    <t>https://www.unitedstateszipcodes.org/77073/</t>
  </si>
  <si>
    <t>Westfield</t>
  </si>
  <si>
    <t>29.687947, -95.515725</t>
  </si>
  <si>
    <t>https://www.unitedstateszipcodes.org/77074/</t>
  </si>
  <si>
    <t>Braeburn, Robindell, Sharpstown</t>
  </si>
  <si>
    <t>77075</t>
  </si>
  <si>
    <t>29.623734, -95.262863</t>
  </si>
  <si>
    <t>https://www.unitedstateszipcodes.org/77075/</t>
  </si>
  <si>
    <t>Allendale, Southbelt</t>
  </si>
  <si>
    <t>29.860021, -95.382184</t>
  </si>
  <si>
    <t>https://www.unitedstateszipcodes.org/77076/</t>
  </si>
  <si>
    <t>77077</t>
  </si>
  <si>
    <t>29.750233, -95.615384</t>
  </si>
  <si>
    <t>https://www.unitedstateszipcodes.org/77077/</t>
  </si>
  <si>
    <t>Briar Hills, Energy Corridor</t>
  </si>
  <si>
    <t>77078</t>
  </si>
  <si>
    <t>29.852379, -95.254076</t>
  </si>
  <si>
    <t>https://www.unitedstateszipcodes.org/77078/</t>
  </si>
  <si>
    <t>Northeast Houston, Settegast</t>
  </si>
  <si>
    <t>29.776093, -95.603037</t>
  </si>
  <si>
    <t>https://www.unitedstateszipcodes.org/77079/</t>
  </si>
  <si>
    <t>Fleetwood, Memorial</t>
  </si>
  <si>
    <t>29.815893, -95.522964</t>
  </si>
  <si>
    <t>https://www.unitedstateszipcodes.org/77080/</t>
  </si>
  <si>
    <t>Northwest Houston, Spring Branch Central</t>
  </si>
  <si>
    <t>29.712099, -95.480935</t>
  </si>
  <si>
    <t>https://www.unitedstateszipcodes.org/77081/</t>
  </si>
  <si>
    <t>29.72449, -95.640002</t>
  </si>
  <si>
    <t>https://www.unitedstateszipcodes.org/77082/</t>
  </si>
  <si>
    <t>Alief, Eldridge/West Oaks, Westside</t>
  </si>
  <si>
    <t>29.694472, -95.649627</t>
  </si>
  <si>
    <t>https://www.unitedstateszipcodes.org/77083/</t>
  </si>
  <si>
    <t>Alief, Mission Bend</t>
  </si>
  <si>
    <t>29.827486, -95.65992</t>
  </si>
  <si>
    <t>https://www.unitedstateszipcodes.org/77084/</t>
  </si>
  <si>
    <t>Addicks Park Ten, Bear Creek, Copperfield</t>
  </si>
  <si>
    <t>29.620736, -95.48615</t>
  </si>
  <si>
    <t>https://www.unitedstateszipcodes.org/77085/</t>
  </si>
  <si>
    <t>Central Southwest, Fondren Gardens, Hiram Clarke, Willowbend</t>
  </si>
  <si>
    <t>77086</t>
  </si>
  <si>
    <t>29.917695, -95.489993</t>
  </si>
  <si>
    <t>https://www.unitedstateszipcodes.org/77086/</t>
  </si>
  <si>
    <t>Carverdale, Greater Inwood</t>
  </si>
  <si>
    <t>29.676829, -95.297913</t>
  </si>
  <si>
    <t>https://www.unitedstateszipcodes.org/77087/</t>
  </si>
  <si>
    <t>Gulfgate, Gulfgate Riverview / Pine Valley, Pine Valley, Southeast Houston</t>
  </si>
  <si>
    <t>29.881487, -95.45262</t>
  </si>
  <si>
    <t>https://www.unitedstateszipcodes.org/77088/</t>
  </si>
  <si>
    <t>Acres Home, Inwood, Northside</t>
  </si>
  <si>
    <t>29.58949, -95.235712</t>
  </si>
  <si>
    <t>https://www.unitedstateszipcodes.org/77089/</t>
  </si>
  <si>
    <t>Sagemont, South Belt / Ellington</t>
  </si>
  <si>
    <t>30.00824, -95.438996</t>
  </si>
  <si>
    <t>https://www.unitedstateszipcodes.org/77090/</t>
  </si>
  <si>
    <t>Cypress Station, Ella Crossing, Westador</t>
  </si>
  <si>
    <t>29.853067, -95.435966</t>
  </si>
  <si>
    <t>https://www.unitedstateszipcodes.org/77091/</t>
  </si>
  <si>
    <t>Acres Home, Garden Oaks North, Northside / Northline</t>
  </si>
  <si>
    <t>29.830024, -95.474409</t>
  </si>
  <si>
    <t>https://www.unitedstateszipcodes.org/77092/</t>
  </si>
  <si>
    <t>Central Northwest, Fairbanks / Northwest Crossing, Lazybrook / Timbergrove, Oak Forest West, Westside</t>
  </si>
  <si>
    <t>29.8634, -95.341409</t>
  </si>
  <si>
    <t>https://www.unitedstateszipcodes.org/77093/</t>
  </si>
  <si>
    <t>Eastex, Jensen, Northeast Houston</t>
  </si>
  <si>
    <t>77094</t>
  </si>
  <si>
    <t>29.769285, -95.681292</t>
  </si>
  <si>
    <t>https://www.unitedstateszipcodes.org/77094/</t>
  </si>
  <si>
    <t>Energy Corridor, Fleetwood</t>
  </si>
  <si>
    <t>77095</t>
  </si>
  <si>
    <t>29.909215, -95.651234</t>
  </si>
  <si>
    <t>https://www.unitedstateszipcodes.org/77095/</t>
  </si>
  <si>
    <t>29.675339, -95.479372</t>
  </si>
  <si>
    <t>https://www.unitedstateszipcodes.org/77096/</t>
  </si>
  <si>
    <t>Brays Oaks, Meyerland, Westbury, Willow Meadows</t>
  </si>
  <si>
    <t>29.734813, -95.416098</t>
  </si>
  <si>
    <t>https://www.unitedstateszipcodes.org/77098/</t>
  </si>
  <si>
    <t>Greenway / Upper Kirby Area, River Oaks, Upper Kirby</t>
  </si>
  <si>
    <t>29.67087, -95.58599</t>
  </si>
  <si>
    <t>https://www.unitedstateszipcodes.org/77099/</t>
  </si>
  <si>
    <t>29.834, -95.4342</t>
  </si>
  <si>
    <t>https://www.unitedstateszipcodes.org/</t>
  </si>
  <si>
    <t>https://www.unitedstateszipcodes.org/77231/</t>
  </si>
  <si>
    <t>https://www.unitedstateszipcodes.org/77242/</t>
  </si>
  <si>
    <t>77257</t>
  </si>
  <si>
    <t>https://www.unitedstateszipcodes.org/77257/</t>
  </si>
  <si>
    <t>77277</t>
  </si>
  <si>
    <t>https://www.unitedstateszipcodes.org/77277/</t>
  </si>
  <si>
    <t>77279</t>
  </si>
  <si>
    <t>https://www.unitedstateszipcodes.org/77279/</t>
  </si>
  <si>
    <t>30.307375, -95.438548</t>
  </si>
  <si>
    <t>https://www.unitedstateszipcodes.org/77301/</t>
  </si>
  <si>
    <t>Conroe (Central/Downtown), Panorama Village</t>
  </si>
  <si>
    <t>77302</t>
  </si>
  <si>
    <t>30.223802, -95.357716</t>
  </si>
  <si>
    <t>https://www.unitedstateszipcodes.org/77302/</t>
  </si>
  <si>
    <t>Grayson Lakes, River Plantation, Woodloch</t>
  </si>
  <si>
    <t>30.377954, -95.37714</t>
  </si>
  <si>
    <t>https://www.unitedstateszipcodes.org/77303/</t>
  </si>
  <si>
    <t>Caney Creek, Conroe (Northeast), Cut and Shoot</t>
  </si>
  <si>
    <t>30.324546, -95.505008</t>
  </si>
  <si>
    <t>https://www.unitedstateszipcodes.org/77304/</t>
  </si>
  <si>
    <t>April Sound, Conroe, Walden on Lake Conroe, West Fork</t>
  </si>
  <si>
    <t>30.290638, -95.383202</t>
  </si>
  <si>
    <t>https://www.unitedstateszipcodes.org/77305/</t>
  </si>
  <si>
    <t>Conroe, River Plantation</t>
  </si>
  <si>
    <t>77306</t>
  </si>
  <si>
    <t>30.227669, -95.285136</t>
  </si>
  <si>
    <t>https://www.unitedstateszipcodes.org/77306/</t>
  </si>
  <si>
    <t>Granger Pines, River Plantation</t>
  </si>
  <si>
    <t>77316</t>
  </si>
  <si>
    <t>30.358652, -95.685746</t>
  </si>
  <si>
    <t>https://www.unitedstateszipcodes.org/77316/</t>
  </si>
  <si>
    <t>Bentwater, Montgomery, Woodforest</t>
  </si>
  <si>
    <t>77318</t>
  </si>
  <si>
    <t>30.438807, -95.533229</t>
  </si>
  <si>
    <t>https://www.unitedstateszipcodes.org/77318/</t>
  </si>
  <si>
    <t>Seven Coves, Willis (Lake Conroe West)</t>
  </si>
  <si>
    <t>Walker</t>
  </si>
  <si>
    <t>30.846986, -95.597029</t>
  </si>
  <si>
    <t>https://www.unitedstateszipcodes.org/77320/</t>
  </si>
  <si>
    <t>Hunstville, Huntsville</t>
  </si>
  <si>
    <t>77327</t>
  </si>
  <si>
    <t>Cleveland</t>
  </si>
  <si>
    <t>Liberty</t>
  </si>
  <si>
    <t>30.343114, -94.978471</t>
  </si>
  <si>
    <t>https://www.unitedstateszipcodes.org/77327/</t>
  </si>
  <si>
    <t>77328</t>
  </si>
  <si>
    <t>30.392374, -95.191181</t>
  </si>
  <si>
    <t>https://www.unitedstateszipcodes.org/77328/</t>
  </si>
  <si>
    <t>77333</t>
  </si>
  <si>
    <t>Dobbin</t>
  </si>
  <si>
    <t>30.374064, -95.79387</t>
  </si>
  <si>
    <t>https://www.unitedstateszipcodes.org/77333/</t>
  </si>
  <si>
    <t>77334</t>
  </si>
  <si>
    <t>Dodge</t>
  </si>
  <si>
    <t>30.77197, -95.383817</t>
  </si>
  <si>
    <t>https://www.unitedstateszipcodes.org/77334/</t>
  </si>
  <si>
    <t>30.02716, -95.08576</t>
  </si>
  <si>
    <t>https://www.unitedstateszipcodes.org/77336/</t>
  </si>
  <si>
    <t>30.017301, -95.286217</t>
  </si>
  <si>
    <t>https://www.unitedstateszipcodes.org/77338/</t>
  </si>
  <si>
    <t>Humble, Humble (Old Town), Northshire</t>
  </si>
  <si>
    <t>30.046777, -95.221022</t>
  </si>
  <si>
    <t>https://www.unitedstateszipcodes.org/77339/</t>
  </si>
  <si>
    <t>Kingwood (Trailwood, Elm Grove villages)</t>
  </si>
  <si>
    <t>30.644755, -95.579836</t>
  </si>
  <si>
    <t>https://www.unitedstateszipcodes.org/77340/</t>
  </si>
  <si>
    <t>Huntsville, Phelps</t>
  </si>
  <si>
    <t>77341</t>
  </si>
  <si>
    <t>30.78128, -95.59527</t>
  </si>
  <si>
    <t>https://www.unitedstateszipcodes.org/77341/</t>
  </si>
  <si>
    <t>77342</t>
  </si>
  <si>
    <t>30.740381, -95.555832</t>
  </si>
  <si>
    <t>https://www.unitedstateszipcodes.org/77342/</t>
  </si>
  <si>
    <t>77345</t>
  </si>
  <si>
    <t>30.053105, -95.157943</t>
  </si>
  <si>
    <t>https://www.unitedstateszipcodes.org/77345/</t>
  </si>
  <si>
    <t>Kingwood (Bear Branch, Mills Branch villages)</t>
  </si>
  <si>
    <t>77346</t>
  </si>
  <si>
    <t>Atascocita</t>
  </si>
  <si>
    <t>29.994499, -95.177499</t>
  </si>
  <si>
    <t>https://www.unitedstateszipcodes.org/77346/</t>
  </si>
  <si>
    <t>Atascocita, Eagle Springs</t>
  </si>
  <si>
    <t>77347</t>
  </si>
  <si>
    <t>https://www.unitedstateszipcodes.org/77347/</t>
  </si>
  <si>
    <t>77353</t>
  </si>
  <si>
    <t>30.180626, -95.70925</t>
  </si>
  <si>
    <t>https://www.unitedstateszipcodes.org/77353/</t>
  </si>
  <si>
    <t>30.233328, -95.550188</t>
  </si>
  <si>
    <t>https://www.unitedstateszipcodes.org/77354/</t>
  </si>
  <si>
    <t>30.156257, -95.74926</t>
  </si>
  <si>
    <t>https://www.unitedstateszipcodes.org/77355/</t>
  </si>
  <si>
    <t>77356</t>
  </si>
  <si>
    <t>30.465662, -95.729888</t>
  </si>
  <si>
    <t>https://www.unitedstateszipcodes.org/77356/</t>
  </si>
  <si>
    <t>30.15522, -95.21132</t>
  </si>
  <si>
    <t>https://www.unitedstateszipcodes.org/77357/</t>
  </si>
  <si>
    <t>30.5377, -95.48328</t>
  </si>
  <si>
    <t>https://www.unitedstateszipcodes.org/77358/</t>
  </si>
  <si>
    <t>77362</t>
  </si>
  <si>
    <t>Pinehurst</t>
  </si>
  <si>
    <t>30.160534, -95.669154</t>
  </si>
  <si>
    <t>https://www.unitedstateszipcodes.org/77362/</t>
  </si>
  <si>
    <t>Grimes</t>
  </si>
  <si>
    <t>30.288721, -95.856892</t>
  </si>
  <si>
    <t>https://www.unitedstateszipcodes.org/77363/</t>
  </si>
  <si>
    <t>30.10244, -95.22966</t>
  </si>
  <si>
    <t>https://www.unitedstateszipcodes.org/77365/</t>
  </si>
  <si>
    <t>Kingwood, Porter</t>
  </si>
  <si>
    <t>77367</t>
  </si>
  <si>
    <t>Riverside</t>
  </si>
  <si>
    <t>30.857216, -95.397909</t>
  </si>
  <si>
    <t>https://www.unitedstateszipcodes.org/77367/</t>
  </si>
  <si>
    <t>77372</t>
  </si>
  <si>
    <t>Splendora</t>
  </si>
  <si>
    <t>30.255457, -95.183281</t>
  </si>
  <si>
    <t>https://www.unitedstateszipcodes.org/77372/</t>
  </si>
  <si>
    <t>30.062169, -95.383966</t>
  </si>
  <si>
    <t>https://www.unitedstateszipcodes.org/77373/</t>
  </si>
  <si>
    <t>Old Town Spring, Spring</t>
  </si>
  <si>
    <t>30.094886, -95.585826</t>
  </si>
  <si>
    <t>https://www.unitedstateszipcodes.org/77375/</t>
  </si>
  <si>
    <t>Northpointe, Tomball</t>
  </si>
  <si>
    <t>30.061727, -95.681504</t>
  </si>
  <si>
    <t>https://www.unitedstateszipcodes.org/77377/</t>
  </si>
  <si>
    <t>Tomball, Willowcreek</t>
  </si>
  <si>
    <t>77378</t>
  </si>
  <si>
    <t>Willis</t>
  </si>
  <si>
    <t>30.444115, -95.450554</t>
  </si>
  <si>
    <t>https://www.unitedstateszipcodes.org/77378/</t>
  </si>
  <si>
    <t>30.040876, -95.528919</t>
  </si>
  <si>
    <t>https://www.unitedstateszipcodes.org/77379/</t>
  </si>
  <si>
    <t>Farmette Meadows, Gleannloch Farms, Spring, Windrose</t>
  </si>
  <si>
    <t>77380</t>
  </si>
  <si>
    <t>30.136378, -95.468467</t>
  </si>
  <si>
    <t>https://www.unitedstateszipcodes.org/77380/</t>
  </si>
  <si>
    <t>The Woodlands (Grogan's Mill, Panther Creek)</t>
  </si>
  <si>
    <t>30.177486, -95.506086</t>
  </si>
  <si>
    <t>https://www.unitedstateszipcodes.org/77381/</t>
  </si>
  <si>
    <t>30.194985, -95.548211</t>
  </si>
  <si>
    <t>https://www.unitedstateszipcodes.org/77382/</t>
  </si>
  <si>
    <t>The Woodlands (Alden Bridge, Sterling Ridge)</t>
  </si>
  <si>
    <t>77383</t>
  </si>
  <si>
    <t>https://www.unitedstateszipcodes.org/77383/</t>
  </si>
  <si>
    <t>77384</t>
  </si>
  <si>
    <t>30.225997, -95.499935</t>
  </si>
  <si>
    <t>https://www.unitedstateszipcodes.org/77384/</t>
  </si>
  <si>
    <t>77385</t>
  </si>
  <si>
    <t>30.191153, -95.419023</t>
  </si>
  <si>
    <t>https://www.unitedstateszipcodes.org/77385/</t>
  </si>
  <si>
    <t>30.107545, -95.365053</t>
  </si>
  <si>
    <t>https://www.unitedstateszipcodes.org/77386/</t>
  </si>
  <si>
    <t>Benders Landing, Harmony, Spring</t>
  </si>
  <si>
    <t>77387</t>
  </si>
  <si>
    <t>30.079941, -95.41716</t>
  </si>
  <si>
    <t>https://www.unitedstateszipcodes.org/77387/</t>
  </si>
  <si>
    <t>30.059307, -95.470689</t>
  </si>
  <si>
    <t>https://www.unitedstateszipcodes.org/77388/</t>
  </si>
  <si>
    <t>Cypresswood, Spring</t>
  </si>
  <si>
    <t>30.123428, -95.517064</t>
  </si>
  <si>
    <t>https://www.unitedstateszipcodes.org/77389/</t>
  </si>
  <si>
    <t>Auburn Lakes, Northampton, Spring</t>
  </si>
  <si>
    <t>77393</t>
  </si>
  <si>
    <t>29.998831, -95.262155</t>
  </si>
  <si>
    <t>https://www.unitedstateszipcodes.org/77393/</t>
  </si>
  <si>
    <t>77396</t>
  </si>
  <si>
    <t>29.944166, -95.258689</t>
  </si>
  <si>
    <t>https://www.unitedstateszipcodes.org/77396/</t>
  </si>
  <si>
    <t>29.704019, -95.460905</t>
  </si>
  <si>
    <t>https://www.unitedstateszipcodes.org/77401/</t>
  </si>
  <si>
    <t>29.64609, -95.794526</t>
  </si>
  <si>
    <t>https://www.unitedstateszipcodes.org/77406/</t>
  </si>
  <si>
    <t>Pecan Grove, Richmond, Richmond Landing</t>
  </si>
  <si>
    <t>77407</t>
  </si>
  <si>
    <t>29.708486, -95.720315</t>
  </si>
  <si>
    <t>https://www.unitedstateszipcodes.org/77407/</t>
  </si>
  <si>
    <t>Aliana, Harvest Green, Richmond</t>
  </si>
  <si>
    <t>77410</t>
  </si>
  <si>
    <t>https://www.unitedstateszipcodes.org/77410/</t>
  </si>
  <si>
    <t>Cypress, Fairfield</t>
  </si>
  <si>
    <t>77417</t>
  </si>
  <si>
    <t>Beasley</t>
  </si>
  <si>
    <t>29.482797, -95.974399</t>
  </si>
  <si>
    <t>https://www.unitedstateszipcodes.org/77417/</t>
  </si>
  <si>
    <t>29.95023, -96.25719</t>
  </si>
  <si>
    <t>https://www.unitedstateszipcodes.org/77418/</t>
  </si>
  <si>
    <t>28.995948, -95.520413</t>
  </si>
  <si>
    <t>https://www.unitedstateszipcodes.org/77422/</t>
  </si>
  <si>
    <t>29.85915, -95.98022</t>
  </si>
  <si>
    <t>https://www.unitedstateszipcodes.org/77423/</t>
  </si>
  <si>
    <t>77426</t>
  </si>
  <si>
    <t>Chappell Hill</t>
  </si>
  <si>
    <t>30.156759, -96.278602</t>
  </si>
  <si>
    <t>https://www.unitedstateszipcodes.org/77426/</t>
  </si>
  <si>
    <t>77428</t>
  </si>
  <si>
    <t>Collegeport</t>
  </si>
  <si>
    <t>Matagorda</t>
  </si>
  <si>
    <t>28.72527, -96.17497</t>
  </si>
  <si>
    <t>https://www.unitedstateszipcodes.org/77428/</t>
  </si>
  <si>
    <t>29.997775, -95.669444</t>
  </si>
  <si>
    <t>https://www.unitedstateszipcodes.org/77429/</t>
  </si>
  <si>
    <t>Coles Crossing, Cypress, Rock Creek</t>
  </si>
  <si>
    <t>77430</t>
  </si>
  <si>
    <t>Danbury</t>
  </si>
  <si>
    <t>29.235317, -95.677475</t>
  </si>
  <si>
    <t>https://www.unitedstateszipcodes.org/77430/</t>
  </si>
  <si>
    <t>77433</t>
  </si>
  <si>
    <t>29.93433, -95.74763</t>
  </si>
  <si>
    <t>https://www.unitedstateszipcodes.org/77433/</t>
  </si>
  <si>
    <t>Bridgeland, Cypress, Towne Lake</t>
  </si>
  <si>
    <t>77435</t>
  </si>
  <si>
    <t>East Bernard</t>
  </si>
  <si>
    <t>29.48270, -96.16454</t>
  </si>
  <si>
    <t>https://www.unitedstateszipcodes.org/77435/</t>
  </si>
  <si>
    <t>77441</t>
  </si>
  <si>
    <t>Fulshear</t>
  </si>
  <si>
    <t>29.688985, -95.935279</t>
  </si>
  <si>
    <t>https://www.unitedstateszipcodes.org/77441/</t>
  </si>
  <si>
    <t>Cross Creek Ranch, Fulshear</t>
  </si>
  <si>
    <t>77444</t>
  </si>
  <si>
    <t>Guy</t>
  </si>
  <si>
    <t>29.349957, -95.77215</t>
  </si>
  <si>
    <t>https://www.unitedstateszipcodes.org/77444/</t>
  </si>
  <si>
    <t>30.09744, -96.07829</t>
  </si>
  <si>
    <t>https://www.unitedstateszipcodes.org/77445/</t>
  </si>
  <si>
    <t>Hempstead, Northside</t>
  </si>
  <si>
    <t>77446</t>
  </si>
  <si>
    <t>Lissie</t>
  </si>
  <si>
    <t>30.09327, -95.98773</t>
  </si>
  <si>
    <t>https://www.unitedstateszipcodes.org/77446/</t>
  </si>
  <si>
    <t>77447</t>
  </si>
  <si>
    <t>Hockley</t>
  </si>
  <si>
    <t>30.02689, -95.8444</t>
  </si>
  <si>
    <t>https://www.unitedstateszipcodes.org/77447/</t>
  </si>
  <si>
    <t>29.837562, -95.733756</t>
  </si>
  <si>
    <t>https://www.unitedstateszipcodes.org/77449/</t>
  </si>
  <si>
    <t>Katy (North), Morton Ranch, Villages Of Bear Creek</t>
  </si>
  <si>
    <t>29.745681, -95.742143</t>
  </si>
  <si>
    <t>https://www.unitedstateszipcodes.org/77450/</t>
  </si>
  <si>
    <t>Cinco Ranch East, Katy (South), Nottingham Country</t>
  </si>
  <si>
    <t>77451</t>
  </si>
  <si>
    <t>Kendleton</t>
  </si>
  <si>
    <t>29.434977, -96.004602</t>
  </si>
  <si>
    <t>https://www.unitedstateszipcodes.org/77451/</t>
  </si>
  <si>
    <t>77452</t>
  </si>
  <si>
    <t>Kenney</t>
  </si>
  <si>
    <t>29.849283, -96.313271</t>
  </si>
  <si>
    <t>https://www.unitedstateszipcodes.org/77452/</t>
  </si>
  <si>
    <t>77454</t>
  </si>
  <si>
    <t>29.53526, -96.23037</t>
  </si>
  <si>
    <t>https://www.unitedstateszipcodes.org/77454/</t>
  </si>
  <si>
    <t>29.529062, -95.530597</t>
  </si>
  <si>
    <t>https://www.unitedstateszipcodes.org/77459/</t>
  </si>
  <si>
    <t>Missouri City, Plantation Park, Sienna</t>
  </si>
  <si>
    <t>29.423517, -95.771651</t>
  </si>
  <si>
    <t>https://www.unitedstateszipcodes.org/77461/</t>
  </si>
  <si>
    <t>77464</t>
  </si>
  <si>
    <t>Orchard</t>
  </si>
  <si>
    <t>29.592427, -95.955278</t>
  </si>
  <si>
    <t>https://www.unitedstateszipcodes.org/77464/</t>
  </si>
  <si>
    <t>77466</t>
  </si>
  <si>
    <t>Pierce</t>
  </si>
  <si>
    <t>29.817257, -96.007261</t>
  </si>
  <si>
    <t>https://www.unitedstateszipcodes.org/77466/</t>
  </si>
  <si>
    <t>29.482678, -95.680186</t>
  </si>
  <si>
    <t>https://www.unitedstateszipcodes.org/77469/</t>
  </si>
  <si>
    <t>Greatwood, Richmond</t>
  </si>
  <si>
    <t>29.555889, -95.858475</t>
  </si>
  <si>
    <t>https://www.unitedstateszipcodes.org/77471/</t>
  </si>
  <si>
    <t>Allendale Manor, Rosenberg, Timberlane Addition</t>
  </si>
  <si>
    <t>29.78079, -96.15718</t>
  </si>
  <si>
    <t>https://www.unitedstateszipcodes.org/77474/</t>
  </si>
  <si>
    <t>Brazos Country, San Felipe, Sealy</t>
  </si>
  <si>
    <t>77476</t>
  </si>
  <si>
    <t>29.667486, -95.965953</t>
  </si>
  <si>
    <t>https://www.unitedstateszipcodes.org/77476/</t>
  </si>
  <si>
    <t>29.62431, -95.567968</t>
  </si>
  <si>
    <t>https://www.unitedstateszipcodes.org/77477/</t>
  </si>
  <si>
    <t>Clark Plaza One, Corporate Bus Park, Greenbriar Southwest, Stafford, The Fountains</t>
  </si>
  <si>
    <t>29.620312, -95.605693</t>
  </si>
  <si>
    <t>https://www.unitedstateszipcodes.org/77478/</t>
  </si>
  <si>
    <t>First Colony, Sugar Land, Westside</t>
  </si>
  <si>
    <t>77479</t>
  </si>
  <si>
    <t>29.552921, -95.666778</t>
  </si>
  <si>
    <t>https://www.unitedstateszipcodes.org/77479/</t>
  </si>
  <si>
    <t>Riverstone, Sugar Land, Telfair</t>
  </si>
  <si>
    <t>29.100012, -95.744623</t>
  </si>
  <si>
    <t>https://www.unitedstateszipcodes.org/77480/</t>
  </si>
  <si>
    <t>77481</t>
  </si>
  <si>
    <t>29.49774, -95.58495</t>
  </si>
  <si>
    <t>https://www.unitedstateszipcodes.org/77481/</t>
  </si>
  <si>
    <t>77483</t>
  </si>
  <si>
    <t>Wadsworth</t>
  </si>
  <si>
    <t>28.83248, -95.93496</t>
  </si>
  <si>
    <t>https://www.unitedstateszipcodes.org/77483/</t>
  </si>
  <si>
    <t>30.087937, -95.948512</t>
  </si>
  <si>
    <t>https://www.unitedstateszipcodes.org/77484/</t>
  </si>
  <si>
    <t>77485</t>
  </si>
  <si>
    <t>Wallis, Orchard, Simonton</t>
  </si>
  <si>
    <t>29.63135, -96.06524</t>
  </si>
  <si>
    <t>https://www.unitedstateszipcodes.org/77485/</t>
  </si>
  <si>
    <t>Orchard, Simonton, Wallis</t>
  </si>
  <si>
    <t>77486</t>
  </si>
  <si>
    <t>West Columbia</t>
  </si>
  <si>
    <t>29.122892, -95.684009</t>
  </si>
  <si>
    <t>https://www.unitedstateszipcodes.org/77486/</t>
  </si>
  <si>
    <t>77487</t>
  </si>
  <si>
    <t>29.61970, -95.63440</t>
  </si>
  <si>
    <t>https://www.unitedstateszipcodes.org/77487/</t>
  </si>
  <si>
    <t>29.323344, -96.091123</t>
  </si>
  <si>
    <t>https://www.unitedstateszipcodes.org/77488/</t>
  </si>
  <si>
    <t>29.600434, -95.515549</t>
  </si>
  <si>
    <t>https://www.unitedstateszipcodes.org/77489/</t>
  </si>
  <si>
    <t>Missouri City, Olde Missouri City Market Place, Quail Green South, Quail Valley, Sta-mo Annex</t>
  </si>
  <si>
    <t>77492</t>
  </si>
  <si>
    <t>https://www.unitedstateszipcodes.org/77492/</t>
  </si>
  <si>
    <t>29.853215, -95.831456</t>
  </si>
  <si>
    <t>https://www.unitedstateszipcodes.org/77493/</t>
  </si>
  <si>
    <t>Cane Island, Katy (Old Town)</t>
  </si>
  <si>
    <t>29.74063, -95.829571</t>
  </si>
  <si>
    <t>https://www.unitedstateszipcodes.org/77494/</t>
  </si>
  <si>
    <t>Cinco Ranch West, Firethorne, Katy, Seven Meadows</t>
  </si>
  <si>
    <t>77496</t>
  </si>
  <si>
    <t>29.63240, -95.61950</t>
  </si>
  <si>
    <t>https://www.unitedstateszipcodes.org/77496/</t>
  </si>
  <si>
    <t>29.66763, -95.629314</t>
  </si>
  <si>
    <t>https://www.unitedstateszipcodes.org/77498/</t>
  </si>
  <si>
    <t>Old Town Sugar Land, Sugar Land</t>
  </si>
  <si>
    <t>77501</t>
  </si>
  <si>
    <t>https://www.unitedstateszipcodes.org/77501/</t>
  </si>
  <si>
    <t>29.678179, -95.202911</t>
  </si>
  <si>
    <t>https://www.unitedstateszipcodes.org/77502/</t>
  </si>
  <si>
    <t>Pasadena (Southmore), Queens Knoll</t>
  </si>
  <si>
    <t>29.703477, -95.158895</t>
  </si>
  <si>
    <t>https://www.unitedstateszipcodes.org/77503/</t>
  </si>
  <si>
    <t>29.645312, -95.176291</t>
  </si>
  <si>
    <t>https://www.unitedstateszipcodes.org/77504/</t>
  </si>
  <si>
    <t>Highland Farms, Pasadena</t>
  </si>
  <si>
    <t>29.648731, -95.143911</t>
  </si>
  <si>
    <t>https://www.unitedstateszipcodes.org/77505/</t>
  </si>
  <si>
    <t>29.714385, -95.200011</t>
  </si>
  <si>
    <t>https://www.unitedstateszipcodes.org/77506/</t>
  </si>
  <si>
    <t>77507</t>
  </si>
  <si>
    <t>29.622436, -95.054456</t>
  </si>
  <si>
    <t>https://www.unitedstateszipcodes.org/77507/</t>
  </si>
  <si>
    <t>77508</t>
  </si>
  <si>
    <t>29.569927, -95.106637</t>
  </si>
  <si>
    <t>https://www.unitedstateszipcodes.org/77508/</t>
  </si>
  <si>
    <t>77510</t>
  </si>
  <si>
    <t>Santa Fe</t>
  </si>
  <si>
    <t>29.403211, -95.073408</t>
  </si>
  <si>
    <t>https://www.unitedstateszipcodes.org/77510/</t>
  </si>
  <si>
    <t>29.380858, -95.241857</t>
  </si>
  <si>
    <t>https://www.unitedstateszipcodes.org/77511/</t>
  </si>
  <si>
    <t>77515</t>
  </si>
  <si>
    <t>Angleton</t>
  </si>
  <si>
    <t>29.154269, -95.406577</t>
  </si>
  <si>
    <t>https://www.unitedstateszipcodes.org/77515/</t>
  </si>
  <si>
    <t>77516</t>
  </si>
  <si>
    <t>29.183991, -95.465083</t>
  </si>
  <si>
    <t>https://www.unitedstateszipcodes.org/77516/</t>
  </si>
  <si>
    <t>77517</t>
  </si>
  <si>
    <t>29.364469, -95.131078</t>
  </si>
  <si>
    <t>https://www.unitedstateszipcodes.org/77517/</t>
  </si>
  <si>
    <t>Arcadia</t>
  </si>
  <si>
    <t>77518</t>
  </si>
  <si>
    <t>Bacliff</t>
  </si>
  <si>
    <t>29.50782, -94.98783</t>
  </si>
  <si>
    <t>https://www.unitedstateszipcodes.org/77518/</t>
  </si>
  <si>
    <t>29.733283, -94.994123</t>
  </si>
  <si>
    <t>https://www.unitedstateszipcodes.org/77520/</t>
  </si>
  <si>
    <t>Amelia Airhart, Baytown, East Baytown</t>
  </si>
  <si>
    <t>29.802438, -94.970225</t>
  </si>
  <si>
    <t>https://www.unitedstateszipcodes.org/77521/</t>
  </si>
  <si>
    <t>Baytown, Baytown (North), Highland Farms</t>
  </si>
  <si>
    <t>29.79138, -95.115</t>
  </si>
  <si>
    <t>https://www.unitedstateszipcodes.org/77530/</t>
  </si>
  <si>
    <t>77531</t>
  </si>
  <si>
    <t>Clute</t>
  </si>
  <si>
    <t>29.031236, -95.3908</t>
  </si>
  <si>
    <t>https://www.unitedstateszipcodes.org/77531/</t>
  </si>
  <si>
    <t>29.91462, -95.05908</t>
  </si>
  <si>
    <t>https://www.unitedstateszipcodes.org/77532/</t>
  </si>
  <si>
    <t>Burris, Crosby</t>
  </si>
  <si>
    <t>77533</t>
  </si>
  <si>
    <t>Devers</t>
  </si>
  <si>
    <t>30.11327, -94.64298</t>
  </si>
  <si>
    <t>https://www.unitedstateszipcodes.org/77533/</t>
  </si>
  <si>
    <t>77534</t>
  </si>
  <si>
    <t>Damon</t>
  </si>
  <si>
    <t>29.2283, -95.34494</t>
  </si>
  <si>
    <t>https://www.unitedstateszipcodes.org/77534/</t>
  </si>
  <si>
    <t>30.04661, -94.8852</t>
  </si>
  <si>
    <t>https://www.unitedstateszipcodes.org/77535/</t>
  </si>
  <si>
    <t>29.687972, -95.116749</t>
  </si>
  <si>
    <t>https://www.unitedstateszipcodes.org/77536/</t>
  </si>
  <si>
    <t>Deer Park, Deer Park Gardens</t>
  </si>
  <si>
    <t>29.458472, -95.034525</t>
  </si>
  <si>
    <t>https://www.unitedstateszipcodes.org/77539/</t>
  </si>
  <si>
    <t>77541</t>
  </si>
  <si>
    <t>Freeport</t>
  </si>
  <si>
    <t>29.021218, -95.278251</t>
  </si>
  <si>
    <t>https://www.unitedstateszipcodes.org/77541/</t>
  </si>
  <si>
    <t>77545</t>
  </si>
  <si>
    <t>Fresno</t>
  </si>
  <si>
    <t>29.53602, -95.47063</t>
  </si>
  <si>
    <t>https://www.unitedstateszipcodes.org/77545/</t>
  </si>
  <si>
    <t>29.515074, -95.192133</t>
  </si>
  <si>
    <t>https://www.unitedstateszipcodes.org/77546/</t>
  </si>
  <si>
    <t>29.73356, -95.23021</t>
  </si>
  <si>
    <t>https://www.unitedstateszipcodes.org/77547/</t>
  </si>
  <si>
    <t>Galena Park, Northeast Houston</t>
  </si>
  <si>
    <t>77549</t>
  </si>
  <si>
    <t>29.330501, -94.800238</t>
  </si>
  <si>
    <t>https://www.unitedstateszipcodes.org/77549/</t>
  </si>
  <si>
    <t>29.310535, -94.775768</t>
  </si>
  <si>
    <t>https://www.unitedstateszipcodes.org/77550/</t>
  </si>
  <si>
    <t>29.278188, -94.83329</t>
  </si>
  <si>
    <t>https://www.unitedstateszipcodes.org/77551/</t>
  </si>
  <si>
    <t>77552</t>
  </si>
  <si>
    <t>29.22051, -94.944391</t>
  </si>
  <si>
    <t>https://www.unitedstateszipcodes.org/77552/</t>
  </si>
  <si>
    <t>77553</t>
  </si>
  <si>
    <t>29.195607, -94.981554</t>
  </si>
  <si>
    <t>https://www.unitedstateszipcodes.org/77553/</t>
  </si>
  <si>
    <t>77554</t>
  </si>
  <si>
    <t>29.253166, -94.924652</t>
  </si>
  <si>
    <t>https://www.unitedstateszipcodes.org/77554/</t>
  </si>
  <si>
    <t>77555</t>
  </si>
  <si>
    <t>https://www.unitedstateszipcodes.org/77555/</t>
  </si>
  <si>
    <t>29.81299, -95.05768</t>
  </si>
  <si>
    <t>https://www.unitedstateszipcodes.org/77562/</t>
  </si>
  <si>
    <t>77563</t>
  </si>
  <si>
    <t>Hitchcock</t>
  </si>
  <si>
    <t>29.344488, -94.990471</t>
  </si>
  <si>
    <t>https://www.unitedstateszipcodes.org/77563/</t>
  </si>
  <si>
    <t>77565</t>
  </si>
  <si>
    <t>Kemah</t>
  </si>
  <si>
    <t>29.54273, -95.02048</t>
  </si>
  <si>
    <t>https://www.unitedstateszipcodes.org/77565/</t>
  </si>
  <si>
    <t>29.03386, -95.43439</t>
  </si>
  <si>
    <t>https://www.unitedstateszipcodes.org/77566/</t>
  </si>
  <si>
    <t>29.374626, -94.998361</t>
  </si>
  <si>
    <t>https://www.unitedstateszipcodes.org/77568/</t>
  </si>
  <si>
    <t>29.688447, -95.051319</t>
  </si>
  <si>
    <t>https://www.unitedstateszipcodes.org/77571/</t>
  </si>
  <si>
    <t>Beach Park, La Porte</t>
  </si>
  <si>
    <t>29.496451, -95.052262</t>
  </si>
  <si>
    <t>https://www.unitedstateszipcodes.org/77573/</t>
  </si>
  <si>
    <t>League City, South Shore Harbour, Victory Lakes</t>
  </si>
  <si>
    <t>77575</t>
  </si>
  <si>
    <t>30.094593, -94.737806</t>
  </si>
  <si>
    <t>https://www.unitedstateszipcodes.org/77575/</t>
  </si>
  <si>
    <t>77578</t>
  </si>
  <si>
    <t>29.478468, -95.374419</t>
  </si>
  <si>
    <t>https://www.unitedstateszipcodes.org/77578/</t>
  </si>
  <si>
    <t>29.561554, -95.279739</t>
  </si>
  <si>
    <t>https://www.unitedstateszipcodes.org/77581/</t>
  </si>
  <si>
    <t>29.42501, -95.448799</t>
  </si>
  <si>
    <t>https://www.unitedstateszipcodes.org/77583/</t>
  </si>
  <si>
    <t>Manvel, Rosharon</t>
  </si>
  <si>
    <t>29.54017, -95.33232</t>
  </si>
  <si>
    <t>https://www.unitedstateszipcodes.org/77584/</t>
  </si>
  <si>
    <t>Pearland, Pearland (West), Shadow Creek Ranch, Silverlake</t>
  </si>
  <si>
    <t>77586</t>
  </si>
  <si>
    <t>Seabrook</t>
  </si>
  <si>
    <t>29.56412, -95.02548</t>
  </si>
  <si>
    <t>https://www.unitedstateszipcodes.org/77586/</t>
  </si>
  <si>
    <t>El Lago, Seabrook</t>
  </si>
  <si>
    <t>29.662579, -95.229511</t>
  </si>
  <si>
    <t>https://www.unitedstateszipcodes.org/77587/</t>
  </si>
  <si>
    <t>29.376057, -94.921474</t>
  </si>
  <si>
    <t>https://www.unitedstateszipcodes.org/77590/</t>
  </si>
  <si>
    <t>29.399203, -94.997254</t>
  </si>
  <si>
    <t>https://www.unitedstateszipcodes.org/77591/</t>
  </si>
  <si>
    <t>29.53773, -95.11826</t>
  </si>
  <si>
    <t>https://www.unitedstateszipcodes.org/77598/</t>
  </si>
  <si>
    <t>Clear Lake, Webster</t>
  </si>
  <si>
    <t>30.18419,-96.64698</t>
  </si>
  <si>
    <t>https://www.unitedstateszipcodes.org/77833/</t>
  </si>
  <si>
    <t>77835</t>
  </si>
  <si>
    <t>Burton</t>
  </si>
  <si>
    <t>https://www.unitedstateszipcodes.org/77835/</t>
  </si>
  <si>
    <t>77868</t>
  </si>
  <si>
    <t>Navasota</t>
  </si>
  <si>
    <t>30.37042,-96.05738</t>
  </si>
  <si>
    <t>https://www.unitedstateszipcodes.org/77868/</t>
  </si>
  <si>
    <t>77880</t>
  </si>
  <si>
    <t>30.28446,-96.18023</t>
  </si>
  <si>
    <t>https://www.unitedstateszipcodes.org/77880/</t>
  </si>
  <si>
    <t>Williamson</t>
  </si>
  <si>
    <t>30.647924, -97.753177</t>
  </si>
  <si>
    <t>https://www.unitedstateszipcodes.org/78628/</t>
  </si>
  <si>
    <t>Travis</t>
  </si>
  <si>
    <t>30.2713, -97.7426</t>
  </si>
  <si>
    <t>https://www.unitedstateszipcodes.org/78701/</t>
  </si>
  <si>
    <t>30.3093, -97.7242</t>
  </si>
  <si>
    <t>https://www.unitedstateszipcodes.org/78751/</t>
  </si>
  <si>
    <t>78932</t>
  </si>
  <si>
    <t>Carmine</t>
  </si>
  <si>
    <t>30.13202,-96.69428</t>
  </si>
  <si>
    <t>https://www.unitedstateszipcodes.org/78932/</t>
  </si>
  <si>
    <t>78946</t>
  </si>
  <si>
    <t>Ledbetter</t>
  </si>
  <si>
    <t>30.21721,-96.75254</t>
  </si>
  <si>
    <t>https://www.unitedstateszipcodes.org/78946/</t>
  </si>
  <si>
    <t>Salt Lake</t>
  </si>
  <si>
    <t>40.70289, -111.94591</t>
  </si>
  <si>
    <t>Clark</t>
  </si>
  <si>
    <t>45.6866,-122.73152</t>
  </si>
  <si>
    <t>https://www.unitedstateszipcodes.org/98660/</t>
  </si>
  <si>
    <t>Felida</t>
  </si>
  <si>
    <t>Greater Houston</t>
  </si>
  <si>
    <t>30.20223,-96.37067</t>
  </si>
  <si>
    <t>https://www.google.com/maps/place/Houston+Metropolitan+Area,+TX/@29.6959212,-96.1483764,9z/data=!3m1!4b1!4m6!3m5!1s0x8640b86e6fd64abb:0x6eeea55b30b8f818!8m2!3d29.679415!4d-95.3939551!16s%2Fg%2F1td186y6?entry=ttu&amp;g_ep=EgoyMDI0MDgyOC4wIKXMDSoASAFQAw%3D%3D</t>
  </si>
  <si>
    <t>Not Restricted by Zip Code</t>
  </si>
  <si>
    <t>Group</t>
  </si>
  <si>
    <t>icon</t>
  </si>
  <si>
    <t>RentIcon</t>
  </si>
  <si>
    <t>UtilitiesIcon</t>
  </si>
  <si>
    <t>FoodPantriesIcon</t>
  </si>
  <si>
    <t>ClothingIcon</t>
  </si>
  <si>
    <t>HomelessSheltersIcon</t>
  </si>
  <si>
    <t>HomelessDayCentersIcon</t>
  </si>
  <si>
    <t>HomelessOtherIcon</t>
  </si>
  <si>
    <t>HousingIcon</t>
  </si>
  <si>
    <t>MedicalPrimaryCareIcon</t>
  </si>
  <si>
    <t>MedicalDentalIcon,MedicalVisionIcon</t>
  </si>
  <si>
    <t>MedicalMentalHealthIcon</t>
  </si>
  <si>
    <t>MedicalAddictionRecoveryIcon</t>
  </si>
  <si>
    <t>MedicalProgramEnrollmentIcon</t>
  </si>
  <si>
    <t>MedicalBillPaymentIcon</t>
  </si>
  <si>
    <t>MedicalHousingIcon</t>
  </si>
  <si>
    <t>DomesticAbuseSheltersIcon</t>
  </si>
  <si>
    <t>DomesticAbuseOtherIcon</t>
  </si>
  <si>
    <t>EducationChildrenIcon</t>
  </si>
  <si>
    <t>ChildcareIcon</t>
  </si>
  <si>
    <t>EducationAdultsIcon</t>
  </si>
  <si>
    <t>JobsIcon</t>
  </si>
  <si>
    <t>TransportationIcon</t>
  </si>
  <si>
    <t>LegalIcon</t>
  </si>
  <si>
    <t>ImmigrationIcon</t>
  </si>
  <si>
    <t>VeteransIcon</t>
  </si>
  <si>
    <t>SeniorsIcon</t>
  </si>
  <si>
    <t>HandymanIcon</t>
  </si>
  <si>
    <t>AnimalsIcon</t>
  </si>
  <si>
    <t>ChristmasIcon</t>
  </si>
  <si>
    <t>OtherIcon</t>
  </si>
  <si>
    <t>impact</t>
  </si>
  <si>
    <t>org_assistance</t>
  </si>
  <si>
    <t>contact</t>
  </si>
  <si>
    <t>telephone</t>
  </si>
  <si>
    <t>email</t>
  </si>
  <si>
    <t>AccessHealth</t>
  </si>
  <si>
    <t>Administrator</t>
  </si>
  <si>
    <t>Avenue 360</t>
  </si>
  <si>
    <t>Bezos Academy</t>
  </si>
  <si>
    <t>Catholic Therapists</t>
  </si>
  <si>
    <t>Christian Community Service Center (CCSC)</t>
  </si>
  <si>
    <t>Christus Foundation for HealthCare</t>
  </si>
  <si>
    <t>Coastal Health &amp; Wellness</t>
  </si>
  <si>
    <t>El Centro de Corazón</t>
  </si>
  <si>
    <t>Family Promise</t>
  </si>
  <si>
    <t>First Baptist (Long Point Baptist)</t>
  </si>
  <si>
    <t>Guest</t>
  </si>
  <si>
    <t>Harris County</t>
  </si>
  <si>
    <t>Jasmine Robinson</t>
  </si>
  <si>
    <t>832-927-4799</t>
  </si>
  <si>
    <t>Jasmine.Robinson@harriscountytx.gov</t>
  </si>
  <si>
    <t>Harris County Public Health</t>
  </si>
  <si>
    <t>Healthcare For The Homeless</t>
  </si>
  <si>
    <t>Esmeralda Trejo</t>
  </si>
  <si>
    <t>713-554-8801</t>
  </si>
  <si>
    <t>esmeralda.trejo@houstonsfirst.org</t>
  </si>
  <si>
    <t>Legacy Community Health</t>
  </si>
  <si>
    <t>Memorial Assistance Ministries</t>
  </si>
  <si>
    <t>Nabor House Community</t>
  </si>
  <si>
    <t>New Hope Housing</t>
  </si>
  <si>
    <t>Ronald McDonald House</t>
  </si>
  <si>
    <t>Santa Maria</t>
  </si>
  <si>
    <t>Society of St Vincent de Paul</t>
  </si>
  <si>
    <t>Star of Hope Mission</t>
  </si>
  <si>
    <t>The Harris Center for Mental Health &amp; IDD</t>
  </si>
  <si>
    <t>Vecino Health Centers</t>
  </si>
  <si>
    <t>Waller Assistance &amp; Restoration Ministries</t>
  </si>
  <si>
    <t>WorkFaith</t>
  </si>
  <si>
    <t>reg_organization</t>
  </si>
  <si>
    <t>org_passcode</t>
  </si>
  <si>
    <t>org_color</t>
  </si>
  <si>
    <t>flipper</t>
  </si>
  <si>
    <t>he3aq6</t>
  </si>
  <si>
    <t>#FF7C7C</t>
  </si>
  <si>
    <t>as5ks7</t>
  </si>
  <si>
    <t>#85C1E9</t>
  </si>
  <si>
    <t>hcd8410</t>
  </si>
  <si>
    <t>#D0D084</t>
  </si>
  <si>
    <t>#91E491</t>
  </si>
  <si>
    <t>#00B5B0</t>
  </si>
  <si>
    <t>SVdP77025!</t>
  </si>
  <si>
    <t>#D084D0</t>
  </si>
  <si>
    <t>start_date</t>
  </si>
  <si>
    <t>expiration_date</t>
  </si>
  <si>
    <t>audience_code</t>
  </si>
  <si>
    <t>title</t>
  </si>
  <si>
    <t>format_1</t>
  </si>
  <si>
    <t>para_1</t>
  </si>
  <si>
    <t>format_2</t>
  </si>
  <si>
    <t>para_2</t>
  </si>
  <si>
    <t>format_3</t>
  </si>
  <si>
    <t>para_3</t>
  </si>
  <si>
    <t>format_4</t>
  </si>
  <si>
    <t>para_4</t>
  </si>
  <si>
    <t>format_5</t>
  </si>
  <si>
    <t>para_5</t>
  </si>
  <si>
    <t>format_6</t>
  </si>
  <si>
    <t>para_6</t>
  </si>
  <si>
    <t>1-All CRG Users</t>
  </si>
  <si>
    <t>Welcome to the Redesigned Community Resources Guide!</t>
  </si>
  <si>
    <t>boldfirst</t>
  </si>
  <si>
    <t>What's familiar: 
The core workflow is unchanged—search by zip code, email resources, and create PDFs just like before.</t>
  </si>
  <si>
    <t>bold</t>
  </si>
  <si>
    <t>What's new:</t>
  </si>
  <si>
    <t>bullet</t>
  </si>
  <si>
    <t>Search by organization name or location (county, city, zip code neighborhood)
AI-powered search—ask questions in plain English
Enter a specific address for accurate distance calculations</t>
  </si>
  <si>
    <t>Important changes:</t>
  </si>
  <si>
    <t>No login required to browse (accounts still needed for emails/PDFs)
Spanish support removed—use your browser's built-in translator</t>
  </si>
  <si>
    <t>Need help? Try the AI Help feature or call 832-590-0827.  This number is good for the next 90 days.</t>
  </si>
  <si>
    <t>Additional Features</t>
  </si>
  <si>
    <t>bullet, boldfirst</t>
  </si>
  <si>
    <t>External link to Zip Code demographics data has been added back.  The link is a blue box with a diagonal arrow, just to the right of neighborhood.</t>
  </si>
  <si>
    <t>Default sort is by Miles.  You can now also sort by Organization by clicking on the column header.  Click on Miles heading to revert back to the default sort.</t>
  </si>
  <si>
    <t>Addition of filters for Organization, Days of operation (Hours) and Requirements.  Start by clicking on any of the funnels next to the headings.  Enter your filter text for Organization and Requirements and select the Day of the week from Hours.  To reset, click on any funnel icon again.</t>
  </si>
  <si>
    <t>bullet, boldfirst, #B8001F</t>
  </si>
  <si>
    <t>Navigating away from the page or changing zip code or assistance type selections will reset sort order to default and remove any filters.</t>
  </si>
  <si>
    <t>77422, 77480, 77486, 77511, 77515, 77516, 77531, 77534, 77539, 77541, 77566, 77578</t>
  </si>
  <si>
    <t>77510, 77517, 77518, 77549, 77550, 77551, 77552, 77553, 77554, 77555, 77563, 77565, 77568, 77573, 77590, 77591</t>
  </si>
  <si>
    <t>Ft Bend</t>
  </si>
  <si>
    <t>77423, 77445, 77446, 77466, 77484, 77492</t>
  </si>
  <si>
    <t>Use ZCTA5 (Zip Code Tabulation Areas)</t>
  </si>
  <si>
    <t>Income</t>
  </si>
  <si>
    <t>Poverty Rate</t>
  </si>
  <si>
    <t>DP03_0128PE</t>
  </si>
  <si>
    <t>Percentage of all people whose income in the past 12 months is below the poverty level</t>
  </si>
  <si>
    <t>Median Household Income</t>
  </si>
  <si>
    <t>DP03_0062E</t>
  </si>
  <si>
    <t>Median household income in dollars</t>
  </si>
  <si>
    <t>Income Ratio</t>
  </si>
  <si>
    <t>Compare DP03_0062E against Texas median (2023 = $73035)</t>
  </si>
  <si>
    <t>Unemployment Rate</t>
  </si>
  <si>
    <t>DP03_0009PE</t>
  </si>
  <si>
    <t>Civilain unemployment rate</t>
  </si>
  <si>
    <t>Education</t>
  </si>
  <si>
    <t>No High School Diploma</t>
  </si>
  <si>
    <t>DP02_0060PE</t>
  </si>
  <si>
    <t>Percentage of adults 25+ who did not graduate high school</t>
  </si>
  <si>
    <t>Vacancy Rate</t>
  </si>
  <si>
    <t>DP04_0003PE</t>
  </si>
  <si>
    <t>Percentage of total housing units that are vacant</t>
  </si>
  <si>
    <t>Owner Occupancy Rate</t>
  </si>
  <si>
    <t>DP04_0046PE</t>
  </si>
  <si>
    <t>Lower homeownership often correlates with transient or distressed rental markets</t>
  </si>
  <si>
    <t>Resilency</t>
  </si>
  <si>
    <t>No Vehicle Access</t>
  </si>
  <si>
    <t>DP04_0058PE</t>
  </si>
  <si>
    <t>Percentage of households with no vehicles available; often used as a proxy for physical isolation</t>
  </si>
  <si>
    <t>No Health Insurance</t>
  </si>
  <si>
    <t>DP03_0099PE</t>
  </si>
  <si>
    <t>On SNAP</t>
  </si>
  <si>
    <t>DP03_0074PE</t>
  </si>
  <si>
    <t>Population</t>
  </si>
  <si>
    <t>DP05_0001E</t>
  </si>
  <si>
    <t>Working Poor</t>
  </si>
  <si>
    <t>Gap between unemployment rate and SNAP/Insurance, i.e. low unemployment but high SNAP and no insurance</t>
  </si>
  <si>
    <t>Low population zip codes will skew results, consider excluding any with less than 500 people</t>
  </si>
  <si>
    <t>Indicator</t>
  </si>
  <si>
    <t>Variable</t>
  </si>
  <si>
    <t>Type</t>
  </si>
  <si>
    <t>Unemployment</t>
  </si>
  <si>
    <t>Uninsured</t>
  </si>
  <si>
    <t>SNAP</t>
  </si>
  <si>
    <t>%</t>
  </si>
  <si>
    <t>$</t>
  </si>
  <si>
    <t>derived</t>
  </si>
  <si>
    <t>ratio</t>
  </si>
  <si>
    <t>SNAP Recipients</t>
  </si>
  <si>
    <t>No HS Diploma</t>
  </si>
  <si>
    <t>DP02_0060PE + DP02_0061PE</t>
  </si>
  <si>
    <t>DP04_0046PE (fixed)</t>
  </si>
  <si>
    <t>No Vehicle</t>
  </si>
  <si>
    <t>count</t>
  </si>
  <si>
    <t>ORG</t>
  </si>
  <si>
    <t>TYPE</t>
  </si>
  <si>
    <t>EXCLUDE</t>
  </si>
  <si>
    <t>CHURCH</t>
  </si>
  <si>
    <t>GOVERNMENT</t>
  </si>
  <si>
    <t>Houston Coalition for Life</t>
  </si>
  <si>
    <t>|</t>
  </si>
  <si>
    <t>Min</t>
  </si>
  <si>
    <t>Max</t>
  </si>
  <si>
    <t>Zip Code</t>
  </si>
  <si>
    <t>Poverty Rate (%)</t>
  </si>
  <si>
    <t>Median Household Income ($)</t>
  </si>
  <si>
    <t>Income Ratio (vs TX)</t>
  </si>
  <si>
    <t>Unemployment Rate (%)</t>
  </si>
  <si>
    <t>No Health Insurance (%)</t>
  </si>
  <si>
    <t>SNAP Recipients (%)</t>
  </si>
  <si>
    <t>No HS Diploma (%)</t>
  </si>
  <si>
    <t>Vacancy Rate (%)</t>
  </si>
  <si>
    <t>Owner Occupancy Rate (%)</t>
  </si>
  <si>
    <t>No Vehicle (%)</t>
  </si>
  <si>
    <t>Total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</si>
</sst>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quot;/&quot;dd&quot;/&quot;yyyy"/>
    <numFmt numFmtId="165" formatCode="m/d/yyyy"/>
    <numFmt numFmtId="166" formatCode="0#"/>
    <numFmt numFmtId="167" formatCode="mm/dd"/>
    <numFmt numFmtId="168" formatCode="m/d"/>
  </numFmts>
  <fonts count="46">
    <font>
      <sz val="10.0"/>
      <color rgb="FF000000"/>
      <name val="Arial"/>
      <scheme val="minor"/>
    </font>
    <font>
      <b/>
      <u/>
      <sz val="9.0"/>
      <color theme="1"/>
      <name val="Helvetica"/>
    </font>
    <font>
      <b/>
      <u/>
      <sz val="6.0"/>
      <color theme="1"/>
      <name val="Helvetica"/>
    </font>
    <font>
      <b/>
      <u/>
      <sz val="9.0"/>
      <color theme="1"/>
      <name val="Helvetica"/>
    </font>
    <font>
      <b/>
      <u/>
      <sz val="9.0"/>
      <color theme="1"/>
      <name val="Helvetica"/>
    </font>
    <font>
      <b/>
      <u/>
      <sz val="9.0"/>
      <color theme="1"/>
      <name val="Helvetica"/>
    </font>
    <font>
      <b/>
      <u/>
      <sz val="9.0"/>
      <color theme="1"/>
      <name val="Helvetica"/>
    </font>
    <font>
      <sz val="9.0"/>
      <color theme="1"/>
      <name val="Lexend"/>
    </font>
    <font>
      <sz val="6.0"/>
      <color theme="1"/>
      <name val="Open Sans"/>
    </font>
    <font>
      <sz val="9.0"/>
      <color theme="1"/>
      <name val="Open Sans"/>
    </font>
    <font>
      <u/>
      <sz val="9.0"/>
      <color rgb="FF0000FF"/>
      <name val="Open Sans"/>
    </font>
    <font>
      <u/>
      <sz val="9.0"/>
      <color rgb="FF0000FF"/>
      <name val="Open Sans"/>
    </font>
    <font>
      <b/>
      <sz val="6.0"/>
      <color rgb="FF000000"/>
      <name val="Lexend"/>
    </font>
    <font>
      <b/>
      <sz val="10.0"/>
      <color rgb="FF000000"/>
      <name val="Lexend"/>
    </font>
    <font>
      <b/>
      <sz val="10.0"/>
      <color theme="1"/>
      <name val="Lexend"/>
    </font>
    <font>
      <color theme="1"/>
      <name val="Arial"/>
      <scheme val="minor"/>
    </font>
    <font>
      <sz val="6.0"/>
      <color rgb="FF000000"/>
      <name val="Lexend"/>
    </font>
    <font>
      <sz val="10.0"/>
      <color rgb="FF000000"/>
      <name val="Lexend"/>
    </font>
    <font>
      <sz val="10.0"/>
      <color theme="1"/>
      <name val="Lexend"/>
    </font>
    <font>
      <u/>
      <sz val="10.0"/>
      <color rgb="FF000000"/>
      <name val="Lexend"/>
    </font>
    <font>
      <sz val="10.0"/>
      <color rgb="FF434343"/>
      <name val="Lexend"/>
    </font>
    <font>
      <sz val="10.0"/>
      <name val="Lexend"/>
    </font>
    <font>
      <sz val="6.0"/>
      <color theme="1"/>
      <name val="Lexend"/>
    </font>
    <font>
      <u/>
      <sz val="10.0"/>
      <color rgb="FF0000FF"/>
      <name val="Lexend"/>
    </font>
    <font>
      <u/>
      <sz val="10.0"/>
      <color rgb="FF000000"/>
      <name val="Lexend"/>
    </font>
    <font>
      <u/>
      <color rgb="FF0000FF"/>
    </font>
    <font>
      <u/>
      <color rgb="FF0000FF"/>
    </font>
    <font>
      <u/>
      <color rgb="FF0000FF"/>
    </font>
    <font>
      <u/>
      <color rgb="FF0000FF"/>
    </font>
    <font>
      <u/>
      <color rgb="FF0000FF"/>
    </font>
    <font>
      <sz val="10.0"/>
      <color rgb="FF0A0A0A"/>
      <name val="Arial"/>
      <scheme val="minor"/>
    </font>
    <font>
      <u/>
      <color rgb="FF0000FF"/>
    </font>
    <font>
      <b/>
      <color theme="1"/>
      <name val="Lexend"/>
    </font>
    <font>
      <color theme="1"/>
      <name val="Lexend"/>
    </font>
    <font>
      <b/>
      <color rgb="FF000000"/>
      <name val="Nunito"/>
    </font>
    <font>
      <b/>
      <color rgb="FF53450E"/>
      <name val="Nunito"/>
    </font>
    <font>
      <color rgb="FF53450E"/>
      <name val="Nunito"/>
    </font>
    <font>
      <color rgb="FF000000"/>
      <name val="Nunito"/>
    </font>
    <font>
      <color rgb="FF000000"/>
      <name val="Arial"/>
    </font>
    <font>
      <color theme="1"/>
      <name val="Nunito"/>
    </font>
    <font>
      <color theme="1"/>
      <name val="Arial"/>
    </font>
    <font>
      <color theme="1"/>
      <name val="Open Sans"/>
    </font>
    <font>
      <sz val="12.0"/>
      <color rgb="FF000000"/>
      <name val="Merriweather"/>
    </font>
    <font>
      <b/>
      <color theme="1"/>
      <name val="Arial"/>
      <scheme val="minor"/>
    </font>
    <font>
      <b/>
      <color rgb="FF000000"/>
      <name val="Helvetica Neue"/>
    </font>
    <font>
      <color rgb="FF000000"/>
      <name val="Helvetica Neue"/>
    </font>
  </fonts>
  <fills count="20">
    <fill>
      <patternFill patternType="none"/>
    </fill>
    <fill>
      <patternFill patternType="lightGray"/>
    </fill>
    <fill>
      <patternFill patternType="solid">
        <fgColor rgb="FFF3F3F3"/>
        <bgColor rgb="FFF3F3F3"/>
      </patternFill>
    </fill>
    <fill>
      <patternFill patternType="solid">
        <fgColor rgb="FF46BDC6"/>
        <bgColor rgb="FF46BDC6"/>
      </patternFill>
    </fill>
    <fill>
      <patternFill patternType="solid">
        <fgColor rgb="FFD9D9D9"/>
        <bgColor rgb="FFD9D9D9"/>
      </patternFill>
    </fill>
    <fill>
      <patternFill patternType="solid">
        <fgColor rgb="FFCCCCCC"/>
        <bgColor rgb="FFCCCCCC"/>
      </patternFill>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
      <patternFill patternType="solid">
        <fgColor rgb="FFFF7C7C"/>
        <bgColor rgb="FFFF7C7C"/>
      </patternFill>
    </fill>
    <fill>
      <patternFill patternType="solid">
        <fgColor rgb="FFC48841"/>
        <bgColor rgb="FFC48841"/>
      </patternFill>
    </fill>
    <fill>
      <patternFill patternType="solid">
        <fgColor rgb="FFD0D084"/>
        <bgColor rgb="FFD0D084"/>
      </patternFill>
    </fill>
    <fill>
      <patternFill patternType="solid">
        <fgColor rgb="FF91E491"/>
        <bgColor rgb="FF91E491"/>
      </patternFill>
    </fill>
    <fill>
      <patternFill patternType="solid">
        <fgColor rgb="FF00B5B0"/>
        <bgColor rgb="FF00B5B0"/>
      </patternFill>
    </fill>
    <fill>
      <patternFill patternType="solid">
        <fgColor rgb="FFD084D0"/>
        <bgColor rgb="FFD084D0"/>
      </patternFill>
    </fill>
    <fill>
      <patternFill patternType="solid">
        <fgColor rgb="FFB0B3B2"/>
        <bgColor rgb="FFB0B3B2"/>
      </patternFill>
    </fill>
    <fill>
      <patternFill patternType="solid">
        <fgColor rgb="FFD9EAD3"/>
        <bgColor rgb="FFD9EAD3"/>
      </patternFill>
    </fill>
    <fill>
      <patternFill patternType="solid">
        <fgColor rgb="FF00FFFF"/>
        <bgColor rgb="FF00FFFF"/>
      </patternFill>
    </fill>
    <fill>
      <patternFill patternType="solid">
        <fgColor rgb="FFFFFF00"/>
        <bgColor rgb="FFFFFF00"/>
      </patternFill>
    </fill>
    <fill>
      <patternFill patternType="solid">
        <fgColor rgb="FFD4D4D4"/>
        <bgColor rgb="FFD4D4D4"/>
      </patternFill>
    </fill>
  </fills>
  <borders count="7">
    <border/>
    <border>
      <right style="thick">
        <color rgb="FFA64D79"/>
      </right>
    </border>
    <border>
      <left style="thin">
        <color rgb="FF000000"/>
      </left>
      <right style="thin">
        <color rgb="FF000000"/>
      </right>
      <top style="thin">
        <color rgb="FF000000"/>
      </top>
      <bottom style="thin">
        <color rgb="FF000000"/>
      </bottom>
    </border>
    <border>
      <left style="thin">
        <color rgb="FF000000"/>
      </left>
      <right style="thick">
        <color rgb="FFA64D79"/>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A64D79"/>
      </right>
      <top style="thin">
        <color rgb="FF000000"/>
      </top>
      <bottom style="thin">
        <color rgb="FF00000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0" xfId="0" applyAlignment="1" applyFont="1">
      <alignment horizontal="center" shrinkToFit="0" vertical="center" wrapText="0"/>
    </xf>
    <xf borderId="0" fillId="0" fontId="3" numFmtId="0" xfId="0" applyAlignment="1" applyFont="1">
      <alignment horizontal="center" shrinkToFit="0" vertical="center" wrapText="1"/>
    </xf>
    <xf borderId="0" fillId="0" fontId="4" numFmtId="0" xfId="0" applyAlignment="1" applyFont="1">
      <alignment horizontal="center" vertical="center"/>
    </xf>
    <xf borderId="0" fillId="0" fontId="5" numFmtId="0" xfId="0" applyAlignment="1" applyFont="1">
      <alignment horizontal="center" readingOrder="0" vertical="center"/>
    </xf>
    <xf borderId="0" fillId="0" fontId="6" numFmtId="0" xfId="0" applyAlignment="1" applyFont="1">
      <alignment horizontal="center" shrinkToFit="0" vertical="center" wrapText="0"/>
    </xf>
    <xf borderId="0" fillId="0" fontId="7" numFmtId="0" xfId="0" applyAlignment="1" applyFont="1">
      <alignment horizontal="center" shrinkToFit="0" vertical="top" wrapText="1"/>
    </xf>
    <xf borderId="0" fillId="0" fontId="8" numFmtId="0" xfId="0" applyAlignment="1" applyFont="1">
      <alignment shrinkToFit="0" vertical="top" wrapText="0"/>
    </xf>
    <xf borderId="0" fillId="0" fontId="9" numFmtId="0" xfId="0" applyAlignment="1" applyFont="1">
      <alignment shrinkToFit="0" vertical="top" wrapText="1"/>
    </xf>
    <xf borderId="0" fillId="0" fontId="9" numFmtId="0" xfId="0" applyAlignment="1" applyFont="1">
      <alignment vertical="top"/>
    </xf>
    <xf borderId="0" fillId="0" fontId="9" numFmtId="164" xfId="0" applyAlignment="1" applyFont="1" applyNumberFormat="1">
      <alignment vertical="top"/>
    </xf>
    <xf borderId="0" fillId="0" fontId="9" numFmtId="0" xfId="0" applyAlignment="1" applyFont="1">
      <alignment shrinkToFit="0" vertical="top" wrapText="0"/>
    </xf>
    <xf borderId="0" fillId="0" fontId="10" numFmtId="0" xfId="0" applyAlignment="1" applyFont="1">
      <alignment shrinkToFit="0" vertical="top" wrapText="0"/>
    </xf>
    <xf borderId="0" fillId="0" fontId="11" numFmtId="0" xfId="0" applyAlignment="1" applyFont="1">
      <alignment vertical="top"/>
    </xf>
    <xf borderId="0" fillId="0" fontId="9" numFmtId="0" xfId="0" applyAlignment="1" applyFont="1">
      <alignment horizontal="center" readingOrder="0" shrinkToFit="0" vertical="top" wrapText="0"/>
    </xf>
    <xf borderId="0" fillId="0" fontId="8" numFmtId="0" xfId="0" applyAlignment="1" applyFont="1">
      <alignment readingOrder="0" shrinkToFit="0" vertical="top" wrapText="0"/>
    </xf>
    <xf borderId="0" fillId="0" fontId="9" numFmtId="0" xfId="0" applyAlignment="1" applyFont="1">
      <alignment horizontal="center" shrinkToFit="0" vertical="top" wrapText="0"/>
    </xf>
    <xf borderId="0" fillId="0" fontId="9" numFmtId="0" xfId="0" applyAlignment="1" applyFont="1">
      <alignment shrinkToFit="0" vertical="top" wrapText="0"/>
    </xf>
    <xf borderId="0" fillId="0" fontId="9" numFmtId="0" xfId="0" applyAlignment="1" applyFont="1">
      <alignment readingOrder="0" shrinkToFit="0" vertical="top"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3" fontId="13" numFmtId="0" xfId="0" applyAlignment="1" applyFill="1" applyFont="1">
      <alignment horizontal="center" readingOrder="0" vertical="center"/>
    </xf>
    <xf borderId="0" fillId="3" fontId="13" numFmtId="0" xfId="0" applyAlignment="1" applyFont="1">
      <alignment horizontal="center" readingOrder="0" shrinkToFit="0" vertical="center" wrapText="1"/>
    </xf>
    <xf borderId="0" fillId="3" fontId="13" numFmtId="0" xfId="0" applyAlignment="1" applyFont="1">
      <alignment horizontal="center" readingOrder="0" shrinkToFit="0" vertical="top" wrapText="1"/>
    </xf>
    <xf borderId="0" fillId="4" fontId="13" numFmtId="0" xfId="0" applyAlignment="1" applyFill="1" applyFont="1">
      <alignment horizontal="center" readingOrder="0" vertical="center"/>
    </xf>
    <xf borderId="0" fillId="4" fontId="1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4" fontId="13" numFmtId="0" xfId="0" applyAlignment="1" applyFont="1">
      <alignment horizontal="center" readingOrder="0" shrinkToFit="0" vertical="center" wrapText="0"/>
    </xf>
    <xf borderId="0" fillId="3" fontId="13" numFmtId="0" xfId="0" applyAlignment="1" applyFont="1">
      <alignment horizontal="center" readingOrder="0" shrinkToFit="0" vertical="center" wrapText="0"/>
    </xf>
    <xf borderId="0" fillId="5" fontId="14" numFmtId="0" xfId="0" applyAlignment="1" applyFill="1" applyFont="1">
      <alignment horizontal="center" readingOrder="0" vertical="center"/>
    </xf>
    <xf borderId="0" fillId="5" fontId="14" numFmtId="0" xfId="0" applyAlignment="1" applyFont="1">
      <alignment horizontal="center" readingOrder="0" shrinkToFit="0" vertical="center" wrapText="1"/>
    </xf>
    <xf borderId="0" fillId="0" fontId="14" numFmtId="0" xfId="0" applyAlignment="1" applyFont="1">
      <alignment horizontal="center" readingOrder="0" vertical="top"/>
    </xf>
    <xf borderId="0" fillId="5" fontId="15" numFmtId="0" xfId="0" applyAlignment="1" applyFont="1">
      <alignment readingOrder="0" shrinkToFit="0" vertical="top" wrapText="1"/>
    </xf>
    <xf borderId="0" fillId="0" fontId="16" numFmtId="0" xfId="0" applyAlignment="1" applyFont="1">
      <alignment shrinkToFit="0" vertical="top" wrapText="1"/>
    </xf>
    <xf borderId="0" fillId="0" fontId="17" numFmtId="0" xfId="0" applyAlignment="1" applyFont="1">
      <alignment readingOrder="0" shrinkToFit="0" vertical="top" wrapText="1"/>
    </xf>
    <xf borderId="0" fillId="0" fontId="17" numFmtId="0" xfId="0" applyAlignment="1" applyFont="1">
      <alignment readingOrder="0" vertical="top"/>
    </xf>
    <xf borderId="0" fillId="4" fontId="17" numFmtId="0" xfId="0" applyAlignment="1" applyFont="1">
      <alignment readingOrder="0" vertical="top"/>
    </xf>
    <xf borderId="0" fillId="4" fontId="18" numFmtId="0" xfId="0" applyAlignment="1" applyFont="1">
      <alignment horizontal="center" readingOrder="0" vertical="top"/>
    </xf>
    <xf borderId="0" fillId="0" fontId="18" numFmtId="0" xfId="0" applyAlignment="1" applyFont="1">
      <alignment horizontal="center" readingOrder="0" vertical="top"/>
    </xf>
    <xf borderId="0" fillId="0" fontId="17" numFmtId="164" xfId="0" applyAlignment="1" applyFont="1" applyNumberFormat="1">
      <alignment horizontal="right" readingOrder="0" shrinkToFit="0" vertical="top" wrapText="1"/>
    </xf>
    <xf borderId="0" fillId="4" fontId="17" numFmtId="0" xfId="0" applyAlignment="1" applyFont="1">
      <alignment readingOrder="0" shrinkToFit="0" vertical="top" wrapText="1"/>
    </xf>
    <xf borderId="0" fillId="0" fontId="17" numFmtId="0" xfId="0" applyAlignment="1" applyFont="1">
      <alignment readingOrder="0" shrinkToFit="0" vertical="top" wrapText="0"/>
    </xf>
    <xf borderId="0" fillId="0" fontId="17" numFmtId="0" xfId="0" applyAlignment="1" applyFont="1">
      <alignment shrinkToFit="0" vertical="top" wrapText="0"/>
    </xf>
    <xf borderId="0" fillId="5" fontId="18" numFmtId="0" xfId="0" applyAlignment="1" applyFont="1">
      <alignment vertical="top"/>
    </xf>
    <xf borderId="0" fillId="5" fontId="18" numFmtId="0" xfId="0" applyAlignment="1" applyFont="1">
      <alignment shrinkToFit="0" vertical="top" wrapText="1"/>
    </xf>
    <xf borderId="0" fillId="0" fontId="18" numFmtId="0" xfId="0" applyAlignment="1" applyFont="1">
      <alignment horizontal="right" vertical="top"/>
    </xf>
    <xf borderId="0" fillId="0" fontId="15" numFmtId="0" xfId="0" applyAlignment="1" applyFont="1">
      <alignment readingOrder="0" shrinkToFit="0" vertical="top" wrapText="1"/>
    </xf>
    <xf borderId="0" fillId="0" fontId="18" numFmtId="0" xfId="0" applyAlignment="1" applyFont="1">
      <alignment horizontal="left" shrinkToFit="0" vertical="top" wrapText="1"/>
    </xf>
    <xf borderId="0" fillId="0" fontId="16" numFmtId="0" xfId="0" applyAlignment="1" applyFont="1">
      <alignment readingOrder="0" shrinkToFit="0" vertical="top" wrapText="1"/>
    </xf>
    <xf borderId="0" fillId="0" fontId="17" numFmtId="0" xfId="0" applyAlignment="1" applyFont="1">
      <alignment shrinkToFit="0" vertical="top" wrapText="1"/>
    </xf>
    <xf borderId="0" fillId="0" fontId="18" numFmtId="0" xfId="0" applyAlignment="1" applyFont="1">
      <alignment horizontal="center" readingOrder="0" shrinkToFit="0" vertical="top" wrapText="1"/>
    </xf>
    <xf borderId="0" fillId="0" fontId="17" numFmtId="0" xfId="0" applyAlignment="1" applyFont="1">
      <alignment readingOrder="0" shrinkToFit="0" vertical="top" wrapText="0"/>
    </xf>
    <xf borderId="0" fillId="0" fontId="15" numFmtId="0" xfId="0" applyAlignment="1" applyFont="1">
      <alignment shrinkToFit="0" vertical="top" wrapText="1"/>
    </xf>
    <xf borderId="0" fillId="0" fontId="19" numFmtId="0" xfId="0" applyAlignment="1" applyFont="1">
      <alignment readingOrder="0" shrinkToFit="0" vertical="top" wrapText="0"/>
    </xf>
    <xf borderId="0" fillId="0" fontId="18" numFmtId="0" xfId="0" applyAlignment="1" applyFont="1">
      <alignment horizontal="right" readingOrder="0" vertical="top"/>
    </xf>
    <xf quotePrefix="1" borderId="0" fillId="0" fontId="17" numFmtId="0" xfId="0" applyAlignment="1" applyFont="1">
      <alignment readingOrder="0" shrinkToFit="0" vertical="top" wrapText="1"/>
    </xf>
    <xf borderId="0" fillId="0" fontId="17" numFmtId="164" xfId="0" applyAlignment="1" applyFont="1" applyNumberFormat="1">
      <alignment readingOrder="0" vertical="top"/>
    </xf>
    <xf borderId="0" fillId="0" fontId="18" numFmtId="0" xfId="0" applyAlignment="1" applyFont="1">
      <alignment horizontal="left" readingOrder="0" shrinkToFit="0" vertical="top" wrapText="1"/>
    </xf>
    <xf borderId="0" fillId="0" fontId="17" numFmtId="0" xfId="0" applyAlignment="1" applyFont="1">
      <alignment readingOrder="0" shrinkToFit="0" vertical="top" wrapText="0"/>
    </xf>
    <xf quotePrefix="1" borderId="0" fillId="0" fontId="16" numFmtId="0" xfId="0" applyAlignment="1" applyFont="1">
      <alignment readingOrder="0" shrinkToFit="0" vertical="top" wrapText="1"/>
    </xf>
    <xf borderId="0" fillId="5" fontId="15" numFmtId="0" xfId="0" applyAlignment="1" applyFont="1">
      <alignment shrinkToFit="0" vertical="top" wrapText="1"/>
    </xf>
    <xf borderId="0" fillId="0" fontId="17" numFmtId="165" xfId="0" applyAlignment="1" applyFont="1" applyNumberFormat="1">
      <alignment horizontal="right" readingOrder="0" shrinkToFit="0" vertical="top" wrapText="1"/>
    </xf>
    <xf borderId="0" fillId="5" fontId="18" numFmtId="166" xfId="0" applyAlignment="1" applyFont="1" applyNumberFormat="1">
      <alignment vertical="top"/>
    </xf>
    <xf borderId="0" fillId="0" fontId="17" numFmtId="0" xfId="0" applyAlignment="1" applyFont="1">
      <alignment vertical="top"/>
    </xf>
    <xf borderId="0" fillId="0" fontId="17" numFmtId="164" xfId="0" applyAlignment="1" applyFont="1" applyNumberFormat="1">
      <alignment vertical="top"/>
    </xf>
    <xf borderId="0" fillId="0" fontId="17" numFmtId="0" xfId="0" applyAlignment="1" applyFont="1">
      <alignment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0"/>
    </xf>
    <xf borderId="0" fillId="0" fontId="18" numFmtId="0" xfId="0" applyAlignment="1" applyFont="1">
      <alignment shrinkToFit="0" vertical="top" wrapText="0"/>
    </xf>
    <xf borderId="0" fillId="0" fontId="18" numFmtId="0" xfId="0" applyAlignment="1" applyFont="1">
      <alignment readingOrder="0" shrinkToFit="0" vertical="top" wrapText="0"/>
    </xf>
    <xf borderId="0" fillId="0" fontId="16" numFmtId="0" xfId="0" applyAlignment="1" applyFont="1">
      <alignment shrinkToFit="0" vertical="top" wrapText="1"/>
    </xf>
    <xf borderId="0" fillId="0" fontId="17" numFmtId="165" xfId="0" applyAlignment="1" applyFont="1" applyNumberFormat="1">
      <alignment readingOrder="0" shrinkToFit="0" vertical="top" wrapText="1"/>
    </xf>
    <xf borderId="0" fillId="0" fontId="17" numFmtId="164" xfId="0" applyAlignment="1" applyFont="1" applyNumberFormat="1">
      <alignment horizontal="right" readingOrder="0" vertical="top"/>
    </xf>
    <xf borderId="0" fillId="0" fontId="22" numFmtId="0" xfId="0" applyAlignment="1" applyFont="1">
      <alignment shrinkToFit="0" vertical="top" wrapText="1"/>
    </xf>
    <xf borderId="0" fillId="0" fontId="18" numFmtId="0" xfId="0" applyAlignment="1" applyFont="1">
      <alignment shrinkToFit="0" vertical="top" wrapText="1"/>
    </xf>
    <xf borderId="0" fillId="0" fontId="18" numFmtId="0" xfId="0" applyAlignment="1" applyFont="1">
      <alignment vertical="top"/>
    </xf>
    <xf borderId="0" fillId="0" fontId="18" numFmtId="0" xfId="0" applyAlignment="1" applyFont="1">
      <alignment readingOrder="0" vertical="top"/>
    </xf>
    <xf borderId="0" fillId="0" fontId="18" numFmtId="164" xfId="0" applyAlignment="1" applyFont="1" applyNumberFormat="1">
      <alignment horizontal="right" vertical="top"/>
    </xf>
    <xf borderId="0" fillId="0" fontId="18" numFmtId="0" xfId="0" applyAlignment="1" applyFont="1">
      <alignment shrinkToFit="0" vertical="top" wrapText="0"/>
    </xf>
    <xf borderId="0" fillId="0" fontId="18" numFmtId="0" xfId="0" applyAlignment="1" applyFont="1">
      <alignment vertical="top"/>
    </xf>
    <xf quotePrefix="1" borderId="0" fillId="0" fontId="17" numFmtId="0" xfId="0" applyAlignment="1" applyFont="1">
      <alignment readingOrder="0" vertical="top"/>
    </xf>
    <xf borderId="0" fillId="0" fontId="16" numFmtId="167" xfId="0" applyAlignment="1" applyFont="1" applyNumberFormat="1">
      <alignment readingOrder="0" shrinkToFit="0" vertical="top" wrapText="1"/>
    </xf>
    <xf borderId="0" fillId="0" fontId="15" numFmtId="0" xfId="0" applyAlignment="1" applyFont="1">
      <alignment horizontal="right" vertical="top"/>
    </xf>
    <xf borderId="0" fillId="0" fontId="23" numFmtId="0" xfId="0" applyAlignment="1" applyFont="1">
      <alignment readingOrder="0" shrinkToFit="0" vertical="top" wrapText="0"/>
    </xf>
    <xf borderId="0" fillId="0" fontId="22" numFmtId="0" xfId="0" applyAlignment="1" applyFont="1">
      <alignment readingOrder="0" shrinkToFit="0" vertical="top" wrapText="1"/>
    </xf>
    <xf borderId="0" fillId="0" fontId="18" numFmtId="0" xfId="0" applyAlignment="1" applyFont="1">
      <alignment readingOrder="0" shrinkToFit="0" vertical="top" wrapText="1"/>
    </xf>
    <xf borderId="0" fillId="0" fontId="17" numFmtId="0" xfId="0" applyAlignment="1" applyFont="1">
      <alignment shrinkToFit="0" vertical="top" wrapText="0"/>
    </xf>
    <xf borderId="0" fillId="0" fontId="17" numFmtId="0" xfId="0" applyAlignment="1" applyFont="1">
      <alignment horizontal="right" readingOrder="0" shrinkToFit="0" vertical="top" wrapText="0"/>
    </xf>
    <xf borderId="0" fillId="0" fontId="17" numFmtId="0" xfId="0" applyAlignment="1" applyFont="1">
      <alignment vertical="top"/>
    </xf>
    <xf borderId="0" fillId="0" fontId="17" numFmtId="0" xfId="0" applyAlignment="1" applyFont="1">
      <alignment readingOrder="0" shrinkToFit="0" vertical="top" wrapText="0"/>
    </xf>
    <xf borderId="0" fillId="0" fontId="18" numFmtId="0" xfId="0" applyAlignment="1" applyFont="1">
      <alignment readingOrder="0" shrinkToFit="0" vertical="top" wrapText="0"/>
    </xf>
    <xf borderId="0" fillId="0" fontId="17" numFmtId="0" xfId="0" applyAlignment="1" applyFont="1">
      <alignment horizontal="right" readingOrder="0" shrinkToFit="0" vertical="top" wrapText="1"/>
    </xf>
    <xf borderId="0" fillId="0" fontId="24" numFmtId="0" xfId="0" applyAlignment="1" applyFont="1">
      <alignment readingOrder="0" shrinkToFit="0" vertical="top" wrapText="1"/>
    </xf>
    <xf borderId="0" fillId="0" fontId="17" numFmtId="0" xfId="0" applyAlignment="1" applyFont="1">
      <alignment readingOrder="0" shrinkToFit="0" vertical="top" wrapText="1"/>
    </xf>
    <xf borderId="0" fillId="0" fontId="17" numFmtId="165" xfId="0" applyAlignment="1" applyFont="1" applyNumberFormat="1">
      <alignment readingOrder="0" vertical="top"/>
    </xf>
    <xf borderId="0" fillId="0" fontId="18" numFmtId="0" xfId="0" applyAlignment="1" applyFont="1">
      <alignment shrinkToFit="0" wrapText="1"/>
    </xf>
    <xf borderId="0" fillId="0" fontId="17" numFmtId="0" xfId="0" applyAlignment="1" applyFont="1">
      <alignment readingOrder="0" shrinkToFit="0" vertical="top" wrapText="1"/>
    </xf>
    <xf borderId="0" fillId="0" fontId="18" numFmtId="0" xfId="0" applyAlignment="1" applyFont="1">
      <alignment readingOrder="0" shrinkToFit="0" vertical="top" wrapText="0"/>
    </xf>
    <xf borderId="0" fillId="6" fontId="15" numFmtId="0" xfId="0" applyAlignment="1" applyFill="1" applyFont="1">
      <alignment readingOrder="0"/>
    </xf>
    <xf borderId="0" fillId="6" fontId="15" numFmtId="0" xfId="0" applyAlignment="1" applyFont="1">
      <alignment readingOrder="0" shrinkToFit="0" wrapText="0"/>
    </xf>
    <xf borderId="0" fillId="6" fontId="15" numFmtId="0" xfId="0" applyFont="1"/>
    <xf borderId="0" fillId="7" fontId="15" numFmtId="0" xfId="0" applyFill="1" applyFont="1"/>
    <xf quotePrefix="1" borderId="0" fillId="7" fontId="15" numFmtId="0" xfId="0" applyAlignment="1" applyFont="1">
      <alignment readingOrder="0"/>
    </xf>
    <xf borderId="0" fillId="7" fontId="15" numFmtId="0" xfId="0" applyAlignment="1" applyFont="1">
      <alignment readingOrder="0"/>
    </xf>
    <xf borderId="0" fillId="7" fontId="25" numFmtId="0" xfId="0" applyFont="1"/>
    <xf borderId="0" fillId="7" fontId="15" numFmtId="0" xfId="0" applyAlignment="1" applyFont="1">
      <alignment shrinkToFit="0" wrapText="0"/>
    </xf>
    <xf borderId="0" fillId="8" fontId="15" numFmtId="0" xfId="0" applyFill="1" applyFont="1"/>
    <xf quotePrefix="1" borderId="0" fillId="8" fontId="15" numFmtId="0" xfId="0" applyAlignment="1" applyFont="1">
      <alignment readingOrder="0"/>
    </xf>
    <xf borderId="0" fillId="8" fontId="15" numFmtId="0" xfId="0" applyAlignment="1" applyFont="1">
      <alignment readingOrder="0"/>
    </xf>
    <xf borderId="0" fillId="8" fontId="26" numFmtId="0" xfId="0" applyAlignment="1" applyFont="1">
      <alignment readingOrder="0"/>
    </xf>
    <xf borderId="0" fillId="8" fontId="15" numFmtId="0" xfId="0" applyAlignment="1" applyFont="1">
      <alignment shrinkToFit="0" wrapText="0"/>
    </xf>
    <xf borderId="0" fillId="7" fontId="27" numFmtId="0" xfId="0" applyAlignment="1" applyFont="1">
      <alignment readingOrder="0"/>
    </xf>
    <xf borderId="0" fillId="8" fontId="28" numFmtId="0" xfId="0" applyAlignment="1" applyFont="1">
      <alignment readingOrder="0"/>
    </xf>
    <xf borderId="0" fillId="7" fontId="29" numFmtId="0" xfId="0" applyAlignment="1" applyFont="1">
      <alignment readingOrder="0"/>
    </xf>
    <xf borderId="0" fillId="7" fontId="30" numFmtId="0" xfId="0" applyAlignment="1" applyFont="1">
      <alignment readingOrder="0"/>
    </xf>
    <xf borderId="0" fillId="8" fontId="31" numFmtId="0" xfId="0" applyFont="1"/>
    <xf borderId="0" fillId="0" fontId="32" numFmtId="0" xfId="0" applyAlignment="1" applyFont="1">
      <alignment horizontal="center" readingOrder="0" vertical="bottom"/>
    </xf>
    <xf borderId="0" fillId="0" fontId="32" numFmtId="0" xfId="0" applyAlignment="1" applyFont="1">
      <alignment horizontal="center" readingOrder="0" vertical="bottom"/>
    </xf>
    <xf borderId="0" fillId="0" fontId="33" numFmtId="0" xfId="0" applyAlignment="1" applyFont="1">
      <alignment readingOrder="0" vertical="bottom"/>
    </xf>
    <xf borderId="0" fillId="0" fontId="33" numFmtId="0" xfId="0" applyAlignment="1" applyFont="1">
      <alignment readingOrder="0" vertical="top"/>
    </xf>
    <xf borderId="0" fillId="0" fontId="33" numFmtId="0" xfId="0" applyAlignment="1" applyFont="1">
      <alignment vertical="top"/>
    </xf>
    <xf borderId="0" fillId="0" fontId="34" numFmtId="0" xfId="0" applyAlignment="1" applyFont="1">
      <alignment horizontal="center" readingOrder="0" vertical="bottom"/>
    </xf>
    <xf borderId="0" fillId="0" fontId="35" numFmtId="0" xfId="0" applyAlignment="1" applyFont="1">
      <alignment horizontal="center" readingOrder="0" vertical="bottom"/>
    </xf>
    <xf borderId="0" fillId="0" fontId="36" numFmtId="0" xfId="0" applyAlignment="1" applyFont="1">
      <alignment readingOrder="0" vertical="bottom"/>
    </xf>
    <xf borderId="0" fillId="0" fontId="37" numFmtId="0" xfId="0" applyAlignment="1" applyFont="1">
      <alignment readingOrder="0" vertical="bottom"/>
    </xf>
    <xf borderId="0" fillId="0" fontId="38" numFmtId="0" xfId="0" applyAlignment="1" applyFont="1">
      <alignment readingOrder="0" vertical="bottom"/>
    </xf>
    <xf borderId="0" fillId="0" fontId="36" numFmtId="0" xfId="0" applyAlignment="1" applyFont="1">
      <alignment vertical="bottom"/>
    </xf>
    <xf borderId="0" fillId="0" fontId="38" numFmtId="166" xfId="0" applyAlignment="1" applyFont="1" applyNumberFormat="1">
      <alignment readingOrder="0" vertical="bottom"/>
    </xf>
    <xf borderId="0" fillId="0" fontId="36" numFmtId="166" xfId="0" applyAlignment="1" applyFont="1" applyNumberFormat="1">
      <alignment readingOrder="0" vertical="bottom"/>
    </xf>
    <xf borderId="0" fillId="0" fontId="37" numFmtId="166" xfId="0" applyAlignment="1" applyFont="1" applyNumberFormat="1">
      <alignment readingOrder="0" vertical="bottom"/>
    </xf>
    <xf borderId="0" fillId="0" fontId="36" numFmtId="0" xfId="0" applyAlignment="1" applyFont="1">
      <alignment vertical="bottom"/>
    </xf>
    <xf borderId="0" fillId="0" fontId="15" numFmtId="0" xfId="0" applyAlignment="1" applyFont="1">
      <alignment readingOrder="0"/>
    </xf>
    <xf borderId="0" fillId="0" fontId="39" numFmtId="0" xfId="0" applyAlignment="1" applyFont="1">
      <alignment horizontal="right" readingOrder="0" vertical="bottom"/>
    </xf>
    <xf borderId="0" fillId="0" fontId="40" numFmtId="0" xfId="0" applyAlignment="1" applyFont="1">
      <alignment readingOrder="0" vertical="bottom"/>
    </xf>
    <xf borderId="0" fillId="7" fontId="36" numFmtId="0" xfId="0" applyAlignment="1" applyFont="1">
      <alignment vertical="bottom"/>
    </xf>
    <xf borderId="0" fillId="0" fontId="38" numFmtId="0" xfId="0" applyAlignment="1" applyFont="1">
      <alignment readingOrder="0" shrinkToFit="0" vertical="top" wrapText="1"/>
    </xf>
    <xf borderId="0" fillId="7" fontId="40" numFmtId="0" xfId="0" applyAlignment="1" applyFont="1">
      <alignment vertical="bottom"/>
    </xf>
    <xf borderId="0" fillId="0" fontId="15" numFmtId="0" xfId="0" applyAlignment="1" applyFont="1">
      <alignment readingOrder="0" vertical="center"/>
    </xf>
    <xf borderId="0" fillId="0" fontId="15" numFmtId="0" xfId="0" applyAlignment="1" applyFont="1">
      <alignment horizontal="center" readingOrder="0" vertical="center"/>
    </xf>
    <xf borderId="0" fillId="0" fontId="41" numFmtId="0" xfId="0" applyAlignment="1" applyFont="1">
      <alignment horizontal="center" readingOrder="0" vertical="center"/>
    </xf>
    <xf borderId="0" fillId="0" fontId="40" numFmtId="0" xfId="0" applyAlignment="1" applyFont="1">
      <alignment readingOrder="0" vertical="center"/>
    </xf>
    <xf borderId="0" fillId="0" fontId="15" numFmtId="0" xfId="0" applyAlignment="1" applyFont="1">
      <alignment horizontal="center" vertical="center"/>
    </xf>
    <xf borderId="0" fillId="0" fontId="39" numFmtId="0" xfId="0" applyAlignment="1" applyFont="1">
      <alignment vertical="center"/>
    </xf>
    <xf borderId="0" fillId="0" fontId="41" numFmtId="0" xfId="0" applyAlignment="1" applyFont="1">
      <alignment horizontal="center" vertical="center"/>
    </xf>
    <xf borderId="0" fillId="9" fontId="15" numFmtId="0" xfId="0" applyAlignment="1" applyFill="1" applyFont="1">
      <alignment horizontal="center" readingOrder="0" vertical="center"/>
    </xf>
    <xf borderId="0" fillId="10" fontId="15" numFmtId="0" xfId="0" applyAlignment="1" applyFill="1" applyFont="1">
      <alignment horizontal="center" readingOrder="0" vertical="center"/>
    </xf>
    <xf borderId="0" fillId="0" fontId="40" numFmtId="0" xfId="0" applyAlignment="1" applyFont="1">
      <alignment horizontal="center" readingOrder="0" vertical="center"/>
    </xf>
    <xf borderId="0" fillId="11" fontId="15" numFmtId="0" xfId="0" applyAlignment="1" applyFill="1" applyFont="1">
      <alignment horizontal="center" readingOrder="0" vertical="center"/>
    </xf>
    <xf borderId="0" fillId="0" fontId="40" numFmtId="0" xfId="0" applyAlignment="1" applyFont="1">
      <alignment vertical="center"/>
    </xf>
    <xf borderId="0" fillId="0" fontId="40" numFmtId="0" xfId="0" applyAlignment="1" applyFont="1">
      <alignment horizontal="center" vertical="center"/>
    </xf>
    <xf borderId="0" fillId="12" fontId="15" numFmtId="0" xfId="0" applyAlignment="1" applyFill="1" applyFont="1">
      <alignment horizontal="center" readingOrder="0" vertical="center"/>
    </xf>
    <xf borderId="0" fillId="13" fontId="15" numFmtId="0" xfId="0" applyAlignment="1" applyFill="1" applyFont="1">
      <alignment horizontal="center" readingOrder="0" vertical="center"/>
    </xf>
    <xf borderId="0" fillId="14" fontId="15" numFmtId="0" xfId="0" applyAlignment="1" applyFill="1" applyFont="1">
      <alignment horizontal="center" readingOrder="0" vertical="center"/>
    </xf>
    <xf borderId="0" fillId="0" fontId="15" numFmtId="0" xfId="0" applyAlignment="1" applyFont="1">
      <alignment horizontal="center" readingOrder="0"/>
    </xf>
    <xf borderId="0" fillId="0" fontId="15" numFmtId="0" xfId="0" applyAlignment="1" applyFont="1">
      <alignment horizontal="center" readingOrder="0" shrinkToFit="0" wrapText="1"/>
    </xf>
    <xf borderId="0" fillId="0" fontId="15" numFmtId="165" xfId="0" applyAlignment="1" applyFont="1" applyNumberFormat="1">
      <alignment readingOrder="0" vertical="top"/>
    </xf>
    <xf borderId="0" fillId="0" fontId="15" numFmtId="0" xfId="0" applyAlignment="1" applyFont="1">
      <alignment readingOrder="0" vertical="top"/>
    </xf>
    <xf borderId="0" fillId="0" fontId="15" numFmtId="0" xfId="0" applyAlignment="1" applyFont="1">
      <alignment vertical="top"/>
    </xf>
    <xf borderId="0" fillId="0" fontId="15" numFmtId="0" xfId="0" applyAlignment="1" applyFont="1">
      <alignment readingOrder="0" vertical="top"/>
    </xf>
    <xf borderId="0" fillId="0" fontId="15" numFmtId="0" xfId="0" applyAlignment="1" applyFont="1">
      <alignment shrinkToFit="0" wrapText="1"/>
    </xf>
    <xf borderId="0" fillId="0" fontId="15" numFmtId="0" xfId="0" applyFont="1"/>
    <xf borderId="0" fillId="0" fontId="15" numFmtId="0" xfId="0" applyAlignment="1" applyFont="1">
      <alignment horizontal="center"/>
    </xf>
    <xf borderId="0" fillId="0" fontId="15" numFmtId="0" xfId="0" applyAlignment="1" applyFont="1">
      <alignment horizontal="left" readingOrder="0"/>
    </xf>
    <xf borderId="0" fillId="0" fontId="39" numFmtId="0" xfId="0" applyAlignment="1" applyFont="1">
      <alignment horizontal="left" readingOrder="0" vertical="bottom"/>
    </xf>
    <xf borderId="0" fillId="0" fontId="39" numFmtId="0" xfId="0" applyAlignment="1" applyFont="1">
      <alignment horizontal="center" vertical="bottom"/>
    </xf>
    <xf borderId="0" fillId="0" fontId="39" numFmtId="49" xfId="0" applyAlignment="1" applyFont="1" applyNumberFormat="1">
      <alignment horizontal="center" vertical="bottom"/>
    </xf>
    <xf borderId="0" fillId="6" fontId="39" numFmtId="0" xfId="0" applyAlignment="1" applyFont="1">
      <alignment horizontal="center" vertical="bottom"/>
    </xf>
    <xf borderId="0" fillId="0" fontId="37" numFmtId="0" xfId="0" applyAlignment="1" applyFont="1">
      <alignment horizontal="center" readingOrder="0" vertical="bottom"/>
    </xf>
    <xf borderId="0" fillId="0" fontId="39" numFmtId="0" xfId="0" applyAlignment="1" applyFont="1">
      <alignment horizontal="center" readingOrder="0" vertical="bottom"/>
    </xf>
    <xf borderId="0" fillId="0" fontId="42" numFmtId="0" xfId="0" applyAlignment="1" applyFont="1">
      <alignment readingOrder="0"/>
    </xf>
    <xf borderId="0" fillId="0" fontId="15" numFmtId="3" xfId="0" applyAlignment="1" applyFont="1" applyNumberFormat="1">
      <alignment readingOrder="0"/>
    </xf>
    <xf borderId="0" fillId="0" fontId="15" numFmtId="168" xfId="0" applyAlignment="1" applyFont="1" applyNumberFormat="1">
      <alignment readingOrder="0"/>
    </xf>
    <xf borderId="0" fillId="0" fontId="39" numFmtId="167" xfId="0" applyAlignment="1" applyFont="1" applyNumberFormat="1">
      <alignment horizontal="center" readingOrder="0" vertical="bottom"/>
    </xf>
    <xf borderId="0" fillId="0" fontId="15" numFmtId="167" xfId="0" applyAlignment="1" applyFont="1" applyNumberFormat="1">
      <alignment readingOrder="0"/>
    </xf>
    <xf borderId="0" fillId="0" fontId="39" numFmtId="0" xfId="0" applyAlignment="1" applyFont="1">
      <alignment horizontal="center" readingOrder="0" vertical="bottom"/>
    </xf>
    <xf borderId="0" fillId="0" fontId="15" numFmtId="0" xfId="0" applyAlignment="1" applyFont="1">
      <alignment horizontal="right" readingOrder="0"/>
    </xf>
    <xf borderId="0" fillId="0" fontId="15" numFmtId="9" xfId="0" applyFont="1" applyNumberFormat="1"/>
    <xf borderId="0" fillId="0" fontId="15" numFmtId="9" xfId="0" applyAlignment="1" applyFont="1" applyNumberFormat="1">
      <alignment readingOrder="0"/>
    </xf>
    <xf borderId="0" fillId="0" fontId="39" numFmtId="0" xfId="0" applyAlignment="1" applyFont="1">
      <alignment horizontal="right" vertical="bottom"/>
    </xf>
    <xf borderId="0" fillId="0" fontId="39" numFmtId="9" xfId="0" applyAlignment="1" applyFont="1" applyNumberFormat="1">
      <alignment horizontal="right" vertical="bottom"/>
    </xf>
    <xf borderId="0" fillId="0" fontId="39" numFmtId="168" xfId="0" applyAlignment="1" applyFont="1" applyNumberFormat="1">
      <alignment horizontal="center" readingOrder="0" vertical="bottom"/>
    </xf>
    <xf borderId="0" fillId="0" fontId="37" numFmtId="0" xfId="0" applyAlignment="1" applyFont="1">
      <alignment horizontal="center" vertical="bottom"/>
    </xf>
    <xf borderId="0" fillId="0" fontId="15" numFmtId="9" xfId="0" applyAlignment="1" applyFont="1" applyNumberFormat="1">
      <alignment horizontal="center" readingOrder="0" vertical="center"/>
    </xf>
    <xf borderId="0" fillId="0" fontId="15" numFmtId="9" xfId="0" applyAlignment="1" applyFont="1" applyNumberFormat="1">
      <alignment horizontal="center" vertical="center"/>
    </xf>
    <xf borderId="0" fillId="0" fontId="43" numFmtId="0" xfId="0" applyAlignment="1" applyFont="1">
      <alignment horizontal="center" readingOrder="0"/>
    </xf>
    <xf borderId="0" fillId="0" fontId="15" numFmtId="166" xfId="0" applyFont="1" applyNumberFormat="1"/>
    <xf borderId="0" fillId="15" fontId="44" numFmtId="0" xfId="0" applyAlignment="1" applyFill="1" applyFont="1">
      <alignment readingOrder="0" vertical="top"/>
    </xf>
    <xf borderId="1" fillId="0" fontId="44" numFmtId="0" xfId="0" applyAlignment="1" applyBorder="1" applyFont="1">
      <alignment readingOrder="0" vertical="top"/>
    </xf>
    <xf borderId="0" fillId="16" fontId="15" numFmtId="0" xfId="0" applyAlignment="1" applyFill="1" applyFont="1">
      <alignment readingOrder="0"/>
    </xf>
    <xf borderId="1" fillId="0" fontId="15" numFmtId="0" xfId="0" applyAlignment="1" applyBorder="1" applyFont="1">
      <alignment readingOrder="0"/>
    </xf>
    <xf borderId="0" fillId="17" fontId="15" numFmtId="0" xfId="0" applyFill="1" applyFont="1"/>
    <xf borderId="2" fillId="15" fontId="44" numFmtId="0" xfId="0" applyAlignment="1" applyBorder="1" applyFont="1">
      <alignment readingOrder="0" vertical="top"/>
    </xf>
    <xf borderId="3" fillId="15" fontId="44" numFmtId="0" xfId="0" applyAlignment="1" applyBorder="1" applyFont="1">
      <alignment readingOrder="0" vertical="top"/>
    </xf>
    <xf borderId="4" fillId="15" fontId="44" numFmtId="0" xfId="0" applyAlignment="1" applyBorder="1" applyFont="1">
      <alignment readingOrder="0" vertical="top"/>
    </xf>
    <xf borderId="2" fillId="16" fontId="44" numFmtId="0" xfId="0" applyAlignment="1" applyBorder="1" applyFont="1">
      <alignment readingOrder="0" vertical="top"/>
    </xf>
    <xf borderId="5" fillId="15" fontId="44" numFmtId="0" xfId="0" applyAlignment="1" applyBorder="1" applyFont="1">
      <alignment readingOrder="0" vertical="top"/>
    </xf>
    <xf borderId="0" fillId="16" fontId="44" numFmtId="0" xfId="0" applyAlignment="1" applyFont="1">
      <alignment readingOrder="0" vertical="top"/>
    </xf>
    <xf borderId="6" fillId="15" fontId="44" numFmtId="0" xfId="0" applyAlignment="1" applyBorder="1" applyFont="1">
      <alignment readingOrder="0" vertical="top"/>
    </xf>
    <xf borderId="0" fillId="17" fontId="44" numFmtId="0" xfId="0" applyAlignment="1" applyFont="1">
      <alignment readingOrder="0" vertical="top"/>
    </xf>
    <xf borderId="2" fillId="18" fontId="44" numFmtId="0" xfId="0" applyAlignment="1" applyBorder="1" applyFill="1" applyFont="1">
      <alignment readingOrder="0" vertical="top"/>
    </xf>
    <xf borderId="2" fillId="18" fontId="45" numFmtId="0" xfId="0" applyAlignment="1" applyBorder="1" applyFont="1">
      <alignment readingOrder="0" vertical="top"/>
    </xf>
    <xf borderId="3" fillId="18" fontId="45" numFmtId="0" xfId="0" applyAlignment="1" applyBorder="1" applyFont="1">
      <alignment readingOrder="0" vertical="top"/>
    </xf>
    <xf borderId="0" fillId="18" fontId="15" numFmtId="0" xfId="0" applyFont="1"/>
    <xf borderId="0" fillId="16" fontId="15" numFmtId="0" xfId="0" applyFont="1"/>
    <xf borderId="1" fillId="18" fontId="15" numFmtId="0" xfId="0" applyBorder="1" applyFont="1"/>
    <xf borderId="0" fillId="17" fontId="15" numFmtId="0" xfId="0" applyAlignment="1" applyFont="1">
      <alignment readingOrder="0"/>
    </xf>
    <xf borderId="2" fillId="19" fontId="44" numFmtId="0" xfId="0" applyAlignment="1" applyBorder="1" applyFill="1" applyFont="1">
      <alignment readingOrder="0" vertical="top"/>
    </xf>
    <xf borderId="2" fillId="0" fontId="45" numFmtId="0" xfId="0" applyAlignment="1" applyBorder="1" applyFont="1">
      <alignment readingOrder="0" vertical="top"/>
    </xf>
    <xf borderId="3" fillId="0" fontId="45" numFmtId="0" xfId="0" applyAlignment="1" applyBorder="1" applyFont="1">
      <alignment readingOrder="0" vertical="top"/>
    </xf>
    <xf borderId="1" fillId="0" fontId="15" numFmtId="0" xfId="0" applyBorder="1" applyFont="1"/>
    <xf borderId="0" fillId="18" fontId="15" numFmtId="0" xfId="0" applyAlignment="1" applyFont="1">
      <alignment readingOrder="0"/>
    </xf>
  </cellXfs>
  <cellStyles count="1">
    <cellStyle xfId="0" name="Normal" builtinId="0"/>
  </cellStyles>
  <dxfs count="5">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B7E1CD"/>
          <bgColor rgb="FFB7E1CD"/>
        </patternFill>
      </fill>
      <border/>
    </dxf>
  </dxfs>
  <tableStyles count="3">
    <tableStyle count="3" pivot="0" name="assistance-style">
      <tableStyleElement dxfId="1" type="headerRow"/>
      <tableStyleElement dxfId="2" type="firstRowStripe"/>
      <tableStyleElement dxfId="3" type="secondRowStripe"/>
    </tableStyle>
    <tableStyle count="2" pivot="0" name="assistance-style 2">
      <tableStyleElement dxfId="3" type="firstRowStripe"/>
      <tableStyleElement dxfId="2" type="secondRowStripe"/>
    </tableStyle>
    <tableStyle count="2" pivot="0" name="assistance-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10.png"/><Relationship Id="rId4" Type="http://schemas.openxmlformats.org/officeDocument/2006/relationships/image" Target="../media/image9.png"/><Relationship Id="rId5" Type="http://schemas.openxmlformats.org/officeDocument/2006/relationships/image" Target="../media/image12.png"/><Relationship Id="rId6" Type="http://schemas.openxmlformats.org/officeDocument/2006/relationships/image" Target="../media/image11.png"/><Relationship Id="rId7"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76200</xdr:rowOff>
    </xdr:from>
    <xdr:ext cx="5019675" cy="2343150"/>
    <xdr:grpSp>
      <xdr:nvGrpSpPr>
        <xdr:cNvPr id="2" name="Shape 2" title="Drawing"/>
        <xdr:cNvGrpSpPr/>
      </xdr:nvGrpSpPr>
      <xdr:grpSpPr>
        <a:xfrm>
          <a:off x="0" y="0"/>
          <a:ext cx="4940850" cy="2331775"/>
          <a:chOff x="0" y="0"/>
          <a:chExt cx="4940850" cy="2331775"/>
        </a:xfrm>
      </xdr:grpSpPr>
      <xdr:pic>
        <xdr:nvPicPr>
          <xdr:cNvPr id="3" name="Shape 3"/>
          <xdr:cNvPicPr preferRelativeResize="0"/>
        </xdr:nvPicPr>
        <xdr:blipFill>
          <a:blip r:embed="rId1">
            <a:alphaModFix/>
          </a:blip>
          <a:stretch>
            <a:fillRect/>
          </a:stretch>
        </xdr:blipFill>
        <xdr:spPr>
          <a:xfrm>
            <a:off x="152400" y="152400"/>
            <a:ext cx="4516675" cy="2179375"/>
          </a:xfrm>
          <a:prstGeom prst="rect">
            <a:avLst/>
          </a:prstGeom>
          <a:noFill/>
          <a:ln>
            <a:noFill/>
          </a:ln>
        </xdr:spPr>
      </xdr:pic>
      <xdr:pic>
        <xdr:nvPicPr>
          <xdr:cNvPr id="4" name="Shape 4" title="File:ICONE FLECHE ROUGE.svg - Wikimedia Commons"/>
          <xdr:cNvPicPr preferRelativeResize="0"/>
        </xdr:nvPicPr>
        <xdr:blipFill>
          <a:blip r:embed="rId2">
            <a:alphaModFix/>
          </a:blip>
          <a:stretch>
            <a:fillRect/>
          </a:stretch>
        </xdr:blipFill>
        <xdr:spPr>
          <a:xfrm rot="-1024660">
            <a:off x="4275551" y="1581962"/>
            <a:ext cx="665299" cy="589750"/>
          </a:xfrm>
          <a:prstGeom prst="rect">
            <a:avLst/>
          </a:prstGeom>
          <a:noFill/>
          <a:ln>
            <a:noFill/>
          </a:ln>
        </xdr:spPr>
      </xdr:pic>
      <xdr:sp>
        <xdr:nvSpPr>
          <xdr:cNvPr id="5" name="Shape 5"/>
          <xdr:cNvSpPr/>
        </xdr:nvSpPr>
        <xdr:spPr>
          <a:xfrm>
            <a:off x="0" y="0"/>
            <a:ext cx="398100" cy="398100"/>
          </a:xfrm>
          <a:prstGeom prst="ellipse">
            <a:avLst/>
          </a:prstGeom>
          <a:solidFill>
            <a:srgbClr val="FF00FF"/>
          </a:solidFill>
          <a:ln cap="flat" cmpd="sng" w="9525">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200">
                <a:solidFill>
                  <a:srgbClr val="FFFFFF"/>
                </a:solidFill>
                <a:latin typeface="Bree Serif"/>
                <a:ea typeface="Bree Serif"/>
                <a:cs typeface="Bree Serif"/>
                <a:sym typeface="Bree Serif"/>
              </a:rPr>
              <a:t>1</a:t>
            </a:r>
            <a:endParaRPr sz="2200">
              <a:solidFill>
                <a:srgbClr val="FFFFFF"/>
              </a:solidFill>
              <a:latin typeface="Bree Serif"/>
              <a:ea typeface="Bree Serif"/>
              <a:cs typeface="Bree Serif"/>
              <a:sym typeface="Bree Serif"/>
            </a:endParaRPr>
          </a:p>
        </xdr:txBody>
      </xdr:sp>
    </xdr:grpSp>
    <xdr:clientData fLocksWithSheet="0"/>
  </xdr:oneCellAnchor>
  <xdr:oneCellAnchor>
    <xdr:from>
      <xdr:col>6</xdr:col>
      <xdr:colOff>180975</xdr:colOff>
      <xdr:row>0</xdr:row>
      <xdr:rowOff>161925</xdr:rowOff>
    </xdr:from>
    <xdr:ext cx="3390900" cy="3867150"/>
    <xdr:grpSp>
      <xdr:nvGrpSpPr>
        <xdr:cNvPr id="2" name="Shape 2" title="Drawing"/>
        <xdr:cNvGrpSpPr/>
      </xdr:nvGrpSpPr>
      <xdr:grpSpPr>
        <a:xfrm>
          <a:off x="0" y="0"/>
          <a:ext cx="3308850" cy="3853076"/>
          <a:chOff x="0" y="0"/>
          <a:chExt cx="3308850" cy="3853076"/>
        </a:xfrm>
      </xdr:grpSpPr>
      <xdr:pic>
        <xdr:nvPicPr>
          <xdr:cNvPr id="6" name="Shape 6"/>
          <xdr:cNvPicPr preferRelativeResize="0"/>
        </xdr:nvPicPr>
        <xdr:blipFill>
          <a:blip r:embed="rId3">
            <a:alphaModFix/>
          </a:blip>
          <a:stretch>
            <a:fillRect/>
          </a:stretch>
        </xdr:blipFill>
        <xdr:spPr>
          <a:xfrm>
            <a:off x="152400" y="152400"/>
            <a:ext cx="3011425" cy="3700676"/>
          </a:xfrm>
          <a:prstGeom prst="rect">
            <a:avLst/>
          </a:prstGeom>
          <a:noFill/>
          <a:ln>
            <a:noFill/>
          </a:ln>
        </xdr:spPr>
      </xdr:pic>
      <xdr:sp>
        <xdr:nvSpPr>
          <xdr:cNvPr id="7" name="Shape 7"/>
          <xdr:cNvSpPr txBox="1"/>
        </xdr:nvSpPr>
        <xdr:spPr>
          <a:xfrm>
            <a:off x="798100" y="1722638"/>
            <a:ext cx="1821000" cy="308400"/>
          </a:xfrm>
          <a:prstGeom prst="rect">
            <a:avLst/>
          </a:prstGeom>
          <a:gradFill>
            <a:gsLst>
              <a:gs pos="0">
                <a:srgbClr val="F48108"/>
              </a:gs>
              <a:gs pos="100000">
                <a:srgbClr val="703D08"/>
              </a:gs>
            </a:gsLst>
            <a:lin ang="5400012" scaled="0"/>
          </a:gradFill>
          <a:ln cap="flat" cmpd="sng" w="38100">
            <a:solidFill>
              <a:srgbClr val="FFD96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solidFill>
                  <a:srgbClr val="FFFFFF"/>
                </a:solidFill>
                <a:latin typeface="Verdana"/>
                <a:ea typeface="Verdana"/>
                <a:cs typeface="Verdana"/>
                <a:sym typeface="Verdana"/>
              </a:rPr>
              <a:t>Select Your Account</a:t>
            </a:r>
            <a:endParaRPr sz="1100">
              <a:solidFill>
                <a:srgbClr val="FFFFFF"/>
              </a:solidFill>
              <a:latin typeface="Verdana"/>
              <a:ea typeface="Verdana"/>
              <a:cs typeface="Verdana"/>
              <a:sym typeface="Verdana"/>
            </a:endParaRPr>
          </a:p>
        </xdr:txBody>
      </xdr:sp>
      <xdr:sp>
        <xdr:nvSpPr>
          <xdr:cNvPr id="8" name="Shape 8"/>
          <xdr:cNvSpPr/>
        </xdr:nvSpPr>
        <xdr:spPr>
          <a:xfrm>
            <a:off x="0" y="0"/>
            <a:ext cx="398100" cy="398100"/>
          </a:xfrm>
          <a:prstGeom prst="ellipse">
            <a:avLst/>
          </a:prstGeom>
          <a:solidFill>
            <a:srgbClr val="FF00FF"/>
          </a:solidFill>
          <a:ln cap="flat" cmpd="sng" w="9525">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200">
                <a:solidFill>
                  <a:srgbClr val="FFFFFF"/>
                </a:solidFill>
                <a:latin typeface="Bree Serif"/>
                <a:ea typeface="Bree Serif"/>
                <a:cs typeface="Bree Serif"/>
                <a:sym typeface="Bree Serif"/>
              </a:rPr>
              <a:t>2</a:t>
            </a:r>
            <a:endParaRPr sz="2200">
              <a:solidFill>
                <a:srgbClr val="FFFFFF"/>
              </a:solidFill>
              <a:latin typeface="Bree Serif"/>
              <a:ea typeface="Bree Serif"/>
              <a:cs typeface="Bree Serif"/>
              <a:sym typeface="Bree Serif"/>
            </a:endParaRPr>
          </a:p>
        </xdr:txBody>
      </xdr:sp>
      <xdr:pic>
        <xdr:nvPicPr>
          <xdr:cNvPr id="9" name="Shape 9" title="File:ICONE FLECHE ROUGE.svg - Wikimedia Commons"/>
          <xdr:cNvPicPr preferRelativeResize="0"/>
        </xdr:nvPicPr>
        <xdr:blipFill>
          <a:blip r:embed="rId2">
            <a:alphaModFix/>
          </a:blip>
          <a:stretch>
            <a:fillRect/>
          </a:stretch>
        </xdr:blipFill>
        <xdr:spPr>
          <a:xfrm rot="-1024660">
            <a:off x="2643551" y="1807337"/>
            <a:ext cx="665299" cy="589750"/>
          </a:xfrm>
          <a:prstGeom prst="rect">
            <a:avLst/>
          </a:prstGeom>
          <a:noFill/>
          <a:ln>
            <a:noFill/>
          </a:ln>
        </xdr:spPr>
      </xdr:pic>
    </xdr:grpSp>
    <xdr:clientData fLocksWithSheet="0"/>
  </xdr:oneCellAnchor>
  <xdr:oneCellAnchor>
    <xdr:from>
      <xdr:col>10</xdr:col>
      <xdr:colOff>447675</xdr:colOff>
      <xdr:row>0</xdr:row>
      <xdr:rowOff>76200</xdr:rowOff>
    </xdr:from>
    <xdr:ext cx="3343275" cy="4038600"/>
    <xdr:grpSp>
      <xdr:nvGrpSpPr>
        <xdr:cNvPr id="2" name="Shape 2" title="Drawing"/>
        <xdr:cNvGrpSpPr/>
      </xdr:nvGrpSpPr>
      <xdr:grpSpPr>
        <a:xfrm>
          <a:off x="0" y="0"/>
          <a:ext cx="3335625" cy="4033649"/>
          <a:chOff x="0" y="0"/>
          <a:chExt cx="3335625" cy="4033649"/>
        </a:xfrm>
      </xdr:grpSpPr>
      <xdr:pic>
        <xdr:nvPicPr>
          <xdr:cNvPr id="10" name="Shape 10"/>
          <xdr:cNvPicPr preferRelativeResize="0"/>
        </xdr:nvPicPr>
        <xdr:blipFill>
          <a:blip r:embed="rId4">
            <a:alphaModFix/>
          </a:blip>
          <a:stretch>
            <a:fillRect/>
          </a:stretch>
        </xdr:blipFill>
        <xdr:spPr>
          <a:xfrm>
            <a:off x="199000" y="179125"/>
            <a:ext cx="3136625" cy="3854524"/>
          </a:xfrm>
          <a:prstGeom prst="rect">
            <a:avLst/>
          </a:prstGeom>
          <a:noFill/>
          <a:ln>
            <a:noFill/>
          </a:ln>
        </xdr:spPr>
      </xdr:pic>
      <xdr:sp>
        <xdr:nvSpPr>
          <xdr:cNvPr id="11" name="Shape 11"/>
          <xdr:cNvSpPr/>
        </xdr:nvSpPr>
        <xdr:spPr>
          <a:xfrm>
            <a:off x="0" y="0"/>
            <a:ext cx="398100" cy="398100"/>
          </a:xfrm>
          <a:prstGeom prst="ellipse">
            <a:avLst/>
          </a:prstGeom>
          <a:solidFill>
            <a:srgbClr val="FF00FF"/>
          </a:solidFill>
          <a:ln cap="flat" cmpd="sng" w="9525">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200">
                <a:solidFill>
                  <a:srgbClr val="FFFFFF"/>
                </a:solidFill>
                <a:latin typeface="Bree Serif"/>
                <a:ea typeface="Bree Serif"/>
                <a:cs typeface="Bree Serif"/>
                <a:sym typeface="Bree Serif"/>
              </a:rPr>
              <a:t>3</a:t>
            </a:r>
            <a:endParaRPr sz="2200">
              <a:solidFill>
                <a:srgbClr val="FFFFFF"/>
              </a:solidFill>
              <a:latin typeface="Bree Serif"/>
              <a:ea typeface="Bree Serif"/>
              <a:cs typeface="Bree Serif"/>
              <a:sym typeface="Bree Serif"/>
            </a:endParaRPr>
          </a:p>
        </xdr:txBody>
      </xdr:sp>
      <xdr:pic>
        <xdr:nvPicPr>
          <xdr:cNvPr id="12" name="Shape 12" title="File:ICONE FLECHE ROUGE.svg - Wikimedia Commons"/>
          <xdr:cNvPicPr preferRelativeResize="0"/>
        </xdr:nvPicPr>
        <xdr:blipFill>
          <a:blip r:embed="rId2">
            <a:alphaModFix/>
          </a:blip>
          <a:stretch>
            <a:fillRect/>
          </a:stretch>
        </xdr:blipFill>
        <xdr:spPr>
          <a:xfrm rot="-1024660">
            <a:off x="698901" y="2225287"/>
            <a:ext cx="665299" cy="589750"/>
          </a:xfrm>
          <a:prstGeom prst="rect">
            <a:avLst/>
          </a:prstGeom>
          <a:noFill/>
          <a:ln>
            <a:noFill/>
          </a:ln>
        </xdr:spPr>
      </xdr:pic>
    </xdr:grpSp>
    <xdr:clientData fLocksWithSheet="0"/>
  </xdr:oneCellAnchor>
  <xdr:oneCellAnchor>
    <xdr:from>
      <xdr:col>0</xdr:col>
      <xdr:colOff>209550</xdr:colOff>
      <xdr:row>19</xdr:row>
      <xdr:rowOff>190500</xdr:rowOff>
    </xdr:from>
    <xdr:ext cx="4019550" cy="4905375"/>
    <xdr:grpSp>
      <xdr:nvGrpSpPr>
        <xdr:cNvPr id="2" name="Shape 2" title="Drawing"/>
        <xdr:cNvGrpSpPr/>
      </xdr:nvGrpSpPr>
      <xdr:grpSpPr>
        <a:xfrm>
          <a:off x="0" y="0"/>
          <a:ext cx="4012299" cy="4895748"/>
          <a:chOff x="0" y="0"/>
          <a:chExt cx="4012299" cy="4895748"/>
        </a:xfrm>
      </xdr:grpSpPr>
      <xdr:pic>
        <xdr:nvPicPr>
          <xdr:cNvPr id="13" name="Shape 13"/>
          <xdr:cNvPicPr preferRelativeResize="0"/>
        </xdr:nvPicPr>
        <xdr:blipFill>
          <a:blip r:embed="rId5">
            <a:alphaModFix/>
          </a:blip>
          <a:stretch>
            <a:fillRect/>
          </a:stretch>
        </xdr:blipFill>
        <xdr:spPr>
          <a:xfrm>
            <a:off x="152400" y="152400"/>
            <a:ext cx="3859899" cy="4743348"/>
          </a:xfrm>
          <a:prstGeom prst="rect">
            <a:avLst/>
          </a:prstGeom>
          <a:noFill/>
          <a:ln>
            <a:noFill/>
          </a:ln>
        </xdr:spPr>
      </xdr:pic>
      <xdr:sp>
        <xdr:nvSpPr>
          <xdr:cNvPr id="14" name="Shape 14"/>
          <xdr:cNvSpPr/>
        </xdr:nvSpPr>
        <xdr:spPr>
          <a:xfrm>
            <a:off x="0" y="0"/>
            <a:ext cx="398100" cy="398100"/>
          </a:xfrm>
          <a:prstGeom prst="ellipse">
            <a:avLst/>
          </a:prstGeom>
          <a:solidFill>
            <a:srgbClr val="FF00FF"/>
          </a:solidFill>
          <a:ln cap="flat" cmpd="sng" w="9525">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200">
                <a:solidFill>
                  <a:srgbClr val="FFFFFF"/>
                </a:solidFill>
                <a:latin typeface="Bree Serif"/>
                <a:ea typeface="Bree Serif"/>
                <a:cs typeface="Bree Serif"/>
                <a:sym typeface="Bree Serif"/>
              </a:rPr>
              <a:t>4</a:t>
            </a:r>
            <a:endParaRPr sz="2200">
              <a:solidFill>
                <a:srgbClr val="FFFFFF"/>
              </a:solidFill>
              <a:latin typeface="Bree Serif"/>
              <a:ea typeface="Bree Serif"/>
              <a:cs typeface="Bree Serif"/>
              <a:sym typeface="Bree Serif"/>
            </a:endParaRPr>
          </a:p>
        </xdr:txBody>
      </xdr:sp>
      <xdr:pic>
        <xdr:nvPicPr>
          <xdr:cNvPr id="15" name="Shape 15" title="File:ICONE FLECHE ROUGE.svg - Wikimedia Commons"/>
          <xdr:cNvPicPr preferRelativeResize="0"/>
        </xdr:nvPicPr>
        <xdr:blipFill>
          <a:blip r:embed="rId2">
            <a:alphaModFix/>
          </a:blip>
          <a:stretch>
            <a:fillRect/>
          </a:stretch>
        </xdr:blipFill>
        <xdr:spPr>
          <a:xfrm rot="-1024660">
            <a:off x="2082101" y="3370687"/>
            <a:ext cx="665299" cy="589750"/>
          </a:xfrm>
          <a:prstGeom prst="rect">
            <a:avLst/>
          </a:prstGeom>
          <a:noFill/>
          <a:ln>
            <a:noFill/>
          </a:ln>
        </xdr:spPr>
      </xdr:pic>
    </xdr:grpSp>
    <xdr:clientData fLocksWithSheet="0"/>
  </xdr:oneCellAnchor>
  <xdr:oneCellAnchor>
    <xdr:from>
      <xdr:col>5</xdr:col>
      <xdr:colOff>133350</xdr:colOff>
      <xdr:row>19</xdr:row>
      <xdr:rowOff>171450</xdr:rowOff>
    </xdr:from>
    <xdr:ext cx="4400550" cy="5372100"/>
    <xdr:grpSp>
      <xdr:nvGrpSpPr>
        <xdr:cNvPr id="2" name="Shape 2" title="Drawing"/>
        <xdr:cNvGrpSpPr/>
      </xdr:nvGrpSpPr>
      <xdr:grpSpPr>
        <a:xfrm>
          <a:off x="0" y="0"/>
          <a:ext cx="4390449" cy="5360448"/>
          <a:chOff x="0" y="0"/>
          <a:chExt cx="4390449" cy="5360448"/>
        </a:xfrm>
      </xdr:grpSpPr>
      <xdr:pic>
        <xdr:nvPicPr>
          <xdr:cNvPr id="16" name="Shape 16"/>
          <xdr:cNvPicPr preferRelativeResize="0"/>
        </xdr:nvPicPr>
        <xdr:blipFill>
          <a:blip r:embed="rId6">
            <a:alphaModFix/>
          </a:blip>
          <a:stretch>
            <a:fillRect/>
          </a:stretch>
        </xdr:blipFill>
        <xdr:spPr>
          <a:xfrm>
            <a:off x="152400" y="152400"/>
            <a:ext cx="4238049" cy="5208048"/>
          </a:xfrm>
          <a:prstGeom prst="rect">
            <a:avLst/>
          </a:prstGeom>
          <a:noFill/>
          <a:ln>
            <a:noFill/>
          </a:ln>
        </xdr:spPr>
      </xdr:pic>
      <xdr:sp>
        <xdr:nvSpPr>
          <xdr:cNvPr id="17" name="Shape 17"/>
          <xdr:cNvSpPr/>
        </xdr:nvSpPr>
        <xdr:spPr>
          <a:xfrm>
            <a:off x="0" y="0"/>
            <a:ext cx="398100" cy="398100"/>
          </a:xfrm>
          <a:prstGeom prst="ellipse">
            <a:avLst/>
          </a:prstGeom>
          <a:solidFill>
            <a:srgbClr val="FF00FF"/>
          </a:solidFill>
          <a:ln cap="flat" cmpd="sng" w="9525">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200">
                <a:solidFill>
                  <a:srgbClr val="FFFFFF"/>
                </a:solidFill>
                <a:latin typeface="Bree Serif"/>
                <a:ea typeface="Bree Serif"/>
                <a:cs typeface="Bree Serif"/>
                <a:sym typeface="Bree Serif"/>
              </a:rPr>
              <a:t>5</a:t>
            </a:r>
            <a:endParaRPr sz="2200">
              <a:solidFill>
                <a:srgbClr val="FFFFFF"/>
              </a:solidFill>
              <a:latin typeface="Bree Serif"/>
              <a:ea typeface="Bree Serif"/>
              <a:cs typeface="Bree Serif"/>
              <a:sym typeface="Bree Serif"/>
            </a:endParaRPr>
          </a:p>
        </xdr:txBody>
      </xdr:sp>
      <xdr:pic>
        <xdr:nvPicPr>
          <xdr:cNvPr id="18" name="Shape 18" title="File:ICONE FLECHE ROUGE.svg - Wikimedia Commons"/>
          <xdr:cNvPicPr preferRelativeResize="0"/>
        </xdr:nvPicPr>
        <xdr:blipFill>
          <a:blip r:embed="rId2">
            <a:alphaModFix/>
          </a:blip>
          <a:stretch>
            <a:fillRect/>
          </a:stretch>
        </xdr:blipFill>
        <xdr:spPr>
          <a:xfrm rot="-1024660">
            <a:off x="3415576" y="4125987"/>
            <a:ext cx="665299" cy="589750"/>
          </a:xfrm>
          <a:prstGeom prst="rect">
            <a:avLst/>
          </a:prstGeom>
          <a:noFill/>
          <a:ln>
            <a:noFill/>
          </a:ln>
        </xdr:spPr>
      </xdr:pic>
    </xdr:grpSp>
    <xdr:clientData fLocksWithSheet="0"/>
  </xdr:oneCellAnchor>
  <xdr:oneCellAnchor>
    <xdr:from>
      <xdr:col>9</xdr:col>
      <xdr:colOff>933450</xdr:colOff>
      <xdr:row>19</xdr:row>
      <xdr:rowOff>190500</xdr:rowOff>
    </xdr:from>
    <xdr:ext cx="3819525" cy="6524625"/>
    <xdr:grpSp>
      <xdr:nvGrpSpPr>
        <xdr:cNvPr id="2" name="Shape 2" title="Drawing"/>
        <xdr:cNvGrpSpPr/>
      </xdr:nvGrpSpPr>
      <xdr:grpSpPr>
        <a:xfrm>
          <a:off x="0" y="0"/>
          <a:ext cx="3813274" cy="6516975"/>
          <a:chOff x="0" y="0"/>
          <a:chExt cx="3813274" cy="6516975"/>
        </a:xfrm>
      </xdr:grpSpPr>
      <xdr:pic>
        <xdr:nvPicPr>
          <xdr:cNvPr id="19" name="Shape 19"/>
          <xdr:cNvPicPr preferRelativeResize="0"/>
        </xdr:nvPicPr>
        <xdr:blipFill>
          <a:blip r:embed="rId7">
            <a:alphaModFix/>
          </a:blip>
          <a:stretch>
            <a:fillRect/>
          </a:stretch>
        </xdr:blipFill>
        <xdr:spPr>
          <a:xfrm>
            <a:off x="152400" y="152400"/>
            <a:ext cx="3660874" cy="6364575"/>
          </a:xfrm>
          <a:prstGeom prst="rect">
            <a:avLst/>
          </a:prstGeom>
          <a:noFill/>
          <a:ln>
            <a:noFill/>
          </a:ln>
        </xdr:spPr>
      </xdr:pic>
      <xdr:sp>
        <xdr:nvSpPr>
          <xdr:cNvPr id="20" name="Shape 20"/>
          <xdr:cNvSpPr/>
        </xdr:nvSpPr>
        <xdr:spPr>
          <a:xfrm>
            <a:off x="0" y="0"/>
            <a:ext cx="398100" cy="398100"/>
          </a:xfrm>
          <a:prstGeom prst="ellipse">
            <a:avLst/>
          </a:prstGeom>
          <a:solidFill>
            <a:srgbClr val="FF00FF"/>
          </a:solidFill>
          <a:ln cap="flat" cmpd="sng" w="9525">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200">
                <a:solidFill>
                  <a:srgbClr val="FFFFFF"/>
                </a:solidFill>
                <a:latin typeface="Bree Serif"/>
                <a:ea typeface="Bree Serif"/>
                <a:cs typeface="Bree Serif"/>
                <a:sym typeface="Bree Serif"/>
              </a:rPr>
              <a:t>6</a:t>
            </a:r>
            <a:endParaRPr sz="2200">
              <a:solidFill>
                <a:srgbClr val="FFFFFF"/>
              </a:solidFill>
              <a:latin typeface="Bree Serif"/>
              <a:ea typeface="Bree Serif"/>
              <a:cs typeface="Bree Serif"/>
              <a:sym typeface="Bree Serif"/>
            </a:endParaRPr>
          </a:p>
        </xdr:txBody>
      </xdr:sp>
      <xdr:pic>
        <xdr:nvPicPr>
          <xdr:cNvPr id="21" name="Shape 21" title="File:ICONE FLECHE ROUGE.svg - Wikimedia Commons"/>
          <xdr:cNvPicPr preferRelativeResize="0"/>
        </xdr:nvPicPr>
        <xdr:blipFill>
          <a:blip r:embed="rId2">
            <a:alphaModFix/>
          </a:blip>
          <a:stretch>
            <a:fillRect/>
          </a:stretch>
        </xdr:blipFill>
        <xdr:spPr>
          <a:xfrm rot="-1024660">
            <a:off x="2948976" y="5718137"/>
            <a:ext cx="665299" cy="589750"/>
          </a:xfrm>
          <a:prstGeom prst="rect">
            <a:avLst/>
          </a:prstGeom>
          <a:noFill/>
          <a:ln>
            <a:noFill/>
          </a:ln>
        </xdr:spPr>
      </xdr:pic>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2" displayName="Table_1" name="Table_1" id="1">
  <tableColumns count="5">
    <tableColumn name="id_no" id="1"/>
    <tableColumn name="Group" id="2"/>
    <tableColumn name="assist_id" id="3"/>
    <tableColumn name="assistance" id="4"/>
    <tableColumn name="icon" id="5"/>
  </tableColumns>
  <tableStyleInfo name="assistance-style" showColumnStripes="0" showFirstColumn="1" showLastColumn="1" showRowStripes="1"/>
</table>
</file>

<file path=xl/tables/table2.xml><?xml version="1.0" encoding="utf-8"?>
<table xmlns="http://schemas.openxmlformats.org/spreadsheetml/2006/main" headerRowCount="0" ref="A23:E24" displayName="Table_2" name="Table_2" id="2">
  <tableColumns count="5">
    <tableColumn name="Column1" id="1"/>
    <tableColumn name="Column2" id="2"/>
    <tableColumn name="Column3" id="3"/>
    <tableColumn name="Column4" id="4"/>
    <tableColumn name="Column5" id="5"/>
  </tableColumns>
  <tableStyleInfo name="assistance-style 2" showColumnStripes="0" showFirstColumn="1" showLastColumn="1" showRowStripes="1"/>
</table>
</file>

<file path=xl/tables/table3.xml><?xml version="1.0" encoding="utf-8"?>
<table xmlns="http://schemas.openxmlformats.org/spreadsheetml/2006/main" headerRowCount="0" ref="A25:E31" displayName="Table_3" name="Table_3" id="3">
  <tableColumns count="5">
    <tableColumn name="Column1" id="1"/>
    <tableColumn name="Column2" id="2"/>
    <tableColumn name="Column3" id="3"/>
    <tableColumn name="Column4" id="4"/>
    <tableColumn name="Column5" id="5"/>
  </tableColumns>
  <tableStyleInfo name="assistanc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cuiccrosby.org/assistance" TargetMode="External"/><Relationship Id="rId391" Type="http://schemas.openxmlformats.org/officeDocument/2006/relationships/hyperlink" Target="https://www.google.com/maps/place/Churches+United+In+Caring/@29.905414,-95.0597783,17z/data=!3m1!4b1!4m6!3m5!1s0x863f57ded86645f3:0x848bef5840cb32a8!8m2!3d29.905414!4d-95.057198!16s%2Fg%2F1v_snm1q?entry=ttu&amp;g_ep=EgoyMDI2MDIxNi4wIKXMDSoASAFQAw%3D%3D" TargetMode="External"/><Relationship Id="rId390" Type="http://schemas.openxmlformats.org/officeDocument/2006/relationships/hyperlink" Target="https://www.cuiccrosby.org/assistance" TargetMode="External"/><Relationship Id="rId1" Type="http://schemas.openxmlformats.org/officeDocument/2006/relationships/hyperlink" Target="https://3abereavement.weebly.com/" TargetMode="External"/><Relationship Id="rId2" Type="http://schemas.openxmlformats.org/officeDocument/2006/relationships/hyperlink" Target="https://www.google.com/maps/place/Three+A+Bereavement/@29.6962313,-95.3378945,16z/data=!3m1!4b1!4m6!3m5!1s0x8640be3dadb801b5:0x44b0b287f8f22ef6!8m2!3d29.6962267!4d-95.3353142!16s%2Fg%2F1tlqqcg1?entry=ttu&amp;g_ep=EgoyMDI1MDUwNy4wIKXMDSoASAFQAw%3D%3D" TargetMode="External"/><Relationship Id="rId3" Type="http://schemas.openxmlformats.org/officeDocument/2006/relationships/hyperlink" Target="https://maps.google.com/?q=A%20Touch%20of%20God's%20Love%20Outreach%2010103%20Fondren%20Suite%20420%20Houston%20TX%2077096" TargetMode="External"/><Relationship Id="rId4" Type="http://schemas.openxmlformats.org/officeDocument/2006/relationships/hyperlink" Target="https://www.aama.org/apps/pages/george-i-sanchez-charter-schools" TargetMode="External"/><Relationship Id="rId9" Type="http://schemas.openxmlformats.org/officeDocument/2006/relationships/hyperlink" Target="https://www.google.com/maps/place/Ability+Found+Charity/@40.7202562,-111.9631665,17z/data=!3m1!4b1!4m6!3m5!1s0x87528a2b55962c8f:0x4d686ad30de1f05d!8m2!3d40.7202563!4d-111.9582902!16s%2Fg%2F1vzv443n?entry=ttu&amp;g_ep=EgoyMDI2MDEyMC4wIKXMDSoKLDEwMDc5MjA2OUgBUAM%3D" TargetMode="External"/><Relationship Id="rId385" Type="http://schemas.openxmlformats.org/officeDocument/2006/relationships/hyperlink" Target="https://www.google.com/maps/place/St.+Mary+of+the+Purification+Catholic+Church/@29.719239,-95.3709943,17z/data=!4m10!1m2!2m1!1sSt.+mary+of+the+purification+Catholic+School!3m6!1s0x8640bfa3e8caddc5:0xba774b73e5ab46f0!8m2!3d29.7192068!4d-95.3682173!15sCixTdC4gbWFyeSBvZiB0aGUgcHVyaWZpY2F0aW9uIENhdGhvbGljIFNjaG9vbFotIitzdCBtYXJ5IG9mIHRoZSBwdXJpZmljYXRpb24gY2F0aG9saWMgc2Nob29skgEPY2F0aG9saWNfY2h1cmNomgEkQ2hkRFNVaE5NRzluUzBWSlEwRm5UVVJ2YUdFeVZuQjNSUkFCqgFyCggvbS8wNnpkahABKhMiD2NhdGhvbGljIHNjaG9vbCgAMh4QASIaivpQatuuFByfF6rnR1qtCsAjZZbMX3t2fm0yLxACIitzdCBtYXJ5IG9mIHRoZSBwdXJpZmljYXRpb24gY2F0aG9saWMgc2Nob29s4AEA-gEECEUQIw!16s%2Fg%2F1w0h__72?entry=ttu&amp;g_ep=EgoyMDI1MDcwOS4wIKXMDSoASAFQAw%3D%3D" TargetMode="External"/><Relationship Id="rId384" Type="http://schemas.openxmlformats.org/officeDocument/2006/relationships/hyperlink" Target="https://christusfoundation.org/programs/christus-school-clinics/" TargetMode="External"/><Relationship Id="rId383" Type="http://schemas.openxmlformats.org/officeDocument/2006/relationships/hyperlink" Target="https://www.google.com/maps/place/St.+Christopher+Catholic+School/@29.6870746,-95.2753515,17z/data=!4m15!1m8!3m7!1s0x8640bd87031223f5:0x9a47f52956c33225!2sSt.+Christopher+Catholic+School!8m2!3d29.6865913!4d-95.2748516!10e5!16s%2Fg%2F1tgdjck5!3m5!1s0x8640bd87031223f5:0x9a47f52956c33225!8m2!3d29.6865913!4d-95.2748516!16s%2Fg%2F1tgdjck5?entry=ttu&amp;g_ep=EgoyMDI1MDcwOS4wIKXMDSoASAFQAw%3D%3D" TargetMode="External"/><Relationship Id="rId382" Type="http://schemas.openxmlformats.org/officeDocument/2006/relationships/hyperlink" Target="https://christusfoundation.org/programs/christus-school-clinics/" TargetMode="External"/><Relationship Id="rId5" Type="http://schemas.openxmlformats.org/officeDocument/2006/relationships/hyperlink" Target="https://www.google.com/maps/place/Sanchez+Charter+Middle+and+High+School/@29.8635627,-95.3810943,16z/data=!3m1!4b1!4m6!3m5!1s0x8640b80004692007:0x8f00566854f63014!8m2!3d29.8635581!4d-95.3785194!16s%2Fg%2F11c600mkxz?entry=ttu&amp;g_ep=EgoyMDI1MDgxOS4wIKXMDSoASAFQAw%3D%3D" TargetMode="External"/><Relationship Id="rId389" Type="http://schemas.openxmlformats.org/officeDocument/2006/relationships/hyperlink" Target="https://maps.google.com/?q=Church%20Without%20Walls%205314%20Bingle%20Rd%20Houston%20TX%2077092" TargetMode="External"/><Relationship Id="rId6" Type="http://schemas.openxmlformats.org/officeDocument/2006/relationships/hyperlink" Target="https://www.aama.org/apps/pages/george-i-sanchez-charter-schools" TargetMode="External"/><Relationship Id="rId388" Type="http://schemas.openxmlformats.org/officeDocument/2006/relationships/hyperlink" Target="https://tcww.org/" TargetMode="External"/><Relationship Id="rId7" Type="http://schemas.openxmlformats.org/officeDocument/2006/relationships/hyperlink" Target="https://www.google.com/maps/place/AAMA/@29.7143334,-95.3127981,19z/data=!3m1!4b1!4m6!3m5!1s0x8640bfd5e8dcfca9:0x894a10d39493d560!8m2!3d29.7143322!4d-95.3121544!16s%2Fg%2F11sszckmnd?entry=ttu&amp;g_ep=EgoyMDI1MDgxOS4wIKXMDSoASAFQAw%3D%3D" TargetMode="External"/><Relationship Id="rId387" Type="http://schemas.openxmlformats.org/officeDocument/2006/relationships/hyperlink" Target="https://www.google.com/maps/place/CHRISTUS+St.+Mary's+Clinic/@29.7190462,-95.3174169,17z/data=!3m1!4b1!4m6!3m5!1s0x8640be7a0882a007:0x18b9562d4bce129b!8m2!3d29.7190462!4d-95.314842!16s%2Fg%2F113hd44p4?entry=ttu&amp;g_ep=EgoyMDI1MDQwOS4wIKXMDSoASAFQAw%3D%3D" TargetMode="External"/><Relationship Id="rId8" Type="http://schemas.openxmlformats.org/officeDocument/2006/relationships/hyperlink" Target="https://abilityfound.org/pages/need-help" TargetMode="External"/><Relationship Id="rId386" Type="http://schemas.openxmlformats.org/officeDocument/2006/relationships/hyperlink" Target="https://christusfoundation.org/programs/christus-st-marys-clinic/" TargetMode="External"/><Relationship Id="rId381" Type="http://schemas.openxmlformats.org/officeDocument/2006/relationships/hyperlink" Target="https://www.google.com/maps/place/St+Augustine+Catholic+School/@29.6786822,-95.2399734,17z/data=!3m1!4b1!4m6!3m5!1s0x864097e4ba183421:0x97223d28ab01a41!8m2!3d29.6786822!4d-95.2373931!16s%2Fg%2F1tk6qpy_?entry=ttu&amp;g_ep=EgoyMDI1MDcwOS4wIKXMDSoASAFQAw%3D%3D" TargetMode="External"/><Relationship Id="rId380" Type="http://schemas.openxmlformats.org/officeDocument/2006/relationships/hyperlink" Target="https://christusfoundation.org/programs/christus-school-clinics/" TargetMode="External"/><Relationship Id="rId379" Type="http://schemas.openxmlformats.org/officeDocument/2006/relationships/hyperlink" Target="https://www.google.com/maps/place/Resurrection+Catholic+School/@29.7719345,-95.305051,17z/data=!3m1!4b1!4m6!3m5!1s0x8640bc0654dffbc7:0x7e693d00552be868!8m2!3d29.7719345!4d-95.3024707!16s%2Fg%2F1wj_tnc3?entry=ttu&amp;g_ep=EgoyMDI1MDcwOS4wIKXMDSoASAFQAw%3D%3D" TargetMode="External"/><Relationship Id="rId374" Type="http://schemas.openxmlformats.org/officeDocument/2006/relationships/hyperlink" Target="https://christusfoundation.org/programs/christus-school-clinics/" TargetMode="External"/><Relationship Id="rId373" Type="http://schemas.openxmlformats.org/officeDocument/2006/relationships/hyperlink" Target="https://www.google.com/maps/place/Our+Lady+of+Fatima+Catholic+Church/@29.7389476,-95.2408493,17z/data=!4m10!1m2!2m1!1sour+lady+of+fatima+galena+park!3m6!1s0x8640bcda1a0f2a7b:0x6fe28e984c1dcd07!8m2!3d29.7386309!4d-95.2382359!15sCh5vdXIgbGFkeSBvZiBmYXRpbWEgZ2FsZW5hIHBhcmuSAQ9jYXRob2xpY19jaHVyY2iqAUcQATIfEAEiG0k0fNQERmCv2TL994M3Zd-yzQD_S4x1t716fjIiEAIiHm91ciBsYWR5IG9mIGZhdGltYSBnYWxlbmEgcGFya-ABAA!16s%2Fg%2F1tf7y2tb?entry=ttu&amp;g_ep=EgoyMDI1MDcwOS4wIKXMDSoASAFQAw%3D%3D" TargetMode="External"/><Relationship Id="rId372" Type="http://schemas.openxmlformats.org/officeDocument/2006/relationships/hyperlink" Target="https://christusfoundation.org/programs/christus-school-clinics/" TargetMode="External"/><Relationship Id="rId371" Type="http://schemas.openxmlformats.org/officeDocument/2006/relationships/hyperlink" Target="https://www.google.com/maps/place/Holy+Ghost+Catholic+School/@29.7040289,-95.4790869,17z/data=!3m1!4b1!4m6!3m5!1s0x8640c18a3d8d6bef:0x92ee8fcd5bbd276e!8m2!3d29.7040289!4d-95.4765066!16s%2Fg%2F1vzqsn41?entry=ttu&amp;g_ep=EgoyMDI1MDcwOS4wIKXMDSoASAFQAw%3D%3D" TargetMode="External"/><Relationship Id="rId378" Type="http://schemas.openxmlformats.org/officeDocument/2006/relationships/hyperlink" Target="https://christusfoundation.org/programs/christus-school-clinics/" TargetMode="External"/><Relationship Id="rId377" Type="http://schemas.openxmlformats.org/officeDocument/2006/relationships/hyperlink" Target="https://www.google.com/maps/place/Our+Lady+of+Guadalupe+Catholic+School/@29.7593589,-95.3489433,17z/data=!3m1!4b1!4m6!3m5!1s0x8640bedbaba8ed2b:0x7e510a6ea6154931!8m2!3d29.759359!4d-95.344067!16s%2Fm%2F0m0kym5?entry=ttu&amp;g_ep=EgoyMDI1MDcwOS4wIKXMDSoASAFQAw%3D%3D" TargetMode="External"/><Relationship Id="rId376" Type="http://schemas.openxmlformats.org/officeDocument/2006/relationships/hyperlink" Target="https://christusfoundation.org/programs/christus-school-clinics/" TargetMode="External"/><Relationship Id="rId375" Type="http://schemas.openxmlformats.org/officeDocument/2006/relationships/hyperlink" Target="https://www.google.com/maps/place/Our+Lady+of+Fatima+School/@29.3940095,-94.919865,17z/data=!3m1!4b1!4m6!3m5!1s0x863f79be9b23ce77:0xf3caa6e91405187b!8m2!3d29.3940095!4d-94.9172847!16s%2Fg%2F1v2gf3zc?entry=ttu&amp;g_ep=EgoyMDI1MDcwOS4wIKXMDSoASAFQAw%3D%3D" TargetMode="External"/><Relationship Id="rId396" Type="http://schemas.openxmlformats.org/officeDocument/2006/relationships/hyperlink" Target="https://www.cuiccrosby.org/assistance" TargetMode="External"/><Relationship Id="rId395" Type="http://schemas.openxmlformats.org/officeDocument/2006/relationships/hyperlink" Target="https://www.google.com/maps/place/Churches+United+In+Caring/@29.905414,-95.0597783,17z/data=!3m1!4b1!4m6!3m5!1s0x863f57ded86645f3:0x848bef5840cb32a8!8m2!3d29.905414!4d-95.057198!16s%2Fg%2F1v_snm1q?entry=ttu&amp;g_ep=EgoyMDI2MDIxNi4wIKXMDSoASAFQAw%3D%3D" TargetMode="External"/><Relationship Id="rId394" Type="http://schemas.openxmlformats.org/officeDocument/2006/relationships/hyperlink" Target="https://www.cuiccrosby.org/assistance" TargetMode="External"/><Relationship Id="rId393" Type="http://schemas.openxmlformats.org/officeDocument/2006/relationships/hyperlink" Target="https://www.google.com/maps/place/Churches+United+In+Caring/@29.905414,-95.0597783,17z/data=!3m1!4b1!4m6!3m5!1s0x863f57ded86645f3:0x848bef5840cb32a8!8m2!3d29.905414!4d-95.057198!16s%2Fg%2F1v_snm1q?entry=ttu&amp;g_ep=EgoyMDI2MDIxNi4wIKXMDSoASAFQAw%3D%3D" TargetMode="External"/><Relationship Id="rId399" Type="http://schemas.openxmlformats.org/officeDocument/2006/relationships/hyperlink" Target="https://www.google.com/maps/place/Churches+United+In+Caring/@29.905414,-95.0597783,17z/data=!3m1!4b1!4m6!3m5!1s0x863f57ded86645f3:0x848bef5840cb32a8!8m2!3d29.905414!4d-95.057198!16s%2Fg%2F1v_snm1q?entry=ttu&amp;g_ep=EgoyMDI2MDIxNi4wIKXMDSoASAFQAw%3D%3D" TargetMode="External"/><Relationship Id="rId398" Type="http://schemas.openxmlformats.org/officeDocument/2006/relationships/hyperlink" Target="https://www.cuiccrosby.org/assistance" TargetMode="External"/><Relationship Id="rId397" Type="http://schemas.openxmlformats.org/officeDocument/2006/relationships/hyperlink" Target="https://www.google.com/maps/place/Churches+United+In+Caring/@29.905414,-95.0597783,17z/data=!3m1!4b1!4m6!3m5!1s0x863f57ded86645f3:0x848bef5840cb32a8!8m2!3d29.905414!4d-95.057198!16s%2Fg%2F1v_snm1q?entry=ttu&amp;g_ep=EgoyMDI2MDIxNi4wIKXMDSoASAFQAw%3D%3D" TargetMode="External"/><Relationship Id="rId1730" Type="http://schemas.openxmlformats.org/officeDocument/2006/relationships/hyperlink" Target="https://www.sohmission.org/how-we-help/for-men/" TargetMode="External"/><Relationship Id="rId1731" Type="http://schemas.openxmlformats.org/officeDocument/2006/relationships/hyperlink" Target="https://www.google.com/maps/place/Star+Of+Hope+-+Doris+and+Carloss+Morris+Men%E2%80%99s+Development+Center+-+Soup+Kitchen/@29.7605691,-95.354099,17z/data=!3m1!4b1!4m6!3m5!1s0x8640bed80d365773:0xc39e811b3babe46d!8m2!3d29.7605645!4d-95.3515241!16s%2Fg%2F11q3_jmzgn?entry=ttu&amp;g_ep=EgoyMDI1MDUxMy4xIKXMDSoASAFQAw%3D%3D" TargetMode="External"/><Relationship Id="rId1732" Type="http://schemas.openxmlformats.org/officeDocument/2006/relationships/hyperlink" Target="https://www.ssjwoodlands.com/" TargetMode="External"/><Relationship Id="rId1733" Type="http://schemas.openxmlformats.org/officeDocument/2006/relationships/hyperlink" Target="https://maps.google.com/?q=Sts%20Simon%20%26%20Jude%20%20(SVdP%20D6)%20The%20Woodlands%2026777%20Glen%20Loch%20Dr%20The%20Woodlands%20TX%2077381" TargetMode="External"/><Relationship Id="rId1734" Type="http://schemas.openxmlformats.org/officeDocument/2006/relationships/hyperlink" Target="https://www.ssjwoodlands.com/" TargetMode="External"/><Relationship Id="rId1735" Type="http://schemas.openxmlformats.org/officeDocument/2006/relationships/hyperlink" Target="https://maps.google.com/?q=Sts%20Simon%20%26%20Jude%20%20(SVdP%20D6)%20The%20Woodlands%2026777%20Glen%20Loch%20Dr%20The%20Woodlands%20TX%2077381" TargetMode="External"/><Relationship Id="rId1736" Type="http://schemas.openxmlformats.org/officeDocument/2006/relationships/hyperlink" Target="https://www.ssjwoodlands.com/" TargetMode="External"/><Relationship Id="rId1737" Type="http://schemas.openxmlformats.org/officeDocument/2006/relationships/hyperlink" Target="https://maps.google.com/?q=Sts%20Simon%20%26%20Jude%20%20(SVdP%20D6)%20The%20Woodlands%2026777%20Glen%20Loch%20Dr%20The%20Woodlands%20TX%2077381" TargetMode="External"/><Relationship Id="rId1738" Type="http://schemas.openxmlformats.org/officeDocument/2006/relationships/hyperlink" Target="https://www.houstonhealth.org/services/multi-service-centers/sunnyside-multi-service-center" TargetMode="External"/><Relationship Id="rId1739"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1720" Type="http://schemas.openxmlformats.org/officeDocument/2006/relationships/hyperlink" Target="https://www.stvhope.org/clinical-services" TargetMode="External"/><Relationship Id="rId1721"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22" Type="http://schemas.openxmlformats.org/officeDocument/2006/relationships/hyperlink" Target="https://www.stvhope.org/clinical-services" TargetMode="External"/><Relationship Id="rId1723"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24" Type="http://schemas.openxmlformats.org/officeDocument/2006/relationships/hyperlink" Target="https://www.stvhope.org/" TargetMode="External"/><Relationship Id="rId1725"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26" Type="http://schemas.openxmlformats.org/officeDocument/2006/relationships/hyperlink" Target="https://www.sohmission.org/our-services/women-and-family-development-center/" TargetMode="External"/><Relationship Id="rId1727" Type="http://schemas.openxmlformats.org/officeDocument/2006/relationships/hyperlink" Target="https://www.google.com/maps/place/Star+of+Hope+Mission+-+Women+and+Family+Development+Center+at+Star+of+Hope's+Cornerstone+Community/@29.6599078,-95.3952442,17z/data=!3m1!4b1!4m6!3m5!1s0x8640954af49fda95:0xb9b94beff6bf60c2!8m2!3d29.6599032!4d-95.3926693!16s%2Fg%2F11gbfnplcv?entry=ttu&amp;g_ep=EgoyMDI1MDUxMy4xIKXMDSoASAFQAw%3D%3D" TargetMode="External"/><Relationship Id="rId1728" Type="http://schemas.openxmlformats.org/officeDocument/2006/relationships/hyperlink" Target="https://www.sohmission.org/our-services/workforce-development/" TargetMode="External"/><Relationship Id="rId1729" Type="http://schemas.openxmlformats.org/officeDocument/2006/relationships/hyperlink" Target="https://www.google.com/maps/place/Star+of+Hope+Mission+-+Administrative+Office/@29.6594925,-95.4119155,15z/data=!4m10!1m2!2m1!1sstar+of+hope+houston!3m6!1s0x8640bfebbd9297df:0x6c5c2ae84b1daf58!8m2!3d29.6594925!4d-95.3928611!15sChRzdGFyIG9mIGhvcGUgaG91c3RvbiIDiAEBkgEQY29ycG9yYXRlX29mZmljZaoBXgoNL2cvMTFma3l5OThsYxABKhAiDHN0YXIgb2YgaG9wZSgAMh8QASIbhWTWxbdxc1Wnv8siLEPBCKczxGbvZrbyr2YtMhgQAiIUc3RhciBvZiBob3BlIGhvdXN0b27gAQA!16s%2Fg%2F1td7zgj0?entry=ttu&amp;g_ep=EgoyMDI1MDUxMy4xIKXMDSoASAFQAw%3D%3D" TargetMode="External"/><Relationship Id="rId1752" Type="http://schemas.openxmlformats.org/officeDocument/2006/relationships/hyperlink" Target="https://www.google.com/maps/place/Target+Hunger/@29.7645666,-95.3143802,16z/data=!3m1!4b1!4m6!3m5!1s0x8640b92fd90d19f1:0x7b5bcf36f2190529!8m2!3d29.764562!4d-95.3118053!16s%2Fg%2F1tdp9_j5?entry=ttu&amp;g_ep=EgoyMDI1MTAwMS4wIKXMDSoASAFQAw%3D%3D" TargetMode="External"/><Relationship Id="rId1753" Type="http://schemas.openxmlformats.org/officeDocument/2006/relationships/hyperlink" Target="https://www.texasdefender.org/what-we-do/" TargetMode="External"/><Relationship Id="rId1754" Type="http://schemas.openxmlformats.org/officeDocument/2006/relationships/hyperlink" Target="https://www.google.com/maps/place/1927+Blodgett+St,+Houston,+TX+77004/@29.7274268,-95.3785029,16z/data=!3m1!4b1!4m6!3m5!1s0x8640bf759c02f9f9:0x3b910e3e61beb73e!8m2!3d29.7274268!4d-95.3759226!16s%2Fg%2F11b8v7zcpr?entry=ttu&amp;g_ep=EgoyMDI2MDExMy4wIKXMDSoKLDEwMDc5MjA2OUgBUAM%3D" TargetMode="External"/><Relationship Id="rId1755" Type="http://schemas.openxmlformats.org/officeDocument/2006/relationships/hyperlink" Target="https://www.hhs.texas.gov/services/health/medicaid-chip" TargetMode="External"/><Relationship Id="rId1756" Type="http://schemas.openxmlformats.org/officeDocument/2006/relationships/hyperlink" Target="https://www.google.com/maps/place/3880+North+Fwy,+Houston,+TX+77022/@29.8211947,-95.3767647,18z/data=!4m6!3m5!1s0x8640b86181256a6d:0x49bcc30ecbc43268!8m2!3d29.8211901!4d-95.3780468!16s%2Fg%2F11b8yd7_qp?entry=ttu&amp;g_ep=EgoyMDI1MDcwOS4wIKXMDSoASAFQAw%3D%3D" TargetMode="External"/><Relationship Id="rId1757" Type="http://schemas.openxmlformats.org/officeDocument/2006/relationships/hyperlink" Target="https://www.tlsc.org/kiosks" TargetMode="External"/><Relationship Id="rId1758" Type="http://schemas.openxmlformats.org/officeDocument/2006/relationships/hyperlink" Target="https://www.google.com/maps/place/1302+Preston+St,+Houston,+TX+77002/@29.7595822,-95.3610911,17z/data=!3m1!4b1!4m6!3m5!1s0x8640bf25c8077653:0x5b9a93ebe6cc0ec7!8m2!3d29.7595776!4d-95.3585162!16s%2Fg%2F11c23gtcj3?entry=ttu&amp;g_ep=EgoyMDI1MTIwOS4wIKXMDSoKLDEwMDc5MjA2OUgBUAM%3D" TargetMode="External"/><Relationship Id="rId1759" Type="http://schemas.openxmlformats.org/officeDocument/2006/relationships/hyperlink" Target="https://www.txngfsf.org/emergency-assistance" TargetMode="External"/><Relationship Id="rId808" Type="http://schemas.openxmlformats.org/officeDocument/2006/relationships/hyperlink" Target="https://himfoodpantry.org/" TargetMode="External"/><Relationship Id="rId807" Type="http://schemas.openxmlformats.org/officeDocument/2006/relationships/hyperlink" Target="https://www.google.com/maps/place/HealthWell+Foundation/@39.1932987,-77.270919,16z/data=!3m1!4b1!4m6!3m5!1s0x89b62c0c7fb732eb:0xc689b99656b87990!8m2!3d39.1932987!4d-77.2683387!16s%2Fg%2F11cry0x3c4?entry=ttu&amp;g_ep=EgoyMDI2MDEyMC4wIKXMDSoKLDEwMDc5MjA2OUgBUAM%3D" TargetMode="External"/><Relationship Id="rId806" Type="http://schemas.openxmlformats.org/officeDocument/2006/relationships/hyperlink" Target="https://www.healthwellfoundation.org" TargetMode="External"/><Relationship Id="rId805" Type="http://schemas.openxmlformats.org/officeDocument/2006/relationships/hyperlink" Target="https://www.google.com/maps/place/Reed+Family+Clinic/@29.6592208,-95.3927318,17z/data=!3m1!4b1!4m6!3m5!1s0x8640954a4ae55555:0x1bbd2f0f37994cae!8m2!3d29.6592162!4d-95.3901515!16s%2Fg%2F11ttbhyt4b?entry=ttu&amp;g_ep=EgoyMDI1MDYxNy4wIKXMDSoASAFQAw%3D%3D" TargetMode="External"/><Relationship Id="rId809" Type="http://schemas.openxmlformats.org/officeDocument/2006/relationships/hyperlink" Target="https://www.google.com/maps/place/Heights+Interfaith+Ministries+Food+Pantry/@29.7896836,-95.3794885,17z/data=!4m15!1m8!3m7!1s0x8640b8b8cb9f7867:0x333471333229d64f!2s3523+Beauchamp+St,+Houston,+TX+77009!3b1!8m2!3d29.789679!4d-95.3746122!16s%2Fg%2F1hjhd84fr!3m5!1s0x8640b8b8ca573b5d:0x68ef4538f2ee034f!8m2!3d29.7897141!4d-95.3745733!16s%2Fg%2F124yc2256?entry=ttu&amp;g_ep=EgoyMDI1MDYwMy4wIKXMDSoASAFQAw%3D%3D" TargetMode="External"/><Relationship Id="rId800" Type="http://schemas.openxmlformats.org/officeDocument/2006/relationships/hyperlink" Target="https://www.homeless-healthcare.org/" TargetMode="External"/><Relationship Id="rId804" Type="http://schemas.openxmlformats.org/officeDocument/2006/relationships/hyperlink" Target="https://www.homeless-healthcare.org/" TargetMode="External"/><Relationship Id="rId803" Type="http://schemas.openxmlformats.org/officeDocument/2006/relationships/hyperlink" Target="https://www.google.com/maps/place/Reed+Family+Clinic/@29.6592208,-95.3927318,17z/data=!3m1!4b1!4m6!3m5!1s0x8640954a4ae55555:0x1bbd2f0f37994cae!8m2!3d29.6592162!4d-95.3901515!16s%2Fg%2F11ttbhyt4b?entry=ttu&amp;g_ep=EgoyMDI1MDYxNy4wIKXMDSoASAFQAw%3D%3D" TargetMode="External"/><Relationship Id="rId802" Type="http://schemas.openxmlformats.org/officeDocument/2006/relationships/hyperlink" Target="https://www.homeless-healthcare.org/" TargetMode="External"/><Relationship Id="rId801" Type="http://schemas.openxmlformats.org/officeDocument/2006/relationships/hyperlink" Target="https://www.google.com/maps/place/Reed+Family+Clinic/@29.6592208,-95.3927318,17z/data=!3m1!4b1!4m6!3m5!1s0x8640954a4ae55555:0x1bbd2f0f37994cae!8m2!3d29.6592162!4d-95.3901515!16s%2Fg%2F11ttbhyt4b?entry=ttu&amp;g_ep=EgoyMDI1MDYxNy4wIKXMDSoASAFQAw%3D%3D" TargetMode="External"/><Relationship Id="rId1750" Type="http://schemas.openxmlformats.org/officeDocument/2006/relationships/hyperlink" Target="https://www.google.com/maps/place/Target+Hunger/@29.7645666,-95.3143802,16z/data=!3m1!4b1!4m6!3m5!1s0x8640b92fd90d19f1:0x7b5bcf36f2190529!8m2!3d29.764562!4d-95.3118053!16s%2Fg%2F1tdp9_j5?entry=ttu&amp;g_ep=EgoyMDI1MTAwMS4wIKXMDSoASAFQAw%3D%3D" TargetMode="External"/><Relationship Id="rId1751" Type="http://schemas.openxmlformats.org/officeDocument/2006/relationships/hyperlink" Target="https://www.targethunger.org/navigation-services/" TargetMode="External"/><Relationship Id="rId1741"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1742" Type="http://schemas.openxmlformats.org/officeDocument/2006/relationships/hyperlink" Target="https://www.houstonhealth.org/services/multi-service-centers/sunnyside-multi-service-center" TargetMode="External"/><Relationship Id="rId1743"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1744" Type="http://schemas.openxmlformats.org/officeDocument/2006/relationships/hyperlink" Target="https://www.houstonhealth.org/services/multi-service-centers/sunnyside-multi-service-center" TargetMode="External"/><Relationship Id="rId1745"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1746" Type="http://schemas.openxmlformats.org/officeDocument/2006/relationships/hyperlink" Target="https://www.houstonhealth.org/services/multi-service-centers/sunnyside-multi-service-center" TargetMode="External"/><Relationship Id="rId1747"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1748" Type="http://schemas.openxmlformats.org/officeDocument/2006/relationships/hyperlink" Target="https://www.tahirih.org/get-help/" TargetMode="External"/><Relationship Id="rId1749" Type="http://schemas.openxmlformats.org/officeDocument/2006/relationships/hyperlink" Target="https://www.targethunger.org/monthly-groceries/" TargetMode="External"/><Relationship Id="rId1740" Type="http://schemas.openxmlformats.org/officeDocument/2006/relationships/hyperlink" Target="https://www.houstonhealth.org/services/multi-service-centers/sunnyside-multi-service-center" TargetMode="External"/><Relationship Id="rId1710" Type="http://schemas.openxmlformats.org/officeDocument/2006/relationships/hyperlink" Target="https://www.stvhope.org/" TargetMode="External"/><Relationship Id="rId1711"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12" Type="http://schemas.openxmlformats.org/officeDocument/2006/relationships/hyperlink" Target="https://www.stvhope.org/" TargetMode="External"/><Relationship Id="rId1713"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14" Type="http://schemas.openxmlformats.org/officeDocument/2006/relationships/hyperlink" Target="https://www.stvhope.org/" TargetMode="External"/><Relationship Id="rId1715"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16" Type="http://schemas.openxmlformats.org/officeDocument/2006/relationships/hyperlink" Target="https://www.stvhope.org/clinical-services" TargetMode="External"/><Relationship Id="rId1717"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18" Type="http://schemas.openxmlformats.org/officeDocument/2006/relationships/hyperlink" Target="https://www.stvhope.org/clinical-services" TargetMode="External"/><Relationship Id="rId1719" Type="http://schemas.openxmlformats.org/officeDocument/2006/relationships/hyperlink" Target="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 TargetMode="External"/><Relationship Id="rId1700" Type="http://schemas.openxmlformats.org/officeDocument/2006/relationships/hyperlink" Target="https://saintthomashuntsville.org/st-vincent-depaul-society" TargetMode="External"/><Relationship Id="rId1701" Type="http://schemas.openxmlformats.org/officeDocument/2006/relationships/hyperlink" Target="https://maps.google.com/?q=St%20Thomas%20the%20Apostle%20%20(SVdP%20D6)%20Huntsville%2013223%2016th%20St%20Huntsville%20TX%2077340" TargetMode="External"/><Relationship Id="rId1702" Type="http://schemas.openxmlformats.org/officeDocument/2006/relationships/hyperlink" Target="https://www.svdp77025.org/resources/assistance-organizations" TargetMode="External"/><Relationship Id="rId1703" Type="http://schemas.openxmlformats.org/officeDocument/2006/relationships/hyperlink" Target="https://maps.google.com/?q=St%20Vincent%20de%20Paul%20(SVdP%20D3)%206800%20Buffalo%20Speedway%20Houston%20TX%2077025" TargetMode="External"/><Relationship Id="rId1704" Type="http://schemas.openxmlformats.org/officeDocument/2006/relationships/hyperlink" Target="https://www.svdp77025.org/resources/assistance-organizations" TargetMode="External"/><Relationship Id="rId1705" Type="http://schemas.openxmlformats.org/officeDocument/2006/relationships/hyperlink" Target="https://maps.google.com/?q=St%20Vincent%20de%20Paul%20(SVdP%20D3)%206800%20Buffalo%20Speedway%20Houston%20TX%2077025" TargetMode="External"/><Relationship Id="rId1706" Type="http://schemas.openxmlformats.org/officeDocument/2006/relationships/hyperlink" Target="https://www.svdp77025.org/resources/assistance-organizations" TargetMode="External"/><Relationship Id="rId1707" Type="http://schemas.openxmlformats.org/officeDocument/2006/relationships/hyperlink" Target="https://maps.google.com/?q=St%20Vincent%20de%20Paul%20(SVdP%20D3)%206800%20Buffalo%20Speedway%20Houston%20TX%2077025" TargetMode="External"/><Relationship Id="rId1708" Type="http://schemas.openxmlformats.org/officeDocument/2006/relationships/hyperlink" Target="https://www.svdp77025.org/resources/assistance-organizations" TargetMode="External"/><Relationship Id="rId1709" Type="http://schemas.openxmlformats.org/officeDocument/2006/relationships/hyperlink" Target="https://maps.google.com/?q=St%20Vincent%20de%20Paul%20(SVdP%20D3)%206800%20Buffalo%20Speedway%20Houston%20TX%2077025" TargetMode="External"/><Relationship Id="rId40" Type="http://schemas.openxmlformats.org/officeDocument/2006/relationships/hyperlink" Target="https://accessiahealth.org" TargetMode="External"/><Relationship Id="rId1334" Type="http://schemas.openxmlformats.org/officeDocument/2006/relationships/hyperlink" Target="https://maps.google.com/?q=Riceville%20Mt%20Olive%20Baptist%20Church%2011539%20South%20Gessner%20Rd%20Houston%20TX%2077071" TargetMode="External"/><Relationship Id="rId1335" Type="http://schemas.openxmlformats.org/officeDocument/2006/relationships/hyperlink" Target="https://ricevillechurch.org/benevolence/" TargetMode="External"/><Relationship Id="rId42" Type="http://schemas.openxmlformats.org/officeDocument/2006/relationships/hyperlink" Target="https://www.houstonhealth.org/services/multi-service-centers/acres-homes-multi-service-center" TargetMode="External"/><Relationship Id="rId1336" Type="http://schemas.openxmlformats.org/officeDocument/2006/relationships/hyperlink" Target="https://www.google.com/maps/place/11231+S+Gessner+Rd,+Houston,+TX+77071/@29.657203,-95.530101,16z/data=!3m1!4b1!4m6!3m5!1s0x8640e831283eeced:0x3f5372481103960f!8m2!3d29.657203!4d-95.5275207!16s%2Fg%2F11c21gshbs?entry=ttu&amp;g_ep=EgoyMDI2MDIyNC4wIKXMDSoASAFQAw%3D%3D" TargetMode="External"/><Relationship Id="rId41" Type="http://schemas.openxmlformats.org/officeDocument/2006/relationships/hyperlink" Target="https://www.google.com/maps/place/Accessia+Health/@37.447121,-77.6480803,17z/data=!3m1!4b1!4m6!3m5!1s0x89b173d0fbba5d41:0x4ec81be8dbc6a9e5!8m2!3d37.447121!4d-77.6455!16s%2Fg%2F113g6sbc5?entry=ttu&amp;g_ep=EgoyMDI2MDEyMC4wIKXMDSoKLDEwMDc5MjA2OUgBUAM%3D" TargetMode="External"/><Relationship Id="rId1337" Type="http://schemas.openxmlformats.org/officeDocument/2006/relationships/hyperlink" Target="https://ricevillechurch.org/benevolence/" TargetMode="External"/><Relationship Id="rId44" Type="http://schemas.openxmlformats.org/officeDocument/2006/relationships/hyperlink" Target="https://www.houstonhealth.org/services/multi-service-centers/acres-homes-multi-service-center" TargetMode="External"/><Relationship Id="rId1338" Type="http://schemas.openxmlformats.org/officeDocument/2006/relationships/hyperlink" Target="https://www.google.com/maps/place/11231+S+Gessner+Rd,+Houston,+TX+77071/@29.657203,-95.530101,16z/data=!3m1!4b1!4m6!3m5!1s0x8640e831283eeced:0x3f5372481103960f!8m2!3d29.657203!4d-95.5275207!16s%2Fg%2F11c21gshbs?entry=ttu&amp;g_ep=EgoyMDI2MDIyNC4wIKXMDSoASAFQAw%3D%3D" TargetMode="External"/><Relationship Id="rId43" Type="http://schemas.openxmlformats.org/officeDocument/2006/relationships/hyperlink" Target="https://www.google.com/maps/place/Acres+Homes+Multi-Service+Center/@29.8574912,-95.4247509,17z/data=!3m1!4b1!4m6!3m5!1s0x8640c7d963488d53:0x6044d3466dc08305!8m2!3d29.8574866!4d-95.422176!16s%2Fg%2F11g7z0pwk3?entry=ttu&amp;g_ep=EgoyMDI2MDIwMS4wIKXMDSoKLDEwMDc5MjA2OUgBUAM%3D" TargetMode="External"/><Relationship Id="rId1339" Type="http://schemas.openxmlformats.org/officeDocument/2006/relationships/hyperlink" Target="https://www.ricevillechurch.org/https://ricevillechurch.org/benevolence/" TargetMode="External"/><Relationship Id="rId46" Type="http://schemas.openxmlformats.org/officeDocument/2006/relationships/hyperlink" Target="https://www.houstonhealth.org/services/multi-service-centers/acres-homes-multi-service-center" TargetMode="External"/><Relationship Id="rId45" Type="http://schemas.openxmlformats.org/officeDocument/2006/relationships/hyperlink" Target="https://www.google.com/maps/place/Acres+Homes+Multi-Service+Center/@29.8574912,-95.4247509,17z/data=!3m1!4b1!4m6!3m5!1s0x8640c7d963488d53:0x6044d3466dc08305!8m2!3d29.8574866!4d-95.422176!16s%2Fg%2F11g7z0pwk3?entry=ttu&amp;g_ep=EgoyMDI2MDIwMS4wIKXMDSoKLDEwMDc5MjA2OUgBUAM%3D" TargetMode="External"/><Relationship Id="rId745" Type="http://schemas.openxmlformats.org/officeDocument/2006/relationships/hyperlink" Target="https://www.google.com/maps/place/Harris+Health+Dental+Center/@29.696282,-95.3379907,16z/data=!3m1!4b1!4m6!3m5!1s0x8640bfb2ed85fbcb:0x35972ee8ff7fd474!8m2!3d29.6962774!4d-95.3354104!16s%2Fg%2F11g1pq9dw7?entry=ttu&amp;g_ep=EgoyMDI1MDUyMS4wIKXMDSoASAFQAw%3D%3D" TargetMode="External"/><Relationship Id="rId744" Type="http://schemas.openxmlformats.org/officeDocument/2006/relationships/hyperlink" Target="https://www.harrishealth.org/locations-hh/Pages/dental-program.aspx" TargetMode="External"/><Relationship Id="rId743" Type="http://schemas.openxmlformats.org/officeDocument/2006/relationships/hyperlink" Target="https://www.google.com/maps/place/Harris+Health+Danny+Jackson+Health+Center/@29.8503882,-95.7217981,16z/data=!3m1!4b1!4m6!3m5!1s0x8640d81d558affb7:0x1d5d1143a74e74a0!8m2!3d29.8503836!4d-95.7192178!16s%2Fg%2F11b70cbpt8?entry=ttu&amp;g_ep=EgoyMDI1MDUyMS4wIKXMDSoASAFQAw%3D%3D" TargetMode="External"/><Relationship Id="rId742" Type="http://schemas.openxmlformats.org/officeDocument/2006/relationships/hyperlink" Target="https://www.harrishealth.org/locations-hh/Pages/danny-jackson-health-center.aspx" TargetMode="External"/><Relationship Id="rId749" Type="http://schemas.openxmlformats.org/officeDocument/2006/relationships/hyperlink" Target="https://www.google.com/maps/place/Harris+Health+Gulfgate+Health+Center/@29.6997779,-95.2883048,17z/data=!3m1!4b1!4m6!3m5!1s0x8640bd93784a65c1:0x72d463c89480905d!8m2!3d29.6997733!4d-95.2857245!16s%2Fg%2F1tz963qh?entry=ttu&amp;g_ep=EgoyMDI1MDUyMS4wIKXMDSoASAFQAw%3D%3D" TargetMode="External"/><Relationship Id="rId748" Type="http://schemas.openxmlformats.org/officeDocument/2006/relationships/hyperlink" Target="https://www.harrishealth.org/locations-hh/Pages/gulfgate-health-center.aspx" TargetMode="External"/><Relationship Id="rId747" Type="http://schemas.openxmlformats.org/officeDocument/2006/relationships/hyperlink" Target="https://www.google.com/maps/place/Harris+Health+El+Franco+Lee+Health+Center/@29.6804541,-95.5769875,16z/data=!3m1!4b1!4m6!3m5!1s0x8640dd5ae14f6e69:0x1ae2691fe6b59e84!8m2!3d29.6804495!4d-95.5744072!16s%2Fg%2F11b6wh_y_q?entry=ttu&amp;g_ep=EgoyMDI1MDUyMS4wIKXMDSoASAFQAw%3D%3D" TargetMode="External"/><Relationship Id="rId746" Type="http://schemas.openxmlformats.org/officeDocument/2006/relationships/hyperlink" Target="https://www.harrishealth.org/locations-hh/Pages/el-franco-lee-health-center.aspx" TargetMode="External"/><Relationship Id="rId48" Type="http://schemas.openxmlformats.org/officeDocument/2006/relationships/hyperlink" Target="https://houstonmensrehab.com/" TargetMode="External"/><Relationship Id="rId47" Type="http://schemas.openxmlformats.org/officeDocument/2006/relationships/hyperlink" Target="https://www.google.com/maps/place/Acres+Homes+Multi-Service+Center/@29.8574912,-95.4247509,17z/data=!3m1!4b1!4m6!3m5!1s0x8640c7d963488d53:0x6044d3466dc08305!8m2!3d29.8574866!4d-95.422176!16s%2Fg%2F11g7z0pwk3?entry=ttu&amp;g_ep=EgoyMDI2MDIwMS4wIKXMDSoKLDEwMDc5MjA2OUgBUAM%3D" TargetMode="External"/><Relationship Id="rId49" Type="http://schemas.openxmlformats.org/officeDocument/2006/relationships/hyperlink" Target="https://www.google.com/maps/place/Adult+%26+Teen+Challenge+Houston+Men's/@30.1843018,-95.7124219,17z/data=!3m1!4b1!4m6!3m5!1s0x86472837f10aa7eb:0x7533c718c1171d3b!8m2!3d30.1842972!4d-95.7098416!16s%2Fg%2F1tczf8yf?entry=ttu&amp;g_ep=EgoyMDI1MDQxNi4xIKXMDSoASAFQAw%3D%3D" TargetMode="External"/><Relationship Id="rId741" Type="http://schemas.openxmlformats.org/officeDocument/2006/relationships/hyperlink" Target="https://www.google.com/maps/place/Harris+Health+Cypress+Health+Center/@29.9537051,-95.5865345,17z/data=!3m1!4b1!4m6!3m5!1s0x8640d221f251a4c3:0x8ec2f2b73d1591d3!8m2!3d29.9537005!4d-95.5839542!16s%2Fg%2F11cjhq99b5?entry=ttu&amp;g_ep=EgoyMDI1MDUyMS4wIKXMDSoASAFQAw%3D%3D" TargetMode="External"/><Relationship Id="rId1330" Type="http://schemas.openxmlformats.org/officeDocument/2006/relationships/hyperlink" Target="https://www.rccgc.org/services" TargetMode="External"/><Relationship Id="rId740" Type="http://schemas.openxmlformats.org/officeDocument/2006/relationships/hyperlink" Target="https://www.harrishealth.org/locations-hh/Pages/cypress-health-center.aspx" TargetMode="External"/><Relationship Id="rId1331" Type="http://schemas.openxmlformats.org/officeDocument/2006/relationships/hyperlink" Target="https://www.ricevillechurch.org/https://ricevillechurch.org/benevolence/" TargetMode="External"/><Relationship Id="rId1332" Type="http://schemas.openxmlformats.org/officeDocument/2006/relationships/hyperlink" Target="https://maps.google.com/?q=Riceville%20Mt%20Olive%20Baptist%20Church%2011539%20South%20Gessner%20Rd%20Houston%20TX%2077071" TargetMode="External"/><Relationship Id="rId1333" Type="http://schemas.openxmlformats.org/officeDocument/2006/relationships/hyperlink" Target="https://www.ricevillechurch.org/https://ricevillechurch.org/benevolence/" TargetMode="External"/><Relationship Id="rId1323" Type="http://schemas.openxmlformats.org/officeDocument/2006/relationships/hyperlink" Target="https://www.queenofpeacelamarque.org/" TargetMode="External"/><Relationship Id="rId1324" Type="http://schemas.openxmlformats.org/officeDocument/2006/relationships/hyperlink" Target="https://maps.google.com/?q=Queen%20of%20Peace%20LaMarque%201224%20Cedar%20Dr%20La%20Marque%20TX%2077568" TargetMode="External"/><Relationship Id="rId31" Type="http://schemas.openxmlformats.org/officeDocument/2006/relationships/hyperlink" Target="https://www.google.com/maps/place/AccessHealth+Second+Mile+Clinic/@29.6205168,-95.5324576,17z/data=!3m1!4b1!4m6!3m5!1s0x8640e9ffb088e7c1:0x9b6babdfeeae07e7!8m2!3d29.6205122!4d-95.5298773!16s%2Fg%2F11l2x99fkq?entry=ttu&amp;g_ep=EgoyMDI1MDYxNy4wIKXMDSoASAFQAw%3D%3D" TargetMode="External"/><Relationship Id="rId1325" Type="http://schemas.openxmlformats.org/officeDocument/2006/relationships/hyperlink" Target="https://rainbowofloveusa.org/programs/" TargetMode="External"/><Relationship Id="rId30" Type="http://schemas.openxmlformats.org/officeDocument/2006/relationships/hyperlink" Target="https://www.myaccesshealth.org/" TargetMode="External"/><Relationship Id="rId1326" Type="http://schemas.openxmlformats.org/officeDocument/2006/relationships/hyperlink" Target="https://www.google.com/maps/place/Rainbow+of+Love/@29.6690647,-95.5105405,16z/data=!3m1!4b1!4m6!3m5!1s0x8640e9d98aa414a7:0xc99cf4ee3eef4e84!8m2!3d29.6690601!4d-95.5079656!16s%2Fg%2F1tk239w_?entry=ttu&amp;g_ep=EgoyMDI1MTAwOC4wIKXMDSoASAFQAw%3D%3D" TargetMode="External"/><Relationship Id="rId33" Type="http://schemas.openxmlformats.org/officeDocument/2006/relationships/hyperlink" Target="https://www.google.com/maps/place/AccessHealth+Stafford+Clinic/@29.6205769,-95.5674255,16z/data=!3m1!4b1!4m6!3m5!1s0x8640e62a1e55c92b:0xaffc49351a84756c!8m2!3d29.6205723!4d-95.5625492!16s%2Fg%2F11hd9qz3ct?entry=ttu&amp;g_ep=EgoyMDI1MDYxNy4wIKXMDSoASAFQAw%3D%3D" TargetMode="External"/><Relationship Id="rId1327" Type="http://schemas.openxmlformats.org/officeDocument/2006/relationships/hyperlink" Target="https://www.raicestexas.org/legal" TargetMode="External"/><Relationship Id="rId32" Type="http://schemas.openxmlformats.org/officeDocument/2006/relationships/hyperlink" Target="https://www.myaccesshealth.org/" TargetMode="External"/><Relationship Id="rId1328" Type="http://schemas.openxmlformats.org/officeDocument/2006/relationships/hyperlink" Target="https://www.rsvptexas.org/" TargetMode="External"/><Relationship Id="rId35" Type="http://schemas.openxmlformats.org/officeDocument/2006/relationships/hyperlink" Target="https://www.google.com/maps/place/AccessHealth+Stafford+Clinic/@29.6205769,-95.5674255,16z/data=!3m1!4b1!4m6!3m5!1s0x8640e62a1e55c92b:0xaffc49351a84756c!8m2!3d29.6205723!4d-95.5625492!16s%2Fg%2F11hd9qz3ct?entry=ttu&amp;g_ep=EgoyMDI1MDYxNy4wIKXMDSoASAFQAw%3D%3D" TargetMode="External"/><Relationship Id="rId1329" Type="http://schemas.openxmlformats.org/officeDocument/2006/relationships/hyperlink" Target="https://www.rejoicecounseling.com/houston-tx/" TargetMode="External"/><Relationship Id="rId34" Type="http://schemas.openxmlformats.org/officeDocument/2006/relationships/hyperlink" Target="https://www.myaccesshealth.org/" TargetMode="External"/><Relationship Id="rId739" Type="http://schemas.openxmlformats.org/officeDocument/2006/relationships/hyperlink" Target="https://www.google.com/maps/place/Harris+Health+Cypress+Health+Center/@29.9537051,-95.5865345,17z/data=!3m1!4b1!4m6!3m5!1s0x8640d221f251a4c3:0x8ec2f2b73d1591d3!8m2!3d29.9537005!4d-95.5839542!16s%2Fg%2F11cjhq99b5?entry=ttu&amp;g_ep=EgoyMDI1MDUyMS4wIKXMDSoASAFQAw%3D%3D" TargetMode="External"/><Relationship Id="rId734" Type="http://schemas.openxmlformats.org/officeDocument/2006/relationships/hyperlink" Target="https://www.harrishealth.org/locations-hh/Pages/c-e-odom-pediatric-and-adolescent-health-center.aspx" TargetMode="External"/><Relationship Id="rId733" Type="http://schemas.openxmlformats.org/officeDocument/2006/relationships/hyperlink" Target="https://www.google.com/maps/place/Harris+Health+Ben+Taub+Hospital/@29.7110084,-95.3961757,17z/data=!3m1!5s0x8640c0762b63f5f5:0x73238771294260bb!4m10!1m2!2m1!1sben+taub!3m6!1s0x8640c0763339cd31:0x1bbd8ebf70c2247d!8m2!3d29.7108129!4d-95.3942132!15sCghiZW4gdGF1YpIBCGhvc3BpdGFsqgE8CgkvbS8wZHh5eDgQATIfEAEiG-Ak1rXT6DB_DYE95Tcb5hFGknDuuT_aVVM7QTIMEAIiCGJlbiB0YXVi4AEA!16zL20vMGR4eXg4?entry=ttu&amp;g_ep=EgoyMDI1MDUyMS4wIKXMDSoASAFQAw%3D%3D" TargetMode="External"/><Relationship Id="rId732" Type="http://schemas.openxmlformats.org/officeDocument/2006/relationships/hyperlink" Target="https://www.harrishealth.org/locations-hh/Pages/ben-taub.aspx" TargetMode="External"/><Relationship Id="rId731" Type="http://schemas.openxmlformats.org/officeDocument/2006/relationships/hyperlink" Target="https://www.google.com/maps/place/Harris+Health+Baytown+Health+Center/@29.7446409,-94.9793789,16z/data=!3m1!4b1!4m6!3m5!1s0x863f5e808517a3ad:0x7e6c32939669e3a0!8m2!3d29.7446363!4d-94.9767986!16s%2Fg%2F1263l5c19?entry=ttu&amp;g_ep=EgoyMDI1MDUyMS4wIKXMDSoASAFQAw%3D%3D" TargetMode="External"/><Relationship Id="rId738" Type="http://schemas.openxmlformats.org/officeDocument/2006/relationships/hyperlink" Target="https://www.harrishealth.org/locations-hh/Pages/cypress-health-center.aspx" TargetMode="External"/><Relationship Id="rId737" Type="http://schemas.openxmlformats.org/officeDocument/2006/relationships/hyperlink" Target="https://www.google.com/maps/place/Harris+Health+Casa+De+Amigos+Health+Center/@29.7738946,-95.3635215,17z/data=!3m1!4b1!4m6!3m5!1s0x8640b8d2c5bde5b7:0x49a1b4d6b4f95e3!8m2!3d29.77389!4d-95.3609412!16s%2Fg%2F1tgx2dhc?entry=ttu&amp;g_ep=EgoyMDI1MDUyMS4wIKXMDSoASAFQAw%3D%3D" TargetMode="External"/><Relationship Id="rId736" Type="http://schemas.openxmlformats.org/officeDocument/2006/relationships/hyperlink" Target="https://www.harrishealth.org/locations-hh/Pages/casa-de-amigos-health-center.aspx" TargetMode="External"/><Relationship Id="rId735" Type="http://schemas.openxmlformats.org/officeDocument/2006/relationships/hyperlink" Target="https://www.google.com/maps/place/Harris+Health+C.E.+Odom+Pediatric+and+Adolescent+Health+Center/@29.8105635,-95.3192549,17z/data=!3m1!4b1!4m6!3m5!1s0x8640b97b40784413:0xfc6248cc253a0ff5!8m2!3d29.8105589!4d-95.3166746!16s%2Fg%2F11gglt7d97?entry=ttu&amp;g_ep=EgoyMDI1MDUyMS4wIKXMDSoASAFQAw%3D%3D" TargetMode="External"/><Relationship Id="rId37" Type="http://schemas.openxmlformats.org/officeDocument/2006/relationships/hyperlink" Target="https://www.google.com/maps/place/Access+Health+Stafford+WIC+Clinic/@29.6206841,-95.5651997,17z/data=!3m1!4b1!4m6!3m5!1s0x8640e62a1dd7f35d:0xc95ea2dcf95c8f93!8m2!3d29.6206795!4d-95.5626194!16s%2Fg%2F1v_w2r9z?entry=ttu&amp;g_ep=EgoyMDI1MDYxNy4wIKXMDSoASAFQAw%3D%3D" TargetMode="External"/><Relationship Id="rId36" Type="http://schemas.openxmlformats.org/officeDocument/2006/relationships/hyperlink" Target="https://www.myaccesshealth.org/" TargetMode="External"/><Relationship Id="rId39" Type="http://schemas.openxmlformats.org/officeDocument/2006/relationships/hyperlink" Target="https://www.google.com/maps/place/Access+Health+Wharton+WIC+Clinic/@29.3292211,-96.0957272,16z/data=!3m1!4b1!4m6!3m5!1s0x864174e69c244ca1:0x19aa48ea44b3deee!8m2!3d29.3292164!4d-96.0931469!16s%2Fg%2F1td6b80l?entry=ttu&amp;g_ep=EgoyMDI1MDYxNy4wIKXMDSoASAFQAw%3D%3D" TargetMode="External"/><Relationship Id="rId38" Type="http://schemas.openxmlformats.org/officeDocument/2006/relationships/hyperlink" Target="https://www.myaccesshealth.org/" TargetMode="External"/><Relationship Id="rId730" Type="http://schemas.openxmlformats.org/officeDocument/2006/relationships/hyperlink" Target="https://www.harrishealth.org/locations-hh/Pages/baytown-health-center.aspx" TargetMode="External"/><Relationship Id="rId1320" Type="http://schemas.openxmlformats.org/officeDocument/2006/relationships/hyperlink" Target="https://maps.google.com/?q=Queen%20of%20Peace%20LaMarque%201224%20Cedar%20Dr%20La%20Marque%20TX%2077568" TargetMode="External"/><Relationship Id="rId1321" Type="http://schemas.openxmlformats.org/officeDocument/2006/relationships/hyperlink" Target="https://www.queenofpeacelamarque.org/" TargetMode="External"/><Relationship Id="rId1322" Type="http://schemas.openxmlformats.org/officeDocument/2006/relationships/hyperlink" Target="https://maps.google.com/?q=Queen%20of%20Peace%20LaMarque%201224%20Cedar%20Dr%20La%20Marque%20TX%2077568" TargetMode="External"/><Relationship Id="rId1356" Type="http://schemas.openxmlformats.org/officeDocument/2006/relationships/hyperlink" Target="https://shconroe.org/st-vincent-de-paul/" TargetMode="External"/><Relationship Id="rId1357" Type="http://schemas.openxmlformats.org/officeDocument/2006/relationships/hyperlink" Target="https://maps.google.com/?q=Sacred%20Heart%20(SVdP%20D6)%20Conroe%20109%20N%20Frazier%20St%20Conroe%20TX%2077301" TargetMode="External"/><Relationship Id="rId20" Type="http://schemas.openxmlformats.org/officeDocument/2006/relationships/hyperlink" Target="https://www.myaccesshealth.org/" TargetMode="External"/><Relationship Id="rId1358" Type="http://schemas.openxmlformats.org/officeDocument/2006/relationships/hyperlink" Target="https://www.sacredhearthouston.org/" TargetMode="External"/><Relationship Id="rId1359" Type="http://schemas.openxmlformats.org/officeDocument/2006/relationships/hyperlink" Target="https://maps.google.com/?q=Sacred%20Heart%20Co-Cathedral%201111%20St%20Joseph%20Pkwy%20Houston%20TX%2077002" TargetMode="External"/><Relationship Id="rId22" Type="http://schemas.openxmlformats.org/officeDocument/2006/relationships/hyperlink" Target="https://www.myaccesshealth.org/" TargetMode="External"/><Relationship Id="rId21" Type="http://schemas.openxmlformats.org/officeDocument/2006/relationships/hyperlink" Target="https://www.google.com/maps/place/Access+Health+Katy+WIC+Clinic/@29.7715667,-95.8211363,17z/data=!3m2!4b1!5s0x8641241ea38f160d:0x1f5667d0be90dcb3!4m6!3m5!1s0x8641241ea41aa14b:0xbfb6bd3112b944c4!8m2!3d29.7715621!4d-95.818556!16s%2Fg%2F1tkb5hd8?entry=ttu&amp;g_ep=EgoyMDI1MDYxNy4wIKXMDSoASAFQAw%3D%3D" TargetMode="External"/><Relationship Id="rId24" Type="http://schemas.openxmlformats.org/officeDocument/2006/relationships/hyperlink" Target="https://www.myaccesshealth.org/" TargetMode="External"/><Relationship Id="rId23" Type="http://schemas.openxmlformats.org/officeDocument/2006/relationships/hyperlink" Target="https://www.google.com/maps/place/AccessHealth+Missouri+City+Clinic/@29.6175145,-95.5386005,17z/data=!3m1!4b1!4m6!3m5!1s0x8640e8f2465c6023:0xf54e0d695a0a28f2!8m2!3d29.6175099!4d-95.5360202!16s%2Fg%2F1v3lqbd7?entry=ttu&amp;g_ep=EgoyMDI1MDYxNy4wIKXMDSoASAFQAw%3D%3D" TargetMode="External"/><Relationship Id="rId767" Type="http://schemas.openxmlformats.org/officeDocument/2006/relationships/hyperlink" Target="https://www.google.com/maps/place/Harris+Health+Quentin+Mease+Health+Center/@29.711139,-95.362228,16z/data=!3m2!4b1!5s0x8640bfb11f7c6ae1:0xb8a348e1b92412a3!4m6!3m5!1s0x8640b8cc5ad31719:0x46f54af1a0382a5c!8m2!3d29.7111344!4d-95.3596477!16s%2Fg%2F1tfydz1v?entry=ttu&amp;g_ep=EgoyMDI1MDUyMS4wIKXMDSoASAFQAw%3D%3D" TargetMode="External"/><Relationship Id="rId766" Type="http://schemas.openxmlformats.org/officeDocument/2006/relationships/hyperlink" Target="https://www.harrishealth.org/locations-hh/Pages/quentin-mease.aspx" TargetMode="External"/><Relationship Id="rId765" Type="http://schemas.openxmlformats.org/officeDocument/2006/relationships/hyperlink" Target="https://www.google.com/maps/place/Harris+Health+Pasadena+Pediatric+and+Adolescent+Health+Center/@29.6515471,-95.1883539,17z/data=!3m1!4b1!4m6!3m5!1s0x86409857c3182259:0xec63279e76e03716!8m2!3d29.6515425!4d-95.1857736!16s%2Fg%2F11bbrj3f8r?entry=ttu&amp;g_ep=EgoyMDI1MDUyMS4wIKXMDSoASAFQAw%3D%3D" TargetMode="External"/><Relationship Id="rId764" Type="http://schemas.openxmlformats.org/officeDocument/2006/relationships/hyperlink" Target="https://www.harrishealth.org/locations-hh/Pages/pediatric-adolescent-health-center.aspx" TargetMode="External"/><Relationship Id="rId769" Type="http://schemas.openxmlformats.org/officeDocument/2006/relationships/hyperlink" Target="https://www.google.com/maps/place/Harris+Health+Sareen+Clinic/@29.6567287,-95.5355176,16z/data=!3m1!4b1!4m6!3m5!1s0x8640e83bd4a02323:0x8f526c08026f8142!8m2!3d29.6567241!4d-95.5329373!16s%2Fg%2F11b70ghk6s?entry=ttu&amp;g_ep=EgoyMDI1MDUyMS4wIKXMDSoASAFQAw%3D%3D" TargetMode="External"/><Relationship Id="rId768" Type="http://schemas.openxmlformats.org/officeDocument/2006/relationships/hyperlink" Target="https://www.harrishealth.org/locations-hh/Pages/sareen-same-day.aspx" TargetMode="External"/><Relationship Id="rId26" Type="http://schemas.openxmlformats.org/officeDocument/2006/relationships/hyperlink" Target="https://www.myaccesshealth.org/" TargetMode="External"/><Relationship Id="rId25" Type="http://schemas.openxmlformats.org/officeDocument/2006/relationships/hyperlink" Target="https://www.google.com/maps/place/AccessHealth+Richmond+Clinic/@29.5786882,-95.7628537,17z/data=!3m1!4b1!4m6!3m5!1s0x86411e70c080105b:0x621ea27cba35c1c3!8m2!3d29.5786836!4d-95.7602734!16s%2Fg%2F1td72cvn?entry=ttu&amp;g_ep=EgoyMDI1MDYxNy4wIKXMDSoASAFQAw%3D%3D" TargetMode="External"/><Relationship Id="rId28" Type="http://schemas.openxmlformats.org/officeDocument/2006/relationships/hyperlink" Target="https://www.myaccesshealth.org/" TargetMode="External"/><Relationship Id="rId1350" Type="http://schemas.openxmlformats.org/officeDocument/2006/relationships/hyperlink" Target="https://shconroe.org/st-vincent-de-paul/" TargetMode="External"/><Relationship Id="rId27" Type="http://schemas.openxmlformats.org/officeDocument/2006/relationships/hyperlink" Target="https://www.google.com/maps/place/Access+Health+Rosenberg+WIC+Clinic/@29.5538011,-95.769961,17z/data=!3m1!4b1!4m6!3m5!1s0x86411dcbe3b6a681:0x3c791560e4e234fd!8m2!3d29.5537965!4d-95.7673807!16s%2Fg%2F11bc73s7j8?entry=ttu&amp;g_ep=EgoyMDI1MDYxNy4wIKXMDSoASAFQAw%3D%3D" TargetMode="External"/><Relationship Id="rId1351" Type="http://schemas.openxmlformats.org/officeDocument/2006/relationships/hyperlink" Target="https://maps.google.com/?q=Sacred%20Heart%20(SVdP%20D6)%20Conroe%20109%20N%20Frazier%20St%20Conroe%20TX%2077301" TargetMode="External"/><Relationship Id="rId763" Type="http://schemas.openxmlformats.org/officeDocument/2006/relationships/hyperlink" Target="https://www.google.com/maps/place/Harris+Health+Pasadena+Pediatric+and+Adolescent+Health+Center/@29.6515471,-95.1883539,17z/data=!3m1!4b1!4m6!3m5!1s0x86409857c3182259:0xec63279e76e03716!8m2!3d29.6515425!4d-95.1857736!16s%2Fg%2F11bbrj3f8r?entry=ttu&amp;g_ep=EgoyMDI1MDUyMS4wIKXMDSoASAFQAw%3D%3D" TargetMode="External"/><Relationship Id="rId1352" Type="http://schemas.openxmlformats.org/officeDocument/2006/relationships/hyperlink" Target="https://shconroe.org/st-vincent-de-paul/" TargetMode="External"/><Relationship Id="rId29" Type="http://schemas.openxmlformats.org/officeDocument/2006/relationships/hyperlink" Target="https://www.google.com/maps/place/Access+Health+Sealy+WIC+Clinic/@29.7775694,-96.1626114,17z/data=!3m1!4b1!4m6!3m5!1s0x864145c2ee89398d:0xf4a9afa58d7d4bb2!8m2!3d29.7775648!4d-96.1600311!16s%2Fg%2F11ql_575sd?entry=ttu&amp;g_ep=EgoyMDI1MDYxNy4wIKXMDSoASAFQAw%3D%3D" TargetMode="External"/><Relationship Id="rId762" Type="http://schemas.openxmlformats.org/officeDocument/2006/relationships/hyperlink" Target="https://www.harrishealth.org/locations-hh/Pages/pediatric-adolescent-health-center.aspx" TargetMode="External"/><Relationship Id="rId1353" Type="http://schemas.openxmlformats.org/officeDocument/2006/relationships/hyperlink" Target="https://maps.google.com/?q=Sacred%20Heart%20(SVdP%20D6)%20Conroe%20109%20N%20Frazier%20St%20Conroe%20TX%2077301" TargetMode="External"/><Relationship Id="rId761" Type="http://schemas.openxmlformats.org/officeDocument/2006/relationships/hyperlink" Target="https://www.google.com/maps/place/Harris+Health+Outpatient+Center/@29.8115523,-95.315884,17z/data=!3m1!4b1!4m6!3m5!1s0x8640b97cfb307c89:0x88e3d7b28eba7c4d!8m2!3d29.8115477!4d-95.3133037!16s%2Fg%2F11c525w7f1?entry=ttu&amp;g_ep=EgoyMDI1MDUyMS4wIKXMDSoASAFQAw%3D%3D" TargetMode="External"/><Relationship Id="rId1354" Type="http://schemas.openxmlformats.org/officeDocument/2006/relationships/hyperlink" Target="https://shconroe.org/st-vincent-de-paul/" TargetMode="External"/><Relationship Id="rId760" Type="http://schemas.openxmlformats.org/officeDocument/2006/relationships/hyperlink" Target="https://www.harrishealth.org/locations-hh/Pages/outpatient-center.aspx" TargetMode="External"/><Relationship Id="rId1355" Type="http://schemas.openxmlformats.org/officeDocument/2006/relationships/hyperlink" Target="https://maps.google.com/?q=Sacred%20Heart%20(SVdP%20D6)%20Conroe%20109%20N%20Frazier%20St%20Conroe%20TX%2077301" TargetMode="External"/><Relationship Id="rId1345" Type="http://schemas.openxmlformats.org/officeDocument/2006/relationships/hyperlink" Target="https://www.google.com/maps/place/Ronald+McDonald+House+Charities+Greater+Houston/@29.7064704,-95.3932544,17z/data=!3m2!4b1!5s0x8640bf8bba7617ed:0xc87ca6b75c305f37!4m6!3m5!1s0x8640bf8bb092c82b:0xa9d0cf1b95465439!8m2!3d29.7064658!4d-95.3906795!16s%2Fg%2F1ts1n01b?entry=ttu&amp;g_ep=EgoyMDI1MTIwOS4wIKXMDSoKLDEwMDc5MjA2OUgBUAM%3D" TargetMode="External"/><Relationship Id="rId1346" Type="http://schemas.openxmlformats.org/officeDocument/2006/relationships/hyperlink" Target="https://rmhchouston.org/what-we-do/houses-lounges/md-anderson/" TargetMode="External"/><Relationship Id="rId1347" Type="http://schemas.openxmlformats.org/officeDocument/2006/relationships/hyperlink" Target="https://www.google.com/maps/place/MD+Anderson+Children's+Cancer+Hospital/@29.7078668,-95.3984437,19z/data=!3m1!4b1!4m6!3m5!1s0x8640c1e9a82f276f:0xf1c0e306b9288982!8m2!3d29.7078656!4d-95.3978!16s%2Fg%2F11f5vby375?entry=ttu&amp;g_ep=EgoyMDI1MTIwOS4wIKXMDSoKLDEwMDc5MjA2OUgBUAM%3D" TargetMode="External"/><Relationship Id="rId1348" Type="http://schemas.openxmlformats.org/officeDocument/2006/relationships/hyperlink" Target="https://rmhchouston.org/what-we-do/houses-lounges/texas-childrens-hospital/" TargetMode="External"/><Relationship Id="rId11" Type="http://schemas.openxmlformats.org/officeDocument/2006/relationships/hyperlink" Target="https://www.google.com/maps/place/Access+Health+Bellville+WIC+Clinic/@29.9400956,-96.2564832,16z/data=!3m1!4b1!4m6!3m5!1s0x86415214a20f7165:0x9a29241743df954d!8m2!3d29.940091!4d-96.2539029!16s%2Fg%2F11bzsdntr2?entry=ttu&amp;g_ep=EgoyMDI1MDYxNy4wIKXMDSoASAFQAw%3D%3D" TargetMode="External"/><Relationship Id="rId1349" Type="http://schemas.openxmlformats.org/officeDocument/2006/relationships/hyperlink" Target="https://www.google.com/maps/place/Texas+Children's+Hospital+Abercrombie+Building/@29.7078157,-95.4039381,17z/data=!3m1!4b1!4m6!3m5!1s0x8640c0722a0df095:0x53e2a64bf0938dda!8m2!3d29.7078111!4d-95.4013632!16s%2Fg%2F1tdkmm3t?entry=ttu&amp;g_ep=EgoyMDI1MTIwOS4wIKXMDSoKLDEwMDc5MjA2OUgBUAM%3D" TargetMode="External"/><Relationship Id="rId10" Type="http://schemas.openxmlformats.org/officeDocument/2006/relationships/hyperlink" Target="https://www.myaccesshealth.org/" TargetMode="External"/><Relationship Id="rId13" Type="http://schemas.openxmlformats.org/officeDocument/2006/relationships/hyperlink" Target="https://www.google.com/maps/place/AccessHealth+Brookshire+Clinic/@29.774261,-95.9528807,17z/data=!3m1!4b1!4m6!3m5!1s0x86413ba32ec6aa43:0xecb591ea00b3e4b5!8m2!3d29.7742564!4d-95.9503004!16s%2Fg%2F11hc_k0k4f?entry=ttu&amp;g_ep=EgoyMDI1MDYxNy4wIKXMDSoASAFQAw%3D%3D" TargetMode="External"/><Relationship Id="rId12" Type="http://schemas.openxmlformats.org/officeDocument/2006/relationships/hyperlink" Target="https://www.myaccesshealth.org/" TargetMode="External"/><Relationship Id="rId756" Type="http://schemas.openxmlformats.org/officeDocument/2006/relationships/hyperlink" Target="https://www.harrishealth.org/locations-hh/Pages/monroe-clinic.aspx" TargetMode="External"/><Relationship Id="rId755" Type="http://schemas.openxmlformats.org/officeDocument/2006/relationships/hyperlink" Target="https://www.google.com/maps/place/Harris+Health+Martin+Luther+King+Jr.+Health+Center/@29.6196453,-95.3695031,16z/data=!3m1!4b1!4m6!3m5!1s0x864094ef11aabe2f:0x2e3a131c5bf49c2d!8m2!3d29.6196407!4d-95.3669228!16s%2Fg%2F1tpc8bp6?entry=ttu&amp;g_ep=EgoyMDI1MDUyMS4wIKXMDSoASAFQAw%3D%3D" TargetMode="External"/><Relationship Id="rId754" Type="http://schemas.openxmlformats.org/officeDocument/2006/relationships/hyperlink" Target="https://www.harrishealth.org/locations-hh/Pages/martin-luther-king-jr-health-center.aspx" TargetMode="External"/><Relationship Id="rId753" Type="http://schemas.openxmlformats.org/officeDocument/2006/relationships/hyperlink" Target="https://www.google.com/maps/place/Lyndon+B.+Johnson+Hospital+Emergency+Room/@29.8120223,-95.3168451,17z/data=!3m2!4b1!5s0x88602f187266b603:0x923a0355d1884044!4m6!3m5!1s0x8640b97d755e51ad:0x818b0ea39e4ca28d!8m2!3d29.8120177!4d-95.3119688!16s%2Fg%2F11f291r2jj?entry=ttu&amp;g_ep=EgoyMDI1MDUyMS4wIKXMDSoASAFQAw%3D%3D" TargetMode="External"/><Relationship Id="rId759" Type="http://schemas.openxmlformats.org/officeDocument/2006/relationships/hyperlink" Target="https://www.google.com/maps/place/Harris+Health+Northwest+Health+Center/@29.8183144,-95.4209388,17z/data=!3m1!4b1!4m6!3m5!1s0x8640c7a093af5811:0x1109bde063c823d1!8m2!3d29.8183098!4d-95.4183585!16s%2Fg%2F1tgwsn6q?entry=ttu&amp;g_ep=EgoyMDI1MDUyMS4wIKXMDSoASAFQAw%3D%3D" TargetMode="External"/><Relationship Id="rId758" Type="http://schemas.openxmlformats.org/officeDocument/2006/relationships/hyperlink" Target="https://www.harrishealth.org/locations-hh/Pages/northwest-health-center.aspx" TargetMode="External"/><Relationship Id="rId757" Type="http://schemas.openxmlformats.org/officeDocument/2006/relationships/hyperlink" Target="https://www.google.com/maps/place/Harris+Health+Monroe+Clinic/@29.6689242,-95.263044,16z/data=!3m1!4b1!4m6!3m5!1s0x864097ced0144bb1:0x63d4ddb2f4832b6!8m2!3d29.6689196!4d-95.2604637!16s%2Fg%2F11gr30wbw5?entry=ttu&amp;g_ep=EgoyMDI1MDUyMS4wIKXMDSoASAFQAw%3D%3D" TargetMode="External"/><Relationship Id="rId15" Type="http://schemas.openxmlformats.org/officeDocument/2006/relationships/hyperlink" Target="https://www.google.com/maps/place/Access+Health+Brookshire+WIC+Clinic/@29.7743128,-95.9532197,17z/data=!3m1!4b1!4m6!3m5!1s0x86413ba32420529b:0x5798dda56f02582e!8m2!3d29.7743082!4d-95.9506394!16s%2Fg%2F11hcd_dmqz?entry=ttu&amp;g_ep=EgoyMDI1MDYxNy4wIKXMDSoASAFQAw%3D%3D" TargetMode="External"/><Relationship Id="rId14" Type="http://schemas.openxmlformats.org/officeDocument/2006/relationships/hyperlink" Target="https://www.myaccesshealth.org/" TargetMode="External"/><Relationship Id="rId17" Type="http://schemas.openxmlformats.org/officeDocument/2006/relationships/hyperlink" Target="https://www.google.com/maps/place/AccessHealth+East+Fort+Bend/@29.5498337,-95.5509975,17z/data=!3m1!4b1!4m6!3m5!1s0x8640ef623897ab5b:0x45df221a3b363090!8m2!3d29.5498291!4d-95.5484172!16s%2Fg%2F11g3zk_tqr?entry=ttu&amp;g_ep=EgoyMDI1MDYxNy4wIKXMDSoASAFQAw%3D%3D" TargetMode="External"/><Relationship Id="rId16" Type="http://schemas.openxmlformats.org/officeDocument/2006/relationships/hyperlink" Target="https://www.myaccesshealth.org/" TargetMode="External"/><Relationship Id="rId1340" Type="http://schemas.openxmlformats.org/officeDocument/2006/relationships/hyperlink" Target="https://maps.google.com/?q=Riceville%20Mt%20Olive%20Baptist%20Church%2011539%20South%20Gessner%20Rd%20Houston%20TX%2077071" TargetMode="External"/><Relationship Id="rId19" Type="http://schemas.openxmlformats.org/officeDocument/2006/relationships/hyperlink" Target="https://www.google.com/maps/place/Access+Health+Hempstead+WIC+Clinic/@30.0885994,-96.0854671,17z/data=!3m1!4b1!4m6!3m5!1s0x8646cbf2bdd604ed:0x3871c5dc9c88752f!8m2!3d30.0885948!4d-96.0828868!16s%2Fg%2F11c80c5pwh?entry=ttu&amp;g_ep=EgoyMDI1MDYxNy4wIKXMDSoASAFQAw%3D%3D" TargetMode="External"/><Relationship Id="rId752" Type="http://schemas.openxmlformats.org/officeDocument/2006/relationships/hyperlink" Target="https://www.harrishealth.org/locations-hh/Pages/lbj.aspx" TargetMode="External"/><Relationship Id="rId1341" Type="http://schemas.openxmlformats.org/officeDocument/2006/relationships/hyperlink" Target="https://www.google.com/maps/place/4115+Drake+St,+Houston,+TX+77005/@29.7252966,-95.443885,17z/data=!4m16!1m9!3m8!1s0x8640c107a028ad13:0x753df1f9d6823d75!2s4115+Drake+St,+Houston,+TX+77005!3b1!8m2!3d29.725034!4d-95.4438632!10e5!16s%2Fg%2F11c4sr0fdz!3m5!1s0x8640c107a028ad13:0x753df1f9d6823d75!8m2!3d29.725034!4d-95.4438632!16s%2Fg%2F11c4sr0fdz?entry=ttu&amp;g_ep=EgoyMDI1MTIwOS4wIKXMDSoKLDEwMDc5MjA2OUgBUAM%3D" TargetMode="External"/><Relationship Id="rId18" Type="http://schemas.openxmlformats.org/officeDocument/2006/relationships/hyperlink" Target="https://www.myaccesshealth.org/" TargetMode="External"/><Relationship Id="rId751" Type="http://schemas.openxmlformats.org/officeDocument/2006/relationships/hyperlink" Target="https://www.google.com/maps/place/Harris+Health+Gulfgate+Health+Center/@29.6997779,-95.2883048,17z/data=!3m1!4b1!4m6!3m5!1s0x8640bd93784a65c1:0x72d463c89480905d!8m2!3d29.6997733!4d-95.2857245!16s%2Fg%2F1tz963qh?entry=ttu&amp;g_ep=EgoyMDI1MDUyMS4wIKXMDSoASAFQAw%3D%3D" TargetMode="External"/><Relationship Id="rId1342" Type="http://schemas.openxmlformats.org/officeDocument/2006/relationships/hyperlink" Target="https://rmhchouston.org/what-we-do/houses-lounges/childrens-memorial-hospital/" TargetMode="External"/><Relationship Id="rId750" Type="http://schemas.openxmlformats.org/officeDocument/2006/relationships/hyperlink" Target="https://www.harrishealth.org/locations-hh/Pages/gulfgate-health-center.aspx" TargetMode="External"/><Relationship Id="rId1343" Type="http://schemas.openxmlformats.org/officeDocument/2006/relationships/hyperlink" Target="https://www.google.com/maps/place/Memorial+Hermann+Texas+Medical+Center+Emergency+Room/@29.7143704,-95.3969611,17z/data=!3m1!5s0x886040a97ba498c5:0x94ed68fd3d58385b!4m15!1m8!3m7!1s0x8640c079c8c00001:0x4ebe811552550c3!2s6411+Fannin+St,+Houston,+TX+77030!3b1!8m2!3d29.7143658!4d-95.3969611!16s%2Fg%2F11t_sy4341!3m5!1s0x8640c079d176858f:0x1bbe1c69b7d95949!8m2!3d29.7135985!4d-95.3944754!16s%2Fm%2F04g3lkg?entry=ttu&amp;g_ep=EgoyMDI1MTIwOS4wIKXMDSoKLDEwMDc5MjA2OUgBUAM%3D" TargetMode="External"/><Relationship Id="rId1344" Type="http://schemas.openxmlformats.org/officeDocument/2006/relationships/hyperlink" Target="https://rmhchouston.org/what-we-do/houses-lounges/holcombe-house/" TargetMode="External"/><Relationship Id="rId84" Type="http://schemas.openxmlformats.org/officeDocument/2006/relationships/hyperlink" Target="https://www.google.com/maps/place/American+Kidney+Fund/@39.0518139,-77.1196798,16z/data=!3m2!4b1!5s0x89b7cc31c5ed337d:0x5a6d370d8c2bc86f!4m6!3m5!1s0x89b7cd246949ae89:0x563a057bb9f021d0!8m2!3d39.051814!4d-77.1148035!16s%2Fg%2F11vszk1mcb?entry=ttu&amp;g_ep=EgoyMDI2MDEyMC4wIKXMDSoKLDEwMDc5MjA2OUgBUAM%3D" TargetMode="External"/><Relationship Id="rId1774" Type="http://schemas.openxmlformats.org/officeDocument/2006/relationships/hyperlink" Target="https://www.google.com/maps/place/The+Beacon/@29.7591015,-95.362167,17z/data=!3m1!4b1!4m6!3m5!1s0x8640bf25a98b1e6f:0xcd719aaef3e02dd6!8m2!3d29.7590969!4d-95.3595921!16s%2Fg%2F1ptw5_kgd?entry=ttu&amp;g_ep=EgoyMDI1MTIwOS4wIKXMDSoKLDEwMDc5MjA2OUgBUAM%3D" TargetMode="External"/><Relationship Id="rId83" Type="http://schemas.openxmlformats.org/officeDocument/2006/relationships/hyperlink" Target="https://www.kidneyfund.org/get-assistance" TargetMode="External"/><Relationship Id="rId1775" Type="http://schemas.openxmlformats.org/officeDocument/2006/relationships/hyperlink" Target="https://tbotw.org" TargetMode="External"/><Relationship Id="rId86" Type="http://schemas.openxmlformats.org/officeDocument/2006/relationships/hyperlink" Target="https://maps.google.com/?q=American%20Red%20Cross%202700%20Southwest%20Fwy%20Houston%20TX%2077098" TargetMode="External"/><Relationship Id="rId1776" Type="http://schemas.openxmlformats.org/officeDocument/2006/relationships/hyperlink" Target="https://tbotw.org" TargetMode="External"/><Relationship Id="rId85" Type="http://schemas.openxmlformats.org/officeDocument/2006/relationships/hyperlink" Target="https://www.redcross.org/local/texas/gulf-coast/about-us/locations/houston.html?CID=organic_gmb_listings" TargetMode="External"/><Relationship Id="rId1777" Type="http://schemas.openxmlformats.org/officeDocument/2006/relationships/hyperlink" Target="https://www.councilonrecovery.org/" TargetMode="External"/><Relationship Id="rId88" Type="http://schemas.openxmlformats.org/officeDocument/2006/relationships/hyperlink" Target="https://maps.google.com/?q=American%20Red%20Cross%202700%20Southwest%20Fwy%20Houston%20TX%2077098" TargetMode="External"/><Relationship Id="rId1778" Type="http://schemas.openxmlformats.org/officeDocument/2006/relationships/hyperlink" Target="https://www.google.com/maps/place/The+Council+on+Recovery/@29.7643996,-95.4046838,17z/data=!3m1!4b1!4m6!3m5!1s0x8640c0ae5eed786f:0x35b105cb8afa3268!8m2!3d29.7643996!4d-95.4021089!16s%2Fg%2F1tf3p8kv?entry=ttu&amp;g_ep=EgoyMDI1MDQwOS4wIKXMDSoASAFQAw%3D%3D" TargetMode="External"/><Relationship Id="rId87" Type="http://schemas.openxmlformats.org/officeDocument/2006/relationships/hyperlink" Target="https://www.redcross.org/local/texas/gulf-coast/about-us/locations/houston.html?CID=organic_gmb_listings" TargetMode="External"/><Relationship Id="rId1779" Type="http://schemas.openxmlformats.org/officeDocument/2006/relationships/hyperlink" Target="https://www.haycenter.org/" TargetMode="External"/><Relationship Id="rId89" Type="http://schemas.openxmlformats.org/officeDocument/2006/relationships/hyperlink" Target="https://www.redcross.org/local/texas/gulf-coast/about-us/locations/houston.html?CID=organic_gmb_listings" TargetMode="External"/><Relationship Id="rId709" Type="http://schemas.openxmlformats.org/officeDocument/2006/relationships/hyperlink" Target="https://www.google.com/maps/place/Harris+County+Eastgate+Cemetery/@29.9853319,-95.0238284,17z/data=!3m1!4b1!4m6!3m5!1s0x863f5543a6febb79:0xb005d404fc5a1ac9!8m2!3d29.9853273!4d-95.0212535!16s%2Fg%2F11gjss66zd?entry=ttu&amp;g_ep=EgoyMDI1MDUxMS4wIKXMDSoASAFQAw%3D%3D" TargetMode="External"/><Relationship Id="rId708" Type="http://schemas.openxmlformats.org/officeDocument/2006/relationships/hyperlink" Target="https://hcd.harriscountytx.gov/Residents/Bereavement-Services" TargetMode="External"/><Relationship Id="rId707" Type="http://schemas.openxmlformats.org/officeDocument/2006/relationships/hyperlink" Target="https://maps.google.com/?q=Harris%20County%20Domestic%20Relations%20Office%201310%20Prairie%20St%2C%20Ste%201080%20Houston%20TX%2070002" TargetMode="External"/><Relationship Id="rId706" Type="http://schemas.openxmlformats.org/officeDocument/2006/relationships/hyperlink" Target="https://dro.harriscountytx.gov/Child-Support/Services" TargetMode="External"/><Relationship Id="rId80" Type="http://schemas.openxmlformats.org/officeDocument/2006/relationships/hyperlink" Target="https://allsaintsheights.com/svdp" TargetMode="External"/><Relationship Id="rId82" Type="http://schemas.openxmlformats.org/officeDocument/2006/relationships/hyperlink" Target="https://allysonwhitney.org/" TargetMode="External"/><Relationship Id="rId81" Type="http://schemas.openxmlformats.org/officeDocument/2006/relationships/hyperlink" Target="https://www.google.com/maps/place/All+Saints+Saint+Vincent+de+Paul+Society%E2%80%99s+Food+Pantry/@29.7901633,-95.3980995,17z/data=!3m1!4b1!4m6!3m5!1s0x8640c75f3eb178f5:0xa4944b9b05cc0648!8m2!3d29.7901587!4d-95.3955246!16s%2Fg%2F11rt_jqfzc?entry=ttu&amp;g_ep=EgoyMDI1MDEyOS4xIKXMDSoASAFQAw%3D%3D" TargetMode="External"/><Relationship Id="rId701" Type="http://schemas.openxmlformats.org/officeDocument/2006/relationships/hyperlink" Target="https://www.theharriscenter.org/about" TargetMode="External"/><Relationship Id="rId700" Type="http://schemas.openxmlformats.org/officeDocument/2006/relationships/hyperlink" Target="https://www.google.com/maps/place/The+Harris+Center+Southwest+Community+Service+Center/@29.6784545,-95.5409547,17z/data=!3m2!4b1!5s0x8640c29f264c3a51:0xabdbf83e6c708826!4m6!3m5!1s0x8640c29f2615b457:0xfd4cbe48d3582122!8m2!3d29.6784545!4d-95.5383798!16s%2Fg%2F11c1q8b24n?entry=ttu&amp;g_ep=EgoyMDI1MTAxNC4wIKXMDSoASAFQAw%3D%3D" TargetMode="External"/><Relationship Id="rId705" Type="http://schemas.openxmlformats.org/officeDocument/2006/relationships/hyperlink" Target="https://www.houstonhealth.org/services/aging" TargetMode="External"/><Relationship Id="rId704" Type="http://schemas.openxmlformats.org/officeDocument/2006/relationships/hyperlink" Target="https://www.google.com/maps/place/The+Harris+Center+Southwest+Community+Service+Center/@29.6784545,-95.5409547,17z/data=!3m2!4b1!5s0x8640c29f264c3a51:0xabdbf83e6c708826!4m6!3m5!1s0x8640c29f2615b457:0xfd4cbe48d3582122!8m2!3d29.6784545!4d-95.5383798!16s%2Fg%2F11c1q8b24n?entry=ttu&amp;g_ep=EgoyMDI1MTAxNC4wIKXMDSoASAFQAw%3D%3D" TargetMode="External"/><Relationship Id="rId703" Type="http://schemas.openxmlformats.org/officeDocument/2006/relationships/hyperlink" Target="https://www.theharriscenter.org/about" TargetMode="External"/><Relationship Id="rId702" Type="http://schemas.openxmlformats.org/officeDocument/2006/relationships/hyperlink" Target="https://www.google.com/maps/place/The+Harris+Center+Southwest+Community+Service+Center/@29.6784545,-95.5409547,17z/data=!3m2!4b1!5s0x8640c29f264c3a51:0xabdbf83e6c708826!4m6!3m5!1s0x8640c29f2615b457:0xfd4cbe48d3582122!8m2!3d29.6784545!4d-95.5383798!16s%2Fg%2F11c1q8b24n?entry=ttu&amp;g_ep=EgoyMDI1MTAxNC4wIKXMDSoASAFQAw%3D%3D" TargetMode="External"/><Relationship Id="rId1770" Type="http://schemas.openxmlformats.org/officeDocument/2006/relationships/hyperlink" Target="https://www.google.com/maps/place/The+Ballard+House/@29.7136892,-95.7460074,17z/data=!3m1!4b1!4m6!3m5!1s0x86412089127e1c87:0x82dacf783bd31977!8m2!3d29.7136892!4d-95.7434271!16s%2Fg%2F1pzy0ynh2?entry=ttu&amp;g_ep=EgoyMDI2MDExMS4wIKXMDSoKLDEwMDc5MjA2OUgBUAM%3D" TargetMode="External"/><Relationship Id="rId1771" Type="http://schemas.openxmlformats.org/officeDocument/2006/relationships/hyperlink" Target="https://www.beaconhomeless.org/whatwedo" TargetMode="External"/><Relationship Id="rId1772" Type="http://schemas.openxmlformats.org/officeDocument/2006/relationships/hyperlink" Target="https://www.google.com/maps/place/The+Beacon/@29.7591015,-95.362167,17z/data=!3m1!4b1!4m6!3m5!1s0x8640bf25a98b1e6f:0xcd719aaef3e02dd6!8m2!3d29.7590969!4d-95.3595921!16s%2Fg%2F1ptw5_kgd?entry=ttu&amp;g_ep=EgoyMDI1MTIwOS4wIKXMDSoKLDEwMDc5MjA2OUgBUAM%3D" TargetMode="External"/><Relationship Id="rId1773" Type="http://schemas.openxmlformats.org/officeDocument/2006/relationships/hyperlink" Target="https://www.beaconhomeless.org/whatwedo" TargetMode="External"/><Relationship Id="rId73" Type="http://schemas.openxmlformats.org/officeDocument/2006/relationships/hyperlink" Target="https://maps.app.goo.gl/FEhdBRkjwU1f7Fgh9" TargetMode="External"/><Relationship Id="rId1763" Type="http://schemas.openxmlformats.org/officeDocument/2006/relationships/hyperlink" Target="https://www.hhs.texas.gov/services/financial/cash/tanf-cash-help" TargetMode="External"/><Relationship Id="rId72" Type="http://schemas.openxmlformats.org/officeDocument/2006/relationships/hyperlink" Target="https://www.alexanderjfs.org/" TargetMode="External"/><Relationship Id="rId1764" Type="http://schemas.openxmlformats.org/officeDocument/2006/relationships/hyperlink" Target="https://www.google.com/maps/place/3880+North+Fwy,+Houston,+TX+77022/@29.8211947,-95.3767647,18z/data=!4m6!3m5!1s0x8640b86181256a6d:0x49bcc30ecbc43268!8m2!3d29.8211901!4d-95.3780468!16s%2Fg%2F11b8yd7_qp?entry=ttu&amp;g_ep=EgoyMDI1MDcwOS4wIKXMDSoASAFQAw%3D%3D" TargetMode="External"/><Relationship Id="rId75" Type="http://schemas.openxmlformats.org/officeDocument/2006/relationships/hyperlink" Target="https://www.google.com/maps/place/Alief+Neighborhood+Center/@29.7027824,-95.5914638,17z/data=!3m1!4b1!4m6!3m5!1s0x8640dd1112820e8f:0x8168f3ce4f125463!8m2!3d29.7027778!4d-95.5888889!16s%2Fg%2F1vn18xzb?entry=ttu&amp;g_ep=EgoyMDI2MDIwMS4wIKXMDSoKLDEwMDc5MjA2OUgBUAM%3D" TargetMode="External"/><Relationship Id="rId1765" Type="http://schemas.openxmlformats.org/officeDocument/2006/relationships/hyperlink" Target="https://tvc.texas.gov/" TargetMode="External"/><Relationship Id="rId74" Type="http://schemas.openxmlformats.org/officeDocument/2006/relationships/hyperlink" Target="https://www.houstonhealth.org/services/multi-service-centers/alief-multi-service-center" TargetMode="External"/><Relationship Id="rId1766" Type="http://schemas.openxmlformats.org/officeDocument/2006/relationships/hyperlink" Target="https://www.google.com/maps/place/Texas+Veterans+Commission/@29.7004162,-95.4649195,13z/data=!4m10!1m2!2m1!1stexas+veterans+commission!3m6!1s0x8640bf8ba20f2c3b:0x7d307163a92b7959!8m2!3d29.7004162!4d-95.3887018!15sChl0ZXhhcyB2ZXRlcmFucyBjb21taXNzaW9uWhsiGXRleGFzIHZldGVyYW5zIGNvbW1pc3Npb26SARt2ZXRlcmFuc19hZmZhaXJzX2RlcGFydG1lbnSaAURDaTlEUVVsUlFVTnZaRU5vZEhsalJqbHZUMnBXWmsxRVduVlNNVXBDWTBWS05XVkhhelZXUjJkM1kyMHhhVk5JWXhBQuABAPoBBAgAEDw!16s%2Fg%2F1tdrfrcr?entry=ttu&amp;g_ep=EgoyMDI2MDIxMS4wIKXMDSoASAFQAw%3D%3D" TargetMode="External"/><Relationship Id="rId77" Type="http://schemas.openxmlformats.org/officeDocument/2006/relationships/hyperlink" Target="https://www.google.com/maps/place/All+Saints+Saint+Vincent+de+Paul+Society%E2%80%99s+Food+Pantry/@29.7901633,-95.3980995,17z/data=!3m1!4b1!4m6!3m5!1s0x8640c75f3eb178f5:0xa4944b9b05cc0648!8m2!3d29.7901587!4d-95.3955246!16s%2Fg%2F11rt_jqfzc?entry=ttu&amp;g_ep=EgoyMDI1MDEyOS4xIKXMDSoASAFQAw%3D%3D" TargetMode="External"/><Relationship Id="rId1767" Type="http://schemas.openxmlformats.org/officeDocument/2006/relationships/hyperlink" Target="https://tafcares.org/patients/eligibility/" TargetMode="External"/><Relationship Id="rId76" Type="http://schemas.openxmlformats.org/officeDocument/2006/relationships/hyperlink" Target="https://allsaintsheights.com/svdp" TargetMode="External"/><Relationship Id="rId1768" Type="http://schemas.openxmlformats.org/officeDocument/2006/relationships/hyperlink" Target="https://www.google.com/maps/place/People+Who+Make+A+Difference+Foundation/@28.4598594,-81.4580731,17z/data=!3m2!4b1!5s0x88e77ef17f6df0ff:0xc9b545a2e348cf29!4m6!3m5!1s0x88e77e78e4fa3c8d:0x5e24cac5ad0dbe0e!8m2!3d28.4598594!4d-81.4554928!16s%2Fg%2F11f3wb6p64?entry=ttu&amp;g_ep=EgoyMDI2MDEyMC4wIKXMDSoKLDEwMDc5MjA2OUgBUAM%3D" TargetMode="External"/><Relationship Id="rId79" Type="http://schemas.openxmlformats.org/officeDocument/2006/relationships/hyperlink" Target="https://www.google.com/maps/place/All+Saints+Saint+Vincent+de+Paul+Society%E2%80%99s+Food+Pantry/@29.7901633,-95.3980995,17z/data=!3m1!4b1!4m6!3m5!1s0x8640c75f3eb178f5:0xa4944b9b05cc0648!8m2!3d29.7901587!4d-95.3955246!16s%2Fg%2F11rt_jqfzc?entry=ttu&amp;g_ep=EgoyMDI1MDEyOS4xIKXMDSoASAFQAw%3D%3D" TargetMode="External"/><Relationship Id="rId1769" Type="http://schemas.openxmlformats.org/officeDocument/2006/relationships/hyperlink" Target="https://www.theballardhouse.org/application" TargetMode="External"/><Relationship Id="rId78" Type="http://schemas.openxmlformats.org/officeDocument/2006/relationships/hyperlink" Target="https://allsaintsheights.com/svdp" TargetMode="External"/><Relationship Id="rId71" Type="http://schemas.openxmlformats.org/officeDocument/2006/relationships/hyperlink" Target="https://maps.app.goo.gl/FEhdBRkjwU1f7Fgh9" TargetMode="External"/><Relationship Id="rId70" Type="http://schemas.openxmlformats.org/officeDocument/2006/relationships/hyperlink" Target="https://www.alexanderjfs.org/" TargetMode="External"/><Relationship Id="rId1760" Type="http://schemas.openxmlformats.org/officeDocument/2006/relationships/hyperlink" Target="https://www.google.com/maps/place/2008+Th+Jones+Ml+Wy,+Salado,+TX+76571/@30.959497,-97.5129199,17z/data=!3m1!4b1!4m6!3m5!1s0x86453ea43a452dd1:0x8c8aa755ba98b679!8m2!3d30.9594924!4d-97.510345!16s%2Fg%2F11p_82zj3p?entry=ttu&amp;g_ep=EgoyMDI2MDIxMS4wIKXMDSoASAFQAw%3D%3D" TargetMode="External"/><Relationship Id="rId1761" Type="http://schemas.openxmlformats.org/officeDocument/2006/relationships/hyperlink" Target="https://www.trla.org/" TargetMode="External"/><Relationship Id="rId1762" Type="http://schemas.openxmlformats.org/officeDocument/2006/relationships/hyperlink" Target="https://www.google.com/maps/place/Texas+RioGrande+Legal+Aid/@29.6941615,-97.3275276,9z/data=!4m10!1m2!2m1!1sTexas+RioGrande+Legal+Aid!3m6!1s0x8644ca0efe7ed18d:0x9b98d86b3e60fe84!8m2!3d30.309061!4d-97.7121734!15sChlUZXhhcyBSaW9HcmFuZGUgTGVnYWwgQWlkIgOIAQGSAQ5sZWdhbF9zZXJ2aWNlc6oBdAoNL2cvMTFiYzV2am4xbQoIL20vMDdiX2wQASoXIhNyaW9ncmFuZGUgbGVnYWwgYWlkKAAyHxABIhvX3X7zDH3i_mTUY0WEH4k-hDYx60Ms1d9BTZcyHRACIhl0ZXhhcyByaW9ncmFuZGUgbGVnYWwgYWlk4AEA!16s%2Fg%2F1tgzbr7d?entry=ttu&amp;g_ep=EgoyMDI1MDcwOS4wIKXMDSoASAFQAw%3D%3D" TargetMode="External"/><Relationship Id="rId62" Type="http://schemas.openxmlformats.org/officeDocument/2006/relationships/hyperlink" Target="https://www.denverharborhealthcenter.org" TargetMode="External"/><Relationship Id="rId1312" Type="http://schemas.openxmlformats.org/officeDocument/2006/relationships/hyperlink" Target="https://www.pophouston.org/necessities/" TargetMode="External"/><Relationship Id="rId1796" Type="http://schemas.openxmlformats.org/officeDocument/2006/relationships/hyperlink" Target="https://www.google.com/maps/place/Third+Ward+Multi-Service+Center/@29.728313,-95.3641706,17z/data=!3m1!4b1!4m6!3m5!1s0x8640bf07dcc6d557:0xdb0dea1035885c15!8m2!3d29.7283084!4d-95.3615957!16s%2Fg%2F1tdz568q?entry=ttu&amp;g_ep=EgoyMDI2MDIwMS4wIKXMDSoKLDEwMDc5MjA2OUgBUAM%3D" TargetMode="External"/><Relationship Id="rId61" Type="http://schemas.openxmlformats.org/officeDocument/2006/relationships/hyperlink" Target="https://www.google.com/maps/place/910+9th+St,+Hempstead,+TX+77445/@30.0961763,-96.0795556,17z/data=!3m1!4b1!4m6!3m5!1s0x8646b5f1b69d9005:0x358dea5554b4780d!8m2!3d30.0961763!4d-96.0769753!16s%2Fg%2F11c4jtyf3r?entry=ttu&amp;g_ep=EgoyMDI2MDExMy4wIKXMDSoKLDEwMDc5MjA2OUgBUAM%3D" TargetMode="External"/><Relationship Id="rId1313" Type="http://schemas.openxmlformats.org/officeDocument/2006/relationships/hyperlink" Target="https://maps.google.com/?q=Prince%20of%20Peace%2019222%20TX-249%20Houston%20TX%2077070" TargetMode="External"/><Relationship Id="rId1797" Type="http://schemas.openxmlformats.org/officeDocument/2006/relationships/hyperlink" Target="https://teamtomball.com/assistance/" TargetMode="External"/><Relationship Id="rId64" Type="http://schemas.openxmlformats.org/officeDocument/2006/relationships/hyperlink" Target="https://www.aishelhouse.org/patients/stay-with-us/" TargetMode="External"/><Relationship Id="rId1314" Type="http://schemas.openxmlformats.org/officeDocument/2006/relationships/hyperlink" Target="https://www.pophouston.org/necessities/" TargetMode="External"/><Relationship Id="rId1798" Type="http://schemas.openxmlformats.org/officeDocument/2006/relationships/hyperlink" Target="https://maps.google.com/?q=Tomball%20Emergency%20Asst%20Ministry%20300%20W%20Main%20St%20Tomball%20TX%2077375" TargetMode="External"/><Relationship Id="rId63" Type="http://schemas.openxmlformats.org/officeDocument/2006/relationships/hyperlink" Target="https://www.google.com/maps/place/Vecino's+Denver+Harbor+Family+Health+Center/@29.7804606,-95.3124257,16z/data=!3m1!4b1!4m6!3m5!1s0x8640bbfe0493ec21:0xa8baa6b440546cf3!8m2!3d29.780456!4d-95.3098454!16s%2Fg%2F1td9whln?entry=ttu&amp;g_ep=EgoyMDI0MDkwNC4wIKXMDSoASAFQAw%3D%3D" TargetMode="External"/><Relationship Id="rId1315" Type="http://schemas.openxmlformats.org/officeDocument/2006/relationships/hyperlink" Target="https://maps.google.com/?q=Prince%20of%20Peace%2019222%20TX-249%20Houston%20TX%2077070" TargetMode="External"/><Relationship Id="rId1799" Type="http://schemas.openxmlformats.org/officeDocument/2006/relationships/hyperlink" Target="https://teamtomball.com/assistance/" TargetMode="External"/><Relationship Id="rId66" Type="http://schemas.openxmlformats.org/officeDocument/2006/relationships/hyperlink" Target="https://www.alexanderjfs.org/" TargetMode="External"/><Relationship Id="rId1316" Type="http://schemas.openxmlformats.org/officeDocument/2006/relationships/hyperlink" Target="https://www.pophouston.org/necessities/" TargetMode="External"/><Relationship Id="rId65" Type="http://schemas.openxmlformats.org/officeDocument/2006/relationships/hyperlink" Target="https://www.google.com/maps/place/Aishel+House/@29.7118263,-95.4063507,16z/data=!3m1!4b1!4m6!3m5!1s0x8640c07016137dbf:0x16c023b2074d0f7a!8m2!3d29.7118263!4d-95.4037704!16s%2Fg%2F1tjt29qf?entry=ttu&amp;g_ep=EgoyMDI2MDExMS4wIKXMDSoKLDEwMDc5MjA2OUgBUAM%3D" TargetMode="External"/><Relationship Id="rId1317" Type="http://schemas.openxmlformats.org/officeDocument/2006/relationships/hyperlink" Target="https://maps.google.com/?q=Prince%20of%20Peace%2019222%20TX-249%20Houston%20TX%2077070" TargetMode="External"/><Relationship Id="rId68" Type="http://schemas.openxmlformats.org/officeDocument/2006/relationships/hyperlink" Target="https://www.alexanderjfs.org/" TargetMode="External"/><Relationship Id="rId1318" Type="http://schemas.openxmlformats.org/officeDocument/2006/relationships/hyperlink" Target="https://www.podhouston.org/" TargetMode="External"/><Relationship Id="rId67" Type="http://schemas.openxmlformats.org/officeDocument/2006/relationships/hyperlink" Target="https://maps.app.goo.gl/FEhdBRkjwU1f7Fgh9" TargetMode="External"/><Relationship Id="rId1319" Type="http://schemas.openxmlformats.org/officeDocument/2006/relationships/hyperlink" Target="https://www.queenofpeacelamarque.org/" TargetMode="External"/><Relationship Id="rId729" Type="http://schemas.openxmlformats.org/officeDocument/2006/relationships/hyperlink" Target="https://www.google.com/maps/place/Harris+Health+Aldine+Health+Center/@29.9032127,-95.3235658,16z/data=!3m1!4b1!4m6!3m5!1s0x8640b7256679bf63:0xd195fa76b13c3a3e!8m2!3d29.9032081!4d-95.3209855!16s%2Fg%2F1tgz0znw?entry=ttu&amp;g_ep=EgoyMDI1MDUyMS4wIKXMDSoASAFQAw%3D%3D" TargetMode="External"/><Relationship Id="rId728" Type="http://schemas.openxmlformats.org/officeDocument/2006/relationships/hyperlink" Target="https://www.harrishealth.org/locations-hh/Pages/aldine-health-center.aspx" TargetMode="External"/><Relationship Id="rId60" Type="http://schemas.openxmlformats.org/officeDocument/2006/relationships/hyperlink" Target="https://avda.org/get-help/legal-aid/" TargetMode="External"/><Relationship Id="rId723" Type="http://schemas.openxmlformats.org/officeDocument/2006/relationships/hyperlink" Target="https://www.google.com/maps/place/Harris+Health+Corporate+Office/@29.7168245,-95.4817272,15z/data=!3m1!5s0x8640c16edf11b053:0x4add2405afe1aba8!4m10!1m2!2m1!1sHarris+Health+System!3m6!1s0x8640c1d14d503349:0x4f3423ea719c88d5!8m2!3d29.7168245!4d-95.4626728!15sChRIYXJyaXMgSGVhbHRoIFN5c3RlbSIDiAEBkgEQY29ycG9yYXRlX29mZmljZaoBZQoNL2cvMTFjMXdrMDN2ORABKhgiFGhhcnJpcyBoZWFsdGggc3lzdGVtKAAyHhABIhrcC92RdDxkf4w4A7GWYZSfUNxkTax7pBEK2jIYEAIiFGhhcnJpcyBoZWFsdGggc3lzdGVt4AEA!16s%2Fg%2F11rv5vq4vt?entry=ttu&amp;g_ep=EgoyMDI1MDUyMS4wIKXMDSoASAFQAw%3D%3D" TargetMode="External"/><Relationship Id="rId722" Type="http://schemas.openxmlformats.org/officeDocument/2006/relationships/hyperlink" Target="https://www.harrishealth.org" TargetMode="External"/><Relationship Id="rId721" Type="http://schemas.openxmlformats.org/officeDocument/2006/relationships/hyperlink" Target="https://www.google.com/maps/place/2000+Travis+St,+Houston,+TX+77002/@29.7500194,-95.3743053,17z/data=!3m1!4b1!4m5!3m4!1s0x8640bf3fe1f88cb1:0x4e6a2f3cb4c836a4!8m2!3d29.7500148!4d-95.371725?entry=ttu&amp;g_ep=EgoyMDI2MDIxMS4wIKXMDSoASAFQAw%3D%3D" TargetMode="External"/><Relationship Id="rId720" Type="http://schemas.openxmlformats.org/officeDocument/2006/relationships/hyperlink" Target="https://www.harrisvets.com/claims" TargetMode="External"/><Relationship Id="rId727" Type="http://schemas.openxmlformats.org/officeDocument/2006/relationships/hyperlink" Target="https://www.google.com/maps/place/Harris+Health+Aldine+Health+Center/@29.9032127,-95.3235658,16z/data=!3m1!4b1!4m6!3m5!1s0x8640b7256679bf63:0xd195fa76b13c3a3e!8m2!3d29.9032081!4d-95.3209855!16s%2Fg%2F1tgz0znw?entry=ttu&amp;g_ep=EgoyMDI1MDUyMS4wIKXMDSoASAFQAw%3D%3D" TargetMode="External"/><Relationship Id="rId726" Type="http://schemas.openxmlformats.org/officeDocument/2006/relationships/hyperlink" Target="https://www.harrishealth.org/locations-hh/Pages/aldine-health-center.aspx" TargetMode="External"/><Relationship Id="rId725" Type="http://schemas.openxmlformats.org/officeDocument/2006/relationships/hyperlink" Target="https://www.google.com/maps/place/Harris+Health+Acres+Home+Health+Center/@29.8758543,-95.4213997,16z/data=!3m1!4b1!4m6!3m5!1s0x8640c86de9652fa7:0x936a59c12f7e8ddd!8m2!3d29.8758497!4d-95.4188194!16s%2Fg%2F1tg4x6ts?entry=ttu&amp;g_ep=EgoyMDI1MDUyMS4wIKXMDSoASAFQAw%3D%3D" TargetMode="External"/><Relationship Id="rId724" Type="http://schemas.openxmlformats.org/officeDocument/2006/relationships/hyperlink" Target="https://www.harrishealth.org/locations-hh/Pages/acres-home-health-center.aspx" TargetMode="External"/><Relationship Id="rId69" Type="http://schemas.openxmlformats.org/officeDocument/2006/relationships/hyperlink" Target="https://maps.app.goo.gl/FEhdBRkjwU1f7Fgh9" TargetMode="External"/><Relationship Id="rId1790" Type="http://schemas.openxmlformats.org/officeDocument/2006/relationships/hyperlink" Target="https://www.google.com/maps/place/The+Lighthouse+of+Houston/@29.7573938,-95.411741,17z/data=!3m1!4b1!4m6!3m5!1s0x8640c0ba55ff04f7:0x2804864348e60b5!8m2!3d29.7573892!4d-95.4068701!16s%2Fg%2F1trxf24y?entry=ttu&amp;g_ep=EgoyMDI1MDUxMS4wIKXMDSoASAFQAw%3D%3D" TargetMode="External"/><Relationship Id="rId1791" Type="http://schemas.openxmlformats.org/officeDocument/2006/relationships/hyperlink" Target="https://houstonlighthouse.org/" TargetMode="External"/><Relationship Id="rId1792" Type="http://schemas.openxmlformats.org/officeDocument/2006/relationships/hyperlink" Target="https://www.google.com/maps/place/The+Lighthouse+of+Houston/@29.7573938,-95.411741,17z/data=!3m1!4b1!4m6!3m5!1s0x8640c0ba55ff04f7:0x2804864348e60b5!8m2!3d29.7573892!4d-95.4068701!16s%2Fg%2F1trxf24y?entry=ttu&amp;g_ep=EgoyMDI1MDUxMS4wIKXMDSoASAFQAw%3D%3D" TargetMode="External"/><Relationship Id="rId1793" Type="http://schemas.openxmlformats.org/officeDocument/2006/relationships/hyperlink" Target="https://www.thewomenshome.org/what-we-do/" TargetMode="External"/><Relationship Id="rId1310" Type="http://schemas.openxmlformats.org/officeDocument/2006/relationships/hyperlink" Target="https://www.pchas.org/what-we-do/single-parent-family" TargetMode="External"/><Relationship Id="rId1794" Type="http://schemas.openxmlformats.org/officeDocument/2006/relationships/hyperlink" Target="https://www.google.com/maps/place/Women's+Home/@29.7442602,-95.3918399,17z/data=!3m1!4b1!4m6!3m5!1s0x8640bf6141ce535d:0x8e346ab704245bf5!8m2!3d29.7442556!4d-95.389265!16s%2Fg%2F1tf3p8k0?entry=ttu&amp;g_ep=EgoyMDI1MDUxMS4wIKXMDSoASAFQAw%3D%3D" TargetMode="External"/><Relationship Id="rId1311" Type="http://schemas.openxmlformats.org/officeDocument/2006/relationships/hyperlink" Target="https://www.google.com/maps/place/St.+John's+Presbyterian+Church/@29.6687136,-95.4699797,17z/data=!4m15!1m8!3m7!1s0x8640ea0589afac6d:0xe49f7e32934aec1b!2s5020+W+Bellfort+Ave,+Houston,+TX+77035!3b1!8m2!3d29.668709!4d-95.4674048!16s%2Fg%2F11cpgq59hw!3m5!1s0x8640ea0f6c4bfb13:0x71341dab24cb490e!8m2!3d29.6686021!4d-95.4674609!16s%2Fg%2F1tdzgcw3?entry=ttu&amp;g_ep=EgoyMDI1MDUxMS4wIKXMDSoASAFQAw%3D%3D" TargetMode="External"/><Relationship Id="rId1795" Type="http://schemas.openxmlformats.org/officeDocument/2006/relationships/hyperlink" Target="https://www.houstonhealth.org/services/multi-service-centers/third-ward-multi-service-center" TargetMode="External"/><Relationship Id="rId51" Type="http://schemas.openxmlformats.org/officeDocument/2006/relationships/hyperlink" Target="https://www.google.com/maps/place/AVDA+(Aid+to+Victims+of+Domestic+Abuse)/@29.7600419,-95.3669883,17z/data=!3m2!4b1!5s0x8640c6aa65c8eea5:0x1dd626e1f5b80a6!4m6!3m5!1s0x8640bf13bd360545:0x6f740c2de58717e4!8m2!3d29.760042!4d-95.362112!16s%2Fg%2F1tdww1xs?entry=ttu&amp;g_ep=EgoyMDI2MDExMy4wIKXMDSoKLDEwMDc5MjA2OUgBUAM%3D" TargetMode="External"/><Relationship Id="rId1301" Type="http://schemas.openxmlformats.org/officeDocument/2006/relationships/hyperlink" Target="https://www.google.com/maps/place/Patient+Advocate+Foundation/@37.0617733,-76.4118891,17z/data=!3m1!4b1!4m6!3m5!1s0x89ba83010a452603:0x5ebd3cb48ede74e4!8m2!3d37.0617734!4d-76.4070128!16s%2Fg%2F1vkxn4xs?entry=ttu&amp;g_ep=EgoyMDI2MDEyMC4wIKXMDSoKLDEwMDc5MjA2OUgBUAM%3D" TargetMode="External"/><Relationship Id="rId1785" Type="http://schemas.openxmlformats.org/officeDocument/2006/relationships/hyperlink" Target="https://thelanding.org/our-work/" TargetMode="External"/><Relationship Id="rId50" Type="http://schemas.openxmlformats.org/officeDocument/2006/relationships/hyperlink" Target="https://avda.org/" TargetMode="External"/><Relationship Id="rId1302" Type="http://schemas.openxmlformats.org/officeDocument/2006/relationships/hyperlink" Target="https://www.patientadvocate.org/connect-with-services/financial-aid-funds/" TargetMode="External"/><Relationship Id="rId1786" Type="http://schemas.openxmlformats.org/officeDocument/2006/relationships/hyperlink" Target="https://www.google.com/maps/place/The+Landing+Drop-In+Center/@29.6771389,-95.5578151,16z/data=!3m1!4b1!4m6!3m5!1s0x8640c2a8e9e9b749:0xeb138e54bcc8caa9!8m2!3d29.6771343!4d-95.5529442!16s%2Fg%2F11d_yph8l8?entry=ttu&amp;g_ep=EgoyMDI2MDIwMS4wIKXMDSoKLDEwMDc5MjA2OUgBUAM%3D" TargetMode="External"/><Relationship Id="rId53" Type="http://schemas.openxmlformats.org/officeDocument/2006/relationships/hyperlink" Target="https://www.google.com/maps/place/12300+Parc+Crest+Dr,+Stafford,+TX+77477/@29.6427714,-95.571324,17z/data=!3m1!4b1!4m6!3m5!1s0x8640e7db8e5876c1:0xe77e74e1dbfaf7a8!8m2!3d29.6427714!4d-95.5687437!16s%2Fg%2F11bw4ptrpn?entry=ttu&amp;g_ep=EgoyMDI2MDExMy4wIKXMDSoKLDEwMDc5MjA2OUgBUAM%3D" TargetMode="External"/><Relationship Id="rId1303" Type="http://schemas.openxmlformats.org/officeDocument/2006/relationships/hyperlink" Target="https://www.google.com/maps/place/Patient+Advocate+Foundation/@37.0617733,-76.4118891,17z/data=!3m1!4b1!4m6!3m5!1s0x89ba83010a452603:0x5ebd3cb48ede74e4!8m2!3d37.0617734!4d-76.4070128!16s%2Fg%2F1vkxn4xs?entry=ttu&amp;g_ep=EgoyMDI2MDEyMC4wIKXMDSoKLDEwMDc5MjA2OUgBUAM%3D" TargetMode="External"/><Relationship Id="rId1787" Type="http://schemas.openxmlformats.org/officeDocument/2006/relationships/hyperlink" Target="https://houstonlighthouse.org/" TargetMode="External"/><Relationship Id="rId52" Type="http://schemas.openxmlformats.org/officeDocument/2006/relationships/hyperlink" Target="https://avda.org/" TargetMode="External"/><Relationship Id="rId1304" Type="http://schemas.openxmlformats.org/officeDocument/2006/relationships/hyperlink" Target="https://pet-set.org/spay-neuter/" TargetMode="External"/><Relationship Id="rId1788" Type="http://schemas.openxmlformats.org/officeDocument/2006/relationships/hyperlink" Target="https://www.google.com/maps/place/The+Lighthouse+of+Houston/@29.7573938,-95.411741,17z/data=!3m1!4b1!4m6!3m5!1s0x8640c0ba55ff04f7:0x2804864348e60b5!8m2!3d29.7573892!4d-95.4068701!16s%2Fg%2F1trxf24y?entry=ttu&amp;g_ep=EgoyMDI1MDUxMS4wIKXMDSoASAFQAw%3D%3D" TargetMode="External"/><Relationship Id="rId55" Type="http://schemas.openxmlformats.org/officeDocument/2006/relationships/hyperlink" Target="https://www.google.com/maps/place/910+9th+St,+Hempstead,+TX+77445/@30.0961763,-96.0795556,17z/data=!3m1!4b1!4m6!3m5!1s0x8646b5f1b69d9005:0x358dea5554b4780d!8m2!3d30.0961763!4d-96.0769753!16s%2Fg%2F11c4jtyf3r?entry=ttu&amp;g_ep=EgoyMDI2MDExMy4wIKXMDSoKLDEwMDc5MjA2OUgBUAM%3D" TargetMode="External"/><Relationship Id="rId1305" Type="http://schemas.openxmlformats.org/officeDocument/2006/relationships/hyperlink" Target="https://www.google.com/maps/place/4265+San+Felipe+St,+Houston,+TX+77027/@29.746345,-95.4528293,17z/data=!3m1!4b1!4m6!3m5!1s0x8640c11602426951:0x668c344ef44f68ee!8m2!3d29.746345!4d-95.450249!16s%2Fg%2F11nnkxcf4j?entry=ttu&amp;g_ep=EgoyMDI2MDIyNS4wIKXMDSoASAFQAw%3D%3D" TargetMode="External"/><Relationship Id="rId1789" Type="http://schemas.openxmlformats.org/officeDocument/2006/relationships/hyperlink" Target="https://houstonlighthouse.org/" TargetMode="External"/><Relationship Id="rId54" Type="http://schemas.openxmlformats.org/officeDocument/2006/relationships/hyperlink" Target="https://avda.org/" TargetMode="External"/><Relationship Id="rId1306" Type="http://schemas.openxmlformats.org/officeDocument/2006/relationships/hyperlink" Target="https://apply.pinkfund.org/qualification/intro" TargetMode="External"/><Relationship Id="rId57" Type="http://schemas.openxmlformats.org/officeDocument/2006/relationships/hyperlink" Target="https://www.google.com/maps/place/AVDA+(Aid+to+Victims+of+Domestic+Abuse)/@29.7600419,-95.3669883,17z/data=!3m2!4b1!5s0x8640c6aa65c8eea5:0x1dd626e1f5b80a6!4m6!3m5!1s0x8640bf13bd360545:0x6f740c2de58717e4!8m2!3d29.760042!4d-95.362112!16s%2Fg%2F1tdww1xs?entry=ttu&amp;g_ep=EgoyMDI2MDExMy4wIKXMDSoKLDEwMDc5MjA2OUgBUAM%3D" TargetMode="External"/><Relationship Id="rId1307" Type="http://schemas.openxmlformats.org/officeDocument/2006/relationships/hyperlink" Target="https://www.google.com/maps/place/Southfield,+MI+48037/@42.4869961,-83.2687969,16z/data=!3m1!4b1!4m6!3m5!1s0x8824b7dd5fdd06a9:0xbbe824566e584419!8m2!3d42.4869968!4d-83.2636363!16s%2Fm%2F07nqt03?entry=ttu&amp;g_ep=EgoyMDI2MDEyMC4wIKXMDSoKLDEwMDc5MjA2OUgBUAM%3D" TargetMode="External"/><Relationship Id="rId56" Type="http://schemas.openxmlformats.org/officeDocument/2006/relationships/hyperlink" Target="https://avda.org/get-help/legal-aid/" TargetMode="External"/><Relationship Id="rId1308" Type="http://schemas.openxmlformats.org/officeDocument/2006/relationships/hyperlink" Target="https://www.pozimpact.org" TargetMode="External"/><Relationship Id="rId1309" Type="http://schemas.openxmlformats.org/officeDocument/2006/relationships/hyperlink" Target="https://www.google.com/maps/place/Settegast,+Houston,+TX+77028/@29.8155206,-95.2895838,15z/data=!3m1!4b1!4m6!3m5!1s0x8640bbae2057c609:0x52165e6a6f16f5e0!8m2!3d29.8153817!4d-95.2809519!16s%2Fg%2F1hhxv8jpb?entry=ttu&amp;g_ep=EgoyMDI1MDcxNi4wIKXMDSoASAFQAw%3D%3D" TargetMode="External"/><Relationship Id="rId719" Type="http://schemas.openxmlformats.org/officeDocument/2006/relationships/hyperlink" Target="https://maps.app.goo.gl/WPuB2MH9d6FTxm9e7" TargetMode="External"/><Relationship Id="rId718" Type="http://schemas.openxmlformats.org/officeDocument/2006/relationships/hyperlink" Target="https://hcd.harriscountytx.gov/" TargetMode="External"/><Relationship Id="rId717" Type="http://schemas.openxmlformats.org/officeDocument/2006/relationships/hyperlink" Target="https://www.google.com/maps/place/Harris+County+Resources+for+Children+and+Adults/@29.6846563,-95.4195168,16z/data=!3m1!4b1!4m6!3m5!1s0x8640c0222098f103:0xf23ddb54b95c6976!8m2!3d29.6846517!4d-95.4169365!16s%2Fg%2F1t_hzcfk?entry=ttu&amp;g_ep=EgoyMDI1MTAxMy4wIKXMDSoASAFQAw%3D%3D" TargetMode="External"/><Relationship Id="rId712" Type="http://schemas.openxmlformats.org/officeDocument/2006/relationships/hyperlink" Target="https://hchatexas.org/" TargetMode="External"/><Relationship Id="rId711" Type="http://schemas.openxmlformats.org/officeDocument/2006/relationships/hyperlink" Target="https://www.google.com/maps/place/1111+Fannin+St,+Houston,+TX+77002/@29.7552171,-95.3695025,17z/data=!3m1!4b1!4m6!3m5!1s0x8640bf3f8e29b9a9:0x8fd7ee903ef77abb!8m2!3d29.7552125!4d-95.3646316!16s%2Fg%2F11ltpgk85w?entry=ttu&amp;g_ep=EgoyMDI1MDUxMS4wIKXMDSoASAFQAw%3D%3D" TargetMode="External"/><Relationship Id="rId710" Type="http://schemas.openxmlformats.org/officeDocument/2006/relationships/hyperlink" Target="https://hcd.harriscountytx.gov/Residents/Home-Repair-Program" TargetMode="External"/><Relationship Id="rId716" Type="http://schemas.openxmlformats.org/officeDocument/2006/relationships/hyperlink" Target="https://resources.harriscountytx.gov/About-Us/Who-We-Are" TargetMode="External"/><Relationship Id="rId715" Type="http://schemas.openxmlformats.org/officeDocument/2006/relationships/hyperlink" Target="https://www.google.com/maps/place/Harris+County+Cemetery/@29.8152693,-95.2393573,17z/data=!3m1!4b1!4m6!3m5!1s0x8640bb2583833435:0xee53b2c3fb77944f!8m2!3d29.8152647!4d-95.2367824!16s%2Fg%2F1vntk8dl?entry=ttu&amp;g_ep=EgoyMDI1MDUxMS4wIKXMDSoASAFQAw%3D%3D" TargetMode="External"/><Relationship Id="rId714" Type="http://schemas.openxmlformats.org/officeDocument/2006/relationships/hyperlink" Target="https://hcd.harriscountytx.gov/Residents/Bereavement-Services" TargetMode="External"/><Relationship Id="rId713" Type="http://schemas.openxmlformats.org/officeDocument/2006/relationships/hyperlink" Target="https://maps.google.com/?q=Harris%20County%20Housing%20Authority%20%20%20TX%20" TargetMode="External"/><Relationship Id="rId59" Type="http://schemas.openxmlformats.org/officeDocument/2006/relationships/hyperlink" Target="https://www.google.com/maps/place/12300+Parc+Crest+Dr,+Stafford,+TX+77477/@29.6427714,-95.571324,17z/data=!3m1!4b1!4m6!3m5!1s0x8640e7db8e5876c1:0xe77e74e1dbfaf7a8!8m2!3d29.6427714!4d-95.5687437!16s%2Fg%2F11bw4ptrpn?entry=ttu&amp;g_ep=EgoyMDI2MDExMy4wIKXMDSoKLDEwMDc5MjA2OUgBUAM%3D" TargetMode="External"/><Relationship Id="rId58" Type="http://schemas.openxmlformats.org/officeDocument/2006/relationships/hyperlink" Target="https://avda.org/get-help/legal-aid/" TargetMode="External"/><Relationship Id="rId1780" Type="http://schemas.openxmlformats.org/officeDocument/2006/relationships/hyperlink" Target="https://www.google.com/maps/place/The+HAY+Center/@29.7395132,-95.3546847,16z/data=!3m1!4b1!4m6!3m5!1s0x8640bf007b5b1ef1:0x267fda7572e7beb0!8m2!3d29.7395086!4d-95.3521098!16s%2Fg%2F11x68ys328?entry=ttu&amp;g_ep=EgoyMDI1MDUxMS4wIKXMDSoASAFQAw%3D%3D" TargetMode="External"/><Relationship Id="rId1781" Type="http://schemas.openxmlformats.org/officeDocument/2006/relationships/hyperlink" Target="https://thelampproject.org/" TargetMode="External"/><Relationship Id="rId1782" Type="http://schemas.openxmlformats.org/officeDocument/2006/relationships/hyperlink" Target="https://thelampproject.org/" TargetMode="External"/><Relationship Id="rId1783" Type="http://schemas.openxmlformats.org/officeDocument/2006/relationships/hyperlink" Target="https://thelampproject.org/" TargetMode="External"/><Relationship Id="rId1300" Type="http://schemas.openxmlformats.org/officeDocument/2006/relationships/hyperlink" Target="https://www.patientadvocate.org/connect-with-services/case-management-services-and-carelines/" TargetMode="External"/><Relationship Id="rId1784" Type="http://schemas.openxmlformats.org/officeDocument/2006/relationships/hyperlink" Target="https://thelampproject.org/" TargetMode="External"/><Relationship Id="rId349" Type="http://schemas.openxmlformats.org/officeDocument/2006/relationships/hyperlink" Target="https://ccschouston.org/" TargetMode="External"/><Relationship Id="rId348" Type="http://schemas.openxmlformats.org/officeDocument/2006/relationships/hyperlink" Target="https://maps.google.com/?q=Christian%20Community%20Service%20Center%20(Central)%203434%20Branard%20St%20Houston%20TX%2077027" TargetMode="External"/><Relationship Id="rId347" Type="http://schemas.openxmlformats.org/officeDocument/2006/relationships/hyperlink" Target="https://ccschouston.org/" TargetMode="External"/><Relationship Id="rId346" Type="http://schemas.openxmlformats.org/officeDocument/2006/relationships/hyperlink" Target="https://maps.google.com/?q=Christian%20Community%20Service%20Center%20(Central)%203434%20Branard%20St%20Houston%20TX%2077027" TargetMode="External"/><Relationship Id="rId341" Type="http://schemas.openxmlformats.org/officeDocument/2006/relationships/hyperlink" Target="https://houstonrecoverycenter.org/houston-recovery-centers-community-healthcare-workers-chw-program/" TargetMode="External"/><Relationship Id="rId340" Type="http://schemas.openxmlformats.org/officeDocument/2006/relationships/hyperlink" Target="https://maps.google.com/?q=Christian%20Community%20Service%20Center%20(Central)%203434%20Branard%20St%20Houston%20TX%2077027" TargetMode="External"/><Relationship Id="rId345" Type="http://schemas.openxmlformats.org/officeDocument/2006/relationships/hyperlink" Target="https://ccschouston.org/" TargetMode="External"/><Relationship Id="rId344" Type="http://schemas.openxmlformats.org/officeDocument/2006/relationships/hyperlink" Target="https://maps.google.com/?q=Christian%20Community%20Service%20Center%20(Central)%203434%20Branard%20St%20Houston%20TX%2077027" TargetMode="External"/><Relationship Id="rId343" Type="http://schemas.openxmlformats.org/officeDocument/2006/relationships/hyperlink" Target="https://ccschouston.org/" TargetMode="External"/><Relationship Id="rId342" Type="http://schemas.openxmlformats.org/officeDocument/2006/relationships/hyperlink" Target="https://maps.google.com/?q=Christian%20Community%20Service%20Center%20(Central)%203434%20Branard%20St%20Houston%20TX%2077027" TargetMode="External"/><Relationship Id="rId338" Type="http://schemas.openxmlformats.org/officeDocument/2006/relationships/hyperlink" Target="https://maps.google.com/?q=Christian%20Community%20Service%20Center%20(Central)%203434%20Branard%20St%20Houston%20TX%2077027" TargetMode="External"/><Relationship Id="rId337" Type="http://schemas.openxmlformats.org/officeDocument/2006/relationships/hyperlink" Target="https://ccschouston.org/" TargetMode="External"/><Relationship Id="rId336" Type="http://schemas.openxmlformats.org/officeDocument/2006/relationships/hyperlink" Target="https://maps.google.com/?q=Christian%20Community%20Service%20Center%20(Central)%203434%20Branard%20St%20Houston%20TX%2077027" TargetMode="External"/><Relationship Id="rId335" Type="http://schemas.openxmlformats.org/officeDocument/2006/relationships/hyperlink" Target="https://ccschouston.org/" TargetMode="External"/><Relationship Id="rId339" Type="http://schemas.openxmlformats.org/officeDocument/2006/relationships/hyperlink" Target="https://ccschouston.org/" TargetMode="External"/><Relationship Id="rId330" Type="http://schemas.openxmlformats.org/officeDocument/2006/relationships/hyperlink" Target="https://maps.google.com/?q=Christ%20the%20Redeemer%20%20Houston%20TX%20" TargetMode="External"/><Relationship Id="rId334" Type="http://schemas.openxmlformats.org/officeDocument/2006/relationships/hyperlink" Target="https://maps.google.com/?q=Christian%20Community%20Service%20Center%20(Central)%203434%20Branard%20St%20Houston%20TX%2077027" TargetMode="External"/><Relationship Id="rId333" Type="http://schemas.openxmlformats.org/officeDocument/2006/relationships/hyperlink" Target="https://ccschouston.org/" TargetMode="External"/><Relationship Id="rId332" Type="http://schemas.openxmlformats.org/officeDocument/2006/relationships/hyperlink" Target="https://maps.google.com/?q=Christ%20the%20Redeemer%20%20Houston%20TX%20" TargetMode="External"/><Relationship Id="rId331" Type="http://schemas.openxmlformats.org/officeDocument/2006/relationships/hyperlink" Target="https://ctrcc.com/help" TargetMode="External"/><Relationship Id="rId370" Type="http://schemas.openxmlformats.org/officeDocument/2006/relationships/hyperlink" Target="https://christusfoundation.org/programs/christus-school-clinics/" TargetMode="External"/><Relationship Id="rId369" Type="http://schemas.openxmlformats.org/officeDocument/2006/relationships/hyperlink" Target="https://www.google.com/maps/place/Assumption+Catholic+School/@29.8717446,-95.3899641,17z/data=!3m1!4b1!4m6!3m5!1s0x8640b7fbeba87dab:0xb5649d86265ef321!8m2!3d29.8717446!4d-95.3873838!16s%2Fg%2F1pxytdhcm?entry=ttu&amp;g_ep=EgoyMDI1MDcwOS4wIKXMDSoASAFQAw%3D%3D" TargetMode="External"/><Relationship Id="rId368" Type="http://schemas.openxmlformats.org/officeDocument/2006/relationships/hyperlink" Target="https://christusfoundation.org/programs/christus-school-clinics/" TargetMode="External"/><Relationship Id="rId363" Type="http://schemas.openxmlformats.org/officeDocument/2006/relationships/hyperlink" Target="https://www.google.com/maps/place/2615+Fannin+St,+Houston,+TX+77002/@29.7439983,-95.3742185,19z/data=!4m6!3m5!1s0x8640bf6b5322b615:0x45a7696543bcce6b!8m2!3d29.7444595!4d-95.3731402!16s%2Fg%2F11bw3zns_s?entry=ttu&amp;g_ep=EgoyMDI1MDQwOS4wIKXMDSoASAFQAw%3D%3D" TargetMode="External"/><Relationship Id="rId362" Type="http://schemas.openxmlformats.org/officeDocument/2006/relationships/hyperlink" Target="https://christusfoundation.org/programs/christus-learning-center/" TargetMode="External"/><Relationship Id="rId361" Type="http://schemas.openxmlformats.org/officeDocument/2006/relationships/hyperlink" Target="https://christusfoundation.org/programs/christus-healthy-mobile-clinic/" TargetMode="External"/><Relationship Id="rId360" Type="http://schemas.openxmlformats.org/officeDocument/2006/relationships/hyperlink" Target="https://maps.google.com/?q=Christian%20Helping%20Hands%20%20%20TX%20" TargetMode="External"/><Relationship Id="rId367" Type="http://schemas.openxmlformats.org/officeDocument/2006/relationships/hyperlink" Target="https://www.google.com/maps/place/CHRISTUS+Point+of+Light+Clinic/@29.4614256,-95.0594992,17z/data=!3m1!4b1!4m6!3m5!1s0x86408269042b63ff:0xe6bbb8e9a57bea26!8m2!3d29.4614257!4d-95.0548858!16s%2Fg%2F1tggbbsd?entry=ttu&amp;g_ep=EgoyMDI1MDQwOS4wIKXMDSoASAFQAw%3D%3D" TargetMode="External"/><Relationship Id="rId366" Type="http://schemas.openxmlformats.org/officeDocument/2006/relationships/hyperlink" Target="https://christusfoundation.org/programs/christus-point-light-clinic/" TargetMode="External"/><Relationship Id="rId365" Type="http://schemas.openxmlformats.org/officeDocument/2006/relationships/hyperlink" Target="https://www.google.com/maps/place/CHRISTUS+Our+Daily+Bread/@29.302559,-94.7973609,16z/data=!3m2!4b1!5s0x863f9e69524a0133:0x737ac8d30c4e952b!4m6!3m5!1s0x863f9e695204a2cf:0x2dcef510576e00d0!8m2!3d29.302559!4d-94.794786!16s%2Fg%2F1td7npym?entry=ttu&amp;g_ep=EgoyMDI1MDQwOS4wIKXMDSoASAFQAw%3D%3D" TargetMode="External"/><Relationship Id="rId364" Type="http://schemas.openxmlformats.org/officeDocument/2006/relationships/hyperlink" Target="https://christusfoundation.org/programs/christus-our-daily-bread/" TargetMode="External"/><Relationship Id="rId95" Type="http://schemas.openxmlformats.org/officeDocument/2006/relationships/hyperlink" Target="https://wp.thematernityhome.org/" TargetMode="External"/><Relationship Id="rId94" Type="http://schemas.openxmlformats.org/officeDocument/2006/relationships/hyperlink" Target="https://www.google.com/maps/place/Angela+House/@29.6622836,-95.3099262,17z/data=!3m1!4b1!4m6!3m5!1s0x8640c826aaaaaaab:0x127be3a1fd2185bb!8m2!3d29.6622836!4d-95.3073513!16s%2Fg%2F12642tldr?entry=ttu&amp;g_ep=EgoyMDI1MDQwOS4wIKXMDSoASAFQAw%3D%3D" TargetMode="External"/><Relationship Id="rId97" Type="http://schemas.openxmlformats.org/officeDocument/2006/relationships/hyperlink" Target="https://publichealth.harriscountytx.gov/Divisions-Offices/Divisions/Community-Health-Wellness-Division/HIV-STI-Prevention" TargetMode="External"/><Relationship Id="rId96" Type="http://schemas.openxmlformats.org/officeDocument/2006/relationships/hyperlink" Target="https://www.google.com/maps/place/Annunciation+Maternity+Home/@30.715947,-97.6779099,16z/data=!3m1!4b1!4m6!3m5!1s0x8645290abe886bc3:0x37691a5b7468dd82!8m2!3d30.715947!4d-97.675335!16s%2Fg%2F11xln2gz0?entry=ttu&amp;g_ep=EgoyMDI1MDQwOS4wIKXMDSoASAFQAw%3D%3D" TargetMode="External"/><Relationship Id="rId99" Type="http://schemas.openxmlformats.org/officeDocument/2006/relationships/hyperlink" Target="https://publichealth.harriscountytx.gov/Divisions-Offices/Divisions/Community-Health-Wellness-Division/Health-Services" TargetMode="External"/><Relationship Id="rId98"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91" Type="http://schemas.openxmlformats.org/officeDocument/2006/relationships/hyperlink" Target="https://anchorpoint.us/" TargetMode="External"/><Relationship Id="rId90" Type="http://schemas.openxmlformats.org/officeDocument/2006/relationships/hyperlink" Target="https://maps.google.com/?q=American%20Red%20Cross%202700%20Southwest%20Fwy%20Houston%20TX%2077098" TargetMode="External"/><Relationship Id="rId93" Type="http://schemas.openxmlformats.org/officeDocument/2006/relationships/hyperlink" Target="https://angelahouse.org/" TargetMode="External"/><Relationship Id="rId92" Type="http://schemas.openxmlformats.org/officeDocument/2006/relationships/hyperlink" Target="https://www.google.com/maps/place/Anchor+Point/@29.529608,-95.0759713,16z/data=!3m1!4b1!4m6!3m5!1s0x86409d427a7055f7:0x69975b23d0d7abe5!8m2!3d29.529608!4d-95.073391!16s%2Fg%2F1tlkcrn3?entry=ttu&amp;g_ep=EgoyMDI1MDQwOS4wIKXMDSoASAFQAw%3D%3D" TargetMode="External"/><Relationship Id="rId359" Type="http://schemas.openxmlformats.org/officeDocument/2006/relationships/hyperlink" Target="https://maps.google.com/?q=Christian%20Helping%20Hands%20%20%20TX%20" TargetMode="External"/><Relationship Id="rId358" Type="http://schemas.openxmlformats.org/officeDocument/2006/relationships/hyperlink" Target="https://maps.google.com/?q=Christian%20Community%20Service%20Center%20(SW)%206856%20Bellaire%20Blvd%20Houston%20TX%2077074" TargetMode="External"/><Relationship Id="rId357" Type="http://schemas.openxmlformats.org/officeDocument/2006/relationships/hyperlink" Target="https://ccschouston.org/" TargetMode="External"/><Relationship Id="rId352" Type="http://schemas.openxmlformats.org/officeDocument/2006/relationships/hyperlink" Target="https://maps.google.com/?q=Christian%20Community%20Service%20Center%20(SW)%206856%20Bellaire%20Blvd%20Houston%20TX%2077074" TargetMode="External"/><Relationship Id="rId351" Type="http://schemas.openxmlformats.org/officeDocument/2006/relationships/hyperlink" Target="https://ccschouston.org/" TargetMode="External"/><Relationship Id="rId350" Type="http://schemas.openxmlformats.org/officeDocument/2006/relationships/hyperlink" Target="https://maps.google.com/?q=Christian%20Community%20Service%20Center%20(Central)%203434%20Branard%20St%20Houston%20TX%2077027" TargetMode="External"/><Relationship Id="rId356" Type="http://schemas.openxmlformats.org/officeDocument/2006/relationships/hyperlink" Target="https://maps.google.com/?q=Christian%20Community%20Service%20Center%20(SW)%206856%20Bellaire%20Blvd%20Houston%20TX%2077074" TargetMode="External"/><Relationship Id="rId355" Type="http://schemas.openxmlformats.org/officeDocument/2006/relationships/hyperlink" Target="https://ccschouston.org/" TargetMode="External"/><Relationship Id="rId354" Type="http://schemas.openxmlformats.org/officeDocument/2006/relationships/hyperlink" Target="https://maps.google.com/?q=Christian%20Community%20Service%20Center%20(SW)%206856%20Bellaire%20Blvd%20Houston%20TX%2077074" TargetMode="External"/><Relationship Id="rId353" Type="http://schemas.openxmlformats.org/officeDocument/2006/relationships/hyperlink" Target="https://ccschouston.org/" TargetMode="External"/><Relationship Id="rId1378" Type="http://schemas.openxmlformats.org/officeDocument/2006/relationships/hyperlink" Target="https://www.google.com/maps/place/The+Salvation+Army+Young+Adult+Resource+Center+(YARC)/@29.7423419,-95.3710994,17z/data=!3m1!4b1!4m6!3m5!1s0x8640bf1482fc5e7d:0xb671a23d50703073!8m2!3d29.7423373!4d-95.3685245!16s%2Fg%2F1hc27yfkd?entry=ttu&amp;g_ep=EgoyMDI1MTAwOC4wIKXMDSoASAFQAw%3D%3D" TargetMode="External"/><Relationship Id="rId1379" Type="http://schemas.openxmlformats.org/officeDocument/2006/relationships/hyperlink" Target="https://salvationarmyhouston.org/" TargetMode="External"/><Relationship Id="rId305" Type="http://schemas.openxmlformats.org/officeDocument/2006/relationships/hyperlink" Target="https://www.google.com/maps/place/5599+San+Felipe+St,+Houston,+TX+77056/@29.7495798,-95.4765878,17z/data=!3m1!4b1!4m6!3m5!1s0x8640c15eebf5b5e1:0xed464578e0ebad5b!8m2!3d29.7495798!4d-95.4740129!16s%2Fg%2F11bw3y31dd?entry=ttu&amp;g_ep=EgoyMDI1MDMxNi4wIKXMDSoASAFQAw%3D%3D" TargetMode="External"/><Relationship Id="rId789" Type="http://schemas.openxmlformats.org/officeDocument/2006/relationships/hyperlink" Target="https://www.google.com/maps/place/Caroline+Street+Clinic/@29.7481927,-95.3708166,17z/data=!3m1!4b1!4m6!3m5!1s0x8640bf15ddbac77d:0xb8db8925827229c0!8m2!3d29.7481881!4d-95.3682363!16s%2Fg%2F11gy7zfq5n?entry=ttu&amp;g_ep=EgoyMDI1MDYxNy4wIKXMDSoASAFQAw%3D%3D" TargetMode="External"/><Relationship Id="rId304" Type="http://schemas.openxmlformats.org/officeDocument/2006/relationships/hyperlink" Target="https://catholiccharities.org/cabrini" TargetMode="External"/><Relationship Id="rId788" Type="http://schemas.openxmlformats.org/officeDocument/2006/relationships/hyperlink" Target="https://www.homeless-healthcare.org/" TargetMode="External"/><Relationship Id="rId303" Type="http://schemas.openxmlformats.org/officeDocument/2006/relationships/hyperlink" Target="https://maps.google.com/?q=Catholic%20Charities%20326%20South%20Jensen%20Dr%20Houston%20TX%2077003" TargetMode="External"/><Relationship Id="rId787" Type="http://schemas.openxmlformats.org/officeDocument/2006/relationships/hyperlink" Target="https://www.google.com/maps/place/Harris+Health+Rehabilitation+Services+at+Fournace/@29.7171909,-95.465765,17z/data=!3m1!4b1!4m6!3m5!1s0x8640c177b71c6bf7:0x677a5ec31d89637c!8m2!3d29.7171863!4d-95.4631847!16s%2Fg%2F11rn3yc4y6?entry=ttu&amp;g_ep=EgoyMDI1MDUyMS4wIKXMDSoASAFQAw%3D%3D" TargetMode="External"/><Relationship Id="rId302" Type="http://schemas.openxmlformats.org/officeDocument/2006/relationships/hyperlink" Target="https://catholiccharities.org/needhelp/" TargetMode="External"/><Relationship Id="rId786" Type="http://schemas.openxmlformats.org/officeDocument/2006/relationships/hyperlink" Target="https://www.harrishealth.org/locations-hh/Pages/fournace.aspx" TargetMode="External"/><Relationship Id="rId309" Type="http://schemas.openxmlformats.org/officeDocument/2006/relationships/hyperlink" Target="https://www.immigrationadvocates.org/nonprofit/legaldirectory/organization.393389" TargetMode="External"/><Relationship Id="rId308" Type="http://schemas.openxmlformats.org/officeDocument/2006/relationships/hyperlink" Target="https://www.google.com/maps/place/Catholic+Charities+of+the+Archdiocese+of+Galveston-Houston/@29.745002,-95.3815028,17z/data=!3m1!4b1!4m6!3m5!1s0x8640bf6bdfe9c49f:0xeba07ead9060f052!8m2!3d29.7449974!4d-95.3789225!16s%2Fg%2F1tdzrjcp?entry=ttu&amp;g_ep=EgoyMDI2MDIwNC4wIKXMDSoKLDEwMDc5MjA2OUgBUAM%3D" TargetMode="External"/><Relationship Id="rId307" Type="http://schemas.openxmlformats.org/officeDocument/2006/relationships/hyperlink" Target="https://catholiccharities.org/housing/" TargetMode="External"/><Relationship Id="rId306" Type="http://schemas.openxmlformats.org/officeDocument/2006/relationships/hyperlink" Target="https://catholiccharities.org/cabrini/" TargetMode="External"/><Relationship Id="rId781" Type="http://schemas.openxmlformats.org/officeDocument/2006/relationships/hyperlink" Target="https://www.google.com/maps/place/Harris+Health+Sunset+Heights+Clinic/@29.8010981,-95.384798,16z/data=!3m1!4b1!4m6!3m5!1s0x8640b8973552df5b:0x2ff521c996db970!8m2!3d29.8010935!4d-95.3822177!16s%2Fg%2F11b70h90fp?entry=ttu&amp;g_ep=EgoyMDI1MDUyMS4wIKXMDSoASAFQAw%3D%3D" TargetMode="External"/><Relationship Id="rId1370" Type="http://schemas.openxmlformats.org/officeDocument/2006/relationships/hyperlink" Target="https://www.saluteinc.org/get-assistance/" TargetMode="External"/><Relationship Id="rId780" Type="http://schemas.openxmlformats.org/officeDocument/2006/relationships/hyperlink" Target="https://www.harrishealth.org/locations-hh/Pages/sunset-heights-clinic.aspx" TargetMode="External"/><Relationship Id="rId1371" Type="http://schemas.openxmlformats.org/officeDocument/2006/relationships/hyperlink" Target="https://www.saluteinc.org/get-assistance/" TargetMode="External"/><Relationship Id="rId1372" Type="http://schemas.openxmlformats.org/officeDocument/2006/relationships/hyperlink" Target="https://www.saluteinc.org/get-assistance/" TargetMode="External"/><Relationship Id="rId1373" Type="http://schemas.openxmlformats.org/officeDocument/2006/relationships/hyperlink" Target="https://salvationarmyhouston.org/houston/sns/" TargetMode="External"/><Relationship Id="rId301" Type="http://schemas.openxmlformats.org/officeDocument/2006/relationships/hyperlink" Target="https://maps.google.com/?q=Catholic%20Charities%20326%20South%20Jensen%20Dr%20Houston%20TX%2077003" TargetMode="External"/><Relationship Id="rId785" Type="http://schemas.openxmlformats.org/officeDocument/2006/relationships/hyperlink" Target="https://www.google.com/maps/place/Harris+Health+Vallbona+Health+Center/@29.7076745,-95.5028598,17z/data=!3m1!4b1!4m6!3m5!1s0x8640c247bd15c2dd:0xa56894ed48f376fc!8m2!3d29.7076699!4d-95.5002795!16s%2Fg%2F1tjbsk6j?entry=ttu&amp;g_ep=EgoyMDI1MDUyMS4wIKXMDSoASAFQAw%3D%3D" TargetMode="External"/><Relationship Id="rId1374" Type="http://schemas.openxmlformats.org/officeDocument/2006/relationships/hyperlink" Target="https://www.google.com/maps/place/The+Salvation+Army+Jones+Residence/@29.7422291,-95.3711227,17z/data=!3m1!4b1!4m6!3m5!1s0x8640bf13c357bf79:0xf13cf6213aa637b0!8m2!3d29.7422245!4d-95.3685478!16s%2Fg%2F1tg_gfg1?entry=ttu&amp;g_ep=EgoyMDI1MTAwOC4wIKXMDSoASAFQAw%3D%3D" TargetMode="External"/><Relationship Id="rId300" Type="http://schemas.openxmlformats.org/officeDocument/2006/relationships/hyperlink" Target="https://catholiccharities.org/needhelp/" TargetMode="External"/><Relationship Id="rId784" Type="http://schemas.openxmlformats.org/officeDocument/2006/relationships/hyperlink" Target="https://www.harrishealth.org/locations-hh/Pages/vallbona-health-center.aspx" TargetMode="External"/><Relationship Id="rId1375" Type="http://schemas.openxmlformats.org/officeDocument/2006/relationships/hyperlink" Target="https://salvationarmyhouston.org/houston/conroe/" TargetMode="External"/><Relationship Id="rId783" Type="http://schemas.openxmlformats.org/officeDocument/2006/relationships/hyperlink" Target="https://www.google.com/maps/place/%E2%80%8B%E2%80%8BHarris+Health+Urgent+Care+at+Outpatient+Center/@29.8119078,-95.3146645,16z/data=!3m2!4b1!5s0x88602f187266b603:0x923a0355d1884044!4m6!3m5!1s0x8640b97d0149d42b:0xc78b8bf47cb08b75!8m2!3d29.8119032!4d-95.3120842!16s%2Fg%2F11c5xthhyk?entry=ttu&amp;g_ep=EgoyMDI1MDUyMS4wIKXMDSoASAFQAw%3D%3D" TargetMode="External"/><Relationship Id="rId1376" Type="http://schemas.openxmlformats.org/officeDocument/2006/relationships/hyperlink" Target="https://www.google.com/maps/place/The+Salvation+Army+Conroe+Community+Center/@30.3093695,-95.4551366,18z/data=!4m6!3m5!1s0x8647393994c125cd:0x6e6f43952e2a3c51!8m2!3d30.3094517!4d-95.4531108!16s%2Fg%2F1tt1t22y?entry=ttu&amp;g_ep=EgoyMDI1MTAwOC4wIKXMDSoASAFQAw%3D%3D" TargetMode="External"/><Relationship Id="rId782" Type="http://schemas.openxmlformats.org/officeDocument/2006/relationships/hyperlink" Target="https://www.harrishealth.org/locations-hh/Pages/urgent-care.aspx" TargetMode="External"/><Relationship Id="rId1377" Type="http://schemas.openxmlformats.org/officeDocument/2006/relationships/hyperlink" Target="https://salvationarmyhouston.org/houston/YARC" TargetMode="External"/><Relationship Id="rId1367" Type="http://schemas.openxmlformats.org/officeDocument/2006/relationships/hyperlink" Target="https://maps.google.com/?q=Sacred%20Heart%20of%20Jesus%2FManvel%2014307%20Hwy%206%20Rosharon%20TX%2077583" TargetMode="External"/><Relationship Id="rId1368" Type="http://schemas.openxmlformats.org/officeDocument/2006/relationships/hyperlink" Target="https://rhf.org/sagetree-terrace/" TargetMode="External"/><Relationship Id="rId1369" Type="http://schemas.openxmlformats.org/officeDocument/2006/relationships/hyperlink" Target="https://www.google.com/maps/place/Sagetree+Terrace/@29.9956106,-95.4826693,17z/data=!3m1!4b1!4m6!3m5!1s0x8640cc7f013378cb:0xecf01f4027b1350f!8m2!3d29.995606!4d-95.4800944!16s%2Fg%2F11h3vby36j?entry=ttu&amp;g_ep=EgoyMDI1MDUxMS4wIKXMDSoASAFQAw%3D%3D" TargetMode="External"/><Relationship Id="rId778" Type="http://schemas.openxmlformats.org/officeDocument/2006/relationships/hyperlink" Target="https://www.harrishealth.org/locations-hh/Pages/strawberry-health-center.aspx" TargetMode="External"/><Relationship Id="rId777" Type="http://schemas.openxmlformats.org/officeDocument/2006/relationships/hyperlink" Target="https://www.google.com/maps/place/Harris+Health+Strawberry+Health+Center/@29.7134196,-95.2048264,16z/data=!3m1!4b1!4m6!3m5!1s0x8640a2c975cc1837:0xe6bb38d9d21dd738!8m2!3d29.713415!4d-95.2022461!16s%2Fg%2F1tfzh48r?entry=ttu&amp;g_ep=EgoyMDI1MDUyMS4wIKXMDSoASAFQAw%3D%3D" TargetMode="External"/><Relationship Id="rId776" Type="http://schemas.openxmlformats.org/officeDocument/2006/relationships/hyperlink" Target="https://www.harrishealth.org/locations-hh/Pages/strawberry-health-center.aspx" TargetMode="External"/><Relationship Id="rId775" Type="http://schemas.openxmlformats.org/officeDocument/2006/relationships/hyperlink" Target="https://www.google.com/maps/place/Harris+Health+Settegast+Health+Center/@29.8453713,-95.2889164,16z/data=!3m1!4b1!4m6!3m5!1s0x8640ba41d80dc0af:0x89f01d1a68ed4bfe!8m2!3d29.8453667!4d-95.2863361!16s%2Fg%2F1tdwf9hz?entry=ttu&amp;g_ep=EgoyMDI1MDUyMS4wIKXMDSoASAFQAw%3D%3D" TargetMode="External"/><Relationship Id="rId779" Type="http://schemas.openxmlformats.org/officeDocument/2006/relationships/hyperlink" Target="https://www.google.com/maps/place/Harris+Health+Strawberry+Health+Center/@29.7134196,-95.2048264,16z/data=!3m1!4b1!4m6!3m5!1s0x8640a2c975cc1837:0xe6bb38d9d21dd738!8m2!3d29.713415!4d-95.2022461!16s%2Fg%2F1tfzh48r?entry=ttu&amp;g_ep=EgoyMDI1MDUyMS4wIKXMDSoASAFQAw%3D%3D" TargetMode="External"/><Relationship Id="rId770" Type="http://schemas.openxmlformats.org/officeDocument/2006/relationships/hyperlink" Target="https://www.harrishealth.org/locations-hh/Pages/settegast-health-center.aspx" TargetMode="External"/><Relationship Id="rId1360" Type="http://schemas.openxmlformats.org/officeDocument/2006/relationships/hyperlink" Target="https://shcrosby.org/ministries/st-vincent-de-paul/" TargetMode="External"/><Relationship Id="rId1361" Type="http://schemas.openxmlformats.org/officeDocument/2006/relationships/hyperlink" Target="https://maps.google.com/?q=Sacred%20Heart%20Crosby%20(SVdP%20D5)%20915%20Runneburg%20Rd%20Crosby%20TX%2077532" TargetMode="External"/><Relationship Id="rId1362" Type="http://schemas.openxmlformats.org/officeDocument/2006/relationships/hyperlink" Target="https://shcrosby.org/ministries/st-vincent-de-paul/" TargetMode="External"/><Relationship Id="rId774" Type="http://schemas.openxmlformats.org/officeDocument/2006/relationships/hyperlink" Target="https://www.harrishealth.org/locations-hh/Pages/ea-squatty-lyons-health-center.aspx" TargetMode="External"/><Relationship Id="rId1363" Type="http://schemas.openxmlformats.org/officeDocument/2006/relationships/hyperlink" Target="https://maps.google.com/?q=Sacred%20Heart%20Crosby%20(SVdP%20D5)%20915%20Runneburg%20Rd%20Crosby%20TX%2077532" TargetMode="External"/><Relationship Id="rId773" Type="http://schemas.openxmlformats.org/officeDocument/2006/relationships/hyperlink" Target="https://www.google.com/maps/place/Harris+Health+Smith+Clinic/@29.6862273,-95.3898745,17z/data=!3m1!4b1!4m6!3m5!1s0x863f5e805f9cadf3:0x6305e2c2bfb127eb!8m2!3d29.6862227!4d-95.3872942!16s%2Fg%2F1yfj55yns?entry=ttu&amp;g_ep=EgoyMDI1MDUyMS4wIKXMDSoASAFQAw%3D%3D" TargetMode="External"/><Relationship Id="rId1364" Type="http://schemas.openxmlformats.org/officeDocument/2006/relationships/hyperlink" Target="https://shcrosby.org/ministries/st-vincent-de-paul/" TargetMode="External"/><Relationship Id="rId772" Type="http://schemas.openxmlformats.org/officeDocument/2006/relationships/hyperlink" Target="https://www.harrishealth.org/locations-hh/Pages/smith-clinic.aspx" TargetMode="External"/><Relationship Id="rId1365" Type="http://schemas.openxmlformats.org/officeDocument/2006/relationships/hyperlink" Target="https://maps.google.com/?q=Sacred%20Heart%20Crosby%20(SVdP%20D5)%20915%20Runneburg%20Rd%20Crosby%20TX%2077532" TargetMode="External"/><Relationship Id="rId771" Type="http://schemas.openxmlformats.org/officeDocument/2006/relationships/hyperlink" Target="https://www.google.com/maps/place/Harris+Health+Settegast+Health+Center/@29.8453713,-95.2889164,16z/data=!3m1!4b1!4m6!3m5!1s0x8640ba41d80dc0af:0x89f01d1a68ed4bfe!8m2!3d29.8453667!4d-95.2863361!16s%2Fg%2F1tdwf9hz?entry=ttu&amp;g_ep=EgoyMDI1MDUyMS4wIKXMDSoASAFQAw%3D%3D" TargetMode="External"/><Relationship Id="rId1366" Type="http://schemas.openxmlformats.org/officeDocument/2006/relationships/hyperlink" Target="https://sacredheartmanvel.org/food-pantry" TargetMode="External"/><Relationship Id="rId327" Type="http://schemas.openxmlformats.org/officeDocument/2006/relationships/hyperlink" Target="https://ctrcc.com/help" TargetMode="External"/><Relationship Id="rId326" Type="http://schemas.openxmlformats.org/officeDocument/2006/relationships/hyperlink" Target="https://maps.google.com/?q=Christ%20the%20Redeemer%20%20Houston%20TX%20" TargetMode="External"/><Relationship Id="rId325" Type="http://schemas.openxmlformats.org/officeDocument/2006/relationships/hyperlink" Target="https://ctrcc.com/help" TargetMode="External"/><Relationship Id="rId324" Type="http://schemas.openxmlformats.org/officeDocument/2006/relationships/hyperlink" Target="https://maps.google.com/?q=Christ%20the%20Redeemer%20%20Houston%20TX%20" TargetMode="External"/><Relationship Id="rId329" Type="http://schemas.openxmlformats.org/officeDocument/2006/relationships/hyperlink" Target="https://ctrcc.com/help" TargetMode="External"/><Relationship Id="rId1390" Type="http://schemas.openxmlformats.org/officeDocument/2006/relationships/hyperlink" Target="https://www.google.com/maps/place/Santa+Maria+Hostel/@29.7794353,-95.3633303,16z/data=!4m15!1m8!3m7!1s0x8640b8d18f02a06f:0xbd79310d1fd1c64b!2s807+Paschall+St,+Houston,+TX+77009!3b1!8m2!3d29.7794307!4d-95.3607554!16s%2Fg%2F11whsz6z_c!3m5!1s0x8640b8d18fab1935:0xda20999e55dd4d22!8m2!3d29.7793616!4d-95.3607524!16s%2Fg%2F1v_0k3tp?entry=ttu&amp;g_ep=EgoyMDI1MTAwOC4wIKXMDSoASAFQAw%3D%3D" TargetMode="External"/><Relationship Id="rId328" Type="http://schemas.openxmlformats.org/officeDocument/2006/relationships/hyperlink" Target="https://maps.google.com/?q=Christ%20the%20Redeemer%20%20Houston%20TX%20" TargetMode="External"/><Relationship Id="rId1391" Type="http://schemas.openxmlformats.org/officeDocument/2006/relationships/hyperlink" Target="https://www.sarahshouse.org/index.html" TargetMode="External"/><Relationship Id="rId1392" Type="http://schemas.openxmlformats.org/officeDocument/2006/relationships/hyperlink" Target="https://www.google.com/maps/place/Sarah's+House/@29.6737146,-95.2043369,17z/data=!3m1!4b1!4m6!3m5!1s0x8640998f60adb379:0x6f41c69f62f1964b!8m2!3d29.67371!4d-95.201762!16s%2Fg%2F11v5j79v1k?entry=ttu&amp;g_ep=EgoyMDI1MTAwOC4wIKXMDSoASAFQAw%3D%3D" TargetMode="External"/><Relationship Id="rId1393" Type="http://schemas.openxmlformats.org/officeDocument/2006/relationships/hyperlink" Target="https://www.searchhomeless.org/services/house/" TargetMode="External"/><Relationship Id="rId1394" Type="http://schemas.openxmlformats.org/officeDocument/2006/relationships/hyperlink" Target="https://www.google.com/maps/place/SEARCH+Homeless+Services/@29.7568616,-95.3544119,19z/data=!4m15!1m8!3m7!1s0x8640bed8b00b107f:0x37cd7d58344059ed!2s2015+Congress+St,+Houston,+TX+77002!3b1!8m2!3d29.756857!4d-95.3514668!16s%2Fg%2F11csp4qz70!3m5!1s0x8640bf14b43f1027:0x5d73ed6e7be99135!8m2!3d29.7570978!4d-95.351522!16s%2Fg%2F1v_vt8s2?entry=ttu&amp;g_ep=EgoyMDI1MDcwOS4wIKXMDSoASAFQAw%3D%3D" TargetMode="External"/><Relationship Id="rId1395" Type="http://schemas.openxmlformats.org/officeDocument/2006/relationships/hyperlink" Target="https://secondmile.org/programs/food/" TargetMode="External"/><Relationship Id="rId323" Type="http://schemas.openxmlformats.org/officeDocument/2006/relationships/hyperlink" Target="https://ctrcc.com/help" TargetMode="External"/><Relationship Id="rId1396" Type="http://schemas.openxmlformats.org/officeDocument/2006/relationships/hyperlink" Target="https://maps.google.com/?q=Second%20Mile%201135%20Hwy%2090%20Alt%20Suite%20E%20Missouri%20City%20TX%2077489" TargetMode="External"/><Relationship Id="rId322" Type="http://schemas.openxmlformats.org/officeDocument/2006/relationships/hyperlink" Target="https://maps.google.com/?q=Christ%20the%20Redeemer%20%20Houston%20TX%20" TargetMode="External"/><Relationship Id="rId1397" Type="http://schemas.openxmlformats.org/officeDocument/2006/relationships/hyperlink" Target="https://secondmile.org/programs/classes/" TargetMode="External"/><Relationship Id="rId321" Type="http://schemas.openxmlformats.org/officeDocument/2006/relationships/hyperlink" Target="https://ctrcc.com/help" TargetMode="External"/><Relationship Id="rId1398" Type="http://schemas.openxmlformats.org/officeDocument/2006/relationships/hyperlink" Target="https://maps.google.com/?q=Second%20Mile%201135%20Hwy%2090%20Alt%20Suite%20E%20Missouri%20City%20TX%2077489" TargetMode="External"/><Relationship Id="rId320" Type="http://schemas.openxmlformats.org/officeDocument/2006/relationships/hyperlink" Target="https://www.google.com/maps/place/Christ+Clinic+-+Katy/@29.7880696,-95.8728368,17z/data=!3m1!4b1!4m6!3m5!1s0x86412425dad531a1:0x99ddee452ef42fdd!8m2!3d29.7880696!4d-95.8702565!16s%2Fg%2F1hbpwrz_r?entry=ttu&amp;g_ep=EgoyMDI1MDUwNy4wIKXMDSoASAFQAw%3D%3D" TargetMode="External"/><Relationship Id="rId1399" Type="http://schemas.openxmlformats.org/officeDocument/2006/relationships/hyperlink" Target="https://serjobs.org" TargetMode="External"/><Relationship Id="rId1389" Type="http://schemas.openxmlformats.org/officeDocument/2006/relationships/hyperlink" Target="https://www.santamariahostel.org/" TargetMode="External"/><Relationship Id="rId316" Type="http://schemas.openxmlformats.org/officeDocument/2006/relationships/hyperlink" Target="https://maps.google.com/?q=Chinese%20Community%20Service%20Center%209800%20Town%20Park%20Houston%20TX%2077036" TargetMode="External"/><Relationship Id="rId315" Type="http://schemas.openxmlformats.org/officeDocument/2006/relationships/hyperlink" Target="https://ccchouston.org/esl/" TargetMode="External"/><Relationship Id="rId799" Type="http://schemas.openxmlformats.org/officeDocument/2006/relationships/hyperlink" Target="https://www.google.com/maps/place/CATHEDRAL+CLINIC/@29.7592201,-95.3623399,17z/data=!3m1!4b1!4m6!3m5!1s0x8640bf250743c239:0x5dd2bb009e0a7442!8m2!3d29.7592155!4d-95.3597596!16s%2Fg%2F11kbykj46f?entry=ttu&amp;g_ep=EgoyMDI1MDYxNy4wIKXMDSoASAFQAw%3D%3D" TargetMode="External"/><Relationship Id="rId314" Type="http://schemas.openxmlformats.org/officeDocument/2006/relationships/hyperlink" Target="https://maps.google.com/?q=Chinese%20Community%20Service%20Center%209800%20Town%20Park%20Houston%20TX%2077036" TargetMode="External"/><Relationship Id="rId798" Type="http://schemas.openxmlformats.org/officeDocument/2006/relationships/hyperlink" Target="https://www.homeless-healthcare.org/" TargetMode="External"/><Relationship Id="rId313" Type="http://schemas.openxmlformats.org/officeDocument/2006/relationships/hyperlink" Target="https://ccchouston.org/bec/" TargetMode="External"/><Relationship Id="rId797" Type="http://schemas.openxmlformats.org/officeDocument/2006/relationships/hyperlink" Target="https://www.google.com/maps/place/CATHEDRAL+CLINIC/@29.7592201,-95.3623399,17z/data=!3m1!4b1!4m6!3m5!1s0x8640bf250743c239:0x5dd2bb009e0a7442!8m2!3d29.7592155!4d-95.3597596!16s%2Fg%2F11kbykj46f?entry=ttu&amp;g_ep=EgoyMDI1MDYxNy4wIKXMDSoASAFQAw%3D%3D" TargetMode="External"/><Relationship Id="rId319" Type="http://schemas.openxmlformats.org/officeDocument/2006/relationships/hyperlink" Target="https://christclinickaty.org/home" TargetMode="External"/><Relationship Id="rId318" Type="http://schemas.openxmlformats.org/officeDocument/2006/relationships/hyperlink" Target="https://maps.google.com/?q=Chinese%20Community%20Service%20Center%209800%20Town%20Park%20Houston%20TX%2077036" TargetMode="External"/><Relationship Id="rId317" Type="http://schemas.openxmlformats.org/officeDocument/2006/relationships/hyperlink" Target="https://ccchouston.org/dahs/" TargetMode="External"/><Relationship Id="rId1380" Type="http://schemas.openxmlformats.org/officeDocument/2006/relationships/hyperlink" Target="https://maps.google.com/?q=Salvation%20Army%20of%20Greater%20Houston%201500%20Austin%20St%20Houston%20TX%2077002" TargetMode="External"/><Relationship Id="rId792" Type="http://schemas.openxmlformats.org/officeDocument/2006/relationships/hyperlink" Target="https://www.homeless-healthcare.org/" TargetMode="External"/><Relationship Id="rId1381" Type="http://schemas.openxmlformats.org/officeDocument/2006/relationships/hyperlink" Target="https://salvationarmyhouston.org/" TargetMode="External"/><Relationship Id="rId791" Type="http://schemas.openxmlformats.org/officeDocument/2006/relationships/hyperlink" Target="https://www.google.com/maps/place/Caroline+Street+Clinic/@29.7481927,-95.3708166,17z/data=!3m1!4b1!4m6!3m5!1s0x8640bf15ddbac77d:0xb8db8925827229c0!8m2!3d29.7481881!4d-95.3682363!16s%2Fg%2F11gy7zfq5n?entry=ttu&amp;g_ep=EgoyMDI1MDYxNy4wIKXMDSoASAFQAw%3D%3D" TargetMode="External"/><Relationship Id="rId1382" Type="http://schemas.openxmlformats.org/officeDocument/2006/relationships/hyperlink" Target="https://maps.google.com/?q=Salvation%20Army%20of%20Greater%20Houston%201500%20Austin%20St%20Houston%20TX%2077002" TargetMode="External"/><Relationship Id="rId790" Type="http://schemas.openxmlformats.org/officeDocument/2006/relationships/hyperlink" Target="https://www.homeless-healthcare.org/" TargetMode="External"/><Relationship Id="rId1383" Type="http://schemas.openxmlformats.org/officeDocument/2006/relationships/hyperlink" Target="https://salvationarmyhouston.org/" TargetMode="External"/><Relationship Id="rId1384" Type="http://schemas.openxmlformats.org/officeDocument/2006/relationships/hyperlink" Target="https://maps.google.com/?q=Salvation%20Army%20of%20Greater%20Houston%201500%20Austin%20St%20Houston%20TX%2077002" TargetMode="External"/><Relationship Id="rId312" Type="http://schemas.openxmlformats.org/officeDocument/2006/relationships/hyperlink" Target="https://maps.google.com/?q=Chinese%20Community%20Service%20Center%209800%20Town%20Park%20Houston%20TX%2077036" TargetMode="External"/><Relationship Id="rId796" Type="http://schemas.openxmlformats.org/officeDocument/2006/relationships/hyperlink" Target="https://www.homeless-healthcare.org/" TargetMode="External"/><Relationship Id="rId1385" Type="http://schemas.openxmlformats.org/officeDocument/2006/relationships/hyperlink" Target="https://www.sanjoseclinic.org" TargetMode="External"/><Relationship Id="rId311" Type="http://schemas.openxmlformats.org/officeDocument/2006/relationships/hyperlink" Target="https://ccchouston.org/bec/ceap/" TargetMode="External"/><Relationship Id="rId795" Type="http://schemas.openxmlformats.org/officeDocument/2006/relationships/hyperlink" Target="https://www.google.com/maps/place/CATHEDRAL+CLINIC/@29.7592201,-95.3623399,17z/data=!3m1!4b1!4m6!3m5!1s0x8640bf250743c239:0x5dd2bb009e0a7442!8m2!3d29.7592155!4d-95.3597596!16s%2Fg%2F11kbykj46f?entry=ttu&amp;g_ep=EgoyMDI1MDYxNy4wIKXMDSoASAFQAw%3D%3D" TargetMode="External"/><Relationship Id="rId1386" Type="http://schemas.openxmlformats.org/officeDocument/2006/relationships/hyperlink" Target="https://www.sanjoseclinic.org" TargetMode="External"/><Relationship Id="rId310" Type="http://schemas.openxmlformats.org/officeDocument/2006/relationships/hyperlink" Target="https://www.hhs.texas.gov/services/health/medicaid-chip/medicaid-chip-programs-services/medicaid-pregnant-women-chip-perinatal" TargetMode="External"/><Relationship Id="rId794" Type="http://schemas.openxmlformats.org/officeDocument/2006/relationships/hyperlink" Target="https://www.homeless-healthcare.org/" TargetMode="External"/><Relationship Id="rId1387" Type="http://schemas.openxmlformats.org/officeDocument/2006/relationships/hyperlink" Target="https://www.santamariahostel.org/" TargetMode="External"/><Relationship Id="rId793" Type="http://schemas.openxmlformats.org/officeDocument/2006/relationships/hyperlink" Target="https://www.google.com/maps/place/Caroline+Street+Clinic/@29.7481927,-95.3708166,17z/data=!3m1!4b1!4m6!3m5!1s0x8640bf15ddbac77d:0xb8db8925827229c0!8m2!3d29.7481881!4d-95.3682363!16s%2Fg%2F11gy7zfq5n?entry=ttu&amp;g_ep=EgoyMDI1MDYxNy4wIKXMDSoASAFQAw%3D%3D" TargetMode="External"/><Relationship Id="rId1388" Type="http://schemas.openxmlformats.org/officeDocument/2006/relationships/hyperlink" Target="https://www.google.com/maps/place/Santa+Maria+Hostel,+Inc./@29.859774,-95.3469676,17z/data=!3m1!4b1!4m6!3m5!1s0x8640cf6555555555:0x4ac7fac4e0510aa2!8m2!3d29.859774!4d-95.3443927!16s%2Fg%2F1tk1zf9j?entry=ttu&amp;g_ep=EgoyMDI1MDQwOS4wIKXMDSoASAFQAw%3D%3D" TargetMode="External"/><Relationship Id="rId297" Type="http://schemas.openxmlformats.org/officeDocument/2006/relationships/hyperlink" Target="https://www.google.com/maps/place/Catholic+Charities+of+the+Archdiocese+of+Galveston-Houston/@29.745002,-95.3815028,17z/data=!3m1!4b1!4m6!3m5!1s0x8640bf6bdfe9c49f:0xeba07ead9060f052!8m2!3d29.7449974!4d-95.3789225!16s%2Fg%2F1tdzrjcp?entry=ttu&amp;g_ep=EgoyMDI2MDIwNC4wIKXMDSoKLDEwMDc5MjA2OUgBUAM%3D" TargetMode="External"/><Relationship Id="rId296" Type="http://schemas.openxmlformats.org/officeDocument/2006/relationships/hyperlink" Target="https://catholiccharities.org/housing/" TargetMode="External"/><Relationship Id="rId295" Type="http://schemas.openxmlformats.org/officeDocument/2006/relationships/hyperlink" Target="https://www.google.com/maps/place/Catholic+Charities+of+the+Archdiocese+of+Galveston-Houston/@29.745002,-95.3815028,17z/data=!3m1!4b1!4m6!3m5!1s0x8640bf6bdfe9c49f:0xeba07ead9060f052!8m2!3d29.7449974!4d-95.3789225!16s%2Fg%2F1tdzrjcp?entry=ttu&amp;g_ep=EgoyMDI2MDIwNC4wIKXMDSoKLDEwMDc5MjA2OUgBUAM%3D" TargetMode="External"/><Relationship Id="rId294" Type="http://schemas.openxmlformats.org/officeDocument/2006/relationships/hyperlink" Target="https://catholiccharities.org/housing/" TargetMode="External"/><Relationship Id="rId299" Type="http://schemas.openxmlformats.org/officeDocument/2006/relationships/hyperlink" Target="https://www.google.com/maps/place/Catholic+Charities+of+the+Archdiocese+of+Galveston-Houston/@29.745002,-95.3815028,17z/data=!3m1!4b1!4m6!3m5!1s0x8640bf6bdfe9c49f:0xeba07ead9060f052!8m2!3d29.7449974!4d-95.3789225!16s%2Fg%2F1tdzrjcp?entry=ttu&amp;g_ep=EgoyMDI2MDIwNC4wIKXMDSoKLDEwMDc5MjA2OUgBUAM%3D" TargetMode="External"/><Relationship Id="rId298" Type="http://schemas.openxmlformats.org/officeDocument/2006/relationships/hyperlink" Target="https://catholiccharities.org/housing/" TargetMode="External"/><Relationship Id="rId271" Type="http://schemas.openxmlformats.org/officeDocument/2006/relationships/hyperlink" Target="https://maps.google.com/?q=Bread%20of%20Life%20%20%20TX%20" TargetMode="External"/><Relationship Id="rId270" Type="http://schemas.openxmlformats.org/officeDocument/2006/relationships/hyperlink" Target="https://www.breadoflifeinc.org/" TargetMode="External"/><Relationship Id="rId269" Type="http://schemas.openxmlformats.org/officeDocument/2006/relationships/hyperlink" Target="https://maps.google.com/?q=Bread%20of%20Life%20%20%20TX%20" TargetMode="External"/><Relationship Id="rId264" Type="http://schemas.openxmlformats.org/officeDocument/2006/relationships/hyperlink" Target="https://braesinterfaithministries.org/" TargetMode="External"/><Relationship Id="rId263" Type="http://schemas.openxmlformats.org/officeDocument/2006/relationships/hyperlink" Target="https://maps.google.com/?q=Braes%20Interfaith%20Ministries%204300%20W.%20Bellfort%20Blvd%20Houston%20TX%2077035" TargetMode="External"/><Relationship Id="rId262" Type="http://schemas.openxmlformats.org/officeDocument/2006/relationships/hyperlink" Target="https://braesinterfaithministries.org/" TargetMode="External"/><Relationship Id="rId261" Type="http://schemas.openxmlformats.org/officeDocument/2006/relationships/hyperlink" Target="https://maps.google.com/?q=Braes%20Interfaith%20Ministries%204300%20W.%20Bellfort%20Blvd%20Houston%20TX%2077035" TargetMode="External"/><Relationship Id="rId268" Type="http://schemas.openxmlformats.org/officeDocument/2006/relationships/hyperlink" Target="https://www.breadoflifeinc.org/" TargetMode="External"/><Relationship Id="rId267" Type="http://schemas.openxmlformats.org/officeDocument/2006/relationships/hyperlink" Target="https://maps.google.com/?q=Braes%20Interfaith%20Ministries%204300%20W.%20Bellfort%20Blvd%20Houston%20TX%2077035" TargetMode="External"/><Relationship Id="rId266" Type="http://schemas.openxmlformats.org/officeDocument/2006/relationships/hyperlink" Target="https://braesinterfaithministries.org/" TargetMode="External"/><Relationship Id="rId265" Type="http://schemas.openxmlformats.org/officeDocument/2006/relationships/hyperlink" Target="https://maps.google.com/?q=Braes%20Interfaith%20Ministries%204300%20W.%20Bellfort%20Blvd%20Houston%20TX%2077035" TargetMode="External"/><Relationship Id="rId260" Type="http://schemas.openxmlformats.org/officeDocument/2006/relationships/hyperlink" Target="https://braesinterfaithministries.org/" TargetMode="External"/><Relationship Id="rId259" Type="http://schemas.openxmlformats.org/officeDocument/2006/relationships/hyperlink" Target="https://bpsos.org/texas" TargetMode="External"/><Relationship Id="rId258" Type="http://schemas.openxmlformats.org/officeDocument/2006/relationships/hyperlink" Target="https://www.google.com/maps/place/Bo's+Place/@29.6729774,-95.4277638,17z/data=!3m1!4b1!4m6!3m5!1s0x8640ea9cad353625:0x755930ca4a53a7e6!8m2!3d29.6729728!4d-95.4251889!16s%2Fg%2F1tcv1v4h?entry=ttu&amp;g_ep=EgoyMDI1MTIwOS4wIKXMDSoKLDEwMDc5MjA2OUgBUAM%3D" TargetMode="External"/><Relationship Id="rId253" Type="http://schemas.openxmlformats.org/officeDocument/2006/relationships/hyperlink" Target="https://stjuandiegochurch.org/" TargetMode="External"/><Relationship Id="rId252" Type="http://schemas.openxmlformats.org/officeDocument/2006/relationships/hyperlink" Target="https://www.google.com/maps/place/Catholic+Charities+Of+The+Archdiocese+Of+Galveston-houston+-+Food+Distribution+Center/@29.745009,-95.379207,20z/data=!4m15!1m8!3m7!1s0x8640bf69681d9e43:0x382d59fae97ad960!2s2900+Louisiana+St,+Houston,+TX+77006!3b1!8m2!3d29.745009!4d-95.3788798!16s%2Fg%2F11c29dwbzd!3m5!1s0x8640bf6bdfc34773:0x2b84611752be86c0!8m2!3d29.7450184!4d-95.3786806!16s%2Fg%2F11jppvxk_x?entry=ttu&amp;g_ep=EgoyMDI1MDQwOS4wIKXMDSoASAFQAw%3D%3D" TargetMode="External"/><Relationship Id="rId251" Type="http://schemas.openxmlformats.org/officeDocument/2006/relationships/hyperlink" Target="https://catholiccharities.org/blessedbeginnings/" TargetMode="External"/><Relationship Id="rId250" Type="http://schemas.openxmlformats.org/officeDocument/2006/relationships/hyperlink" Target="https://www.google.com/maps/place/Bezos+Academy+Houston+-+North+Shore/@29.8107826,-95.1845091,17z/data=!3m1!4b1!4m6!3m5!1s0x8640a5d9638816b3:0x13bc14c068b8a7b9!8m2!3d29.810778!4d-95.1819288!16s%2Fg%2F11tjj8sfy9?entry=ttu&amp;g_ep=EgoyMDI1MDYwNC4wIKXMDSoASAFQAw%3D%3D" TargetMode="External"/><Relationship Id="rId257" Type="http://schemas.openxmlformats.org/officeDocument/2006/relationships/hyperlink" Target="https://bosplace.org/en/for-those-grieving/" TargetMode="External"/><Relationship Id="rId256" Type="http://schemas.openxmlformats.org/officeDocument/2006/relationships/hyperlink" Target="https://maps.google.com/?q=Blessed%20Sacrament%20(SVdP%20D5)%204015%20Sherman%20St%20Houston%20TX%2077003" TargetMode="External"/><Relationship Id="rId255" Type="http://schemas.openxmlformats.org/officeDocument/2006/relationships/hyperlink" Target="https://bsccarchgh.org/" TargetMode="External"/><Relationship Id="rId254" Type="http://schemas.openxmlformats.org/officeDocument/2006/relationships/hyperlink" Target="https://maps.google.com/?q=Blessed%20Juan%20Diego%203301%20Pasadena%20Blvd%20Pasadena%20TX%2077503" TargetMode="External"/><Relationship Id="rId293" Type="http://schemas.openxmlformats.org/officeDocument/2006/relationships/hyperlink" Target="https://cjdengp.wpengine.com/about/what-is-casa-juan-diego/" TargetMode="External"/><Relationship Id="rId292" Type="http://schemas.openxmlformats.org/officeDocument/2006/relationships/hyperlink" Target="https://cjdengp.wpengine.com/about/what-is-casa-juan-diego/" TargetMode="External"/><Relationship Id="rId291" Type="http://schemas.openxmlformats.org/officeDocument/2006/relationships/hyperlink" Target="https://www.google.com/maps/place/Casa+El+Buen+Samaritano/@29.6118196,-95.5452972,17z/data=!3m1!4b1!4m6!3m5!1s0x8640e99e8becdbcb:0xb22504de066ecaef!8m2!3d29.6118196!4d-95.5427169!16s%2Fg%2F1wyc4qlb?entry=ttu&amp;g_ep=EgoyMDI1MDYyNi4wIKXMDSoASAFQAw%3D%3D" TargetMode="External"/><Relationship Id="rId290" Type="http://schemas.openxmlformats.org/officeDocument/2006/relationships/hyperlink" Target="https://www.casaelbuen.org/patients" TargetMode="External"/><Relationship Id="rId286" Type="http://schemas.openxmlformats.org/officeDocument/2006/relationships/hyperlink" Target="https://www.cancercare.org/financial_assistance" TargetMode="External"/><Relationship Id="rId285" Type="http://schemas.openxmlformats.org/officeDocument/2006/relationships/hyperlink" Target="https://www.google.com/maps/place/CAMPUS+OF+HOPE/@30.3155635,-95.4614151,17z/data=!3m1!4b1!4m6!3m5!1s0x8647399ac97d07c1:0x82af6bca49dfb47c!8m2!3d30.3155589!4d-95.4588402!16s%2Fg%2F11gslvtgz8?entry=ttu&amp;g_ep=EgoyMDI2MDEwNy4wIKXMDSoKLDEwMDc5MjA2OUgBUAM%3D" TargetMode="External"/><Relationship Id="rId284" Type="http://schemas.openxmlformats.org/officeDocument/2006/relationships/hyperlink" Target="https://campusofhopeonline.org/" TargetMode="External"/><Relationship Id="rId283" Type="http://schemas.openxmlformats.org/officeDocument/2006/relationships/hyperlink" Target="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 TargetMode="External"/><Relationship Id="rId289" Type="http://schemas.openxmlformats.org/officeDocument/2006/relationships/hyperlink" Target="https://www.google.com/maps/place/Casa+El+Buen+Samaritano/@29.6323504,-95.497137,17z/data=!3m1!4b1!4m6!3m5!1s0x8640e99e8c095555:0x199c1ed33b036a2b!8m2!3d29.6323504!4d-95.4945567!16s%2Fg%2F11sghpvnbw?entry=ttu&amp;g_ep=EgoyMDI1MDYyNi4wIKXMDSoASAFQAw%3D%3D" TargetMode="External"/><Relationship Id="rId288" Type="http://schemas.openxmlformats.org/officeDocument/2006/relationships/hyperlink" Target="https://www.casaelbuen.org/patients" TargetMode="External"/><Relationship Id="rId287" Type="http://schemas.openxmlformats.org/officeDocument/2006/relationships/hyperlink" Target="https://www.google.com/maps/place/CancerCare/@40.7588086,-73.9770662,17z/data=!3m1!4b1!4m6!3m5!1s0x89c259a5490dd021:0x3bbe7b2b19568f81!8m2!3d40.7588086!4d-73.9744859!16s%2Fg%2F113gxx9fq?entry=ttu&amp;g_ep=EgoyMDI2MDEyMC4wIKXMDSoKLDEwMDc5MjA2OUgBUAM%3D" TargetMode="External"/><Relationship Id="rId282" Type="http://schemas.openxmlformats.org/officeDocument/2006/relationships/hyperlink" Target="https://www.campshield.org/tvcfund" TargetMode="External"/><Relationship Id="rId281" Type="http://schemas.openxmlformats.org/officeDocument/2006/relationships/hyperlink" Target="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 TargetMode="External"/><Relationship Id="rId280" Type="http://schemas.openxmlformats.org/officeDocument/2006/relationships/hyperlink" Target="https://www.campshield.org/tvcfund" TargetMode="External"/><Relationship Id="rId275" Type="http://schemas.openxmlformats.org/officeDocument/2006/relationships/hyperlink" Target="https://maps.google.com/?q=Brentwood%20Baptist%20Church%2013033%20Landmark%20St%20Houston%20TX%2077045" TargetMode="External"/><Relationship Id="rId274" Type="http://schemas.openxmlformats.org/officeDocument/2006/relationships/hyperlink" Target="https://brentwoodfoundation.org" TargetMode="External"/><Relationship Id="rId273" Type="http://schemas.openxmlformats.org/officeDocument/2006/relationships/hyperlink" Target="https://maps.google.com/?q=Brentwood%20Baptist%20Church%2013033%20Landmark%20St%20Houston%20TX%2077045" TargetMode="External"/><Relationship Id="rId272" Type="http://schemas.openxmlformats.org/officeDocument/2006/relationships/hyperlink" Target="https://brentwoodbaptist.org/" TargetMode="External"/><Relationship Id="rId279" Type="http://schemas.openxmlformats.org/officeDocument/2006/relationships/hyperlink" Target="https://maps.google.com/?q=Brentwood%20Baptist%20Church%2013033%20Landmark%20St%20Houston%20TX%2077045" TargetMode="External"/><Relationship Id="rId278" Type="http://schemas.openxmlformats.org/officeDocument/2006/relationships/hyperlink" Target="https://brentwoodfoundation.org" TargetMode="External"/><Relationship Id="rId277" Type="http://schemas.openxmlformats.org/officeDocument/2006/relationships/hyperlink" Target="https://maps.google.com/?q=Brentwood%20Baptist%20Church%2013033%20Landmark%20St%20Houston%20TX%2077045" TargetMode="External"/><Relationship Id="rId276" Type="http://schemas.openxmlformats.org/officeDocument/2006/relationships/hyperlink" Target="https://brentwoodfoundation.org" TargetMode="External"/><Relationship Id="rId1851" Type="http://schemas.openxmlformats.org/officeDocument/2006/relationships/hyperlink" Target="https://maps.google.com/?q=Wesley%20Community%20Center%201410%20Lee%20St%20Houston%20TX%2077009" TargetMode="External"/><Relationship Id="rId1852" Type="http://schemas.openxmlformats.org/officeDocument/2006/relationships/hyperlink" Target="https://wesleyhousehouston.org/early-childhood-education/" TargetMode="External"/><Relationship Id="rId1853" Type="http://schemas.openxmlformats.org/officeDocument/2006/relationships/hyperlink" Target="https://maps.google.com/?q=Wesley%20Community%20Center%201410%20Lee%20St%20Houston%20TX%2077009" TargetMode="External"/><Relationship Id="rId1854" Type="http://schemas.openxmlformats.org/officeDocument/2006/relationships/hyperlink" Target="https://wesleyhousehouston.org/senior-services/" TargetMode="External"/><Relationship Id="rId1855" Type="http://schemas.openxmlformats.org/officeDocument/2006/relationships/hyperlink" Target="https://maps.google.com/?q=Wesley%20Community%20Center%201410%20Lee%20St%20Houston%20TX%2077009" TargetMode="External"/><Relationship Id="rId1856" Type="http://schemas.openxmlformats.org/officeDocument/2006/relationships/hyperlink" Target="https://www.houstonhealth.org/services/multi-service-centers/west-end-multi-service-center" TargetMode="External"/><Relationship Id="rId1857" Type="http://schemas.openxmlformats.org/officeDocument/2006/relationships/hyperlink" Target="https://www.google.com/maps/place/West+End+Multi-Service+Center/@29.7725472,-95.399352,17z/data=!3m1!4b1!4m6!3m5!1s0x8640c754d9f4837f:0x21762eef026d572!8m2!3d29.7725426!4d-95.3967771!16s%2Fg%2F11b70dhgp4?entry=ttu&amp;g_ep=EgoyMDI2MDIwMS4wIKXMDSoKLDEwMDc5MjA2OUgBUAM%3D" TargetMode="External"/><Relationship Id="rId1858" Type="http://schemas.openxmlformats.org/officeDocument/2006/relationships/hyperlink" Target="https://www.whamministries.org/" TargetMode="External"/><Relationship Id="rId1859" Type="http://schemas.openxmlformats.org/officeDocument/2006/relationships/hyperlink" Target="https://maps.google.com/?q=West%20Houston%20Area%20Ministries%20(WHAM)%2010501%20Meadowglen%20Lane%20Houston%20TX%2077042" TargetMode="External"/><Relationship Id="rId1850" Type="http://schemas.openxmlformats.org/officeDocument/2006/relationships/hyperlink" Target="https://wesleyhousehouston.org/early-childhood-education/" TargetMode="External"/><Relationship Id="rId1840"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1841" Type="http://schemas.openxmlformats.org/officeDocument/2006/relationships/hyperlink" Target="https://wellspringsvillage.org/" TargetMode="External"/><Relationship Id="rId1842" Type="http://schemas.openxmlformats.org/officeDocument/2006/relationships/hyperlink" Target="https://wesleyhousehouston.org/adult-family-services/" TargetMode="External"/><Relationship Id="rId1843" Type="http://schemas.openxmlformats.org/officeDocument/2006/relationships/hyperlink" Target="https://maps.google.com/?q=Wesley%20Community%20Center%201410%20Lee%20St%20Houston%20TX%2077009" TargetMode="External"/><Relationship Id="rId1844" Type="http://schemas.openxmlformats.org/officeDocument/2006/relationships/hyperlink" Target="https://wesleyhousehouston.org/adult-family-services/" TargetMode="External"/><Relationship Id="rId1845" Type="http://schemas.openxmlformats.org/officeDocument/2006/relationships/hyperlink" Target="https://maps.google.com/?q=Wesley%20Community%20Center%201410%20Lee%20St%20Houston%20TX%2077009" TargetMode="External"/><Relationship Id="rId1846" Type="http://schemas.openxmlformats.org/officeDocument/2006/relationships/hyperlink" Target="https://wesleyhousehouston.org/food-programs/" TargetMode="External"/><Relationship Id="rId1847" Type="http://schemas.openxmlformats.org/officeDocument/2006/relationships/hyperlink" Target="https://maps.google.com/?q=Wesley%20Community%20Center%201410%20Lee%20St%20Houston%20TX%2077009" TargetMode="External"/><Relationship Id="rId1848" Type="http://schemas.openxmlformats.org/officeDocument/2006/relationships/hyperlink" Target="https://wesleyhousehouston.org/adult-family-services/" TargetMode="External"/><Relationship Id="rId1849" Type="http://schemas.openxmlformats.org/officeDocument/2006/relationships/hyperlink" Target="https://maps.google.com/?q=Wesley%20Community%20Center%201410%20Lee%20St%20Houston%20TX%2077009" TargetMode="External"/><Relationship Id="rId1873" Type="http://schemas.openxmlformats.org/officeDocument/2006/relationships/hyperlink" Target="https://maps.google.com/?q=West%20Houston%20Area%20Ministries%20(WHAM)%2010501%20Meadowglen%20Lane%20Houston%20TX%2077042" TargetMode="External"/><Relationship Id="rId1874" Type="http://schemas.openxmlformats.org/officeDocument/2006/relationships/hyperlink" Target="https://www.whamministries.org/" TargetMode="External"/><Relationship Id="rId1875" Type="http://schemas.openxmlformats.org/officeDocument/2006/relationships/hyperlink" Target="https://maps.google.com/?q=West%20Houston%20Area%20Ministries%20(WHAM)%2010501%20Meadowglen%20Lane%20Houston%20TX%2077042" TargetMode="External"/><Relationship Id="rId1876" Type="http://schemas.openxmlformats.org/officeDocument/2006/relationships/hyperlink" Target="https://www.whamministries.org/" TargetMode="External"/><Relationship Id="rId1877" Type="http://schemas.openxmlformats.org/officeDocument/2006/relationships/hyperlink" Target="https://maps.google.com/?q=West%20Houston%20Area%20Ministries%20(WHAM)%2010501%20Meadowglen%20Lane%20Houston%20TX%2077042" TargetMode="External"/><Relationship Id="rId1878" Type="http://schemas.openxmlformats.org/officeDocument/2006/relationships/hyperlink" Target="https://www.whamministries.org/" TargetMode="External"/><Relationship Id="rId1879" Type="http://schemas.openxmlformats.org/officeDocument/2006/relationships/hyperlink" Target="https://maps.google.com/?q=West%20Houston%20Area%20Ministries%20(WHAM)%2010501%20Meadowglen%20Lane%20Houston%20TX%2077042" TargetMode="External"/><Relationship Id="rId1870" Type="http://schemas.openxmlformats.org/officeDocument/2006/relationships/hyperlink" Target="https://www.whamministries.org/" TargetMode="External"/><Relationship Id="rId1871" Type="http://schemas.openxmlformats.org/officeDocument/2006/relationships/hyperlink" Target="https://maps.google.com/?q=West%20Houston%20Area%20Ministries%20(WHAM)%2010501%20Meadowglen%20Lane%20Houston%20TX%2077042" TargetMode="External"/><Relationship Id="rId1872" Type="http://schemas.openxmlformats.org/officeDocument/2006/relationships/hyperlink" Target="https://www.whamministries.org/" TargetMode="External"/><Relationship Id="rId1862" Type="http://schemas.openxmlformats.org/officeDocument/2006/relationships/hyperlink" Target="https://www.whamministries.org/" TargetMode="External"/><Relationship Id="rId1863" Type="http://schemas.openxmlformats.org/officeDocument/2006/relationships/hyperlink" Target="https://maps.google.com/?q=West%20Houston%20Area%20Ministries%20(WHAM)%2010501%20Meadowglen%20Lane%20Houston%20TX%2077042" TargetMode="External"/><Relationship Id="rId1864" Type="http://schemas.openxmlformats.org/officeDocument/2006/relationships/hyperlink" Target="https://www.whamministries.org/" TargetMode="External"/><Relationship Id="rId1865" Type="http://schemas.openxmlformats.org/officeDocument/2006/relationships/hyperlink" Target="https://maps.google.com/?q=West%20Houston%20Area%20Ministries%20(WHAM)%2010501%20Meadowglen%20Lane%20Houston%20TX%2077042" TargetMode="External"/><Relationship Id="rId1866" Type="http://schemas.openxmlformats.org/officeDocument/2006/relationships/hyperlink" Target="https://www.whamministries.org/" TargetMode="External"/><Relationship Id="rId1867" Type="http://schemas.openxmlformats.org/officeDocument/2006/relationships/hyperlink" Target="https://maps.google.com/?q=West%20Houston%20Area%20Ministries%20(WHAM)%2010501%20Meadowglen%20Lane%20Houston%20TX%2077042" TargetMode="External"/><Relationship Id="rId1868" Type="http://schemas.openxmlformats.org/officeDocument/2006/relationships/hyperlink" Target="https://www.whamministries.org/" TargetMode="External"/><Relationship Id="rId1869" Type="http://schemas.openxmlformats.org/officeDocument/2006/relationships/hyperlink" Target="https://maps.google.com/?q=West%20Houston%20Area%20Ministries%20(WHAM)%2010501%20Meadowglen%20Lane%20Houston%20TX%2077042" TargetMode="External"/><Relationship Id="rId1860" Type="http://schemas.openxmlformats.org/officeDocument/2006/relationships/hyperlink" Target="https://www.whamministries.org/" TargetMode="External"/><Relationship Id="rId1861" Type="http://schemas.openxmlformats.org/officeDocument/2006/relationships/hyperlink" Target="https://maps.google.com/?q=West%20Houston%20Area%20Ministries%20(WHAM)%2010501%20Meadowglen%20Lane%20Houston%20TX%2077042" TargetMode="External"/><Relationship Id="rId1810" Type="http://schemas.openxmlformats.org/officeDocument/2006/relationships/hyperlink" Target="https://maps.google.com/?q=Tomball%20Emergency%20Asst%20Ministry%20300%20W%20Main%20St%20Tomball%20TX%2077375" TargetMode="External"/><Relationship Id="rId1811" Type="http://schemas.openxmlformats.org/officeDocument/2006/relationships/hyperlink" Target="https://teamtomball.com/assistance/" TargetMode="External"/><Relationship Id="rId1812" Type="http://schemas.openxmlformats.org/officeDocument/2006/relationships/hyperlink" Target="https://maps.google.com/?q=Tomball%20Emergency%20Asst%20Ministry%20300%20W%20Main%20St%20Tomball%20TX%2077375" TargetMode="External"/><Relationship Id="rId1813" Type="http://schemas.openxmlformats.org/officeDocument/2006/relationships/hyperlink" Target="https://teamtomball.com/assistance/" TargetMode="External"/><Relationship Id="rId1814" Type="http://schemas.openxmlformats.org/officeDocument/2006/relationships/hyperlink" Target="https://maps.google.com/?q=Tomball%20Emergency%20Asst%20Ministry%20300%20W%20Main%20St%20Tomball%20TX%2077375" TargetMode="External"/><Relationship Id="rId1815" Type="http://schemas.openxmlformats.org/officeDocument/2006/relationships/hyperlink" Target="https://www.trinityklein.org/restoring-hope/" TargetMode="External"/><Relationship Id="rId1816" Type="http://schemas.openxmlformats.org/officeDocument/2006/relationships/hyperlink" Target="https://maps.google.com/?q=Trinity%20Lutheran%20%20Spring%20TX%2077379" TargetMode="External"/><Relationship Id="rId1817" Type="http://schemas.openxmlformats.org/officeDocument/2006/relationships/hyperlink" Target="https://www.trinityklein.org/restoring-hope/" TargetMode="External"/><Relationship Id="rId1818" Type="http://schemas.openxmlformats.org/officeDocument/2006/relationships/hyperlink" Target="https://maps.google.com/?q=Trinity%20Lutheran%20%20Spring%20TX%2077379" TargetMode="External"/><Relationship Id="rId1819" Type="http://schemas.openxmlformats.org/officeDocument/2006/relationships/hyperlink" Target="https://www.trinityklein.org/restoring-hope/" TargetMode="External"/><Relationship Id="rId1800" Type="http://schemas.openxmlformats.org/officeDocument/2006/relationships/hyperlink" Target="https://maps.google.com/?q=Tomball%20Emergency%20Asst%20Ministry%20300%20W%20Main%20St%20Tomball%20TX%2077375" TargetMode="External"/><Relationship Id="rId1801" Type="http://schemas.openxmlformats.org/officeDocument/2006/relationships/hyperlink" Target="https://teamtomball.com/assistance/" TargetMode="External"/><Relationship Id="rId1802" Type="http://schemas.openxmlformats.org/officeDocument/2006/relationships/hyperlink" Target="https://maps.google.com/?q=Tomball%20Emergency%20Asst%20Ministry%20300%20W%20Main%20St%20Tomball%20TX%2077375" TargetMode="External"/><Relationship Id="rId1803" Type="http://schemas.openxmlformats.org/officeDocument/2006/relationships/hyperlink" Target="https://teamtomball.com/assistance/" TargetMode="External"/><Relationship Id="rId1804" Type="http://schemas.openxmlformats.org/officeDocument/2006/relationships/hyperlink" Target="https://maps.google.com/?q=Tomball%20Emergency%20Asst%20Ministry%20300%20W%20Main%20St%20Tomball%20TX%2077375" TargetMode="External"/><Relationship Id="rId1805" Type="http://schemas.openxmlformats.org/officeDocument/2006/relationships/hyperlink" Target="https://teamtomball.com/assistance/" TargetMode="External"/><Relationship Id="rId1806" Type="http://schemas.openxmlformats.org/officeDocument/2006/relationships/hyperlink" Target="https://maps.google.com/?q=Tomball%20Emergency%20Asst%20Ministry%20300%20W%20Main%20St%20Tomball%20TX%2077375" TargetMode="External"/><Relationship Id="rId1807" Type="http://schemas.openxmlformats.org/officeDocument/2006/relationships/hyperlink" Target="https://teamtomball.com/assistance/" TargetMode="External"/><Relationship Id="rId1808" Type="http://schemas.openxmlformats.org/officeDocument/2006/relationships/hyperlink" Target="https://maps.google.com/?q=Tomball%20Emergency%20Asst%20Ministry%20300%20W%20Main%20St%20Tomball%20TX%2077375" TargetMode="External"/><Relationship Id="rId1809" Type="http://schemas.openxmlformats.org/officeDocument/2006/relationships/hyperlink" Target="https://teamtomball.com/assistance/" TargetMode="External"/><Relationship Id="rId1830"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1831" Type="http://schemas.openxmlformats.org/officeDocument/2006/relationships/hyperlink" Target="https://warmwaller.org/financial" TargetMode="External"/><Relationship Id="rId1832"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1833" Type="http://schemas.openxmlformats.org/officeDocument/2006/relationships/hyperlink" Target="https://warmwaller.org/food-pantry" TargetMode="External"/><Relationship Id="rId1834"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1835" Type="http://schemas.openxmlformats.org/officeDocument/2006/relationships/hyperlink" Target="https://warmwaller.org/vouchers" TargetMode="External"/><Relationship Id="rId1836"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1837" Type="http://schemas.openxmlformats.org/officeDocument/2006/relationships/hyperlink" Target="https://warmwaller.org/comunity-assistance-program" TargetMode="External"/><Relationship Id="rId1838"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1839" Type="http://schemas.openxmlformats.org/officeDocument/2006/relationships/hyperlink" Target="https://warmwaller.org/financial" TargetMode="External"/><Relationship Id="rId1820" Type="http://schemas.openxmlformats.org/officeDocument/2006/relationships/hyperlink" Target="https://maps.google.com/?q=Trinity%20Lutheran%20%20Spring%20TX%2077379" TargetMode="External"/><Relationship Id="rId1821" Type="http://schemas.openxmlformats.org/officeDocument/2006/relationships/hyperlink" Target="https://www.uh.edu/medicine/sites/family-care-center/sliding-fee-eligibility/" TargetMode="External"/><Relationship Id="rId1822" Type="http://schemas.openxmlformats.org/officeDocument/2006/relationships/hyperlink" Target="https://www.google.com/maps/place/UH+Health+Family+Care+Center/@29.7168875,-95.3415555,17z/data=!3m1!4b1!4m6!3m5!1s0x8640bf931e325ab3:0x448818b0ba957e16!8m2!3d29.7168875!4d-95.3389752!16s%2Fg%2F11vcsstzgh?entry=ttu&amp;g_ep=EgoyMDI1MDYyNi4wIKXMDSoASAFQAw%3D%3D" TargetMode="External"/><Relationship Id="rId1823" Type="http://schemas.openxmlformats.org/officeDocument/2006/relationships/hyperlink" Target="https://referral.unitedwayhouston.org/" TargetMode="External"/><Relationship Id="rId1824" Type="http://schemas.openxmlformats.org/officeDocument/2006/relationships/hyperlink" Target="https://www.law.uh.edu/clinic/immi.asp" TargetMode="External"/><Relationship Id="rId1825" Type="http://schemas.openxmlformats.org/officeDocument/2006/relationships/hyperlink" Target="https://usacares.org/state-assistance/" TargetMode="External"/><Relationship Id="rId1826" Type="http://schemas.openxmlformats.org/officeDocument/2006/relationships/hyperlink" Target="https://www.google.com/maps/place/1122+Colorado+St,+Austin,+TX+78701/@30.274112,-97.7454547,16z/data=!3m1!4b1!4m6!3m5!1s0x8644b50a937e418f:0x2373b644bc39391d!8m2!3d30.2741074!4d-97.7428798!16s%2Fg%2F11bw3x7nbc?entry=ttu&amp;g_ep=EgoyMDI2MDIxMS4wIKXMDSoASAFQAw%3D%3D" TargetMode="External"/><Relationship Id="rId1827" Type="http://schemas.openxmlformats.org/officeDocument/2006/relationships/hyperlink" Target="https://www.va.gov/houston-health-care/stories/new-resource-center-open-for-houston-veterans/" TargetMode="External"/><Relationship Id="rId1828" Type="http://schemas.openxmlformats.org/officeDocument/2006/relationships/hyperlink" Target="https://www.google.com/maps/place/1700+Webster/@29.743953,-95.3707484,17z/data=!3m1!4b1!4m6!3m5!1s0x8640bfb987b4bccd:0x76968c0eab680d22!8m2!3d29.7439484!4d-95.3658775!16s%2Fg%2F11rwqwfn6_?entry=ttu&amp;g_ep=EgoyMDI1MTAwOC4wIKXMDSoASAFQAw%3D%3D" TargetMode="External"/><Relationship Id="rId1829" Type="http://schemas.openxmlformats.org/officeDocument/2006/relationships/hyperlink" Target="https://warmwaller.org/financial" TargetMode="External"/><Relationship Id="rId1455" Type="http://schemas.openxmlformats.org/officeDocument/2006/relationships/hyperlink" Target="https://maps.google.com/?q=St%20Ambrose%20(SVdP%20D4)%204213%20Mangum%20Rd%20Houston%20TX%2077092" TargetMode="External"/><Relationship Id="rId1456" Type="http://schemas.openxmlformats.org/officeDocument/2006/relationships/hyperlink" Target="http://www.standrewchurch.net/svdp.shtml" TargetMode="External"/><Relationship Id="rId1457" Type="http://schemas.openxmlformats.org/officeDocument/2006/relationships/hyperlink" Target="https://maps.google.com/?q=St%20Andrew%20(SVdP%20D5)%20Channelview%20827%20Sheldon%20Rd%20Channelview%20TX%2077530" TargetMode="External"/><Relationship Id="rId1458" Type="http://schemas.openxmlformats.org/officeDocument/2006/relationships/hyperlink" Target="http://www.standrewchurch.net/svdp.shtml" TargetMode="External"/><Relationship Id="rId1459" Type="http://schemas.openxmlformats.org/officeDocument/2006/relationships/hyperlink" Target="https://maps.google.com/?q=St%20Andrew%20(SVdP%20D5)%20Channelview%20827%20Sheldon%20Rd%20Channelview%20TX%2077530" TargetMode="External"/><Relationship Id="rId629"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624" Type="http://schemas.openxmlformats.org/officeDocument/2006/relationships/hyperlink" Target="https://fortbendfamilypromise.org/programs/" TargetMode="External"/><Relationship Id="rId623"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622" Type="http://schemas.openxmlformats.org/officeDocument/2006/relationships/hyperlink" Target="https://fortbendfamilypromise.org/programs/" TargetMode="External"/><Relationship Id="rId621"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628" Type="http://schemas.openxmlformats.org/officeDocument/2006/relationships/hyperlink" Target="https://fortbendfamilypromise.org/programs/" TargetMode="External"/><Relationship Id="rId627"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626" Type="http://schemas.openxmlformats.org/officeDocument/2006/relationships/hyperlink" Target="https://fortbendfamilypromise.org/programs/" TargetMode="External"/><Relationship Id="rId625"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1450" Type="http://schemas.openxmlformats.org/officeDocument/2006/relationships/hyperlink" Target="https://stalbertoftrapani.org/" TargetMode="External"/><Relationship Id="rId620" Type="http://schemas.openxmlformats.org/officeDocument/2006/relationships/hyperlink" Target="https://fortbendfamilypromise.org/programs/" TargetMode="External"/><Relationship Id="rId1451" Type="http://schemas.openxmlformats.org/officeDocument/2006/relationships/hyperlink" Target="https://maps.google.com/?q=St%20Albert%20of%20Trapani%20(SVdP%20D3)%2011027%20S%20Gessner%20Rd%20Houston%20TX%2077071" TargetMode="External"/><Relationship Id="rId1452" Type="http://schemas.openxmlformats.org/officeDocument/2006/relationships/hyperlink" Target="https://stambrosehouston.org/" TargetMode="External"/><Relationship Id="rId1453" Type="http://schemas.openxmlformats.org/officeDocument/2006/relationships/hyperlink" Target="https://maps.google.com/?q=St%20Ambrose%20(SVdP%20D4)%204213%20Mangum%20Rd%20Houston%20TX%2077092" TargetMode="External"/><Relationship Id="rId1454" Type="http://schemas.openxmlformats.org/officeDocument/2006/relationships/hyperlink" Target="https://stambrosehouston.org/" TargetMode="External"/><Relationship Id="rId1444" Type="http://schemas.openxmlformats.org/officeDocument/2006/relationships/hyperlink" Target="https://www.springwoodsumc.org/" TargetMode="External"/><Relationship Id="rId1445" Type="http://schemas.openxmlformats.org/officeDocument/2006/relationships/hyperlink" Target="https://maps.google.com/?q=Springwoods%20UMC%20%20%20TX%20" TargetMode="External"/><Relationship Id="rId1446" Type="http://schemas.openxmlformats.org/officeDocument/2006/relationships/hyperlink" Target="https://stalbertoftrapani.org/" TargetMode="External"/><Relationship Id="rId1447" Type="http://schemas.openxmlformats.org/officeDocument/2006/relationships/hyperlink" Target="https://maps.google.com/?q=St%20Albert%20of%20Trapani%20(SVdP%20D3)%2011027%20S%20Gessner%20Rd%20Houston%20TX%2077071" TargetMode="External"/><Relationship Id="rId1448" Type="http://schemas.openxmlformats.org/officeDocument/2006/relationships/hyperlink" Target="https://stalbertoftrapani.org/" TargetMode="External"/><Relationship Id="rId1449" Type="http://schemas.openxmlformats.org/officeDocument/2006/relationships/hyperlink" Target="https://maps.google.com/?q=St%20Albert%20of%20Trapani%20(SVdP%20D3)%2011027%20S%20Gessner%20Rd%20Houston%20TX%2077071" TargetMode="External"/><Relationship Id="rId619"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618" Type="http://schemas.openxmlformats.org/officeDocument/2006/relationships/hyperlink" Target="https://fortbendfamilypromise.org/programs/" TargetMode="External"/><Relationship Id="rId613"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612" Type="http://schemas.openxmlformats.org/officeDocument/2006/relationships/hyperlink" Target="https://www.fortbendcountytx.gov/government/departments/social-services/services/medical-assistance" TargetMode="External"/><Relationship Id="rId611"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610" Type="http://schemas.openxmlformats.org/officeDocument/2006/relationships/hyperlink" Target="https://www.fortbendcountytx.gov/government/departments/social-services/services/food-assistance" TargetMode="External"/><Relationship Id="rId617"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616" Type="http://schemas.openxmlformats.org/officeDocument/2006/relationships/hyperlink" Target="https://www.fortbendcountytx.gov/government/departments/social-services/services/pauper-indigent-burial-services" TargetMode="External"/><Relationship Id="rId615"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614" Type="http://schemas.openxmlformats.org/officeDocument/2006/relationships/hyperlink" Target="https://www.fortbendcountytx.gov/government/departments/social-services/services/medical-assistance" TargetMode="External"/><Relationship Id="rId1440" Type="http://schemas.openxmlformats.org/officeDocument/2006/relationships/hyperlink" Target="https://www.houstonhealth.org/services/multi-service-centers/southwest-multi-service-center" TargetMode="External"/><Relationship Id="rId1441" Type="http://schemas.openxmlformats.org/officeDocument/2006/relationships/hyperlink" Target="https://www.google.com/maps/place/Southwest+Multi-Service+Center/@29.7111474,-95.4988017,17z/data=!3m1!4b1!4m6!3m5!1s0x8640c2377687510d:0xd3c02798ea401cfc!8m2!3d29.7111428!4d-95.4962268!16s%2Fg%2F11b5wpkljq?entry=ttu&amp;g_ep=EgoyMDI2MDIwMS4wIKXMDSoKLDEwMDc5MjA2OUgBUAM%3D" TargetMode="External"/><Relationship Id="rId1442" Type="http://schemas.openxmlformats.org/officeDocument/2006/relationships/hyperlink" Target="https://www.houstonhealth.org/services/multi-service-centers/southwest-multi-service-center" TargetMode="External"/><Relationship Id="rId1443" Type="http://schemas.openxmlformats.org/officeDocument/2006/relationships/hyperlink" Target="https://www.google.com/maps/place/Southwest+Multi-Service+Center/@29.7111474,-95.4988017,17z/data=!3m1!4b1!4m6!3m5!1s0x8640c2377687510d:0xd3c02798ea401cfc!8m2!3d29.7111428!4d-95.4962268!16s%2Fg%2F11b5wpkljq?entry=ttu&amp;g_ep=EgoyMDI2MDIwMS4wIKXMDSoKLDEwMDc5MjA2OUgBUAM%3D" TargetMode="External"/><Relationship Id="rId1477" Type="http://schemas.openxmlformats.org/officeDocument/2006/relationships/hyperlink" Target="https://maps.google.com/?q=St%20Anne%20Tomball%20(SVdP%20D6)%201111%20S%20Cherry%20St%20Tomball%20TX%2077375" TargetMode="External"/><Relationship Id="rId1478" Type="http://schemas.openxmlformats.org/officeDocument/2006/relationships/hyperlink" Target="https://ap.church/ministries/outreach/food-pantry/" TargetMode="External"/><Relationship Id="rId1479" Type="http://schemas.openxmlformats.org/officeDocument/2006/relationships/hyperlink" Target="https://maps.google.com/?q=St%20Anthony%20Bread%207985%20Bay%20Branch%20Dr%20Spring%20TX%2077382" TargetMode="External"/><Relationship Id="rId646" Type="http://schemas.openxmlformats.org/officeDocument/2006/relationships/hyperlink" Target="https://www.google.com/maps/place/Good+Days/@33.1007054,-96.8327393,17z/data=!3m2!4b1!5s0x864c3c9c0bf995ad:0xbbcec9cafda1ee14!4m6!3m5!1s0x864c3cb2ae5991bf:0xa8731cd3b5584f3!8m2!3d33.1007054!4d-96.830159!16s%2Fg%2F1tdf1rts?entry=ttu&amp;g_ep=EgoyMDI2MDEyMC4wIKXMDSoKLDEwMDc5MjA2OUgBUAM%3D" TargetMode="External"/><Relationship Id="rId645" Type="http://schemas.openxmlformats.org/officeDocument/2006/relationships/hyperlink" Target="https://mygooddays.org/apply/" TargetMode="External"/><Relationship Id="rId644" Type="http://schemas.openxmlformats.org/officeDocument/2006/relationships/hyperlink" Target="https://www.google.com/maps/place/God's+Lovely+Butterflies+Maternity+Home/@29.6784808,-95.4260526,16z/data=!3m2!4b1!5s0x8640c02750a7dfb5:0xdb3e51f03a25df97!4m6!3m5!1s0x8640c1dd1a2d806d:0xab3fec68cc1b8358!8m2!3d29.6784809!4d-95.4211871!16s%2Fg%2F11rgrfnqcs?entry=ttu&amp;g_ep=EgoyMDI1MDUwNy4wIKXMDSoASAFQAw%3D%3D" TargetMode="External"/><Relationship Id="rId643" Type="http://schemas.openxmlformats.org/officeDocument/2006/relationships/hyperlink" Target="https://www.godslovelybutterflies.org" TargetMode="External"/><Relationship Id="rId649" Type="http://schemas.openxmlformats.org/officeDocument/2006/relationships/hyperlink" Target="https://www.goodshepherdmission.org/index.html" TargetMode="External"/><Relationship Id="rId648" Type="http://schemas.openxmlformats.org/officeDocument/2006/relationships/hyperlink" Target="https://www.google.com/maps/place/Good+Shepherd+Mission/@30.7249097,-95.545586,17z/data=!3m1!4b1!4m6!3m5!1s0x8647088c89a7ac0f:0x7fc272fcb1788372!8m2!3d30.7249097!4d-95.5430057!16s%2Fg%2F11c2q5vhb8?entry=ttu&amp;g_ep=EgoyMDI1MDUwNy4wIKXMDSoASAFQAw%3D%3D" TargetMode="External"/><Relationship Id="rId647" Type="http://schemas.openxmlformats.org/officeDocument/2006/relationships/hyperlink" Target="https://www.goodshepherdmission.org/index.html" TargetMode="External"/><Relationship Id="rId1470" Type="http://schemas.openxmlformats.org/officeDocument/2006/relationships/hyperlink" Target="https://www.archgh.org/parishes/st-anne-de-beaupre-houston/" TargetMode="External"/><Relationship Id="rId1471" Type="http://schemas.openxmlformats.org/officeDocument/2006/relationships/hyperlink" Target="https://maps.google.com/?q=St%20Anne%20de%20Beaupre%20(SVdP%20D1)%202810%20Link%20Rd%20Houston%20TX%2077009" TargetMode="External"/><Relationship Id="rId1472" Type="http://schemas.openxmlformats.org/officeDocument/2006/relationships/hyperlink" Target="https://stanne-tomball.org/st-vincent-de-paul" TargetMode="External"/><Relationship Id="rId642" Type="http://schemas.openxmlformats.org/officeDocument/2006/relationships/hyperlink" Target="https://www.google.com/maps/place/Adult+%26+Teen+Challenge+Houston+Men's/@30.1843018,-95.7124219,17z/data=!3m1!4b1!4m6!3m5!1s0x86472837f10aa7eb:0x7533c718c1171d3b!8m2!3d30.1842972!4d-95.7098416!16s%2Fg%2F1tczf8yf?entry=ttu&amp;g_ep=EgoyMDI1MDQxNi4xIKXMDSoASAFQAw%3D%3D" TargetMode="External"/><Relationship Id="rId1473" Type="http://schemas.openxmlformats.org/officeDocument/2006/relationships/hyperlink" Target="https://maps.google.com/?q=St%20Anne%20Tomball%20(SVdP%20D6)%201111%20S%20Cherry%20St%20Tomball%20TX%2077375" TargetMode="External"/><Relationship Id="rId641" Type="http://schemas.openxmlformats.org/officeDocument/2006/relationships/hyperlink" Target="https://houstonmensrehab.com/" TargetMode="External"/><Relationship Id="rId1474" Type="http://schemas.openxmlformats.org/officeDocument/2006/relationships/hyperlink" Target="https://stanne-tomball.org/st-vincent-de-paul" TargetMode="External"/><Relationship Id="rId640" Type="http://schemas.openxmlformats.org/officeDocument/2006/relationships/hyperlink" Target="https://www.google.com/maps/place/Freewheels+Houston/@29.7023428,-95.4901198,17z/data=!3m1!4b1!4m6!3m5!1s0x8640c2233ab9dcc9:0x203d8711a0c3f6b6!8m2!3d29.7023382!4d-95.4875449!16s%2Fg%2F11gcb9_1tz?entry=ttu&amp;g_ep=EgoyMDI1MDgxMy4wIKXMDSoASAFQAw%3D%3D" TargetMode="External"/><Relationship Id="rId1475" Type="http://schemas.openxmlformats.org/officeDocument/2006/relationships/hyperlink" Target="https://maps.google.com/?q=St%20Anne%20Tomball%20(SVdP%20D6)%201111%20S%20Cherry%20St%20Tomball%20TX%2077375" TargetMode="External"/><Relationship Id="rId1476" Type="http://schemas.openxmlformats.org/officeDocument/2006/relationships/hyperlink" Target="https://stanne-tomball.org/st-vincent-de-paul" TargetMode="External"/><Relationship Id="rId1466" Type="http://schemas.openxmlformats.org/officeDocument/2006/relationships/hyperlink" Target="https://www.saintanne.org/outreach-ministries" TargetMode="External"/><Relationship Id="rId1467" Type="http://schemas.openxmlformats.org/officeDocument/2006/relationships/hyperlink" Target="https://maps.google.com/?q=St%20Anne%20(SVdP)%202140%20Westheimer%20Rd%20Houston%20TX%2077098" TargetMode="External"/><Relationship Id="rId1468" Type="http://schemas.openxmlformats.org/officeDocument/2006/relationships/hyperlink" Target="https://www.saintanne.org/outreach-ministries" TargetMode="External"/><Relationship Id="rId1469" Type="http://schemas.openxmlformats.org/officeDocument/2006/relationships/hyperlink" Target="https://maps.google.com/?q=St%20Anne%20(SVdP)%202140%20Westheimer%20Rd%20Houston%20TX%2077098" TargetMode="External"/><Relationship Id="rId635"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634" Type="http://schemas.openxmlformats.org/officeDocument/2006/relationships/hyperlink" Target="https://fortbendfamilypromise.org/programs/" TargetMode="External"/><Relationship Id="rId633"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632" Type="http://schemas.openxmlformats.org/officeDocument/2006/relationships/hyperlink" Target="https://fortbendfamilypromise.org/programs/" TargetMode="External"/><Relationship Id="rId639" Type="http://schemas.openxmlformats.org/officeDocument/2006/relationships/hyperlink" Target="https://freewheelshouston.org/volunteers-repair-bikes/" TargetMode="External"/><Relationship Id="rId638" Type="http://schemas.openxmlformats.org/officeDocument/2006/relationships/hyperlink" Target="https://www.fbwc.org" TargetMode="External"/><Relationship Id="rId637"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636" Type="http://schemas.openxmlformats.org/officeDocument/2006/relationships/hyperlink" Target="https://fortbendfamilypromise.org/programs/" TargetMode="External"/><Relationship Id="rId1460" Type="http://schemas.openxmlformats.org/officeDocument/2006/relationships/hyperlink" Target="http://mobile.7067.comcastbiz.net/our-daily-bread.shtml" TargetMode="External"/><Relationship Id="rId1461" Type="http://schemas.openxmlformats.org/officeDocument/2006/relationships/hyperlink" Target="https://maps.google.com/?q=St%20Andrew%20(SVdP%20D5)%20Channelview%20827%20Sheldon%20Rd%20Channelview%20TX%2077530" TargetMode="External"/><Relationship Id="rId631"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1462" Type="http://schemas.openxmlformats.org/officeDocument/2006/relationships/hyperlink" Target="https://stamericigh.com/svdp" TargetMode="External"/><Relationship Id="rId630" Type="http://schemas.openxmlformats.org/officeDocument/2006/relationships/hyperlink" Target="https://fortbendfamilypromise.org/programs/" TargetMode="External"/><Relationship Id="rId1463" Type="http://schemas.openxmlformats.org/officeDocument/2006/relationships/hyperlink" Target="https://maps.google.com/?q=St%20Angela%20Merici%20(SVdP%20D2)%209909%20Sienna%20Ranch%20Rd%20Missouri%20City%20TX%2077459" TargetMode="External"/><Relationship Id="rId1464" Type="http://schemas.openxmlformats.org/officeDocument/2006/relationships/hyperlink" Target="https://stamericigh.com/svdp" TargetMode="External"/><Relationship Id="rId1465" Type="http://schemas.openxmlformats.org/officeDocument/2006/relationships/hyperlink" Target="https://maps.google.com/?q=St%20Angela%20Merici%20(SVdP%20D2)%209909%20Sienna%20Ranch%20Rd%20Missouri%20City%20TX%2077459" TargetMode="External"/><Relationship Id="rId1411" Type="http://schemas.openxmlformats.org/officeDocument/2006/relationships/hyperlink" Target="https://www.truecrosschurch.org/st-vincent-de-paul" TargetMode="External"/><Relationship Id="rId1895" Type="http://schemas.openxmlformats.org/officeDocument/2006/relationships/hyperlink" Target="https://www.wrksolutions.com/" TargetMode="External"/><Relationship Id="rId1412" Type="http://schemas.openxmlformats.org/officeDocument/2006/relationships/hyperlink" Target="https://maps.google.com/?q=Shrine%20of%20the%20True%20Cross%20(SVdP)%20Missouri%20City%20%20%20TX%20" TargetMode="External"/><Relationship Id="rId1896" Type="http://schemas.openxmlformats.org/officeDocument/2006/relationships/hyperlink" Target="https://ymcahouston.org/locations/ymca-international-services/programs" TargetMode="External"/><Relationship Id="rId1413" Type="http://schemas.openxmlformats.org/officeDocument/2006/relationships/hyperlink" Target="https://ssnc.org/about-small-steps/our-program/" TargetMode="External"/><Relationship Id="rId1897" Type="http://schemas.openxmlformats.org/officeDocument/2006/relationships/drawing" Target="../drawings/drawing2.xml"/><Relationship Id="rId1414" Type="http://schemas.openxmlformats.org/officeDocument/2006/relationships/hyperlink" Target="https://www.google.com/maps/place/Small+Steps+Nurturing+Center/@29.787857,-95.3441581,16z/data=!3m1!4b1!4m6!3m5!1s0x8640b9252b5acec3:0xbda8297edc60a00b!8m2!3d29.787857!4d-95.3415832!16s%2Fg%2F1v3h_c2r?entry=ttu&amp;g_ep=EgoyMDI1MDQwOS4wIKXMDSoASAFQAw%3D%3D" TargetMode="External"/><Relationship Id="rId1415" Type="http://schemas.openxmlformats.org/officeDocument/2006/relationships/hyperlink" Target="https://ssnc.org/about-small-steps/our-program/" TargetMode="External"/><Relationship Id="rId1416" Type="http://schemas.openxmlformats.org/officeDocument/2006/relationships/hyperlink" Target="https://www.google.com/maps/place/Small+Steps+Nurturing+Center+-+Gulfton/@29.7059031,-95.5063715,16z/data=!3m1!4b1!4m6!3m5!1s0x8640c3fb3d12fe23:0x8dfaa86fdd2a5c32!8m2!3d29.7059031!4d-95.5037966!16s%2Fg%2F11trtsn8hg?entry=ttu&amp;g_ep=EgoyMDI1MDQwOS4wIKXMDSoASAFQAw%3D%3D" TargetMode="External"/><Relationship Id="rId1417" Type="http://schemas.openxmlformats.org/officeDocument/2006/relationships/hyperlink" Target="https://kingwoodmethodist.org/community-support/" TargetMode="External"/><Relationship Id="rId1418" Type="http://schemas.openxmlformats.org/officeDocument/2006/relationships/hyperlink" Target="https://maps.google.com/?q=Society%20of%20St%20Stephen%202307%20Crystal%20Springs%20Dr%20Kingwood%20TX%2077339" TargetMode="External"/><Relationship Id="rId1419" Type="http://schemas.openxmlformats.org/officeDocument/2006/relationships/hyperlink" Target="https://kingwoodmethodist.org/community-support/" TargetMode="External"/><Relationship Id="rId1890" Type="http://schemas.openxmlformats.org/officeDocument/2006/relationships/hyperlink" Target="https://workfaith.org" TargetMode="External"/><Relationship Id="rId1891" Type="http://schemas.openxmlformats.org/officeDocument/2006/relationships/hyperlink" Target="https://www.google.com/maps/place/WorkFaith/@29.830246,-95.4952175,14z/data=!4m15!1m8!3m7!1s0x8640c6768bc2b35b:0xa5c1f41b935ff4e0!2sHouston,+TX+77092!3b1!8m2!3d29.8265052!4d-95.4672962!16s%2Fm%2F0212z4_!3m5!1s0x8640c6eb4530d1d1:0xcfc841a23242de3a!8m2!3d29.80739!4d-95.4546601!16s%2Fg%2F1tdwkw_p?entry=ttu&amp;g_ep=EgoyMDI1MDgxMy4wIKXMDSoASAFQAw%3D%3D" TargetMode="External"/><Relationship Id="rId1892" Type="http://schemas.openxmlformats.org/officeDocument/2006/relationships/hyperlink" Target="https://workfaith.org" TargetMode="External"/><Relationship Id="rId1893" Type="http://schemas.openxmlformats.org/officeDocument/2006/relationships/hyperlink" Target="https://www.google.com/maps/place/WorkFaith/@29.659502,-95.394155,18z/data=!4m6!3m5!1s0x8640bf792ee92aff:0xadb423e2e11c744b!8m2!3d29.6594974!4d-95.3928675!16s%2Fg%2F1txnpvkg?entry=ttu&amp;g_ep=EgoyMDI1MDgxMy4wIKXMDSoASAFQAw%3D%3D" TargetMode="External"/><Relationship Id="rId1410" Type="http://schemas.openxmlformats.org/officeDocument/2006/relationships/hyperlink" Target="https://maps.google.com/?q=Shrine%20of%20the%20True%20Cross%20(SVdP)%20Missouri%20City%20%20%20TX%20" TargetMode="External"/><Relationship Id="rId1894" Type="http://schemas.openxmlformats.org/officeDocument/2006/relationships/hyperlink" Target="https://www.wrksolutions.com/for-individuals/financial-aid/financial-assistance-for-child-care" TargetMode="External"/><Relationship Id="rId1400" Type="http://schemas.openxmlformats.org/officeDocument/2006/relationships/hyperlink" Target="https://www.google.com/maps/place/SERJobs/@29.7254776,-95.3272402,17z/data=!3m1!4b1!4m6!3m5!1s0x8640bdaded861397:0x6bd4fc532a2a61ba!8m2!3d29.7254776!4d-95.3246599!16s%2Fg%2F1tfl0l98?entry=ttu&amp;g_ep=EgoyMDI1MDYyNi4wIKXMDSoASAFQAw%3D%3D" TargetMode="External"/><Relationship Id="rId1884" Type="http://schemas.openxmlformats.org/officeDocument/2006/relationships/hyperlink" Target="https://www.kingdombuilders.com/missions/" TargetMode="External"/><Relationship Id="rId1401" Type="http://schemas.openxmlformats.org/officeDocument/2006/relationships/hyperlink" Target="https://publichealth.harriscountytx.gov/Divisions-Offices/Divisions/Community-Health-Wellness-Division/Health-Services" TargetMode="External"/><Relationship Id="rId1885" Type="http://schemas.openxmlformats.org/officeDocument/2006/relationships/hyperlink" Target="https://maps.google.com/?q=Windsor%20Village%20Social%20Services%2012041%201%2F2%20Post%20Oak%20Rd%20Houston%20TX%2077045" TargetMode="External"/><Relationship Id="rId1402" Type="http://schemas.openxmlformats.org/officeDocument/2006/relationships/hyperlink" Target="https://www.google.com/maps/place/Sheldon+Health+Hub/@29.8484311,-95.2163474,17z/data=!3m1!4b1!4m6!3m5!1s0x8640a5006bf10a5f:0x25d8b2446202eb3b!8m2!3d29.8484312!4d-95.2114711!16s%2Fg%2F11xtkk2zg_?entry=ttu&amp;g_ep=EgoyMDI2MDEyNi4wIKXMDSoKLDEwMDc5MjA2OUgBUAM%3D" TargetMode="External"/><Relationship Id="rId1886" Type="http://schemas.openxmlformats.org/officeDocument/2006/relationships/hyperlink" Target="https://www.kingdombuilders.com/missions/" TargetMode="External"/><Relationship Id="rId1403" Type="http://schemas.openxmlformats.org/officeDocument/2006/relationships/hyperlink" Target="https://publichealth.harriscountytx.gov/Divisions-Offices/Divisions/Community-Health-Wellness-Division/Behavioral-Health-Services" TargetMode="External"/><Relationship Id="rId1887" Type="http://schemas.openxmlformats.org/officeDocument/2006/relationships/hyperlink" Target="https://maps.google.com/?q=Windsor%20Village%20Social%20Services%2012041%201%2F2%20Post%20Oak%20Rd%20Houston%20TX%2077045" TargetMode="External"/><Relationship Id="rId1404" Type="http://schemas.openxmlformats.org/officeDocument/2006/relationships/hyperlink" Target="https://www.google.com/maps/place/Sheldon+Health+Hub/@29.8484311,-95.2163474,17z/data=!3m1!4b1!4m6!3m5!1s0x8640a5006bf10a5f:0x25d8b2446202eb3b!8m2!3d29.8484312!4d-95.2114711!16s%2Fg%2F11xtkk2zg_?entry=ttu&amp;g_ep=EgoyMDI2MDEyNi4wIKXMDSoKLDEwMDc5MjA2OUgBUAM%3D" TargetMode="External"/><Relationship Id="rId1888" Type="http://schemas.openxmlformats.org/officeDocument/2006/relationships/hyperlink" Target="https://www.kingdombuilders.com/missions/" TargetMode="External"/><Relationship Id="rId1405" Type="http://schemas.openxmlformats.org/officeDocument/2006/relationships/hyperlink" Target="https://publichealth.harriscountytx.gov/Divisions-Offices/Divisions/Community-Health-Wellness-Division/Refugee-Health-Services" TargetMode="External"/><Relationship Id="rId1889" Type="http://schemas.openxmlformats.org/officeDocument/2006/relationships/hyperlink" Target="https://maps.google.com/?q=Windsor%20Village%20Social%20Services%2012041%201%2F2%20Post%20Oak%20Rd%20Houston%20TX%2077045" TargetMode="External"/><Relationship Id="rId1406" Type="http://schemas.openxmlformats.org/officeDocument/2006/relationships/hyperlink" Target="https://www.google.com/maps/place/Sheldon+Health+Hub/@29.8484311,-95.2163474,17z/data=!3m1!4b1!4m6!3m5!1s0x8640a5006bf10a5f:0x25d8b2446202eb3b!8m2!3d29.8484312!4d-95.2114711!16s%2Fg%2F11xtkk2zg_?entry=ttu&amp;g_ep=EgoyMDI2MDEyNi4wIKXMDSoKLDEwMDc5MjA2OUgBUAM%3D" TargetMode="External"/><Relationship Id="rId1407" Type="http://schemas.openxmlformats.org/officeDocument/2006/relationships/hyperlink" Target="https://www.truecrosschurch.org/st-vincent-de-paul" TargetMode="External"/><Relationship Id="rId1408" Type="http://schemas.openxmlformats.org/officeDocument/2006/relationships/hyperlink" Target="https://maps.google.com/?q=Shrine%20of%20the%20True%20Cross%20(SVdP)%20Missouri%20City%20%20%20TX%20" TargetMode="External"/><Relationship Id="rId1409" Type="http://schemas.openxmlformats.org/officeDocument/2006/relationships/hyperlink" Target="https://www.truecrosschurch.org/st-vincent-de-paul" TargetMode="External"/><Relationship Id="rId1880" Type="http://schemas.openxmlformats.org/officeDocument/2006/relationships/hyperlink" Target="https://wheelerbc.org/matthew-25-info" TargetMode="External"/><Relationship Id="rId1881" Type="http://schemas.openxmlformats.org/officeDocument/2006/relationships/hyperlink" Target="https://maps.google.com/?q=Wheeler%20Avenue%20Baptist%20Church%203826%20Wheeler%20Ave%20Houston%20TX%2077004" TargetMode="External"/><Relationship Id="rId1882" Type="http://schemas.openxmlformats.org/officeDocument/2006/relationships/hyperlink" Target="https://wheelerbc.org/matthew-25-info" TargetMode="External"/><Relationship Id="rId1883" Type="http://schemas.openxmlformats.org/officeDocument/2006/relationships/hyperlink" Target="https://maps.google.com/?q=Wheeler%20Avenue%20Baptist%20Church%203826%20Wheeler%20Ave%20Houston%20TX%2077004" TargetMode="External"/><Relationship Id="rId1433"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1434" Type="http://schemas.openxmlformats.org/officeDocument/2006/relationships/hyperlink" Target="https://publichealth.harriscountytx.gov/Divisions-Offices/Divisions/Community-Health-Wellness-Division/Dental-Health-Prevention/Dental-Clinics" TargetMode="External"/><Relationship Id="rId1435"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1436" Type="http://schemas.openxmlformats.org/officeDocument/2006/relationships/hyperlink" Target="https://publichealth.harriscountytx.gov/Divisions-Offices/Divisions/Community-Health-Wellness-Division/Behavioral-Health-Services" TargetMode="External"/><Relationship Id="rId1437"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1438" Type="http://schemas.openxmlformats.org/officeDocument/2006/relationships/hyperlink" Target="https://publichealth.harriscountytx.gov/Divisions-Offices/Divisions/Community-Health-Wellness-Division/Refugee-Health-Services" TargetMode="External"/><Relationship Id="rId1439"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609"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608" Type="http://schemas.openxmlformats.org/officeDocument/2006/relationships/hyperlink" Target="https://www.fortbendcountytx.gov/government/departments/social-services/services/food-assistance" TargetMode="External"/><Relationship Id="rId607"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602" Type="http://schemas.openxmlformats.org/officeDocument/2006/relationships/hyperlink" Target="https://www.fortbendcountytx.gov/government/departments/social-services/services/rent-mortgage-assistance" TargetMode="External"/><Relationship Id="rId601"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600" Type="http://schemas.openxmlformats.org/officeDocument/2006/relationships/hyperlink" Target="https://www.fortbendcountytx.gov/government/departments/social-services/services/rent-mortgage-assistance" TargetMode="External"/><Relationship Id="rId606" Type="http://schemas.openxmlformats.org/officeDocument/2006/relationships/hyperlink" Target="https://www.fortbendcountytx.gov/government/departments/social-services/services/utility-assistance" TargetMode="External"/><Relationship Id="rId605"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604" Type="http://schemas.openxmlformats.org/officeDocument/2006/relationships/hyperlink" Target="https://www.fortbendcountytx.gov/government/departments/social-services/services/utility-assistance" TargetMode="External"/><Relationship Id="rId603"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1430" Type="http://schemas.openxmlformats.org/officeDocument/2006/relationships/hyperlink" Target="https://southeastareaministries.com/houston-assistance-ministries/" TargetMode="External"/><Relationship Id="rId1431" Type="http://schemas.openxmlformats.org/officeDocument/2006/relationships/hyperlink" Target="https://maps.google.com/?q=Southeast%20Area%20Ministries%202102%20Houston%20Blvd%20South%20Houston%20TX%2077587" TargetMode="External"/><Relationship Id="rId1432" Type="http://schemas.openxmlformats.org/officeDocument/2006/relationships/hyperlink" Target="https://publichealth.harriscountytx.gov/Divisions-Offices/Divisions/Community-Health-Wellness-Division/Dental-Health-Prevention/Dental-Clinics" TargetMode="External"/><Relationship Id="rId1422" Type="http://schemas.openxmlformats.org/officeDocument/2006/relationships/hyperlink" Target="https://maps.google.com/?q=Society%20of%20St%20Stephen%202307%20Crystal%20Springs%20Dr%20Kingwood%20TX%2077339" TargetMode="External"/><Relationship Id="rId1423" Type="http://schemas.openxmlformats.org/officeDocument/2006/relationships/hyperlink" Target="https://kingwoodmethodist.org/community-support/" TargetMode="External"/><Relationship Id="rId1424" Type="http://schemas.openxmlformats.org/officeDocument/2006/relationships/hyperlink" Target="https://maps.google.com/?q=Society%20of%20St%20Stephen%202307%20Crystal%20Springs%20Dr%20Kingwood%20TX%2077339" TargetMode="External"/><Relationship Id="rId1425" Type="http://schemas.openxmlformats.org/officeDocument/2006/relationships/hyperlink" Target="https://kingwoodmethodist.org/community-support/" TargetMode="External"/><Relationship Id="rId1426" Type="http://schemas.openxmlformats.org/officeDocument/2006/relationships/hyperlink" Target="https://maps.google.com/?q=Society%20of%20St%20Stephen%202307%20Crystal%20Springs%20Dr%20Kingwood%20TX%2077339" TargetMode="External"/><Relationship Id="rId1427" Type="http://schemas.openxmlformats.org/officeDocument/2006/relationships/hyperlink" Target="https://www.stcl.edu/academics/legal-clinics/request-legal-assistance/" TargetMode="External"/><Relationship Id="rId1428" Type="http://schemas.openxmlformats.org/officeDocument/2006/relationships/hyperlink" Target="https://southeastareaministries.com/houston-assistance-ministries/" TargetMode="External"/><Relationship Id="rId1429" Type="http://schemas.openxmlformats.org/officeDocument/2006/relationships/hyperlink" Target="https://maps.google.com/?q=Southeast%20Area%20Ministries%202102%20Houston%20Blvd%20South%20Houston%20TX%2077587" TargetMode="External"/><Relationship Id="rId1420" Type="http://schemas.openxmlformats.org/officeDocument/2006/relationships/hyperlink" Target="https://maps.google.com/?q=Society%20of%20St%20Stephen%202307%20Crystal%20Springs%20Dr%20Kingwood%20TX%2077339" TargetMode="External"/><Relationship Id="rId1421" Type="http://schemas.openxmlformats.org/officeDocument/2006/relationships/hyperlink" Target="https://kingwoodmethodist.org/community-support/" TargetMode="External"/><Relationship Id="rId1059" Type="http://schemas.openxmlformats.org/officeDocument/2006/relationships/hyperlink" Target="https://www.legacycommunityhealth.org" TargetMode="External"/><Relationship Id="rId228" Type="http://schemas.openxmlformats.org/officeDocument/2006/relationships/hyperlink" Target="https://www.google.com/maps/place/1000+Lee+Dr,+Baytown,+TX+77520/@29.7265884,-94.9828089,17z/data=!4m15!1m8!3m7!1s0x863f5e7638779e7b:0xefc888dfd7a142ac!2s1000+Lee+Dr,+Baytown,+TX+77520!3b1!8m2!3d29.7265885!4d-94.9779326!16s%2Fg%2F11bw3y03hz!3m5!1s0x863f5e7638779e7b:0xefc888dfd7a142ac!8m2!3d29.7265885!4d-94.9779326!16s%2Fg%2F11bw3y03hz?entry=ttu&amp;g_ep=EgoyMDI2MDEyNS4wIKXMDSoKLDEwMDc5MjA2OUgBUAM%3D" TargetMode="External"/><Relationship Id="rId227" Type="http://schemas.openxmlformats.org/officeDocument/2006/relationships/hyperlink" Target="https://publichealth.harriscountytx.gov/Divisions-Offices/Divisions/Community-Health-Wellness-Division/Dental-Health-Prevention/Dental-Clinics" TargetMode="External"/><Relationship Id="rId226" Type="http://schemas.openxmlformats.org/officeDocument/2006/relationships/hyperlink" Target="https://www.google.com/maps/search/baylor+teen+health+clinic/@29.7350036,-95.4772327,13z/data=!3m1!4b1?entry=ttu&amp;g_ep=EgoyMDI0MTIxMS4wIKXMDSoASAFQAw%3D%3D" TargetMode="External"/><Relationship Id="rId225" Type="http://schemas.openxmlformats.org/officeDocument/2006/relationships/hyperlink" Target="https://www.bcm.edu/community/healthcare-outreach/teen-health-clinic" TargetMode="External"/><Relationship Id="rId229" Type="http://schemas.openxmlformats.org/officeDocument/2006/relationships/hyperlink" Target="https://beanangel.org/how-we-help/" TargetMode="External"/><Relationship Id="rId1050" Type="http://schemas.openxmlformats.org/officeDocument/2006/relationships/hyperlink" Target="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 TargetMode="External"/><Relationship Id="rId220" Type="http://schemas.openxmlformats.org/officeDocument/2006/relationships/hyperlink" Target="https://www.houstontx.gov/barc/wellnesscenter.html" TargetMode="External"/><Relationship Id="rId1051" Type="http://schemas.openxmlformats.org/officeDocument/2006/relationships/hyperlink" Target="https://www.legacycommunityhealth.org" TargetMode="External"/><Relationship Id="rId1052" Type="http://schemas.openxmlformats.org/officeDocument/2006/relationships/hyperlink" Target="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 TargetMode="External"/><Relationship Id="rId1053" Type="http://schemas.openxmlformats.org/officeDocument/2006/relationships/hyperlink" Target="https://www.legacycommunityhealth.org" TargetMode="External"/><Relationship Id="rId1054" Type="http://schemas.openxmlformats.org/officeDocument/2006/relationships/hyperlink" Target="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 TargetMode="External"/><Relationship Id="rId224" Type="http://schemas.openxmlformats.org/officeDocument/2006/relationships/hyperlink" Target="https://www.bayareaturningpoint.org/what-we-do/" TargetMode="External"/><Relationship Id="rId1055" Type="http://schemas.openxmlformats.org/officeDocument/2006/relationships/hyperlink" Target="https://www.legacycommunityhealth.org" TargetMode="External"/><Relationship Id="rId223" Type="http://schemas.openxmlformats.org/officeDocument/2006/relationships/hyperlink" Target="https://www.google.com/maps/place/Bay+Area+Homeless+Services/@29.7294028,-95.0109756,17z/data=!3m1!4b1!4m6!3m5!1s0x863f5e500370e147:0x76860ff198a252a8!8m2!3d29.7293982!4d-95.0084007!16s%2Fg%2F1thx4fbd?entry=ttu&amp;g_ep=EgoyMDI1MTAwOC4wIKXMDSoASAFQAw%3D%3D" TargetMode="External"/><Relationship Id="rId1056" Type="http://schemas.openxmlformats.org/officeDocument/2006/relationships/hyperlink" Target="https://www.google.com/maps/place/Legacy+Community+Health+-+Northline/@29.848071,-95.393357,15z/data=!4m6!3m5!1s0x8640b809e0f6b0ed:0xf7f613c774793379!8m2!3d29.8480506!4d-95.3935508!16s%2Fg%2F11f4qlpxm6?hl=en&amp;entry=ttu&amp;g_ep=EgoyMDI1MTAxNC4wIKXMDSoASAFQAw%3D%3D" TargetMode="External"/><Relationship Id="rId222" Type="http://schemas.openxmlformats.org/officeDocument/2006/relationships/hyperlink" Target="https://bahs-shelter.org" TargetMode="External"/><Relationship Id="rId1057" Type="http://schemas.openxmlformats.org/officeDocument/2006/relationships/hyperlink" Target="https://www.legacycommunityhealth.org" TargetMode="External"/><Relationship Id="rId221" Type="http://schemas.openxmlformats.org/officeDocument/2006/relationships/hyperlink" Target="https://www.google.com/maps/place/BARC+Adoption+Center/@29.7920619,-95.3472829,16z/data=!4m15!1m8!3m7!1s0x8640b9239b0f7fe7:0x59d2b7e00f2f5e59!2s3300+Carr+St,+Houston,+TX+77026!3b1!8m2!3d29.7920573!4d-95.344708!16s%2Fg%2F11c5jmk8gg!3m5!1s0x8640b9238e2ab50f:0x63f064148ef9dc9c!8m2!3d29.7920573!4d-95.344708!16s%2Fg%2F11fnnnmmgx?entry=ttu&amp;g_ep=EgoyMDI1MDkyMi4wIKXMDSoASAFQAw%3D%3D" TargetMode="External"/><Relationship Id="rId1058" Type="http://schemas.openxmlformats.org/officeDocument/2006/relationships/hyperlink" Target="https://www.google.com/maps/place/Legacy+Community+Health+-+Northline/@29.848071,-95.393357,15z/data=!4m6!3m5!1s0x8640b809e0f6b0ed:0xf7f613c774793379!8m2!3d29.8480506!4d-95.3935508!16s%2Fg%2F11f4qlpxm6?hl=en&amp;entry=ttu&amp;g_ep=EgoyMDI1MTAxNC4wIKXMDSoASAFQAw%3D%3D" TargetMode="External"/><Relationship Id="rId1048" Type="http://schemas.openxmlformats.org/officeDocument/2006/relationships/hyperlink" Target="https://www.google.com/maps/place/Legacy+Community+Health+-+Missouri+City/@29.582179,-95.525044,16z/data=!4m15!1m8!3m7!1s0x8640e8d357c5ee9f:0xc1ce0f701f4cee35!2s3021+Texas+Pkwy,+Missouri+City,+TX+77489!3b1!8m2!3d29.5821788!4d-95.5250441!16s%2Fg%2F11s7phw6zw!3m5!1s0x8640e9106ff9abc9:0x9f496310fe4abe37!8m2!3d29.581806!4d-95.524787!16s%2Fg%2F11x_m3bzxk?hl=en&amp;entry=ttu&amp;g_ep=EgoyMDI1MTAxNC4wIKXMDSoASAFQAw%3D%3D" TargetMode="External"/><Relationship Id="rId1049" Type="http://schemas.openxmlformats.org/officeDocument/2006/relationships/hyperlink" Target="https://www.legacycommunityhealth.org" TargetMode="External"/><Relationship Id="rId217" Type="http://schemas.openxmlformats.org/officeDocument/2006/relationships/hyperlink" Target="https://www.google.com/maps/place/Manna+House/@29.7209358,-95.3687566,17z/data=!3m1!4b1!4m6!3m5!1s0x8640bfa420ee30cf:0xccef13e174be7a2!8m2!3d29.7209358!4d-95.3661817!16s%2Fg%2F1tqty7xv?entry=ttu&amp;g_ep=EgoyMDI0MTIwOS4wIKXMDSoASAFQAw%3D%3D" TargetMode="External"/><Relationship Id="rId216" Type="http://schemas.openxmlformats.org/officeDocument/2006/relationships/hyperlink" Target="https://www.bammel.org/mannapantry" TargetMode="External"/><Relationship Id="rId215" Type="http://schemas.openxmlformats.org/officeDocument/2006/relationships/hyperlink" Target="https://www.google.com/maps/place/BakerRipley+Ripley+House/@29.7518456,-95.3316692,16z/data=!3m1!4b1!4m6!3m5!1s0x8640bebfd5d96797:0x994dbc38517e129a!8m2!3d29.751841!4d-95.3290943!16s%2Fg%2F1vyn478z?entry=ttu&amp;g_ep=EgoyMDI1MDgwNi4wIKXMDSoASAFQAw%3D%3D" TargetMode="External"/><Relationship Id="rId699" Type="http://schemas.openxmlformats.org/officeDocument/2006/relationships/hyperlink" Target="https://www.theharriscenter.org/about" TargetMode="External"/><Relationship Id="rId214" Type="http://schemas.openxmlformats.org/officeDocument/2006/relationships/hyperlink" Target="https://bakerripley.org/locations/ripley-house/" TargetMode="External"/><Relationship Id="rId698" Type="http://schemas.openxmlformats.org/officeDocument/2006/relationships/hyperlink" Target="https://www.google.com/maps/place/The+Harris+Center+Southeast+Community+Service+Center/@29.6945454,-95.3270697,17z/data=!3m1!4b1!4m6!3m5!1s0x8640be109416bfe5:0xd01a055af2fa4534!8m2!3d29.6945454!4d-95.3244948!16s%2Fg%2F1td6gw8p?entry=ttu&amp;g_ep=EgoyMDI1MTAxNC4wIKXMDSoASAFQAw%3D%3D" TargetMode="External"/><Relationship Id="rId219" Type="http://schemas.openxmlformats.org/officeDocument/2006/relationships/hyperlink" Target="https://www.google.com/maps/place/Manna+House/@29.7209358,-95.3687566,17z/data=!3m1!4b1!4m6!3m5!1s0x8640bfa420ee30cf:0xccef13e174be7a2!8m2!3d29.7209358!4d-95.3661817!16s%2Fg%2F1tqty7xv?entry=ttu&amp;g_ep=EgoyMDI0MTIwOS4wIKXMDSoASAFQAw%3D%3D" TargetMode="External"/><Relationship Id="rId218" Type="http://schemas.openxmlformats.org/officeDocument/2006/relationships/hyperlink" Target="https://www.bammel.org/mannapantry" TargetMode="External"/><Relationship Id="rId693" Type="http://schemas.openxmlformats.org/officeDocument/2006/relationships/hyperlink" Target="https://www.theharriscenter.org/about" TargetMode="External"/><Relationship Id="rId1040" Type="http://schemas.openxmlformats.org/officeDocument/2006/relationships/hyperlink" Target="https://www.google.com/maps/place/Legacy+Galena+Park+Dental+Clinic+at+Almatha+Clark+Taylor+Clinic/@29.775996,-95.176222,15z/data=!4m15!1m8!3m7!1s0x8640a38669a0dafd:0x4f22e38d37775ed5!2s13940+Bonham+St,+Houston,+TX+77015!3b1!8m2!3d29.7759964!4d-95.1762219!16s%2Fg%2F11bw3ysfpb!3m5!1s0x8640a39be342dc43:0xe6891a57f4ec7402!8m2!3d29.7760042!4d-95.1762259!16s%2Fg%2F11l6tjrwxw?hl=en&amp;entry=ttu&amp;g_ep=EgoyMDI1MTAxNC4wIKXMDSoASAFQAw%3D%3D" TargetMode="External"/><Relationship Id="rId692" Type="http://schemas.openxmlformats.org/officeDocument/2006/relationships/hyperlink" Target="https://www.google.com/maps/@29.6949202,-95.3224941,16z?entry=ttu&amp;g_ep=EgoyMDI1MTAxNC4wIKXMDSoASAFQAw%3D%3D" TargetMode="External"/><Relationship Id="rId1041" Type="http://schemas.openxmlformats.org/officeDocument/2006/relationships/hyperlink" Target="https://www.legacycommunityhealth.org" TargetMode="External"/><Relationship Id="rId691" Type="http://schemas.openxmlformats.org/officeDocument/2006/relationships/hyperlink" Target="https://www.theharriscenter.org/about" TargetMode="External"/><Relationship Id="rId1042" Type="http://schemas.openxmlformats.org/officeDocument/2006/relationships/hyperlink" Target="https://www.google.com/maps/place/Legacy+Community+Health+-+Gulfton+Dashwood/@29.7079481,-95.4799541,16z/data=!3m2!4b1!5s0x8640c188ffd40d4b:0xb1250d9b80f5591f!4m6!3m5!1s0x8640c11894eee1e1:0x93b35dfd7c425b41!8m2!3d29.7079482!4d-95.4750778!16s%2Fg%2F11k3ry7gdf?entry=ttu&amp;g_ep=EgoyMDI1MTAxNC4wIKXMDSoASAFQAw%3D%3D" TargetMode="External"/><Relationship Id="rId690" Type="http://schemas.openxmlformats.org/officeDocument/2006/relationships/hyperlink" Target="https://www.google.com/maps/place/The+Harris+Center+Northwest+Community+Service+Center/@29.8089168,-95.4491291,16z/data=!3m2!4b1!5s0x8640c6f0a10ccaff:0x537c78a642ebb276!4m6!3m5!1s0x8640c6f0a1a6082d:0x85c3ba979fd4f86!8m2!3d29.8089168!4d-95.4465542!16s%2Fg%2F1vyswxyj?entry=ttu&amp;g_ep=EgoyMDI1MTAxNC4wIKXMDSoASAFQAw%3D%3D" TargetMode="External"/><Relationship Id="rId1043" Type="http://schemas.openxmlformats.org/officeDocument/2006/relationships/hyperlink" Target="https://www.legacycommunityhealth.org" TargetMode="External"/><Relationship Id="rId213" Type="http://schemas.openxmlformats.org/officeDocument/2006/relationships/hyperlink" Target="https://www.google.com/maps/place/BakerRipley+Ripley+House/@29.7518456,-95.3316692,16z/data=!3m1!4b1!4m6!3m5!1s0x8640bebfd5d96797:0x994dbc38517e129a!8m2!3d29.751841!4d-95.3290943!16s%2Fg%2F1vyn478z?entry=ttu&amp;g_ep=EgoyMDI1MDgwNi4wIKXMDSoASAFQAw%3D%3D" TargetMode="External"/><Relationship Id="rId697" Type="http://schemas.openxmlformats.org/officeDocument/2006/relationships/hyperlink" Target="https://www.theharriscenter.org/about" TargetMode="External"/><Relationship Id="rId1044" Type="http://schemas.openxmlformats.org/officeDocument/2006/relationships/hyperlink" Target="https://www.google.com/maps/place/Legacy+Community+Health+-+Gulfton+Dashwood/@29.7079481,-95.4799541,16z/data=!3m2!4b1!5s0x8640c188ffd40d4b:0xb1250d9b80f5591f!4m6!3m5!1s0x8640c11894eee1e1:0x93b35dfd7c425b41!8m2!3d29.7079482!4d-95.4750778!16s%2Fg%2F11k3ry7gdf?entry=ttu&amp;g_ep=EgoyMDI1MTAxNC4wIKXMDSoASAFQAw%3D%3D" TargetMode="External"/><Relationship Id="rId212" Type="http://schemas.openxmlformats.org/officeDocument/2006/relationships/hyperlink" Target="https://bakerripley.org/programs-and-services/tax-assistance/" TargetMode="External"/><Relationship Id="rId696" Type="http://schemas.openxmlformats.org/officeDocument/2006/relationships/hyperlink" Target="https://www.google.com/maps/place/The+Harris+Center+Southeast+Community+Service+Center/@29.6945454,-95.3270697,17z/data=!3m1!4b1!4m6!3m5!1s0x8640be109416bfe5:0xd01a055af2fa4534!8m2!3d29.6945454!4d-95.3244948!16s%2Fg%2F1td6gw8p?entry=ttu&amp;g_ep=EgoyMDI1MTAxNC4wIKXMDSoASAFQAw%3D%3D" TargetMode="External"/><Relationship Id="rId1045" Type="http://schemas.openxmlformats.org/officeDocument/2006/relationships/hyperlink" Target="https://www.legacycommunityhealth.org" TargetMode="External"/><Relationship Id="rId211" Type="http://schemas.openxmlformats.org/officeDocument/2006/relationships/hyperlink" Target="https://www.google.com/maps/place/BakerRipley+Ripley+House/@29.7518456,-95.3316692,16z/data=!3m1!4b1!4m6!3m5!1s0x8640bebfd5d96797:0x994dbc38517e129a!8m2!3d29.751841!4d-95.3290943!16s%2Fg%2F1vyn478z?entry=ttu&amp;g_ep=EgoyMDI1MDgwNi4wIKXMDSoASAFQAw%3D%3D" TargetMode="External"/><Relationship Id="rId695" Type="http://schemas.openxmlformats.org/officeDocument/2006/relationships/hyperlink" Target="https://www.theharriscenter.org/about" TargetMode="External"/><Relationship Id="rId1046" Type="http://schemas.openxmlformats.org/officeDocument/2006/relationships/hyperlink" Target="https://www.google.com/maps/place/Legacy+Community+Health+-+Missouri+City/@29.582179,-95.525044,16z/data=!4m15!1m8!3m7!1s0x8640e8d357c5ee9f:0xc1ce0f701f4cee35!2s3021+Texas+Pkwy,+Missouri+City,+TX+77489!3b1!8m2!3d29.5821788!4d-95.5250441!16s%2Fg%2F11s7phw6zw!3m5!1s0x8640e9106ff9abc9:0x9f496310fe4abe37!8m2!3d29.581806!4d-95.524787!16s%2Fg%2F11x_m3bzxk?hl=en&amp;entry=ttu&amp;g_ep=EgoyMDI1MTAxNC4wIKXMDSoASAFQAw%3D%3D" TargetMode="External"/><Relationship Id="rId210" Type="http://schemas.openxmlformats.org/officeDocument/2006/relationships/hyperlink" Target="https://bakerripley.org/programs-and-services/immigration-and-citizenship-services/" TargetMode="External"/><Relationship Id="rId694" Type="http://schemas.openxmlformats.org/officeDocument/2006/relationships/hyperlink" Target="https://www.google.com/maps/place/The+Harris+Center+Southeast+Community+Service+Center/@29.6945454,-95.3270697,17z/data=!3m1!4b1!4m6!3m5!1s0x8640be109416bfe5:0xd01a055af2fa4534!8m2!3d29.6945454!4d-95.3244948!16s%2Fg%2F1td6gw8p?entry=ttu&amp;g_ep=EgoyMDI1MTAxNC4wIKXMDSoASAFQAw%3D%3D" TargetMode="External"/><Relationship Id="rId1047" Type="http://schemas.openxmlformats.org/officeDocument/2006/relationships/hyperlink" Target="https://www.legacycommunityhealth.org" TargetMode="External"/><Relationship Id="rId249" Type="http://schemas.openxmlformats.org/officeDocument/2006/relationships/hyperlink" Target="https://bezosacademy.org/schools/houston-north-shore-tx/" TargetMode="External"/><Relationship Id="rId248" Type="http://schemas.openxmlformats.org/officeDocument/2006/relationships/hyperlink" Target="https://www.google.com/maps/place/Bezos+Academy+Houston+-+Magnolia+Park/@29.734426,-95.2932709,17z/data=!3m1!4b1!4m6!3m5!1s0x8640bd0a1e9c7623:0xf334a3ae7443db1e!8m2!3d29.7344214!4d-95.2906906!16s%2Fg%2F11kpd0gr3w?entry=ttu&amp;g_ep=EgoyMDI1MDYwNC4wIKXMDSoASAFQAw%3D%3D" TargetMode="External"/><Relationship Id="rId247" Type="http://schemas.openxmlformats.org/officeDocument/2006/relationships/hyperlink" Target="https://bezosacademy.org/schools/houston-magnolia-park-tx/" TargetMode="External"/><Relationship Id="rId1070" Type="http://schemas.openxmlformats.org/officeDocument/2006/relationships/hyperlink" Target="https://www.google.com/maps/place/Legacy+Community+Health+-+Santa+Clara/@29.726118,-95.316704,15z/data=!4m15!1m8!3m7!1s0x8640be7dcd183349:0x340b8b9134115064!2s5616+Lawndale+St,+Houston,+TX+77023!3b1!8m2!3d29.7261181!4d-95.3167038!16s%2Fg%2F11bw3zc99_!3m5!1s0x8640be7db67531d1:0xadaece6aa33f701a!8m2!3d29.7261181!4d-95.3169372!16s%2Fg%2F11bv2p83z0?hl=en&amp;entry=ttu&amp;g_ep=EgoyMDI1MTAxNC4wIKXMDSoASAFQAw%3D%3D" TargetMode="External"/><Relationship Id="rId1071" Type="http://schemas.openxmlformats.org/officeDocument/2006/relationships/hyperlink" Target="https://www.legacycommunityhealth.org" TargetMode="External"/><Relationship Id="rId1072" Type="http://schemas.openxmlformats.org/officeDocument/2006/relationships/hyperlink" Target="https://www.google.com/maps/place/6441+High+Star+Dr,+Houston,+TX+77074/@29.710416,-95.495616,16z/data=!4m6!3m5!1s0x8640c2377b0477d9:0xe243bb94ad97913c!8m2!3d29.7104159!4d-95.4956161!16s%2Fg%2F11fs6hvxbs?hl=en&amp;entry=ttu&amp;g_ep=EgoyMDI1MTAxNC4wIKXMDSoASAFQAw%3D%3D" TargetMode="External"/><Relationship Id="rId242" Type="http://schemas.openxmlformats.org/officeDocument/2006/relationships/hyperlink" Target="https://maps.google.com/?q=Bethel%20Heavenly%20Hands%2012660%20Sandpiper%20Dr%20Houston%20TX%2077035" TargetMode="External"/><Relationship Id="rId1073" Type="http://schemas.openxmlformats.org/officeDocument/2006/relationships/hyperlink" Target="https://www.legacycommunityhealth.org" TargetMode="External"/><Relationship Id="rId241" Type="http://schemas.openxmlformats.org/officeDocument/2006/relationships/hyperlink" Target="https://www.bethelsheavenlyhands.org/" TargetMode="External"/><Relationship Id="rId1074" Type="http://schemas.openxmlformats.org/officeDocument/2006/relationships/hyperlink" Target="https://www.google.com/maps/place/Legacy+Community+Health+-+Stafford+Fountains/@29.641479,-95.585778,16z/data=!4m15!1m8!3m7!1s0x8640e7b923928035:0x7f5e233133f37076!2s12540+Sugardale+Dr,+Stafford,+TX+77477!3b1!8m2!3d29.6414787!4d-95.5857776!16s%2Fg%2F11bw3hr1gq!3m5!1s0x8640e74ec1c4a667:0x34b9f2fff95a7763!8m2!3d29.6414763!4d-95.585811!16s%2Fg%2F11smzsdxyr?hl=en&amp;entry=ttu&amp;g_ep=EgoyMDI1MTAxNC4wIKXMDSoASAFQAw%3D%3D" TargetMode="External"/><Relationship Id="rId240" Type="http://schemas.openxmlformats.org/officeDocument/2006/relationships/hyperlink" Target="https://www.google.com/maps/place/Bee+Busy+Wellness+Center/@29.6551599,-95.535136,17z/data=!3m1!4b1!4m6!3m5!1s0x8640e839f37ef8db:0x4926b02a82126fa!8m2!3d29.6551553!4d-95.5302597!16s%2Fg%2F11bwn5gt5t?entry=ttu&amp;g_ep=EgoyMDI1MDUwNy4wIKXMDSoASAFQAw%3D%3D" TargetMode="External"/><Relationship Id="rId1075" Type="http://schemas.openxmlformats.org/officeDocument/2006/relationships/hyperlink" Target="https://www.legacycommunityhealth.org" TargetMode="External"/><Relationship Id="rId1076" Type="http://schemas.openxmlformats.org/officeDocument/2006/relationships/hyperlink" Target="https://www.google.com/maps/place/Legacy+Community+Health+-+Stafford+Fountains/@29.641479,-95.585778,16z/data=!4m15!1m8!3m7!1s0x8640e7b923928035:0x7f5e233133f37076!2s12540+Sugardale+Dr,+Stafford,+TX+77477!3b1!8m2!3d29.6414787!4d-95.5857776!16s%2Fg%2F11bw3hr1gq!3m5!1s0x8640e74ec1c4a667:0x34b9f2fff95a7763!8m2!3d29.6414763!4d-95.585811!16s%2Fg%2F11smzsdxyr?hl=en&amp;entry=ttu&amp;g_ep=EgoyMDI1MTAxNC4wIKXMDSoASAFQAw%3D%3D" TargetMode="External"/><Relationship Id="rId246" Type="http://schemas.openxmlformats.org/officeDocument/2006/relationships/hyperlink" Target="https://www.google.com/maps/place/Bezos+Academy+Houston+-+Denver+Harbor/@29.7720759,-95.307358,17z/data=!3m1!4b1!4m6!3m5!1s0x8640bdc4fd0ad2c5:0x535fb4d7020ebfeb!8m2!3d29.7720713!4d-95.3047777!16s%2Fg%2F11scvtk94z?entry=ttu&amp;g_ep=EgoyMDI1MDYwNC4wIKXMDSoASAFQAw%3D%3D" TargetMode="External"/><Relationship Id="rId1077" Type="http://schemas.openxmlformats.org/officeDocument/2006/relationships/hyperlink" Target="https://www.legacycommunityhealth.org" TargetMode="External"/><Relationship Id="rId245" Type="http://schemas.openxmlformats.org/officeDocument/2006/relationships/hyperlink" Target="https://bezosacademy.org/schools/houston-denver-harbor-tx/" TargetMode="External"/><Relationship Id="rId1078" Type="http://schemas.openxmlformats.org/officeDocument/2006/relationships/hyperlink" Target="https://www.google.com/maps/place/Legacy+Community+Health+-+Third+Ward/@29.729134,-95.371113,15z/data=!4m15!1m8!3m7!1s0x8640bf0ae3441097:0xf8edee53a602da51!2s2222+Cleburne+St+Ste.+108,+Houston,+TX+77004!3b1!8m2!3d29.729134!4d-95.3711129!16s%2Fg%2F11zjcj5clc!3m5!1s0x8640bf735787af4b:0x2f0d6c58ede560c!8m2!3d29.729134!4d-95.3711129!16s%2Fg%2F11pxxb6w21?hl=en&amp;entry=ttu&amp;g_ep=EgoyMDI1MTAxNC4wIKXMDSoASAFQAw%3D%3D" TargetMode="External"/><Relationship Id="rId244" Type="http://schemas.openxmlformats.org/officeDocument/2006/relationships/hyperlink" Target="https://maps.google.com/?q=Bethel%20Heavenly%20Hands%2012660%20Sandpiper%20Dr%20Houston%20TX%2077035" TargetMode="External"/><Relationship Id="rId1079" Type="http://schemas.openxmlformats.org/officeDocument/2006/relationships/hyperlink" Target="https://www.legacycommunityhealth.org" TargetMode="External"/><Relationship Id="rId243" Type="http://schemas.openxmlformats.org/officeDocument/2006/relationships/hyperlink" Target="https://www.bethelsheavenlyhands.org/" TargetMode="External"/><Relationship Id="rId239" Type="http://schemas.openxmlformats.org/officeDocument/2006/relationships/hyperlink" Target="https://mybbwc.org/" TargetMode="External"/><Relationship Id="rId238" Type="http://schemas.openxmlformats.org/officeDocument/2006/relationships/hyperlink" Target="https://www.google.com/maps/place/Bee+Busy+Wellness+Center/@29.6551599,-95.535136,17z/data=!3m1!4b1!4m6!3m5!1s0x8640e839f37ef8db:0x4926b02a82126fa!8m2!3d29.6551553!4d-95.5302597!16s%2Fg%2F11bwn5gt5t?entry=ttu&amp;g_ep=EgoyMDI1MDUwNy4wIKXMDSoASAFQAw%3D%3D" TargetMode="External"/><Relationship Id="rId237" Type="http://schemas.openxmlformats.org/officeDocument/2006/relationships/hyperlink" Target="https://mybbwc.org/" TargetMode="External"/><Relationship Id="rId236" Type="http://schemas.openxmlformats.org/officeDocument/2006/relationships/hyperlink" Target="https://www.google.com/maps/place/Bee+Busy+Wellness+Center/@29.6551599,-95.535136,17z/data=!3m1!4b1!4m6!3m5!1s0x8640e839f37ef8db:0x4926b02a82126fa!8m2!3d29.6551553!4d-95.5302597!16s%2Fg%2F11bwn5gt5t?entry=ttu&amp;g_ep=EgoyMDI1MDUwNy4wIKXMDSoASAFQAw%3D%3D" TargetMode="External"/><Relationship Id="rId1060" Type="http://schemas.openxmlformats.org/officeDocument/2006/relationships/hyperlink" Target="https://www.google.com/maps/place/Legacy+Community+Health+-+Northside+Irvington/@29.792784,-95.361366,14z/data=!4m15!1m8!3m7!1s0x8640b8dce828d4a5:0x7988ac73433370d4!2s3517+Irvington+Blvd,+Houston,+TX+77009!3b1!8m2!3d29.7924589!4d-95.3612297!16s%2Fg%2F11s3vw7plt!3m5!1s0x8640b931dfb4d773:0xa7b60a6f2d5f3c67!8m2!3d29.7924589!4d-95.3612297!16s%2Fg%2F11s_zrfz4z?hl=en&amp;entry=ttu&amp;g_ep=EgoyMDI1MTAxNC4wIKXMDSoASAFQAw%3D%3D" TargetMode="External"/><Relationship Id="rId1061" Type="http://schemas.openxmlformats.org/officeDocument/2006/relationships/hyperlink" Target="https://www.legacycommunityhealth.org" TargetMode="External"/><Relationship Id="rId231" Type="http://schemas.openxmlformats.org/officeDocument/2006/relationships/hyperlink" Target="https://beanangel.org/how-we-help/" TargetMode="External"/><Relationship Id="rId1062" Type="http://schemas.openxmlformats.org/officeDocument/2006/relationships/hyperlink" Target="https://www.google.com/maps/place/Legacy+Community+Health+-+Northside+Irvington/@29.792784,-95.361366,14z/data=!4m15!1m8!3m7!1s0x8640b8dce828d4a5:0x7988ac73433370d4!2s3517+Irvington+Blvd,+Houston,+TX+77009!3b1!8m2!3d29.7924589!4d-95.3612297!16s%2Fg%2F11s3vw7plt!3m5!1s0x8640b931dfb4d773:0xa7b60a6f2d5f3c67!8m2!3d29.7924589!4d-95.3612297!16s%2Fg%2F11s_zrfz4z?hl=en&amp;entry=ttu&amp;g_ep=EgoyMDI1MTAxNC4wIKXMDSoASAFQAw%3D%3D" TargetMode="External"/><Relationship Id="rId230" Type="http://schemas.openxmlformats.org/officeDocument/2006/relationships/hyperlink" Target="https://www.google.com/maps/place/Be+An+Angel/@30.0800043,-95.4442114,17z/data=!3m1!4b1!4m6!3m5!1s0x8640b65ef32a029f:0xfb3e902cd13dd03f!8m2!3d30.0799997!4d-95.4393405!16s%2Fg%2F1tf1p6jm?entry=ttu&amp;g_ep=EgoyMDI1MTIwOS4wIKXMDSoKLDEwMDc5MjA2OUgBUAM%3D" TargetMode="External"/><Relationship Id="rId1063" Type="http://schemas.openxmlformats.org/officeDocument/2006/relationships/hyperlink" Target="https://www.legacycommunityhealth.org" TargetMode="External"/><Relationship Id="rId1064" Type="http://schemas.openxmlformats.org/officeDocument/2006/relationships/hyperlink" Target="https://www.google.com/maps/place/Legacy+Community+Health+-+San+Jacinto/@29.76821,-94.980158,15z/data=!3m1!5s0x863f5ea105f2ba5b:0xe13b58db4d4a4029!4m15!1m8!3m7!1s0x863f5ea105848eb3:0x8b061118091a66bf!2s4301+Garth+Rd,+Baytown,+TX+77521!3b1!8m2!3d29.7682095!4d-94.9801584!16s%2Fg%2F11bw3ytp1f!3m5!1s0x863f5ea08e8b1a95:0x1bdd7ed32477e6ba!8m2!3d29.7682941!4d-94.9800503!16s%2Fg%2F11b86bplsk?hl=en&amp;entry=ttu&amp;g_ep=EgoyMDI1MTAxNC4wIKXMDSoASAFQAw%3D%3D" TargetMode="External"/><Relationship Id="rId1065" Type="http://schemas.openxmlformats.org/officeDocument/2006/relationships/hyperlink" Target="https://www.legacycommunityhealth.org" TargetMode="External"/><Relationship Id="rId235" Type="http://schemas.openxmlformats.org/officeDocument/2006/relationships/hyperlink" Target="https://mybbwc.org/" TargetMode="External"/><Relationship Id="rId1066" Type="http://schemas.openxmlformats.org/officeDocument/2006/relationships/hyperlink" Target="https://www.google.com/maps/place/Legacy+Community+Health+-+San+Jacinto/@29.76821,-94.980158,15z/data=!3m1!5s0x863f5ea105f2ba5b:0xe13b58db4d4a4029!4m15!1m8!3m7!1s0x863f5ea105848eb3:0x8b061118091a66bf!2s4301+Garth+Rd,+Baytown,+TX+77521!3b1!8m2!3d29.7682095!4d-94.9801584!16s%2Fg%2F11bw3ytp1f!3m5!1s0x863f5ea08e8b1a95:0x1bdd7ed32477e6ba!8m2!3d29.7682941!4d-94.9800503!16s%2Fg%2F11b86bplsk?hl=en&amp;entry=ttu&amp;g_ep=EgoyMDI1MTAxNC4wIKXMDSoASAFQAw%3D%3D" TargetMode="External"/><Relationship Id="rId234" Type="http://schemas.openxmlformats.org/officeDocument/2006/relationships/hyperlink" Target="https://www.google.com/maps/place/Be+An+Angel/@30.0800043,-95.4442114,17z/data=!3m1!4b1!4m6!3m5!1s0x8640b65ef32a029f:0xfb3e902cd13dd03f!8m2!3d30.0799997!4d-95.4393405!16s%2Fg%2F1tf1p6jm?entry=ttu&amp;g_ep=EgoyMDI1MTIwOS4wIKXMDSoKLDEwMDc5MjA2OUgBUAM%3D" TargetMode="External"/><Relationship Id="rId1067" Type="http://schemas.openxmlformats.org/officeDocument/2006/relationships/hyperlink" Target="https://www.legacycommunityhealth.org" TargetMode="External"/><Relationship Id="rId233" Type="http://schemas.openxmlformats.org/officeDocument/2006/relationships/hyperlink" Target="https://beanangel.org/how-we-help/" TargetMode="External"/><Relationship Id="rId1068" Type="http://schemas.openxmlformats.org/officeDocument/2006/relationships/hyperlink" Target="https://www.google.com/maps/place/Legacy+Community+Health+-+Santa+Clara/@29.726118,-95.316704,15z/data=!4m15!1m8!3m7!1s0x8640be7dcd183349:0x340b8b9134115064!2s5616+Lawndale+St,+Houston,+TX+77023!3b1!8m2!3d29.7261181!4d-95.3167038!16s%2Fg%2F11bw3zc99_!3m5!1s0x8640be7db67531d1:0xadaece6aa33f701a!8m2!3d29.7261181!4d-95.3169372!16s%2Fg%2F11bv2p83z0?hl=en&amp;entry=ttu&amp;g_ep=EgoyMDI1MTAxNC4wIKXMDSoASAFQAw%3D%3D" TargetMode="External"/><Relationship Id="rId232" Type="http://schemas.openxmlformats.org/officeDocument/2006/relationships/hyperlink" Target="https://www.google.com/maps/place/Be+An+Angel/@30.0800043,-95.4442114,17z/data=!3m1!4b1!4m6!3m5!1s0x8640b65ef32a029f:0xfb3e902cd13dd03f!8m2!3d30.0799997!4d-95.4393405!16s%2Fg%2F1tf1p6jm?entry=ttu&amp;g_ep=EgoyMDI1MTIwOS4wIKXMDSoKLDEwMDc5MjA2OUgBUAM%3D" TargetMode="External"/><Relationship Id="rId1069" Type="http://schemas.openxmlformats.org/officeDocument/2006/relationships/hyperlink" Target="https://www.legacycommunityhealth.org" TargetMode="External"/><Relationship Id="rId1015" Type="http://schemas.openxmlformats.org/officeDocument/2006/relationships/hyperlink" Target="https://www.legacycommunityhealth.org" TargetMode="External"/><Relationship Id="rId1499" Type="http://schemas.openxmlformats.org/officeDocument/2006/relationships/hyperlink" Target="https://maps.google.com/?q=St%20Bernadette%20Clear%20Lake%2015500%20El%20Camino%20Real%20Houston%20TX%2077062" TargetMode="External"/><Relationship Id="rId1016" Type="http://schemas.openxmlformats.org/officeDocument/2006/relationships/hyperlink" Target="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 TargetMode="External"/><Relationship Id="rId1017" Type="http://schemas.openxmlformats.org/officeDocument/2006/relationships/hyperlink" Target="https://www.legacycommunityhealth.org" TargetMode="External"/><Relationship Id="rId1018" Type="http://schemas.openxmlformats.org/officeDocument/2006/relationships/hyperlink" Target="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 TargetMode="External"/><Relationship Id="rId1019" Type="http://schemas.openxmlformats.org/officeDocument/2006/relationships/hyperlink" Target="https://www.legacycommunityhealth.org" TargetMode="External"/><Relationship Id="rId668" Type="http://schemas.openxmlformats.org/officeDocument/2006/relationships/hyperlink" Target="https://maps.google.com/?q=Gulf%20Coast%20Community%20Services%209320%20Kirby%20Drive%20Houston%20TX%2077054" TargetMode="External"/><Relationship Id="rId667" Type="http://schemas.openxmlformats.org/officeDocument/2006/relationships/hyperlink" Target="https://www.gccsa.org/food-pantry-volunteers/" TargetMode="External"/><Relationship Id="rId666" Type="http://schemas.openxmlformats.org/officeDocument/2006/relationships/hyperlink" Target="https://maps.google.com/?q=Gulf%20Coast%20Community%20Services%209320%20Kirby%20Drive%20Houston%20TX%2077054" TargetMode="External"/><Relationship Id="rId665" Type="http://schemas.openxmlformats.org/officeDocument/2006/relationships/hyperlink" Target="https://www.gccsa.org/" TargetMode="External"/><Relationship Id="rId669" Type="http://schemas.openxmlformats.org/officeDocument/2006/relationships/hyperlink" Target="https://www.gccsa.org/head-start-early-head-start/" TargetMode="External"/><Relationship Id="rId1490" Type="http://schemas.openxmlformats.org/officeDocument/2006/relationships/hyperlink" Target="https://www.st-bart.org/svdp" TargetMode="External"/><Relationship Id="rId660" Type="http://schemas.openxmlformats.org/officeDocument/2006/relationships/hyperlink" Target="https://www.google.com/maps/place/Gratia+Plena/@29.632173,-95.5946621,17z/data=!3m2!4b1!5s0x8640e7b1c3f28edd:0xd8d26ae61c4d5d3f!4m6!3m5!1s0x8640e6ff89107551:0xcf003b91c9385b63!8m2!3d29.632173!4d-95.5920818!16s%2Fg%2F1hc5095x7?entry=ttu&amp;g_ep=EgoyMDI1MDQwOS4wIKXMDSoASAFQAw%3D%3D" TargetMode="External"/><Relationship Id="rId1491" Type="http://schemas.openxmlformats.org/officeDocument/2006/relationships/hyperlink" Target="https://maps.google.com/?q=St%20Bartholomew%20(SVdP%20D4)%20Katy%205356%2011th%20St%20Katy%20TX%2077493" TargetMode="External"/><Relationship Id="rId1492" Type="http://schemas.openxmlformats.org/officeDocument/2006/relationships/hyperlink" Target="https://www.stbchurch.org/" TargetMode="External"/><Relationship Id="rId1493" Type="http://schemas.openxmlformats.org/officeDocument/2006/relationships/hyperlink" Target="https://maps.google.com/?q=St%20Bernadette%20Clear%20Lake%2015500%20El%20Camino%20Real%20Houston%20TX%2077062" TargetMode="External"/><Relationship Id="rId1010" Type="http://schemas.openxmlformats.org/officeDocument/2006/relationships/hyperlink" Target="https://www.google.com/maps/place/Kids'+Meals/@29.8114364,-95.5126829,17z/data=!3m1!4b1!4m6!3m5!1s0x8640c79ac7954d85:0xa72b5d8c3f144491!8m2!3d29.8114318!4d-95.507812!16s%2Fg%2F11b7jwdw8s?entry=ttu&amp;g_ep=EgoyMDI1MTIwOS4wIKXMDSoKLDEwMDc5MjA2OUgBUAM%3D" TargetMode="External"/><Relationship Id="rId1494" Type="http://schemas.openxmlformats.org/officeDocument/2006/relationships/hyperlink" Target="https://www.stbchurch.org/" TargetMode="External"/><Relationship Id="rId664" Type="http://schemas.openxmlformats.org/officeDocument/2006/relationships/hyperlink" Target="https://maps.google.com/?q=Gulf%20Coast%20Community%20Services%209320%20Kirby%20Drive%20Houston%20TX%2077054" TargetMode="External"/><Relationship Id="rId1011" Type="http://schemas.openxmlformats.org/officeDocument/2006/relationships/hyperlink" Target="https://www.legacycommunityhealth.org" TargetMode="External"/><Relationship Id="rId1495" Type="http://schemas.openxmlformats.org/officeDocument/2006/relationships/hyperlink" Target="https://maps.google.com/?q=St%20Bernadette%20Clear%20Lake%2015500%20El%20Camino%20Real%20Houston%20TX%2077062" TargetMode="External"/><Relationship Id="rId663" Type="http://schemas.openxmlformats.org/officeDocument/2006/relationships/hyperlink" Target="https://www.gccsa.org/" TargetMode="External"/><Relationship Id="rId1012" Type="http://schemas.openxmlformats.org/officeDocument/2006/relationships/hyperlink" Target="https://www.google.com/maps/place/Legacy+Comunity+Health+-+Alief+Clinic/@29.675233,-95.596399,15z/data=!4m15!1m8!3m7!1s0x8640dd7c60ebdc5b:0x93de6f2c7fcd62b0!2s12345+Bissonnet+St,+Houston,+TX+77099!3b1!8m2!3d29.6752333!4d-95.5963993!16s%2Fg%2F11trr6qdnn!3m5!1s0x8640ddf5dca410c5:0xdbb2f304370bd668!8m2!3d29.6753794!4d-95.5963405!16s%2Fg%2F11t89f6w0m?hl=en&amp;entry=ttu&amp;g_ep=EgoyMDI1MTAxNC4wIKXMDSoASAFQAw%3D%3D" TargetMode="External"/><Relationship Id="rId1496" Type="http://schemas.openxmlformats.org/officeDocument/2006/relationships/hyperlink" Target="https://www.stbchurch.org/" TargetMode="External"/><Relationship Id="rId662" Type="http://schemas.openxmlformats.org/officeDocument/2006/relationships/hyperlink" Target="https://www.google.com/maps/place/Annette+Strawder+Here+To+Help+Food+Pantry/@29.8710801,-95.4929316,18z/data=!4m15!1m8!3m7!1s0x8640cf5b37a59cc5:0x26ed54b55066fcc6!2s8787+N+Houston+Rosslyn+Rd,+Houston,+TX+77088!3b1!8m2!3d29.8710825!4d-95.492084!16s%2Fg%2F11mdnkh6c1!3m5!1s0x8640cf5b5b3cffff:0x51946185535b3b24!8m2!3d29.8706345!4d-95.4929281!16s%2Fg%2F11swmcnqyv?entry=ttu&amp;g_ep=EgoyMDI1MDYwMy4wIKXMDSoASAFQAw%3D%3D" TargetMode="External"/><Relationship Id="rId1013" Type="http://schemas.openxmlformats.org/officeDocument/2006/relationships/hyperlink" Target="https://www.legacycommunityhealth.org" TargetMode="External"/><Relationship Id="rId1497" Type="http://schemas.openxmlformats.org/officeDocument/2006/relationships/hyperlink" Target="https://maps.google.com/?q=St%20Bernadette%20Clear%20Lake%2015500%20El%20Camino%20Real%20Houston%20TX%2077062" TargetMode="External"/><Relationship Id="rId661" Type="http://schemas.openxmlformats.org/officeDocument/2006/relationships/hyperlink" Target="https://gmzhouston.org/a-s-h-t-h-p/" TargetMode="External"/><Relationship Id="rId1014" Type="http://schemas.openxmlformats.org/officeDocument/2006/relationships/hyperlink" Target="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 TargetMode="External"/><Relationship Id="rId1498" Type="http://schemas.openxmlformats.org/officeDocument/2006/relationships/hyperlink" Target="https://www.stbchurch.org/" TargetMode="External"/><Relationship Id="rId1004" Type="http://schemas.openxmlformats.org/officeDocument/2006/relationships/hyperlink" Target="https://ktcm.org/" TargetMode="External"/><Relationship Id="rId1488" Type="http://schemas.openxmlformats.org/officeDocument/2006/relationships/hyperlink" Target="https://www.st-bart.org/svdp" TargetMode="External"/><Relationship Id="rId1005" Type="http://schemas.openxmlformats.org/officeDocument/2006/relationships/hyperlink" Target="https://maps.google.com/?q=Katy%20Christian%20Ministries%203506%20Porter%20Rd%2C%20Suite%20F%20Houston%20TX%2077493" TargetMode="External"/><Relationship Id="rId1489" Type="http://schemas.openxmlformats.org/officeDocument/2006/relationships/hyperlink" Target="https://maps.google.com/?q=St%20Bartholomew%20(SVdP%20D4)%20Katy%205356%2011th%20St%20Katy%20TX%2077493" TargetMode="External"/><Relationship Id="rId1006" Type="http://schemas.openxmlformats.org/officeDocument/2006/relationships/hyperlink" Target="https://keturahshaven.org/" TargetMode="External"/><Relationship Id="rId1007" Type="http://schemas.openxmlformats.org/officeDocument/2006/relationships/hyperlink" Target="https://kidsmealsinc.org/need-help/" TargetMode="External"/><Relationship Id="rId1008" Type="http://schemas.openxmlformats.org/officeDocument/2006/relationships/hyperlink" Target="https://www.google.com/maps/place/Woodlands+Plaza+1488,+5517+FM+1488,+Magnolia,+TX+77354/@30.2226991,-95.5549706,17z/data=!3m1!4b1!4m6!3m5!1s0x86473006379f2de9:0x7d456a967fa0fd09!8m2!3d30.2226945!4d-95.5523957!16s%2Fg%2F11rr8fg055?entry=ttu&amp;g_ep=EgoyMDI1MTIwOS4wIKXMDSoKLDEwMDc5MjA2OUgBUAM%3D" TargetMode="External"/><Relationship Id="rId1009" Type="http://schemas.openxmlformats.org/officeDocument/2006/relationships/hyperlink" Target="https://kidsmealsinc.org/need-help/" TargetMode="External"/><Relationship Id="rId657" Type="http://schemas.openxmlformats.org/officeDocument/2006/relationships/hyperlink" Target="http://www.graceafterfire.org/join-member.html" TargetMode="External"/><Relationship Id="rId656" Type="http://schemas.openxmlformats.org/officeDocument/2006/relationships/hyperlink" Target="https://www.google.com/maps/place/Goodwill+Industries+of+Houston+-+Corporate+Offices/@29.7871027,-95.4558712,17z/data=!4m14!1m7!3m6!1s0x8640c6c3e3b5501b:0xbe39d5831d046397!2sGoodwill+Industries+of+Houston+-+Corporate+Offices!8m2!3d29.7870981!4d-95.4509949!16s%2Fg%2F11b6gm6h5s!3m5!1s0x8640c6c3e3b5501b:0xbe39d5831d046397!8m2!3d29.7870981!4d-95.4509949!16s%2Fg%2F11b6gm6h5s?entry=ttu&amp;g_ep=EgoyMDI1MDcwOS4wIKXMDSoASAFQAw%3D%3D" TargetMode="External"/><Relationship Id="rId655" Type="http://schemas.openxmlformats.org/officeDocument/2006/relationships/hyperlink" Target="https://www.goodwillhouston.org/jobs/job-career-services/mission-programs/" TargetMode="External"/><Relationship Id="rId654" Type="http://schemas.openxmlformats.org/officeDocument/2006/relationships/hyperlink" Target="https://www.google.com/maps/place/Good+Shepherd+Mission/@30.7249097,-95.545586,17z/data=!3m1!4b1!4m6!3m5!1s0x8647088c89a7ac0f:0x7fc272fcb1788372!8m2!3d30.7249097!4d-95.5430057!16s%2Fg%2F11c2q5vhb8?entry=ttu&amp;g_ep=EgoyMDI1MDUwNy4wIKXMDSoASAFQAw%3D%3D" TargetMode="External"/><Relationship Id="rId659" Type="http://schemas.openxmlformats.org/officeDocument/2006/relationships/hyperlink" Target="https://gratiaplenacounseling.org/" TargetMode="External"/><Relationship Id="rId658" Type="http://schemas.openxmlformats.org/officeDocument/2006/relationships/hyperlink" Target="https://www.google.com/maps/place/2929+McKinney+St,+Houston,+TX+77003/@29.7471389,-95.3530624,17z/data=!3m1!4b1!4m6!3m5!1s0x8640bee1187d8e33:0x7670df80b23deb44!8m2!3d29.7471343!4d-95.3481915!16s%2Fg%2F11pw3k0tsn?entry=ttu&amp;g_ep=EgoyMDI2MDIxMS4wIKXMDSoASAFQAw%3D%3D" TargetMode="External"/><Relationship Id="rId1480" Type="http://schemas.openxmlformats.org/officeDocument/2006/relationships/hyperlink" Target="https://ap.church/ministries/outreach/" TargetMode="External"/><Relationship Id="rId1481" Type="http://schemas.openxmlformats.org/officeDocument/2006/relationships/hyperlink" Target="https://maps.google.com/?q=St%20Anthony%20of%20Padua%20(SVdP%20D6)%20The%20Woodlands%207801%20Bay%20Branch%20Dr%20The%20Woodlands%20TX%2077382" TargetMode="External"/><Relationship Id="rId1482" Type="http://schemas.openxmlformats.org/officeDocument/2006/relationships/hyperlink" Target="https://ap.church/ministries/outreach/" TargetMode="External"/><Relationship Id="rId1483" Type="http://schemas.openxmlformats.org/officeDocument/2006/relationships/hyperlink" Target="https://maps.google.com/?q=St%20Anthony%20of%20Padua%20(SVdP%20D6)%20The%20Woodlands%207801%20Bay%20Branch%20Dr%20The%20Woodlands%20TX%2077382" TargetMode="External"/><Relationship Id="rId653" Type="http://schemas.openxmlformats.org/officeDocument/2006/relationships/hyperlink" Target="https://www.goodshepherdmission.org/shelter.html" TargetMode="External"/><Relationship Id="rId1000" Type="http://schemas.openxmlformats.org/officeDocument/2006/relationships/hyperlink" Target="https://ktcm.org/" TargetMode="External"/><Relationship Id="rId1484" Type="http://schemas.openxmlformats.org/officeDocument/2006/relationships/hyperlink" Target="https://ap.church/ministries/outreach/food-pantry/" TargetMode="External"/><Relationship Id="rId652" Type="http://schemas.openxmlformats.org/officeDocument/2006/relationships/hyperlink" Target="https://www.google.com/maps/place/Good+Shepherd+Mission/@30.7249097,-95.545586,17z/data=!3m1!4b1!4m6!3m5!1s0x8647088c89a7ac0f:0x7fc272fcb1788372!8m2!3d30.7249097!4d-95.5430057!16s%2Fg%2F11c2q5vhb8?entry=ttu&amp;g_ep=EgoyMDI1MDUwNy4wIKXMDSoASAFQAw%3D%3D" TargetMode="External"/><Relationship Id="rId1001" Type="http://schemas.openxmlformats.org/officeDocument/2006/relationships/hyperlink" Target="https://maps.google.com/?q=Katy%20Christian%20Ministries%203506%20Porter%20Rd%2C%20Suite%20F%20Houston%20TX%2077493" TargetMode="External"/><Relationship Id="rId1485" Type="http://schemas.openxmlformats.org/officeDocument/2006/relationships/hyperlink" Target="https://maps.google.com/?q=St%20Anthony%20of%20Padua%20(SVdP%20D6)%20The%20Woodlands%207801%20Bay%20Branch%20Dr%20The%20Woodlands%20TX%2077382" TargetMode="External"/><Relationship Id="rId651" Type="http://schemas.openxmlformats.org/officeDocument/2006/relationships/hyperlink" Target="https://www.goodshepherdmission.org/index.html" TargetMode="External"/><Relationship Id="rId1002" Type="http://schemas.openxmlformats.org/officeDocument/2006/relationships/hyperlink" Target="https://ktcm.org/social-services/" TargetMode="External"/><Relationship Id="rId1486" Type="http://schemas.openxmlformats.org/officeDocument/2006/relationships/hyperlink" Target="https://www.st-bart.org/svdp" TargetMode="External"/><Relationship Id="rId650" Type="http://schemas.openxmlformats.org/officeDocument/2006/relationships/hyperlink" Target="https://www.google.com/maps/place/Good+Shepherd+Mission/@30.7249097,-95.545586,17z/data=!3m1!4b1!4m6!3m5!1s0x8647088c89a7ac0f:0x7fc272fcb1788372!8m2!3d30.7249097!4d-95.5430057!16s%2Fg%2F11c2q5vhb8?entry=ttu&amp;g_ep=EgoyMDI1MDUwNy4wIKXMDSoASAFQAw%3D%3D" TargetMode="External"/><Relationship Id="rId1003" Type="http://schemas.openxmlformats.org/officeDocument/2006/relationships/hyperlink" Target="https://maps.google.com/?q=Katy%20Christian%20Ministries%203506%20Porter%20Rd%2C%20Suite%20F%20Houston%20TX%2077493" TargetMode="External"/><Relationship Id="rId1487" Type="http://schemas.openxmlformats.org/officeDocument/2006/relationships/hyperlink" Target="https://maps.google.com/?q=St%20Bartholomew%20(SVdP%20D4)%20Katy%205356%2011th%20St%20Katy%20TX%2077493" TargetMode="External"/><Relationship Id="rId1037" Type="http://schemas.openxmlformats.org/officeDocument/2006/relationships/hyperlink" Target="https://www.legacycommunityhealth.org" TargetMode="External"/><Relationship Id="rId1038" Type="http://schemas.openxmlformats.org/officeDocument/2006/relationships/hyperlink" Target="https://www.google.com/maps/place/Legacy+Galena+Park+Dental+Clinic+at+Almatha+Clark+Taylor+Clinic/@29.775996,-95.176222,15z/data=!4m15!1m8!3m7!1s0x8640a38669a0dafd:0x4f22e38d37775ed5!2s13940+Bonham+St,+Houston,+TX+77015!3b1!8m2!3d29.7759964!4d-95.1762219!16s%2Fg%2F11bw3ysfpb!3m5!1s0x8640a39be342dc43:0xe6891a57f4ec7402!8m2!3d29.7760042!4d-95.1762259!16s%2Fg%2F11l6tjrwxw?hl=en&amp;entry=ttu&amp;g_ep=EgoyMDI1MTAxNC4wIKXMDSoASAFQAw%3D%3D" TargetMode="External"/><Relationship Id="rId1039" Type="http://schemas.openxmlformats.org/officeDocument/2006/relationships/hyperlink" Target="https://www.legacycommunityhealth.org" TargetMode="External"/><Relationship Id="rId206" Type="http://schemas.openxmlformats.org/officeDocument/2006/relationships/hyperlink" Target="https://bakerripley.org/programs-and-services/tax-assistance/" TargetMode="External"/><Relationship Id="rId205" Type="http://schemas.openxmlformats.org/officeDocument/2006/relationships/hyperlink" Target="https://www.google.com/maps/place/BakerRipley+Pasadena+Campus/@29.6505499,-95.2040632,16z/data=!3m1!4b1!4m6!3m5!1s0x86409848be95e3f9:0xf225e90340c412f3!8m2!3d29.6505453!4d-95.2014883!16s%2Fg%2F1tkc2h2x?entry=ttu&amp;g_ep=EgoyMDI1MDcxNi4wIKXMDSoASAFQAw%3D%3D" TargetMode="External"/><Relationship Id="rId689" Type="http://schemas.openxmlformats.org/officeDocument/2006/relationships/hyperlink" Target="https://www.theharriscenter.org/about" TargetMode="External"/><Relationship Id="rId204" Type="http://schemas.openxmlformats.org/officeDocument/2006/relationships/hyperlink" Target="https://bakerripley.org/programs-and-services/food-and-nutrition/" TargetMode="External"/><Relationship Id="rId688" Type="http://schemas.openxmlformats.org/officeDocument/2006/relationships/hyperlink" Target="https://www.google.com/maps/place/The+Harris+Center+Northwest+Community+Service+Center/@29.8089168,-95.4491291,16z/data=!3m2!4b1!5s0x8640c6f0a10ccaff:0x537c78a642ebb276!4m6!3m5!1s0x8640c6f0a1a6082d:0x85c3ba979fd4f86!8m2!3d29.8089168!4d-95.4465542!16s%2Fg%2F1vyswxyj?entry=ttu&amp;g_ep=EgoyMDI1MTAxNC4wIKXMDSoASAFQAw%3D%3D" TargetMode="External"/><Relationship Id="rId203" Type="http://schemas.openxmlformats.org/officeDocument/2006/relationships/hyperlink" Target="https://www.google.com/maps/place/BakerRipley+Pasadena+Campus/@29.6505499,-95.2040632,16z/data=!3m1!4b1!4m6!3m5!1s0x86409848be95e3f9:0xf225e90340c412f3!8m2!3d29.6505453!4d-95.2014883!16s%2Fg%2F1tkc2h2x?entry=ttu&amp;g_ep=EgoyMDI1MDcxNi4wIKXMDSoASAFQAw%3D%3D" TargetMode="External"/><Relationship Id="rId687" Type="http://schemas.openxmlformats.org/officeDocument/2006/relationships/hyperlink" Target="https://www.theharriscenter.org/about" TargetMode="External"/><Relationship Id="rId209" Type="http://schemas.openxmlformats.org/officeDocument/2006/relationships/hyperlink" Target="https://www.google.com/maps/place/BakerRipley+Ripley+House/@29.7518456,-95.3316692,17z/data=!3m1!4b1!4m6!3m5!1s0x8640bebfd5d96797:0x994dbc38517e129a!8m2!3d29.751841!4d-95.3290943!16s%2Fg%2F1vyn478z?entry=ttu&amp;g_ep=EgoyMDI1MDcxNi4wIKXMDSoASAFQAw%3D%3D" TargetMode="External"/><Relationship Id="rId208" Type="http://schemas.openxmlformats.org/officeDocument/2006/relationships/hyperlink" Target="https://bakerripley.org/programs-and-services/food-and-nutrition/" TargetMode="External"/><Relationship Id="rId207" Type="http://schemas.openxmlformats.org/officeDocument/2006/relationships/hyperlink" Target="https://www.google.com/maps/place/BakerRipley+Pasadena+Campus/@29.6505499,-95.2040632,16z/data=!3m1!4b1!4m6!3m5!1s0x86409848be95e3f9:0xf225e90340c412f3!8m2!3d29.6505453!4d-95.2014883!16s%2Fg%2F1tkc2h2x?entry=ttu&amp;g_ep=EgoyMDI1MDcxNi4wIKXMDSoASAFQAw%3D%3D" TargetMode="External"/><Relationship Id="rId682" Type="http://schemas.openxmlformats.org/officeDocument/2006/relationships/hyperlink" Target="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 TargetMode="External"/><Relationship Id="rId681" Type="http://schemas.openxmlformats.org/officeDocument/2006/relationships/hyperlink" Target="https://www.theharriscenter.org/about" TargetMode="External"/><Relationship Id="rId1030" Type="http://schemas.openxmlformats.org/officeDocument/2006/relationships/hyperlink" Target="https://www.google.com/maps/place/Legacy+Community+Health+-+Deer+Park/@29.679992,-95.124661,15z/data=!4m15!1m8!3m7!1s0x86409f5d18ab2f03:0x3786ce705584b3f1!2s3430+Center+St,+Deer+Park,+TX+77536!3b1!8m2!3d29.6799918!4d-95.1246608!16s%2Fg%2F11bw3y_yq8!3m5!1s0x86409f5d18aaae7d:0x9f1e8c35fd99102a!8m2!3d29.6799723!4d-95.1246391!16s%2Fg%2F11df0x5803?hl=en&amp;entry=ttu&amp;g_ep=EgoyMDI1MTAxNC4wIKXMDSoASAFQAw%3D%3D" TargetMode="External"/><Relationship Id="rId680" Type="http://schemas.openxmlformats.org/officeDocument/2006/relationships/hyperlink" Target="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 TargetMode="External"/><Relationship Id="rId1031" Type="http://schemas.openxmlformats.org/officeDocument/2006/relationships/hyperlink" Target="https://www.legacycommunityhealth.org" TargetMode="External"/><Relationship Id="rId1032" Type="http://schemas.openxmlformats.org/officeDocument/2006/relationships/hyperlink" Target="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 TargetMode="External"/><Relationship Id="rId202" Type="http://schemas.openxmlformats.org/officeDocument/2006/relationships/hyperlink" Target="https://bakerripley.org/locations/pasadena-campus/" TargetMode="External"/><Relationship Id="rId686" Type="http://schemas.openxmlformats.org/officeDocument/2006/relationships/hyperlink" Target="https://www.google.com/maps/place/The+Harris+Center+Northeast+Community+Service+Center/@29.8038621,-95.301307,17z/data=!3m1!4b1!4m6!3m5!1s0x8640bbc38718c473:0x7f8a006bfe5d0099!8m2!3d29.8038622!4d-95.2964361!16s%2Fg%2F1tfg3ghx?entry=ttu&amp;g_ep=EgoyMDI1MTAxNC4wIKXMDSoASAFQAw%3D%3D" TargetMode="External"/><Relationship Id="rId1033" Type="http://schemas.openxmlformats.org/officeDocument/2006/relationships/hyperlink" Target="https://www.legacycommunityhealth.org" TargetMode="External"/><Relationship Id="rId201" Type="http://schemas.openxmlformats.org/officeDocument/2006/relationships/hyperlink" Target="https://www.google.com/maps/place/BakerRipley+Pasadena+Campus/@29.6505499,-95.2040632,16z/data=!3m1!4b1!4m6!3m5!1s0x86409848be95e3f9:0xf225e90340c412f3!8m2!3d29.6505453!4d-95.2014883!16s%2Fg%2F1tkc2h2x?entry=ttu&amp;g_ep=EgoyMDI1MDcxNi4wIKXMDSoASAFQAw%3D%3D" TargetMode="External"/><Relationship Id="rId685" Type="http://schemas.openxmlformats.org/officeDocument/2006/relationships/hyperlink" Target="https://www.theharriscenter.org/about" TargetMode="External"/><Relationship Id="rId1034" Type="http://schemas.openxmlformats.org/officeDocument/2006/relationships/hyperlink" Target="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 TargetMode="External"/><Relationship Id="rId200" Type="http://schemas.openxmlformats.org/officeDocument/2006/relationships/hyperlink" Target="https://bakerripley.org/locations/pasadena-campus/" TargetMode="External"/><Relationship Id="rId684" Type="http://schemas.openxmlformats.org/officeDocument/2006/relationships/hyperlink" Target="https://www.google.com/maps/place/The+Harris+Center+Northeast+Community+Service+Center/@29.8038621,-95.301307,17z/data=!3m1!4b1!4m6!3m5!1s0x8640bbc38718c473:0x7f8a006bfe5d0099!8m2!3d29.8038622!4d-95.2964361!16s%2Fg%2F1tfg3ghx?entry=ttu&amp;g_ep=EgoyMDI1MTAxNC4wIKXMDSoASAFQAw%3D%3D" TargetMode="External"/><Relationship Id="rId1035" Type="http://schemas.openxmlformats.org/officeDocument/2006/relationships/hyperlink" Target="https://www.legacycommunityhealth.org" TargetMode="External"/><Relationship Id="rId683" Type="http://schemas.openxmlformats.org/officeDocument/2006/relationships/hyperlink" Target="https://www.theharriscenter.org/about" TargetMode="External"/><Relationship Id="rId1036" Type="http://schemas.openxmlformats.org/officeDocument/2006/relationships/hyperlink" Target="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 TargetMode="External"/><Relationship Id="rId1026" Type="http://schemas.openxmlformats.org/officeDocument/2006/relationships/hyperlink" Target="https://www.google.com/maps/place/Legacy+Community+Health+-+Bissonnet+Pediatrics/@29.676783,-95.601627,16z/data=!4m15!1m8!3m7!1s0x8640dd78d4868625:0xe616961881a2f86d!2s12667+Bissonnet+St,+Houston,+TX+77099!3b1!8m2!3d29.6767825!4d-95.6016268!16s%2Fg%2F11c5kckhbc!3m5!1s0x8640dd78c39e740f:0x963e00119d2858b!8m2!3d29.6767825!4d-95.6016268!16s%2Fg%2F11b6j71gry?hl=en&amp;entry=ttu&amp;g_ep=EgoyMDI1MTAxNC4wIKXMDSoASAFQAw%3D%3D" TargetMode="External"/><Relationship Id="rId1027" Type="http://schemas.openxmlformats.org/officeDocument/2006/relationships/hyperlink" Target="https://www.legacycommunityhealth.org" TargetMode="External"/><Relationship Id="rId1028" Type="http://schemas.openxmlformats.org/officeDocument/2006/relationships/hyperlink" Target="https://www.google.com/maps/place/Legacy+Community+Health+-+Deer+Park/@29.679992,-95.124661,15z/data=!4m15!1m8!3m7!1s0x86409f5d18ab2f03:0x3786ce705584b3f1!2s3430+Center+St,+Deer+Park,+TX+77536!3b1!8m2!3d29.6799918!4d-95.1246608!16s%2Fg%2F11bw3y_yq8!3m5!1s0x86409f5d18aaae7d:0x9f1e8c35fd99102a!8m2!3d29.6799723!4d-95.1246391!16s%2Fg%2F11df0x5803?hl=en&amp;entry=ttu&amp;g_ep=EgoyMDI1MTAxNC4wIKXMDSoASAFQAw%3D%3D" TargetMode="External"/><Relationship Id="rId1029" Type="http://schemas.openxmlformats.org/officeDocument/2006/relationships/hyperlink" Target="https://www.legacycommunityhealth.org" TargetMode="External"/><Relationship Id="rId679" Type="http://schemas.openxmlformats.org/officeDocument/2006/relationships/hyperlink" Target="https://www.theharriscenter.org/about" TargetMode="External"/><Relationship Id="rId678" Type="http://schemas.openxmlformats.org/officeDocument/2006/relationships/hyperlink" Target="https://www.google.com/maps/place/Harmony+House+Inc/@29.7677595,-95.3669366,16z/data=!3m1!4b1!4m6!3m5!1s0x8640bf3218b1fb29:0xa3be5a736a880044!8m2!3d29.7677595!4d-95.3643563!16s%2Fg%2F1tlz_knv?entry=ttu&amp;g_ep=EgoyMDI1MDUwNy4wIKXMDSoASAFQAw%3D%3D" TargetMode="External"/><Relationship Id="rId677" Type="http://schemas.openxmlformats.org/officeDocument/2006/relationships/hyperlink" Target="https://harmonyhouse.org" TargetMode="External"/><Relationship Id="rId676" Type="http://schemas.openxmlformats.org/officeDocument/2006/relationships/hyperlink" Target="https://www.google.com/maps/place/Halo+House+Foundation/@29.6926538,-95.3859525,17z/data=!3m1!4b1!4m6!3m5!1s0x8640bf4361ac7755:0x407a6d117e48c31e!8m2!3d29.6926538!4d-95.3859525!16s%2Fg%2F11h07vrl2f?entry=ttu&amp;g_ep=EgoyMDI1MDUxMi4wIKXMDSoASAFQAw%3D%3D" TargetMode="External"/><Relationship Id="rId671" Type="http://schemas.openxmlformats.org/officeDocument/2006/relationships/hyperlink" Target="https://www.gccsa.org/" TargetMode="External"/><Relationship Id="rId670" Type="http://schemas.openxmlformats.org/officeDocument/2006/relationships/hyperlink" Target="https://maps.google.com/?q=Gulf%20Coast%20Community%20Services%209320%20Kirby%20Drive%20Houston%20TX%2077054" TargetMode="External"/><Relationship Id="rId1020" Type="http://schemas.openxmlformats.org/officeDocument/2006/relationships/hyperlink" Target="https://www.google.com/maps/place/Legacy+Community+Health+-+Baytown+Garth/@29.760791,-94.97853,15z/data=!4m15!1m8!3m7!1s0x863f5e9e10884a09:0xac9587bb56633f77!2s3509+Garth+Rd,+Baytown,+TX+77521!3b1!8m2!3d29.7607909!4d-94.9785298!16s%2Fg%2F11hbmnnnyq!3m5!1s0x863f5fe1a4158cdf:0x45883d67eb831369!8m2!3d29.7608248!4d-94.9785618!16s%2Fg%2F11vdw8g21b?hl=en&amp;entry=ttu&amp;g_ep=EgoyMDI1MTAxNC4wIKXMDSoASAFQAw%3D%3D" TargetMode="External"/><Relationship Id="rId1021" Type="http://schemas.openxmlformats.org/officeDocument/2006/relationships/hyperlink" Target="https://www.legacycommunityhealth.org" TargetMode="External"/><Relationship Id="rId675" Type="http://schemas.openxmlformats.org/officeDocument/2006/relationships/hyperlink" Target="https://www.halohousefoundation.org/" TargetMode="External"/><Relationship Id="rId1022" Type="http://schemas.openxmlformats.org/officeDocument/2006/relationships/hyperlink" Target="https://www.google.com/maps/place/Legacy+Community+Health+-+Baytown+Garth/@29.760791,-94.97853,15z/data=!4m15!1m8!3m7!1s0x863f5e9e10884a09:0xac9587bb56633f77!2s3509+Garth+Rd,+Baytown,+TX+77521!3b1!8m2!3d29.7607909!4d-94.9785298!16s%2Fg%2F11hbmnnnyq!3m5!1s0x863f5fe1a4158cdf:0x45883d67eb831369!8m2!3d29.7608248!4d-94.9785618!16s%2Fg%2F11vdw8g21b?hl=en&amp;entry=ttu&amp;g_ep=EgoyMDI1MTAxNC4wIKXMDSoASAFQAw%3D%3D" TargetMode="External"/><Relationship Id="rId674" Type="http://schemas.openxmlformats.org/officeDocument/2006/relationships/hyperlink" Target="https://maps.google.com/?q=Gulf%20Coast%20Community%20Services%209320%20Kirby%20Drive%20Houston%20TX%2077054" TargetMode="External"/><Relationship Id="rId1023" Type="http://schemas.openxmlformats.org/officeDocument/2006/relationships/hyperlink" Target="https://www.legacycommunityhealth.org" TargetMode="External"/><Relationship Id="rId673" Type="http://schemas.openxmlformats.org/officeDocument/2006/relationships/hyperlink" Target="https://www.gccsa.org/" TargetMode="External"/><Relationship Id="rId1024" Type="http://schemas.openxmlformats.org/officeDocument/2006/relationships/hyperlink" Target="https://www.google.com/maps/place/Legacy+Community+Health+-+Bissonnet+Pediatrics/@29.676783,-95.601627,16z/data=!4m15!1m8!3m7!1s0x8640dd78d4868625:0xe616961881a2f86d!2s12667+Bissonnet+St,+Houston,+TX+77099!3b1!8m2!3d29.6767825!4d-95.6016268!16s%2Fg%2F11c5kckhbc!3m5!1s0x8640dd78c39e740f:0x963e00119d2858b!8m2!3d29.6767825!4d-95.6016268!16s%2Fg%2F11b6j71gry?hl=en&amp;entry=ttu&amp;g_ep=EgoyMDI1MTAxNC4wIKXMDSoASAFQAw%3D%3D" TargetMode="External"/><Relationship Id="rId672" Type="http://schemas.openxmlformats.org/officeDocument/2006/relationships/hyperlink" Target="https://maps.google.com/?q=Gulf%20Coast%20Community%20Services%209320%20Kirby%20Drive%20Houston%20TX%2077054" TargetMode="External"/><Relationship Id="rId1025" Type="http://schemas.openxmlformats.org/officeDocument/2006/relationships/hyperlink" Target="https://www.legacycommunityhealth.org" TargetMode="External"/><Relationship Id="rId190" Type="http://schemas.openxmlformats.org/officeDocument/2006/relationships/hyperlink" Target="https://bakerripley.org/programs-and-services/head-start/" TargetMode="External"/><Relationship Id="rId194" Type="http://schemas.openxmlformats.org/officeDocument/2006/relationships/hyperlink" Target="https://bakerripley.org/programs-and-services/head-start/" TargetMode="External"/><Relationship Id="rId193" Type="http://schemas.openxmlformats.org/officeDocument/2006/relationships/hyperlink" Target="https://www.google.com/maps/place/Sharpview+Head+Start/@29.7002862,-95.5980687,16z/data=!3m1!4b1!4m6!3m5!1s0x8640dd0dd5645d1d:0xcce010319c5a7018!8m2!3d29.7002816!4d-95.5954938!16s%2Fg%2F1th57cky?entry=ttu&amp;g_ep=EgoyMDI1MDcxNi4wIKXMDSoASAFQAw%3D%3D" TargetMode="External"/><Relationship Id="rId192" Type="http://schemas.openxmlformats.org/officeDocument/2006/relationships/hyperlink" Target="https://bakerripley.org/programs-and-services/head-start/" TargetMode="External"/><Relationship Id="rId191" Type="http://schemas.openxmlformats.org/officeDocument/2006/relationships/hyperlink" Target="https://www.google.com/maps/place/Regency+Square+Early+Head+Start%2FHead+Start%2FHome+Based/@29.7151963,-95.5119039,17z/data=!3m2!4b1!5s0x8640c25200698aab:0x96e1b52a042a82d!4m6!3m5!1s0x8640c238316c3b35:0x3721a8c9292a221!8m2!3d29.7151917!4d-95.509329!16s%2Fm%2F076jbnn?entry=ttu&amp;g_ep=EgoyMDI1MDcxNi4wIKXMDSoASAFQAw%3D%3D" TargetMode="External"/><Relationship Id="rId187" Type="http://schemas.openxmlformats.org/officeDocument/2006/relationships/hyperlink" Target="https://www.google.com/maps/place/Neff+Early+Learning+Center/@29.6976527,-95.5317781,17z/data=!3m1!4b1!4m6!3m5!1s0x8640c2f2b75a3d07:0x74e590993aba83e4!8m2!3d29.6976481!4d-95.5292032!16s%2Fg%2F11g6nkgvdf?entry=ttu&amp;g_ep=EgoyMDI1MDcxNi4wIKXMDSoASAFQAw%3D%3D" TargetMode="External"/><Relationship Id="rId186" Type="http://schemas.openxmlformats.org/officeDocument/2006/relationships/hyperlink" Target="https://bakerripley.org/programs-and-services/head-start/" TargetMode="External"/><Relationship Id="rId185" Type="http://schemas.openxmlformats.org/officeDocument/2006/relationships/hyperlink" Target="https://www.google.com/maps/place/1424+FM+1092+Rd,+Missouri+City,+TX+77459/@29.5989383,-95.5655302,19z/data=!4m6!3m5!1s0x8640e61ef253d823:0x321bca4a29430758!8m2!3d29.5989337!4d-95.5648865!16s%2Fg%2F11bw41rwrk?entry=ttu&amp;g_ep=EgoyMDI1MDcxNi4wIKXMDSoASAFQAw%3D%3D" TargetMode="External"/><Relationship Id="rId184" Type="http://schemas.openxmlformats.org/officeDocument/2006/relationships/hyperlink" Target="https://bakerripley.org/programs-and-services/head-start/" TargetMode="External"/><Relationship Id="rId189" Type="http://schemas.openxmlformats.org/officeDocument/2006/relationships/hyperlink" Target="https://www.google.com/maps/place/8575+Pitner+Rd,+Houston,+TX+77080/@29.8285851,-95.5013535,20z/data=!4m6!3m5!1s0x8640c5b8fb651835:0xb55fd1ecd9e6a24a!8m2!3d29.8285805!4d-95.5010316!16s%2Fg%2F11c43xxb8c?entry=ttu&amp;g_ep=EgoyMDI1MDcxNi4wIKXMDSoASAFQAw%3D%3D" TargetMode="External"/><Relationship Id="rId188" Type="http://schemas.openxmlformats.org/officeDocument/2006/relationships/hyperlink" Target="https://bakerripley.org/programs-and-services/head-start/" TargetMode="External"/><Relationship Id="rId183" Type="http://schemas.openxmlformats.org/officeDocument/2006/relationships/hyperlink" Target="https://www.google.com/maps/place/Klein+Early+Head+Start%2FHead+Start/@29.7173682,-95.4951888,21z/data=!4m15!1m8!3m7!1s0x8640c23441127843:0x92ee027a0a25da88!2s6447+Prestwood+Dr,+Houston,+TX+77081!3b1!8m2!3d29.7173636!4d-95.4950279!16s%2Fg%2F11b8v5k9by!3m5!1s0x8640c23441c06825:0x3e3cde99b3f97dc!8m2!3d29.7174035!4d-95.4950293!16s%2Fg%2F1tqcllqj?entry=ttu&amp;g_ep=EgoyMDI1MDcxNi4wIKXMDSoASAFQAw%3D%3D" TargetMode="External"/><Relationship Id="rId182" Type="http://schemas.openxmlformats.org/officeDocument/2006/relationships/hyperlink" Target="https://bakerripley.org/programs-and-services/head-start/" TargetMode="External"/><Relationship Id="rId181" Type="http://schemas.openxmlformats.org/officeDocument/2006/relationships/hyperlink" Target="https://www.google.com/maps/place/Head+Start-+Kingdom+Builders'+Center/@29.6155841,-95.5086264,15z/data=!4m10!1m2!2m1!1sbakerripley+head+start+kingdom!3m6!1s0x8640eb2b58ddca71:0x2a1436a05aecabb!8m2!3d29.625401!4d-95.4712093!15sCh5iYWtlcnJpcGxleSBoZWFkIHN0YXJ0IGtpbmdkb22SARFoZWFkX3N0YXJ0X2NlbnRlcqoBXxABKhYiEmhlYWQgc3RhcnQga2luZ2RvbSgAMh8QASIbAvUOoj5TeG5nv6UM0_j0lOt4kVoep-M3H2UbMiIQAiIeYmFrZXJyaXBsZXkgaGVhZCBzdGFydCBraW5nZG9t4AEA!16s%2Fg%2F11x6y0kbrp?entry=ttu&amp;g_ep=EgoyMDI1MDcxNi4wIKXMDSoASAFQAw%3D%3D" TargetMode="External"/><Relationship Id="rId180" Type="http://schemas.openxmlformats.org/officeDocument/2006/relationships/hyperlink" Target="https://bakerripley.org/programs-and-services/head-start/" TargetMode="External"/><Relationship Id="rId176" Type="http://schemas.openxmlformats.org/officeDocument/2006/relationships/hyperlink" Target="https://bakerripley.org/programs-and-services/head-start/" TargetMode="External"/><Relationship Id="rId175" Type="http://schemas.openxmlformats.org/officeDocument/2006/relationships/hyperlink" Target="https://www.google.com/maps/place/Head+Start+-+George+Family+Development+Center/@29.5781022,-95.7636494,17z/data=!3m1!4b1!4m6!3m5!1s0x86411e70a4572c79:0x5e6f69c45016b56d!8m2!3d29.5780976!4d-95.7610745!16s%2Fg%2F1262c87fr?entry=ttu&amp;g_ep=EgoyMDI1MDcxNi4wIKXMDSoASAFQAw%3D%3D" TargetMode="External"/><Relationship Id="rId174" Type="http://schemas.openxmlformats.org/officeDocument/2006/relationships/hyperlink" Target="https://bakerripley.org/programs-and-services/head-start/" TargetMode="External"/><Relationship Id="rId173" Type="http://schemas.openxmlformats.org/officeDocument/2006/relationships/hyperlink" Target="https://www.google.com/maps/place/8575+Pitner+Rd,+Houston,+TX+77080/@29.8285851,-95.5013535,20z/data=!4m6!3m5!1s0x8640c5b8fb651835:0xb55fd1ecd9e6a24a!8m2!3d29.8285805!4d-95.5010316!16s%2Fg%2F11c43xxb8c?entry=ttu&amp;g_ep=EgoyMDI1MDcxNi4wIKXMDSoASAFQAw%3D%3D" TargetMode="External"/><Relationship Id="rId179" Type="http://schemas.openxmlformats.org/officeDocument/2006/relationships/hyperlink" Target="https://www.google.com/maps/place/BakerRipley+Head+Start+-+Kenforest/@29.6041536,-95.5285942,17z/data=!3m1!4b1!4m6!3m5!1s0x8640e9c4e38ffe19:0x75b36a42d92269a1!8m2!3d29.604149!4d-95.5260193!16s%2Fg%2F11x8m8ft8p?entry=ttu&amp;g_ep=EgoyMDI1MDcxNi4wIKXMDSoASAFQAw%3D%3D" TargetMode="External"/><Relationship Id="rId178" Type="http://schemas.openxmlformats.org/officeDocument/2006/relationships/hyperlink" Target="https://bakerripley.org/programs-and-services/head-start/" TargetMode="External"/><Relationship Id="rId177" Type="http://schemas.openxmlformats.org/officeDocument/2006/relationships/hyperlink" Target="https://www.google.com/maps/place/Head+Start+-+Hiram+Clarke/@29.6141848,-95.4336097,19z/data=!4m15!1m8!3m7!1s0x8640eb0bd5c250d9:0x9e2bd941cb57211!2s3810+W+Fuqua+St,+Houston,+TX+77045!3b1!8m2!3d29.6141802!4d-95.432966!16s%2Fg%2F11mgpx7vvg!3m5!1s0x8640eb0a25265bb7:0x5a61b6e2b74a3bb!8m2!3d29.6140174!4d-95.4333801!16s%2Fg%2F1pxwnvhp_?entry=ttu&amp;g_ep=EgoyMDI1MDcxNi4wIKXMDSoASAFQAw%3D%3D" TargetMode="External"/><Relationship Id="rId198" Type="http://schemas.openxmlformats.org/officeDocument/2006/relationships/hyperlink" Target="https://bakerripley.org/programs-and-services/food-and-nutrition/" TargetMode="External"/><Relationship Id="rId197" Type="http://schemas.openxmlformats.org/officeDocument/2006/relationships/hyperlink" Target="https://www.google.com/maps/place/Stafford+early+childhood+center/@29.6053812,-95.5434129,19z/data=!4m10!1m2!2m1!1sstafford+head+start!3m6!1s0x8640e95995dcac2d:0x84e0a518b33fff72!8m2!3d29.605063!4d-95.5436774!15sChNzdGFmZm9yZCBoZWFkIHN0YXJ0WhUiE3N0YWZmb3JkIGhlYWQgc3RhcnSSAQZzY2hvb2yaASRDaGREU1VoTk1HOW5TMFZKUTBGblNVUlNiMXAyUzNCM1JSQUKqAVUQASoXIhNzdGFmZm9yZCBoZWFkIHN0YXJ0KAAyHxABIhtFxnW10jTXhWNJabHYZAV3bLl_r3xLKjCU3JgyFxACIhNzdGFmZm9yZCBoZWFkIHN0YXJ04AEA-gEECAoQLA!16s%2Fg%2F11gtymnjqd?entry=ttu&amp;g_ep=EgoyMDI1MDcxNi4wIKXMDSoASAFQAw%3D%3D" TargetMode="External"/><Relationship Id="rId196" Type="http://schemas.openxmlformats.org/officeDocument/2006/relationships/hyperlink" Target="https://bakerripley.org/programs-and-services/head-start/" TargetMode="External"/><Relationship Id="rId195" Type="http://schemas.openxmlformats.org/officeDocument/2006/relationships/hyperlink" Target="https://www.google.com/maps/place/BakerRipley+Head+Start+-+Spring+Branch/@29.7959661,-95.5314128,17z/data=!3m1!4b1!4m6!3m5!1s0x8640c4f1ed305b2d:0x3700b398a0857bef!8m2!3d29.7959615!4d-95.5288379!16s%2Fg%2F1tdjrjds?entry=ttu&amp;g_ep=EgoyMDI1MDcxNi4wIKXMDSoASAFQAw%3D%3D" TargetMode="External"/><Relationship Id="rId199" Type="http://schemas.openxmlformats.org/officeDocument/2006/relationships/hyperlink" Target="https://www.google.com/maps/place/BakerRipley+Pasadena+Campus/@29.6505499,-95.2040632,16z/data=!3m1!4b1!4m6!3m5!1s0x86409848be95e3f9:0xf225e90340c412f3!8m2!3d29.6505453!4d-95.2014883!16s%2Fg%2F1tkc2h2x?entry=ttu&amp;g_ep=EgoyMDI1MDcxNi4wIKXMDSoASAFQAw%3D%3D" TargetMode="External"/><Relationship Id="rId150" Type="http://schemas.openxmlformats.org/officeDocument/2006/relationships/hyperlink" Target="https://bakerripley.org/locations/east-aldine-campus/" TargetMode="External"/><Relationship Id="rId149" Type="http://schemas.openxmlformats.org/officeDocument/2006/relationships/hyperlink" Target="https://www.google.com/maps/place/4414+Navigation+Blvd,+Houston,+TX+77011/@29.7519488,-95.3290606,19z/data=!4m6!3m5!1s0x8640bebe2d110c5b:0xc782a5be663ced9!8m2!3d29.7519442!4d-95.3284169!16s%2Fg%2F11bw4c2lr8?entry=ttu&amp;g_ep=EgoyMDI1MDcxNi4wIKXMDSoASAFQAw%3D%3D" TargetMode="External"/><Relationship Id="rId148" Type="http://schemas.openxmlformats.org/officeDocument/2006/relationships/hyperlink" Target="https://bakerripley.org/programs-and-services/community-schools/" TargetMode="External"/><Relationship Id="rId1090" Type="http://schemas.openxmlformats.org/officeDocument/2006/relationships/hyperlink" Target="https://www.lotshouston.org/services-we-offer.html" TargetMode="External"/><Relationship Id="rId1091" Type="http://schemas.openxmlformats.org/officeDocument/2006/relationships/hyperlink" Target="https://www.google.com/maps/place/Lord+of+the+Streets/@29.7395326,-95.37956,17z/data=!3m1!4b1!4m6!3m5!1s0x8640bf6dc0907353:0x66d6db853817e704!8m2!3d29.739528!4d-95.3769851!16s%2Fg%2F11kbyknd41?entry=ttu&amp;g_ep=EgoyMDI1MTAwOC4wIKXMDSoASAFQAw%3D%3D" TargetMode="External"/><Relationship Id="rId1092" Type="http://schemas.openxmlformats.org/officeDocument/2006/relationships/hyperlink" Target="https://www.lowcostpetvaccinations.net/texas-pet-vaccination-clinics/houston/" TargetMode="External"/><Relationship Id="rId1093" Type="http://schemas.openxmlformats.org/officeDocument/2006/relationships/hyperlink" Target="https://www.milewisctr.org/emergency-assistance" TargetMode="External"/><Relationship Id="rId1094" Type="http://schemas.openxmlformats.org/officeDocument/2006/relationships/hyperlink" Target="https://www.google.com/maps/place/M.I.+Lewis+Social+Service+Center/@29.4507511,-95.0780018,17z/data=!3m1!4b1!4m6!3m5!1s0x863f7d828ad418a1:0x21267f366390e618!8m2!3d29.4507511!4d-95.0754215!16s%2Fg%2F1tk6w8v7?entry=ttu&amp;g_ep=EgoyMDI1MDcwOS4wIKXMDSoASAFQAw%3D%3D" TargetMode="External"/><Relationship Id="rId143" Type="http://schemas.openxmlformats.org/officeDocument/2006/relationships/hyperlink" Target="https://maps.google.com/?q=Baker%20Ripley%204450%20Harrisburg%20Blvd%20%23200%20Houston%20TX%2077011" TargetMode="External"/><Relationship Id="rId1095" Type="http://schemas.openxmlformats.org/officeDocument/2006/relationships/hyperlink" Target="https://www.milewisctr.org/emergency-assistance" TargetMode="External"/><Relationship Id="rId142" Type="http://schemas.openxmlformats.org/officeDocument/2006/relationships/hyperlink" Target="https://bakerripley.org/programs-and-services/weatherization-assistance-program/" TargetMode="External"/><Relationship Id="rId1096" Type="http://schemas.openxmlformats.org/officeDocument/2006/relationships/hyperlink" Target="https://www.google.com/maps/place/M.I.+Lewis+Social+Service+Center/@29.4507511,-95.0780018,17z/data=!3m1!4b1!4m6!3m5!1s0x863f7d828ad418a1:0x21267f366390e618!8m2!3d29.4507511!4d-95.0754215!16s%2Fg%2F1tk6w8v7?entry=ttu&amp;g_ep=EgoyMDI1MDcwOS4wIKXMDSoASAFQAw%3D%3D" TargetMode="External"/><Relationship Id="rId141" Type="http://schemas.openxmlformats.org/officeDocument/2006/relationships/hyperlink" Target="https://maps.google.com/?q=Baker%20Ripley%204450%20Harrisburg%20Blvd%20%23200%20Houston%20TX%2077011" TargetMode="External"/><Relationship Id="rId1097" Type="http://schemas.openxmlformats.org/officeDocument/2006/relationships/hyperlink" Target="https://www.milewisctr.org/food-assistance" TargetMode="External"/><Relationship Id="rId140" Type="http://schemas.openxmlformats.org/officeDocument/2006/relationships/hyperlink" Target="https://bakerripley.org/programs-and-services/utility-assistance/" TargetMode="External"/><Relationship Id="rId1098" Type="http://schemas.openxmlformats.org/officeDocument/2006/relationships/hyperlink" Target="https://www.google.com/maps/place/M.I.+Lewis+Social+Service+Center/@29.4507511,-95.0780018,17z/data=!3m1!4b1!4m6!3m5!1s0x863f7d828ad418a1:0x21267f366390e618!8m2!3d29.4507511!4d-95.0754215!16s%2Fg%2F1tk6w8v7?entry=ttu&amp;g_ep=EgoyMDI1MDcwOS4wIKXMDSoASAFQAw%3D%3D" TargetMode="External"/><Relationship Id="rId147" Type="http://schemas.openxmlformats.org/officeDocument/2006/relationships/hyperlink" Target="https://www.google.com/maps/place/6500+Rookin+St,+Houston,+TX+77074/@29.7111711,-95.4978507,19z/data=!4m6!3m5!1s0x8640c2379594d1f5:0x6035d300bf22db36!8m2!3d29.7111665!4d-95.497207!16s%2Fg%2F11wx041dbm?entry=ttu&amp;g_ep=EgoyMDI1MDcxNi4wIKXMDSoASAFQAw%3D%3D" TargetMode="External"/><Relationship Id="rId1099" Type="http://schemas.openxmlformats.org/officeDocument/2006/relationships/hyperlink" Target="https://www.milewisctr.org/senior-delivieries" TargetMode="External"/><Relationship Id="rId146" Type="http://schemas.openxmlformats.org/officeDocument/2006/relationships/hyperlink" Target="https://bakerripley.org/programs-and-services/community-schools/" TargetMode="External"/><Relationship Id="rId145" Type="http://schemas.openxmlformats.org/officeDocument/2006/relationships/hyperlink" Target="https://www.google.com/maps/place/209+N+York+St,+Houston,+TX+77003/@29.7531274,-95.3392518,17z/data=!3m1!4b1!4m6!3m5!1s0x8640bec226167a03:0x2007e1cd959c8d7f!8m2!3d29.7531228!4d-95.3366769!16s%2Fg%2F11c0zqjc8l?entry=ttu&amp;g_ep=EgoyMDI1MDcxNi4wIKXMDSoASAFQAw%3D%3D" TargetMode="External"/><Relationship Id="rId144" Type="http://schemas.openxmlformats.org/officeDocument/2006/relationships/hyperlink" Target="https://bakerripley.org/locations/fraga-angelita-pre-k/" TargetMode="External"/><Relationship Id="rId139" Type="http://schemas.openxmlformats.org/officeDocument/2006/relationships/hyperlink" Target="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 TargetMode="External"/><Relationship Id="rId138" Type="http://schemas.openxmlformats.org/officeDocument/2006/relationships/hyperlink" Target="https://avenue360.org/" TargetMode="External"/><Relationship Id="rId137" Type="http://schemas.openxmlformats.org/officeDocument/2006/relationships/hyperlink" Target="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 TargetMode="External"/><Relationship Id="rId1080" Type="http://schemas.openxmlformats.org/officeDocument/2006/relationships/hyperlink" Target="https://www.google.com/maps/place/Wellness+Bar+by+Legacy/@29.7448359,-95.3851878,17z/data=!3m1!4b1!4m6!3m5!1s0x8640bfa1548255f5:0x6f521dceaff7fef5!8m2!3d29.7448359!4d-95.3826075!16s%2Fg%2F11llbmyfyz?entry=ttu&amp;g_ep=EgoyMDI1MTAxNC4wIKXMDSoASAFQAw%3D%3D" TargetMode="External"/><Relationship Id="rId1081" Type="http://schemas.openxmlformats.org/officeDocument/2006/relationships/hyperlink" Target="https://lifehousehouston.org/" TargetMode="External"/><Relationship Id="rId1082" Type="http://schemas.openxmlformats.org/officeDocument/2006/relationships/hyperlink" Target="https://www.lhwassociation.org/" TargetMode="External"/><Relationship Id="rId1083" Type="http://schemas.openxmlformats.org/officeDocument/2006/relationships/hyperlink" Target="https://www.google.com/maps/place/Living+Hope+Wheelchair+Association/@29.7932354,-95.529078,17z/data=!3m1!4b1!4m9!3m8!1s0x8640db47a5ae9cf1:0x96cf8723d6996be0!5m2!4m1!1i2!8m2!3d29.7932308!4d-95.5242071!16s%2Fg%2F11cm0kck5h?entry=ttu&amp;g_ep=EgoyMDI1MDUxMS4wIKXMDSoASAFQAw%3D%3D" TargetMode="External"/><Relationship Id="rId132" Type="http://schemas.openxmlformats.org/officeDocument/2006/relationships/hyperlink" Target="https://avenue360.org/" TargetMode="External"/><Relationship Id="rId1084" Type="http://schemas.openxmlformats.org/officeDocument/2006/relationships/hyperlink" Target="https://www.lonestarlegal.org/" TargetMode="External"/><Relationship Id="rId131" Type="http://schemas.openxmlformats.org/officeDocument/2006/relationships/hyperlink" Targe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 TargetMode="External"/><Relationship Id="rId1085" Type="http://schemas.openxmlformats.org/officeDocument/2006/relationships/hyperlink" Target="https://maps.google.com/?q=Lonestar%20Legal%20Aid%201415%20Fannin%20Houston%20TX%2077002" TargetMode="External"/><Relationship Id="rId130" Type="http://schemas.openxmlformats.org/officeDocument/2006/relationships/hyperlink" Target="https://avenue360.org/" TargetMode="External"/><Relationship Id="rId1086" Type="http://schemas.openxmlformats.org/officeDocument/2006/relationships/hyperlink" Target="https://www.lonestarlegal.org/" TargetMode="External"/><Relationship Id="rId1087" Type="http://schemas.openxmlformats.org/officeDocument/2006/relationships/hyperlink" Target="https://maps.google.com/?q=Lonestar%20Legal%20Aid%201415%20Fannin%20Houston%20TX%2077002" TargetMode="External"/><Relationship Id="rId136" Type="http://schemas.openxmlformats.org/officeDocument/2006/relationships/hyperlink" Target="https://avenue360.org/" TargetMode="External"/><Relationship Id="rId1088" Type="http://schemas.openxmlformats.org/officeDocument/2006/relationships/hyperlink" Target="https://www.lotshouston.org/services-we-offer.html" TargetMode="External"/><Relationship Id="rId135" Type="http://schemas.openxmlformats.org/officeDocument/2006/relationships/hyperlink" Targe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 TargetMode="External"/><Relationship Id="rId1089" Type="http://schemas.openxmlformats.org/officeDocument/2006/relationships/hyperlink" Target="https://www.google.com/maps/place/Lord+of+the+Streets/@29.7395326,-95.37956,17z/data=!3m1!4b1!4m6!3m5!1s0x8640bf6dc0907353:0x66d6db853817e704!8m2!3d29.739528!4d-95.3769851!16s%2Fg%2F11kbyknd41?entry=ttu&amp;g_ep=EgoyMDI1MTAwOC4wIKXMDSoASAFQAw%3D%3D" TargetMode="External"/><Relationship Id="rId134" Type="http://schemas.openxmlformats.org/officeDocument/2006/relationships/hyperlink" Target="https://avenue360.org/" TargetMode="External"/><Relationship Id="rId133" Type="http://schemas.openxmlformats.org/officeDocument/2006/relationships/hyperlink" Targe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 TargetMode="External"/><Relationship Id="rId172" Type="http://schemas.openxmlformats.org/officeDocument/2006/relationships/hyperlink" Target="https://bakerripley.org/programs-and-services/head-start/" TargetMode="External"/><Relationship Id="rId171" Type="http://schemas.openxmlformats.org/officeDocument/2006/relationships/hyperlink" Target="https://www.google.com/maps/place/Cook+Road+Head+Start+Center/@29.7009903,-95.5977096,17z/data=!3m1!4b1!4m6!3m5!1s0x8640dd0e65d0d1e1:0xa0e155c8254ea668!8m2!3d29.7009857!4d-95.5951347!16s%2Fg%2F1tcxk4h0?entry=ttu&amp;g_ep=EgoyMDI1MDcxNi4wIKXMDSoASAFQAw%3D%3D" TargetMode="External"/><Relationship Id="rId170" Type="http://schemas.openxmlformats.org/officeDocument/2006/relationships/hyperlink" Target="https://bakerripley.org/programs-and-services/head-start/" TargetMode="External"/><Relationship Id="rId165" Type="http://schemas.openxmlformats.org/officeDocument/2006/relationships/hyperlink" Target="https://www.google.com/maps/place/BakerRipley+Gulfton+Sharpstown+Campus/@29.7076447,-95.4990527,17z/data=!3m1!4b1!4m6!3m5!1s0x8640c238494488c9:0xdb9adc004e125734!8m2!3d29.7076401!4d-95.4964778!16s%2Fg%2F1jkw0qjn8?entry=ttu&amp;g_ep=EgoyMDI1MDcxNi4wIKXMDSoASAFQAw%3D%3D" TargetMode="External"/><Relationship Id="rId164" Type="http://schemas.openxmlformats.org/officeDocument/2006/relationships/hyperlink" Target="https://bakerripley.org/programs-and-services/tax-assistance/" TargetMode="External"/><Relationship Id="rId163" Type="http://schemas.openxmlformats.org/officeDocument/2006/relationships/hyperlink" Target="https://www.google.com/maps/place/BakerRipley+Gulfton+Annex+B/@29.7076447,-95.4990527,17z/data=!4m14!1m7!3m6!1s0x8640c238494488c9:0xdb9adc004e125734!2sBakerRipley+Gulfton+Annex+B!8m2!3d29.7076401!4d-95.4964778!16s%2Fg%2F1jkw0qjn8!3m5!1s0x8640c238494488c9:0xdb9adc004e125734!8m2!3d29.7076401!4d-95.4964778!16s%2Fg%2F1jkw0qjn8?entry=ttu&amp;g_ep=EgoyMDI1MDgwNi4wIKXMDSoASAFQAw%3D%3D" TargetMode="External"/><Relationship Id="rId162" Type="http://schemas.openxmlformats.org/officeDocument/2006/relationships/hyperlink" Target="https://bakerripley.org/app/uploads/2025/05/BR-Immigration-Social-Services.pdf" TargetMode="External"/><Relationship Id="rId169" Type="http://schemas.openxmlformats.org/officeDocument/2006/relationships/hyperlink" Target="https://www.google.com/maps/place/Christine+Smith+Early+Head+Start/@29.5889155,-95.7776077,17z/data=!3m1!4b1!4m6!3m5!1s0x86411e8bcee94025:0x9a8bbf3b6b0ded8d!8m2!3d29.5889109!4d-95.7750328!16s%2Fg%2F1tjdrql0?entry=ttu&amp;g_ep=EgoyMDI1MDcxNi4wIKXMDSoASAFQAw%3D%3D" TargetMode="External"/><Relationship Id="rId168" Type="http://schemas.openxmlformats.org/officeDocument/2006/relationships/hyperlink" Target="https://bakerripley.org/programs-and-services/head-start/" TargetMode="External"/><Relationship Id="rId167" Type="http://schemas.openxmlformats.org/officeDocument/2006/relationships/hyperlink" Target="https://www.google.com/maps/place/Albury+Head+Start/@29.6581517,-95.502603,17z/data=!3m1!4b1!4m6!3m5!1s0x8640e9e9f4100001:0x483c982a4db5c0ef!8m2!3d29.6581471!4d-95.4977321!16s%2Fg%2F11hy9ntx15?entry=ttu&amp;g_ep=EgoyMDI1MDcxNi4wIKXMDSoASAFQAw%3D%3D" TargetMode="External"/><Relationship Id="rId166" Type="http://schemas.openxmlformats.org/officeDocument/2006/relationships/hyperlink" Target="https://bakerripley.org/programs-and-services/head-start/" TargetMode="External"/><Relationship Id="rId161" Type="http://schemas.openxmlformats.org/officeDocument/2006/relationships/hyperlink" Target="https://www.google.com/maps/place/BakerRipley+Gulfton+Sharpstown+Campus/@29.7076447,-95.4990527,17z/data=!3m1!4b1!4m6!3m5!1s0x8640c238494488c9:0xdb9adc004e125734!8m2!3d29.7076401!4d-95.4964778!16s%2Fg%2F1jkw0qjn8?entry=ttu&amp;g_ep=EgoyMDI1MDcxNi4wIKXMDSoASAFQAw%3D%3D" TargetMode="External"/><Relationship Id="rId160" Type="http://schemas.openxmlformats.org/officeDocument/2006/relationships/hyperlink" Target="https://bakerripley.org/programs-and-services/food-and-nutrition/" TargetMode="External"/><Relationship Id="rId159" Type="http://schemas.openxmlformats.org/officeDocument/2006/relationships/hyperlink" Target="https://www.google.com/maps/place/BakerRipley+Gulfton+Sharpstown+Campus/@29.7076447,-95.4990527,17z/data=!3m1!4b1!4m6!3m5!1s0x8640c238494488c9:0xdb9adc004e125734!8m2!3d29.7076401!4d-95.4964778!16s%2Fg%2F1jkw0qjn8?entry=ttu&amp;g_ep=EgoyMDI1MDcxNi4wIKXMDSoASAFQAw%3D%3D" TargetMode="External"/><Relationship Id="rId154" Type="http://schemas.openxmlformats.org/officeDocument/2006/relationships/hyperlink" Target="https://bakerripley.org/locations/east-aldine-campus/" TargetMode="External"/><Relationship Id="rId153" Type="http://schemas.openxmlformats.org/officeDocument/2006/relationships/hyperlink" Target="https://www.google.com/maps/place/BakerRipley+East+Aldine+Campus/@29.9021917,-95.3461412,17z/data=!3m1!4b1!4m6!3m5!1s0x8640b740344d7061:0x91e51a475ada0800!8m2!3d29.9021871!4d-95.3435663!16s%2Fg%2F11hdk_8pl3?entry=ttu&amp;g_ep=EgoyMDI1MDcxNi4wIKXMDSoASAFQAw%3D%3D" TargetMode="External"/><Relationship Id="rId152" Type="http://schemas.openxmlformats.org/officeDocument/2006/relationships/hyperlink" Target="https://bakerripley.org/programs-and-services/tax-assistance/" TargetMode="External"/><Relationship Id="rId151" Type="http://schemas.openxmlformats.org/officeDocument/2006/relationships/hyperlink" Target="https://www.google.com/maps/place/BakerRipley+East+Aldine+Campus/@29.9021917,-95.3461412,17z/data=!3m1!4b1!4m6!3m5!1s0x8640b740344d7061:0x91e51a475ada0800!8m2!3d29.9021871!4d-95.3435663!16s%2Fg%2F11hdk_8pl3?entry=ttu&amp;g_ep=EgoyMDI1MDcxNi4wIKXMDSoASAFQAw%3D%3D" TargetMode="External"/><Relationship Id="rId158" Type="http://schemas.openxmlformats.org/officeDocument/2006/relationships/hyperlink" Target="https://bakerripley.org/programs-and-services/food-and-nutrition/" TargetMode="External"/><Relationship Id="rId157" Type="http://schemas.openxmlformats.org/officeDocument/2006/relationships/hyperlink" Target="https://www.google.com/maps/place/6200+Savoy+Dr,+Houston,+TX+77036/@29.7143316,-95.5077939,19z/data=!4m6!3m5!1s0x8640c24e8ff2311d:0x27eec4e88a1a3647!8m2!3d29.7144668!4d-95.5060075!16s%2Fg%2F11c1jh3lb1?entry=ttu&amp;g_ep=EgoyMDI1MDgwNi4wIKXMDSoASAFQAw%3D%3D" TargetMode="External"/><Relationship Id="rId156" Type="http://schemas.openxmlformats.org/officeDocument/2006/relationships/hyperlink" Target="https://bakerripley.org/programs-and-services/immigration-and-citizenship-services/" TargetMode="External"/><Relationship Id="rId155" Type="http://schemas.openxmlformats.org/officeDocument/2006/relationships/hyperlink" Target="https://www.google.com/maps/place/BakerRipley+East+Aldine+Campus/@29.9021917,-95.3461412,17z/data=!3m1!4b1!4m6!3m5!1s0x8640b740344d7061:0x91e51a475ada0800!8m2!3d29.9021871!4d-95.3435663!16s%2Fg%2F11hdk_8pl3?entry=ttu&amp;g_ep=EgoyMDI1MDcxNi4wIKXMDSoASAFQAw%3D%3D" TargetMode="External"/><Relationship Id="rId1510" Type="http://schemas.openxmlformats.org/officeDocument/2006/relationships/hyperlink" Target="https://stcharleshouston.org/parish-groups" TargetMode="External"/><Relationship Id="rId1511" Type="http://schemas.openxmlformats.org/officeDocument/2006/relationships/hyperlink" Target="https://maps.google.com/?q=St%20Charles%20Borromeo%20(SVdP%20D1)%20501%20Tidwell%20Rd%20Houston%20TX%2077022" TargetMode="External"/><Relationship Id="rId1512" Type="http://schemas.openxmlformats.org/officeDocument/2006/relationships/hyperlink" Target="https://stcharleshouston.org/parish-groups" TargetMode="External"/><Relationship Id="rId1513" Type="http://schemas.openxmlformats.org/officeDocument/2006/relationships/hyperlink" Target="https://maps.google.com/?q=St%20Charles%20Borromeo%20(SVdP%20D1)%20501%20Tidwell%20Rd%20Houston%20TX%2077022" TargetMode="External"/><Relationship Id="rId1514" Type="http://schemas.openxmlformats.org/officeDocument/2006/relationships/hyperlink" Target="https://stclarehouston.org/christians-in-action" TargetMode="External"/><Relationship Id="rId1515" Type="http://schemas.openxmlformats.org/officeDocument/2006/relationships/hyperlink" Target="https://maps.google.com/?q=St%20Clare%20of%20Assisi%20(Christ%20in%20Action)%203131%20El%20Dorado%20Blvd%20Houston%20TX%2077059" TargetMode="External"/><Relationship Id="rId1516" Type="http://schemas.openxmlformats.org/officeDocument/2006/relationships/hyperlink" Target="https://stclarehouston.org/christians-in-action" TargetMode="External"/><Relationship Id="rId1517" Type="http://schemas.openxmlformats.org/officeDocument/2006/relationships/hyperlink" Target="https://maps.google.com/?q=St%20Clare%20of%20Assisi%20(Christ%20in%20Action)%203131%20El%20Dorado%20Blvd%20Houston%20TX%2077059" TargetMode="External"/><Relationship Id="rId1518" Type="http://schemas.openxmlformats.org/officeDocument/2006/relationships/hyperlink" Target="https://www.saintedward.org/" TargetMode="External"/><Relationship Id="rId1519" Type="http://schemas.openxmlformats.org/officeDocument/2006/relationships/hyperlink" Target="https://maps.google.com/?q=St%20Edward%20Spring%202601%20Spring%20Stuebner%20Rd%20Spring%20TX%2077389" TargetMode="External"/><Relationship Id="rId1500" Type="http://schemas.openxmlformats.org/officeDocument/2006/relationships/hyperlink" Target="https://stcatherine-houston.org/" TargetMode="External"/><Relationship Id="rId1501" Type="http://schemas.openxmlformats.org/officeDocument/2006/relationships/hyperlink" Target="https://maps.google.com/?q=St%20Catherine%20of%20Sienna%2010688%20Shadow%20Wood%20Dr%20Houston%20TX%2077043" TargetMode="External"/><Relationship Id="rId1502" Type="http://schemas.openxmlformats.org/officeDocument/2006/relationships/hyperlink" Target="https://stcatherine-houston.org/" TargetMode="External"/><Relationship Id="rId1503" Type="http://schemas.openxmlformats.org/officeDocument/2006/relationships/hyperlink" Target="https://maps.google.com/?q=St%20Catherine%20of%20Sienna%2010688%20Shadow%20Wood%20Dr%20Houston%20TX%2077043" TargetMode="External"/><Relationship Id="rId1504" Type="http://schemas.openxmlformats.org/officeDocument/2006/relationships/hyperlink" Target="https://saintcecilia.org/svdp" TargetMode="External"/><Relationship Id="rId1505" Type="http://schemas.openxmlformats.org/officeDocument/2006/relationships/hyperlink" Target="https://maps.google.com/?q=St%20Cecilia%20(SVdP%20D4)%2011720%20Joan%20of%20Arc%20Dr%20Houston%20TX%2077024" TargetMode="External"/><Relationship Id="rId1506" Type="http://schemas.openxmlformats.org/officeDocument/2006/relationships/hyperlink" Target="https://saintcecilia.org/svdp" TargetMode="External"/><Relationship Id="rId1507" Type="http://schemas.openxmlformats.org/officeDocument/2006/relationships/hyperlink" Target="https://maps.google.com/?q=St%20Cecilia%20(SVdP%20D4)%2011720%20Joan%20of%20Arc%20Dr%20Houston%20TX%2077024" TargetMode="External"/><Relationship Id="rId1508" Type="http://schemas.openxmlformats.org/officeDocument/2006/relationships/hyperlink" Target="https://stcharleshouston.org/parish-groups" TargetMode="External"/><Relationship Id="rId1509" Type="http://schemas.openxmlformats.org/officeDocument/2006/relationships/hyperlink" Target="https://maps.google.com/?q=St%20Charles%20Borromeo%20(SVdP%20D1)%20501%20Tidwell%20Rd%20Houston%20TX%2077022" TargetMode="External"/><Relationship Id="rId1576" Type="http://schemas.openxmlformats.org/officeDocument/2006/relationships/hyperlink" Target="https://www.saintjoseph.org/en/serve/social-committee" TargetMode="External"/><Relationship Id="rId1577" Type="http://schemas.openxmlformats.org/officeDocument/2006/relationships/hyperlink" Target="https://maps.app.goo.gl/qxuHRbWT6MeMWjHP7" TargetMode="External"/><Relationship Id="rId1578" Type="http://schemas.openxmlformats.org/officeDocument/2006/relationships/hyperlink" Target="https://www.saintjoseph.org/en/serve/social-committee" TargetMode="External"/><Relationship Id="rId1579" Type="http://schemas.openxmlformats.org/officeDocument/2006/relationships/hyperlink" Target="https://maps.app.goo.gl/qxuHRbWT6MeMWjHP7" TargetMode="External"/><Relationship Id="rId509" Type="http://schemas.openxmlformats.org/officeDocument/2006/relationships/hyperlink" Target="https://www.humanneeds.org/" TargetMode="External"/><Relationship Id="rId508" Type="http://schemas.openxmlformats.org/officeDocument/2006/relationships/hyperlink" Target="https://maps.google.com/?q=East%20Ft%20Bend%20Human%20Needs%20435%20Stafford%20Run%20Rd%20Stafford%20TX%2077477" TargetMode="External"/><Relationship Id="rId503" Type="http://schemas.openxmlformats.org/officeDocument/2006/relationships/hyperlink" Target="https://eastendsocialservices.org/about-us" TargetMode="External"/><Relationship Id="rId987" Type="http://schemas.openxmlformats.org/officeDocument/2006/relationships/hyperlink" Target="https://maps.app.goo.gl/K6Z73EZDgLPsfm299" TargetMode="External"/><Relationship Id="rId502" Type="http://schemas.openxmlformats.org/officeDocument/2006/relationships/hyperlink" Target="https://maps.google.com/?q=Dress%20For%20Success%20%20%20TX%20" TargetMode="External"/><Relationship Id="rId986" Type="http://schemas.openxmlformats.org/officeDocument/2006/relationships/hyperlink" Target="https://isgh.org/" TargetMode="External"/><Relationship Id="rId501" Type="http://schemas.openxmlformats.org/officeDocument/2006/relationships/hyperlink" Target="https://www.dfshouston.org/get-support" TargetMode="External"/><Relationship Id="rId985" Type="http://schemas.openxmlformats.org/officeDocument/2006/relationships/hyperlink" Target="https://maps.app.goo.gl/K6Z73EZDgLPsfm299" TargetMode="External"/><Relationship Id="rId500" Type="http://schemas.openxmlformats.org/officeDocument/2006/relationships/hyperlink" Target="https://www.google.com/maps/place/104+W+9th+St,+Vancouver,+WA+98660/@45.6280387,-122.6736554,17z/data=!4m16!1m9!3m8!1s0x5495a8b1216919e5:0xf8b2ecd84f1da722!2s104+W+9th+St,+Vancouver,+WA+98660!3b1!8m2!3d45.6281757!4d-122.672251!10e3!16s%2Fg%2F11cs83vv_f!3m5!1s0x5495a8b1216919e5:0xf8b2ecd84f1da722!8m2!3d45.6281757!4d-122.672251!16s%2Fg%2F11cs83vv_f?entry=ttu&amp;g_ep=EgoyMDI2MDEyMC4wIKXMDSoKLDEwMDc5MjA2OUgBUAM%3D" TargetMode="External"/><Relationship Id="rId984" Type="http://schemas.openxmlformats.org/officeDocument/2006/relationships/hyperlink" Target="https://isgh.org/" TargetMode="External"/><Relationship Id="rId507" Type="http://schemas.openxmlformats.org/officeDocument/2006/relationships/hyperlink" Target="https://www.humanneeds.org/" TargetMode="External"/><Relationship Id="rId506" Type="http://schemas.openxmlformats.org/officeDocument/2006/relationships/hyperlink" Target="https://maps.google.com/?q=East%20Ft%20Bend%20Human%20Needs%20435%20Stafford%20Run%20Rd%20Stafford%20TX%2077477" TargetMode="External"/><Relationship Id="rId505" Type="http://schemas.openxmlformats.org/officeDocument/2006/relationships/hyperlink" Target="https://www.humanneeds.org/" TargetMode="External"/><Relationship Id="rId989" Type="http://schemas.openxmlformats.org/officeDocument/2006/relationships/hyperlink" Target="https://maps.app.goo.gl/K6Z73EZDgLPsfm299" TargetMode="External"/><Relationship Id="rId504" Type="http://schemas.openxmlformats.org/officeDocument/2006/relationships/hyperlink" Target="https://www.google.com/maps/place/East+End+Social+Services+Inc./@29.7505279,-95.3053317,17z/data=!4m15!1m8!3m7!1s0x8640bc22c586e303:0x1c1e980397081ddc!2s6801+Avenue+U,+Houston,+TX+77011!3b1!8m2!3d29.7505233!4d-95.3004554!16s%2Fg%2F11pw0kncx6!3m5!1s0x8640bc22c5874fd3:0x944629381533dfed!8m2!3d29.7505233!4d-95.3004554!16s%2Fg%2F11jk3rdb_8?entry=ttu&amp;g_ep=EgoyMDI1MDYwMy4wIKXMDSoASAFQAw%3D%3D" TargetMode="External"/><Relationship Id="rId988" Type="http://schemas.openxmlformats.org/officeDocument/2006/relationships/hyperlink" Target="https://isgh.org/" TargetMode="External"/><Relationship Id="rId1570" Type="http://schemas.openxmlformats.org/officeDocument/2006/relationships/hyperlink" Target="https://www.saintjoseph.org/en/serve/social-committee" TargetMode="External"/><Relationship Id="rId1571" Type="http://schemas.openxmlformats.org/officeDocument/2006/relationships/hyperlink" Target="https://maps.app.goo.gl/qxuHRbWT6MeMWjHP7" TargetMode="External"/><Relationship Id="rId983" Type="http://schemas.openxmlformats.org/officeDocument/2006/relationships/hyperlink" Target="https://maps.google.com/?q=Interfaith%20of%20the%20Woodlands%204242%20Interfaith%20Way%20Spring%20TX%2077381" TargetMode="External"/><Relationship Id="rId1572" Type="http://schemas.openxmlformats.org/officeDocument/2006/relationships/hyperlink" Target="https://www.saintjoseph.org/en/serve/social-committee" TargetMode="External"/><Relationship Id="rId982" Type="http://schemas.openxmlformats.org/officeDocument/2006/relationships/hyperlink" Target="https://icmtx.org/" TargetMode="External"/><Relationship Id="rId1573" Type="http://schemas.openxmlformats.org/officeDocument/2006/relationships/hyperlink" Target="https://maps.app.goo.gl/qxuHRbWT6MeMWjHP7" TargetMode="External"/><Relationship Id="rId981" Type="http://schemas.openxmlformats.org/officeDocument/2006/relationships/hyperlink" Target="https://maps.google.com/?q=Interfaith%20of%20the%20Woodlands%204242%20Interfaith%20Way%20Spring%20TX%2077381" TargetMode="External"/><Relationship Id="rId1574" Type="http://schemas.openxmlformats.org/officeDocument/2006/relationships/hyperlink" Target="https://www.saintjoseph.org/en/serve/social-committee" TargetMode="External"/><Relationship Id="rId980" Type="http://schemas.openxmlformats.org/officeDocument/2006/relationships/hyperlink" Target="https://icmtx.org/" TargetMode="External"/><Relationship Id="rId1575" Type="http://schemas.openxmlformats.org/officeDocument/2006/relationships/hyperlink" Target="https://maps.app.goo.gl/qxuHRbWT6MeMWjHP7" TargetMode="External"/><Relationship Id="rId1565" Type="http://schemas.openxmlformats.org/officeDocument/2006/relationships/hyperlink" Target="https://maps.google.com/?q=St%20Joseph%20(SVdP%20D6)%20New%20Waverly%20101%20Elmore%20St%20New%20Waverly%20TX%2077358" TargetMode="External"/><Relationship Id="rId1566" Type="http://schemas.openxmlformats.org/officeDocument/2006/relationships/hyperlink" Target="https://www.st-josephtx.org/from-the-desk-of-fr-kim-2/" TargetMode="External"/><Relationship Id="rId1567" Type="http://schemas.openxmlformats.org/officeDocument/2006/relationships/hyperlink" Target="https://maps.google.com/?q=St%20Joseph%20(SVdP%20D6)%20New%20Waverly%20101%20Elmore%20St%20New%20Waverly%20TX%2077358" TargetMode="External"/><Relationship Id="rId1568" Type="http://schemas.openxmlformats.org/officeDocument/2006/relationships/hyperlink" Target="https://stjosephonthebrazos.com/st-josephs-helping-hands" TargetMode="External"/><Relationship Id="rId1569" Type="http://schemas.openxmlformats.org/officeDocument/2006/relationships/hyperlink" Target="https://maps.google.com/?q=St%20Joseph%20Brazoria%20219%20County%20Rd%20762%20Brazoria%20TX%2077422" TargetMode="External"/><Relationship Id="rId976" Type="http://schemas.openxmlformats.org/officeDocument/2006/relationships/hyperlink" Target="https://icmtx.org/" TargetMode="External"/><Relationship Id="rId975" Type="http://schemas.openxmlformats.org/officeDocument/2006/relationships/hyperlink" Target="https://maps.google.com/?q=Interfaith%20of%20the%20Woodlands%204242%20Interfaith%20Way%20Spring%20TX%2077381" TargetMode="External"/><Relationship Id="rId974" Type="http://schemas.openxmlformats.org/officeDocument/2006/relationships/hyperlink" Target="https://icmtx.org/" TargetMode="External"/><Relationship Id="rId973" Type="http://schemas.openxmlformats.org/officeDocument/2006/relationships/hyperlink" Target="https://maps.google.com/?q=Interfaith%20of%20the%20Woodlands%204242%20Interfaith%20Way%20Spring%20TX%2077381" TargetMode="External"/><Relationship Id="rId979" Type="http://schemas.openxmlformats.org/officeDocument/2006/relationships/hyperlink" Target="https://maps.google.com/?q=Interfaith%20of%20the%20Woodlands%204242%20Interfaith%20Way%20Spring%20TX%2077381" TargetMode="External"/><Relationship Id="rId978" Type="http://schemas.openxmlformats.org/officeDocument/2006/relationships/hyperlink" Target="https://icmtx.org/" TargetMode="External"/><Relationship Id="rId977" Type="http://schemas.openxmlformats.org/officeDocument/2006/relationships/hyperlink" Target="https://maps.google.com/?q=Interfaith%20of%20the%20Woodlands%204242%20Interfaith%20Way%20Spring%20TX%2077381" TargetMode="External"/><Relationship Id="rId1560" Type="http://schemas.openxmlformats.org/officeDocument/2006/relationships/hyperlink" Target="https://www.stjohnvianney.org/ministries/social-services/food-program/" TargetMode="External"/><Relationship Id="rId972" Type="http://schemas.openxmlformats.org/officeDocument/2006/relationships/hyperlink" Target="https://icmtx.org/" TargetMode="External"/><Relationship Id="rId1561" Type="http://schemas.openxmlformats.org/officeDocument/2006/relationships/hyperlink" Target="https://maps.google.com/?q=St%20John%20Vianney%20625%20Nottingham%20Oaks%20Trail%20Houston%20TX%2077079" TargetMode="External"/><Relationship Id="rId971" Type="http://schemas.openxmlformats.org/officeDocument/2006/relationships/hyperlink" Target="https://maps.google.com/?q=Interfaith%20of%20the%20Woodlands%204242%20Interfaith%20Way%20Spring%20TX%2077381" TargetMode="External"/><Relationship Id="rId1562" Type="http://schemas.openxmlformats.org/officeDocument/2006/relationships/hyperlink" Target="https://www.st-josephtx.org/from-the-desk-of-fr-kim-2/" TargetMode="External"/><Relationship Id="rId970" Type="http://schemas.openxmlformats.org/officeDocument/2006/relationships/hyperlink" Target="https://icmtx.org/" TargetMode="External"/><Relationship Id="rId1563" Type="http://schemas.openxmlformats.org/officeDocument/2006/relationships/hyperlink" Target="https://maps.google.com/?q=St%20Joseph%20(SVdP%20D6)%20New%20Waverly%20101%20Elmore%20St%20New%20Waverly%20TX%2077358" TargetMode="External"/><Relationship Id="rId1564" Type="http://schemas.openxmlformats.org/officeDocument/2006/relationships/hyperlink" Target="https://www.st-josephtx.org/from-the-desk-of-fr-kim-2/" TargetMode="External"/><Relationship Id="rId1114"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1598" Type="http://schemas.openxmlformats.org/officeDocument/2006/relationships/hyperlink" Target="https://stmartinbarrett.org/" TargetMode="External"/><Relationship Id="rId1115" Type="http://schemas.openxmlformats.org/officeDocument/2006/relationships/hyperlink" Target="https://www.houstonhealth.org/services/multi-service-centers/magnolia-multi-service-center" TargetMode="External"/><Relationship Id="rId1599" Type="http://schemas.openxmlformats.org/officeDocument/2006/relationships/hyperlink" Target="https://maps.google.com/?q=St%20Martin%20de%20Porres%20(SVdP%20D5)%2012606%20Crosby%20Lynchburg%20Rd%20Crosby%20TX%2077532" TargetMode="External"/><Relationship Id="rId1116"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1117" Type="http://schemas.openxmlformats.org/officeDocument/2006/relationships/hyperlink" Target="https://www.houstonhealth.org/services/multi-service-centers/magnolia-multi-service-center" TargetMode="External"/><Relationship Id="rId1118"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1119" Type="http://schemas.openxmlformats.org/officeDocument/2006/relationships/hyperlink" Target="https://msmhouston.org/" TargetMode="External"/><Relationship Id="rId525" Type="http://schemas.openxmlformats.org/officeDocument/2006/relationships/hyperlink" Target="https://www.elcentrodecorazon.org" TargetMode="External"/><Relationship Id="rId524" Type="http://schemas.openxmlformats.org/officeDocument/2006/relationships/hyperlink" Target="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 TargetMode="External"/><Relationship Id="rId523" Type="http://schemas.openxmlformats.org/officeDocument/2006/relationships/hyperlink" Target="https://www.elcentrodecorazon.org" TargetMode="External"/><Relationship Id="rId522" Type="http://schemas.openxmlformats.org/officeDocument/2006/relationships/hyperlink" Target="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 TargetMode="External"/><Relationship Id="rId529" Type="http://schemas.openxmlformats.org/officeDocument/2006/relationships/hyperlink" Target="https://www.elcentrodecorazon.org" TargetMode="External"/><Relationship Id="rId528" Type="http://schemas.openxmlformats.org/officeDocument/2006/relationships/hyperlink" Target="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 TargetMode="External"/><Relationship Id="rId527" Type="http://schemas.openxmlformats.org/officeDocument/2006/relationships/hyperlink" Target="https://www.elcentrodecorazon.org" TargetMode="External"/><Relationship Id="rId526" Type="http://schemas.openxmlformats.org/officeDocument/2006/relationships/hyperlink" Target="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 TargetMode="External"/><Relationship Id="rId1590" Type="http://schemas.openxmlformats.org/officeDocument/2006/relationships/hyperlink" Target="https://skdcc.com/parish-organizations" TargetMode="External"/><Relationship Id="rId1591" Type="http://schemas.openxmlformats.org/officeDocument/2006/relationships/hyperlink" Target="https://maps.google.com/?q=St%20Katherine%20of%20Drexel%20Hempstead%20800%20FM%201488%20Hempstead%20TX%2077445" TargetMode="External"/><Relationship Id="rId1592" Type="http://schemas.openxmlformats.org/officeDocument/2006/relationships/hyperlink" Target="https://stlukescatholic.com/" TargetMode="External"/><Relationship Id="rId1593" Type="http://schemas.openxmlformats.org/officeDocument/2006/relationships/hyperlink" Target="https://maps.google.com/?q=St%20Luke%20the%20Evangelist%2011011%20Hall%20Rd%20Houston%20TX%2077089" TargetMode="External"/><Relationship Id="rId521" Type="http://schemas.openxmlformats.org/officeDocument/2006/relationships/hyperlink" Target="https://www.elcentrodecorazon.org" TargetMode="External"/><Relationship Id="rId1110"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1594" Type="http://schemas.openxmlformats.org/officeDocument/2006/relationships/hyperlink" Target="https://stmartha.com/st-vincent-de-paul-society" TargetMode="External"/><Relationship Id="rId520" Type="http://schemas.openxmlformats.org/officeDocument/2006/relationships/hyperlink" Target="https://www.google.com/maps/place/ECDC+HMC/@29.7272049,-95.573485,16z/data=!3m2!4b1!5s0x8640dcc54868f8f9:0x86f50a9fafa8b2e2!4m6!3m5!1s0x8640dd000be24131:0xf996ff29ae5ee5d2!8m2!3d29.7272049!4d-95.5709101!16s%2Fg%2F11y7s_m6ph?entry=ttu&amp;g_ep=EgoyMDI1MDcxMy4wIKXMDSoASAFQAw%3D%3D" TargetMode="External"/><Relationship Id="rId1111" Type="http://schemas.openxmlformats.org/officeDocument/2006/relationships/hyperlink" Target="https://www.houstonhealth.org/services/multi-service-centers/magnolia-multi-service-center" TargetMode="External"/><Relationship Id="rId1595" Type="http://schemas.openxmlformats.org/officeDocument/2006/relationships/hyperlink" Target="https://maps.google.com/?q=St%20Martha%20(SVdP%20D1)%20Kingwood%204301%20Woodridge%20Parkway%20Porter%20TX%2077365" TargetMode="External"/><Relationship Id="rId1112"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1596" Type="http://schemas.openxmlformats.org/officeDocument/2006/relationships/hyperlink" Target="https://stmartha.com/st-vincent-de-paul-society" TargetMode="External"/><Relationship Id="rId1113" Type="http://schemas.openxmlformats.org/officeDocument/2006/relationships/hyperlink" Target="https://www.houstonhealth.org/services/multi-service-centers/magnolia-multi-service-center" TargetMode="External"/><Relationship Id="rId1597" Type="http://schemas.openxmlformats.org/officeDocument/2006/relationships/hyperlink" Target="https://maps.google.com/?q=St%20Martha%20(SVdP%20D1)%20Kingwood%204301%20Woodridge%20Parkway%20Porter%20TX%2077365" TargetMode="External"/><Relationship Id="rId1103" Type="http://schemas.openxmlformats.org/officeDocument/2006/relationships/hyperlink" Target="https://mhihouston.org/what-we-do/meals/" TargetMode="External"/><Relationship Id="rId1587" Type="http://schemas.openxmlformats.org/officeDocument/2006/relationships/hyperlink" Target="https://maps.google.com/?q=St%20Katherine%20of%20Drexel%20Hempstead%20800%20FM%201488%20Hempstead%20TX%2077445" TargetMode="External"/><Relationship Id="rId1104" Type="http://schemas.openxmlformats.org/officeDocument/2006/relationships/hyperlink" Target="https://www.google.com/maps/place/Loaves+%26+Fishes+Soup+Kitchen+(Magnificat+Houses)/@29.7570348,-95.3543245,16z/data=!3m1!4b1!4m6!3m5!1s0x8640bed8a687e55f:0xd108073051089752!8m2!3d29.7570348!4d-95.3517496!16s%2Fg%2F1hc90fjsx?entry=ttu&amp;g_ep=EgoyMDI1MDQwOS4wIKXMDSoASAFQAw%3D%3D" TargetMode="External"/><Relationship Id="rId1588" Type="http://schemas.openxmlformats.org/officeDocument/2006/relationships/hyperlink" Target="https://skdcc.com/parish-organizations" TargetMode="External"/><Relationship Id="rId1105" Type="http://schemas.openxmlformats.org/officeDocument/2006/relationships/hyperlink" Target="https://mhihouston.org/what-we-do/housing/" TargetMode="External"/><Relationship Id="rId1589" Type="http://schemas.openxmlformats.org/officeDocument/2006/relationships/hyperlink" Target="https://maps.google.com/?q=St%20Katherine%20of%20Drexel%20Hempstead%20800%20FM%201488%20Hempstead%20TX%2077445" TargetMode="External"/><Relationship Id="rId1106" Type="http://schemas.openxmlformats.org/officeDocument/2006/relationships/hyperlink" Target="https://www.google.com/maps/place/Magnificat+Houses,+Inc.+(Admissions+and+Supportive+Services)/@29.7389347,-95.3756947,16z/data=!3m1!4b1!4m6!3m5!1s0x8640bf6d4a1761bf:0x6615d6c658102de!8m2!3d29.7389347!4d-95.3731198!16s%2Fg%2F1hc2bj425?entry=ttu&amp;g_ep=EgoyMDI1MDQwOS4wIKXMDSoASAFQAw%3D%3D" TargetMode="External"/><Relationship Id="rId1107" Type="http://schemas.openxmlformats.org/officeDocument/2006/relationships/hyperlink" Target="https://mhihouston.org/what-we-do/meals/" TargetMode="External"/><Relationship Id="rId1108" Type="http://schemas.openxmlformats.org/officeDocument/2006/relationships/hyperlink" Target="https://www.google.com/maps/place/Magnificat+Houses,+Inc.+(Admissions+and+Supportive+Services)/@29.7389347,-95.3756947,16z/data=!3m1!4b1!4m6!3m5!1s0x8640bf6d4a1761bf:0x6615d6c658102de!8m2!3d29.7389347!4d-95.3731198!16s%2Fg%2F1hc2bj425?entry=ttu&amp;g_ep=EgoyMDI1MDQwOS4wIKXMDSoASAFQAw%3D%3D" TargetMode="External"/><Relationship Id="rId1109" Type="http://schemas.openxmlformats.org/officeDocument/2006/relationships/hyperlink" Target="https://www.houstonhealth.org/services/multi-service-centers/magnolia-multi-service-center" TargetMode="External"/><Relationship Id="rId519" Type="http://schemas.openxmlformats.org/officeDocument/2006/relationships/hyperlink" Target="https://ecdchmc.org/refugee-resettlement-services" TargetMode="External"/><Relationship Id="rId514" Type="http://schemas.openxmlformats.org/officeDocument/2006/relationships/hyperlink" Target="https://maps.google.com/?q=East%20Spring%20Branch%20Food%20Pantry%207901%20Westview%20Dr%20Houston%20TX%2077055" TargetMode="External"/><Relationship Id="rId998" Type="http://schemas.openxmlformats.org/officeDocument/2006/relationships/hyperlink" Target="https://ktcm.org/" TargetMode="External"/><Relationship Id="rId513" Type="http://schemas.openxmlformats.org/officeDocument/2006/relationships/hyperlink" Target="https://eastspringbranchfoodpantry.com/" TargetMode="External"/><Relationship Id="rId997" Type="http://schemas.openxmlformats.org/officeDocument/2006/relationships/hyperlink" Target="https://maps.google.com/?q=Katy%20Christian%20Ministries%203506%20Porter%20Rd%2C%20Suite%20F%20Houston%20TX%2077493" TargetMode="External"/><Relationship Id="rId512" Type="http://schemas.openxmlformats.org/officeDocument/2006/relationships/hyperlink" Target="https://maps.google.com/?q=East%20Ft%20Bend%20Human%20Needs%20435%20Stafford%20Run%20Rd%20Stafford%20TX%2077477" TargetMode="External"/><Relationship Id="rId996" Type="http://schemas.openxmlformats.org/officeDocument/2006/relationships/hyperlink" Target="https://ktcm.org/" TargetMode="External"/><Relationship Id="rId511" Type="http://schemas.openxmlformats.org/officeDocument/2006/relationships/hyperlink" Target="https://www.humanneeds.org/" TargetMode="External"/><Relationship Id="rId995" Type="http://schemas.openxmlformats.org/officeDocument/2006/relationships/hyperlink" Target="https://maps.google.com/?q=Katy%20Christian%20Ministries%203506%20Porter%20Rd%2C%20Suite%20F%20Houston%20TX%2077493" TargetMode="External"/><Relationship Id="rId518" Type="http://schemas.openxmlformats.org/officeDocument/2006/relationships/hyperlink" Target="https://www.google.com/maps/place/ECDC+HMC/@29.7272049,-95.573485,16z/data=!3m2!4b1!5s0x8640dcc54868f8f9:0x86f50a9fafa8b2e2!4m6!3m5!1s0x8640dd000be24131:0xf996ff29ae5ee5d2!8m2!3d29.7272049!4d-95.5709101!16s%2Fg%2F11y7s_m6ph?entry=ttu&amp;g_ep=EgoyMDI1MDcxMy4wIKXMDSoASAFQAw%3D%3D" TargetMode="External"/><Relationship Id="rId517" Type="http://schemas.openxmlformats.org/officeDocument/2006/relationships/hyperlink" Target="https://ecdchmc.org/refugee-resettlement-services" TargetMode="External"/><Relationship Id="rId516" Type="http://schemas.openxmlformats.org/officeDocument/2006/relationships/hyperlink" Target="https://www.google.com/maps/place/ECDC+HMC/@29.7272049,-95.573485,16z/data=!3m2!4b1!5s0x8640dcc54868f8f9:0x86f50a9fafa8b2e2!4m6!3m5!1s0x8640dd000be24131:0xf996ff29ae5ee5d2!8m2!3d29.7272049!4d-95.5709101!16s%2Fg%2F11y7s_m6ph?entry=ttu&amp;g_ep=EgoyMDI1MDcxMy4wIKXMDSoASAFQAw%3D%3D" TargetMode="External"/><Relationship Id="rId515" Type="http://schemas.openxmlformats.org/officeDocument/2006/relationships/hyperlink" Target="https://ecdchmc.org/refugee-resettlement-services" TargetMode="External"/><Relationship Id="rId999" Type="http://schemas.openxmlformats.org/officeDocument/2006/relationships/hyperlink" Target="https://maps.google.com/?q=Katy%20Christian%20Ministries%203506%20Porter%20Rd%2C%20Suite%20F%20Houston%20TX%2077493" TargetMode="External"/><Relationship Id="rId990" Type="http://schemas.openxmlformats.org/officeDocument/2006/relationships/hyperlink" Target="https://www.kaileemillsfoundation.org" TargetMode="External"/><Relationship Id="rId1580" Type="http://schemas.openxmlformats.org/officeDocument/2006/relationships/hyperlink" Target="https://www.stjosephdaytontx.com/Food-Pantry.html" TargetMode="External"/><Relationship Id="rId1581" Type="http://schemas.openxmlformats.org/officeDocument/2006/relationships/hyperlink" Target="https://maps.google.com/?q=St%20Joseph%20the%20Worker%20Dayton%20804%20S%20Cleveland%20St%20Dayton%20TX%2077535" TargetMode="External"/><Relationship Id="rId1582" Type="http://schemas.openxmlformats.org/officeDocument/2006/relationships/hyperlink" Target="https://www.sjmtx.org/social-ministry" TargetMode="External"/><Relationship Id="rId510" Type="http://schemas.openxmlformats.org/officeDocument/2006/relationships/hyperlink" Target="https://maps.google.com/?q=East%20Ft%20Bend%20Human%20Needs%20435%20Stafford%20Run%20Rd%20Stafford%20TX%2077477" TargetMode="External"/><Relationship Id="rId994" Type="http://schemas.openxmlformats.org/officeDocument/2006/relationships/hyperlink" Target="https://ktcm.org/" TargetMode="External"/><Relationship Id="rId1583" Type="http://schemas.openxmlformats.org/officeDocument/2006/relationships/hyperlink" Target="https://maps.google.com/?q=St%20Justin%20Martyr%2013350%20Ashford%20Point%20Dr%20Houston%20TX%2077082" TargetMode="External"/><Relationship Id="rId993" Type="http://schemas.openxmlformats.org/officeDocument/2006/relationships/hyperlink" Target="https://maps.google.com/?q=Katy%20Christian%20Ministries%203506%20Porter%20Rd%2C%20Suite%20F%20Houston%20TX%2077493" TargetMode="External"/><Relationship Id="rId1100" Type="http://schemas.openxmlformats.org/officeDocument/2006/relationships/hyperlink" Target="https://www.google.com/maps/place/M.I.+Lewis+Social+Service+Center/@29.4507511,-95.0780018,17z/data=!3m1!4b1!4m6!3m5!1s0x863f7d828ad418a1:0x21267f366390e618!8m2!3d29.4507511!4d-95.0754215!16s%2Fg%2F1tk6w8v7?entry=ttu&amp;g_ep=EgoyMDI1MDcwOS4wIKXMDSoASAFQAw%3D%3D" TargetMode="External"/><Relationship Id="rId1584" Type="http://schemas.openxmlformats.org/officeDocument/2006/relationships/hyperlink" Target="https://skdcc.com/parish-organizations" TargetMode="External"/><Relationship Id="rId992" Type="http://schemas.openxmlformats.org/officeDocument/2006/relationships/hyperlink" Target="https://ktcm.org/" TargetMode="External"/><Relationship Id="rId1101" Type="http://schemas.openxmlformats.org/officeDocument/2006/relationships/hyperlink" Target="https://www.milewisctr.org/school-supplies" TargetMode="External"/><Relationship Id="rId1585" Type="http://schemas.openxmlformats.org/officeDocument/2006/relationships/hyperlink" Target="https://maps.google.com/?q=St%20Katherine%20of%20Drexel%20Hempstead%20800%20FM%201488%20Hempstead%20TX%2077445" TargetMode="External"/><Relationship Id="rId991" Type="http://schemas.openxmlformats.org/officeDocument/2006/relationships/hyperlink" Target="https://www.google.com/maps/place/Kailee+Mills+Foundation/@30.1225077,-95.4427258,17z/data=!3m1!4b1!4m6!3m5!1s0x8647339f8439801f:0xde23c0419bf97b8d!8m2!3d30.1225077!4d-95.4401509!16s%2Fg%2F11gdrzml_b?entry=ttu&amp;g_ep=EgoyMDI1MDUxNS4wIKXMDSoASAFQAw%3D%3D" TargetMode="External"/><Relationship Id="rId1102" Type="http://schemas.openxmlformats.org/officeDocument/2006/relationships/hyperlink" Target="https://www.google.com/maps/place/M.I.+Lewis+Social+Service+Center/@29.4507511,-95.0780018,17z/data=!3m1!4b1!4m6!3m5!1s0x863f7d828ad418a1:0x21267f366390e618!8m2!3d29.4507511!4d-95.0754215!16s%2Fg%2F1tk6w8v7?entry=ttu&amp;g_ep=EgoyMDI1MDcwOS4wIKXMDSoASAFQAw%3D%3D" TargetMode="External"/><Relationship Id="rId1586" Type="http://schemas.openxmlformats.org/officeDocument/2006/relationships/hyperlink" Target="https://skdcc.com/parish-organizations" TargetMode="External"/><Relationship Id="rId1532" Type="http://schemas.openxmlformats.org/officeDocument/2006/relationships/hyperlink" Target="https://sfds-houston.org/society-of-st-vincent-de-paul" TargetMode="External"/><Relationship Id="rId1533" Type="http://schemas.openxmlformats.org/officeDocument/2006/relationships/hyperlink" Target="https://maps.google.com/?q=St%20Francis%20de%20Sales%20(SVdP%20D3)%208200%20Roos%20Rd%20Houston%20TX%2077036" TargetMode="External"/><Relationship Id="rId1534" Type="http://schemas.openxmlformats.org/officeDocument/2006/relationships/hyperlink" Target="https://www.stfrancisofhouston.org/" TargetMode="External"/><Relationship Id="rId1535" Type="http://schemas.openxmlformats.org/officeDocument/2006/relationships/hyperlink" Target="https://maps.google.com/?q=St%20Francis%20of%20Assisi%205102%20Dabney%20St%20Houston%20TX%2077026" TargetMode="External"/><Relationship Id="rId1536" Type="http://schemas.openxmlformats.org/officeDocument/2006/relationships/hyperlink" Target="https://sfxhouston.com/" TargetMode="External"/><Relationship Id="rId1537" Type="http://schemas.openxmlformats.org/officeDocument/2006/relationships/hyperlink" Target="https://maps.google.com/?q=St%20Francis%20Xavier%20(SVdP%20D3)%204600%20Reed%20Rd%20Houston%20TX%2077051" TargetMode="External"/><Relationship Id="rId1538" Type="http://schemas.openxmlformats.org/officeDocument/2006/relationships/hyperlink" Target="https://www.sthelenchurch.org/home/ministries_organizations/st-vincent-de-paul-society/" TargetMode="External"/><Relationship Id="rId1539" Type="http://schemas.openxmlformats.org/officeDocument/2006/relationships/hyperlink" Target="https://maps.google.com/?q=St%20Helen%20(SVdP%20D7)%20Pearland%202209%20Old%20Alvin%20Rd%20Pearland%20TX%2077581" TargetMode="External"/><Relationship Id="rId949" Type="http://schemas.openxmlformats.org/officeDocument/2006/relationships/hyperlink" Target="https://www.indiahouseinc.org/community-support/legal-center/" TargetMode="External"/><Relationship Id="rId948" Type="http://schemas.openxmlformats.org/officeDocument/2006/relationships/hyperlink" Target="https://www.google.com/maps/place/India+House/@29.6568322,-95.5355147,16z/data=!3m1!4b1!4m6!3m5!1s0x8640e83bd63efaf3:0xb687657e2e1a4536!8m2!3d29.6568276!4d-95.5329398!16s%2Fg%2F1tnplc_4?entry=ttu&amp;g_ep=EgoyMDI1MDUxNS4xIKXMDSoASAFQAw%3D%3D" TargetMode="External"/><Relationship Id="rId943" Type="http://schemas.openxmlformats.org/officeDocument/2006/relationships/hyperlink" Target="https://impacthoustonchurch.org/gethelp/" TargetMode="External"/><Relationship Id="rId942" Type="http://schemas.openxmlformats.org/officeDocument/2006/relationships/hyperlink" Target="https://www.google.com/maps/place/Impact+Houston+Church+of+Christ/@29.7775053,-95.3778354,17z/data=!3m1!4b1!4m6!3m5!1s0x8640b8b5d22b486f:0xe462f348fc335710!8m2!3d29.7775007!4d-95.3752605!16s%2Fg%2F1tnss98g?entry=ttu&amp;g_ep=EgoyMDI1MDUxNS4xIKXMDSoASAFQAw%3D%3D" TargetMode="External"/><Relationship Id="rId941" Type="http://schemas.openxmlformats.org/officeDocument/2006/relationships/hyperlink" Target="https://impacthoustonchurch.org/resourcecenter/" TargetMode="External"/><Relationship Id="rId940" Type="http://schemas.openxmlformats.org/officeDocument/2006/relationships/hyperlink" Target="https://houstonimmigration.org/for-community/hotline/" TargetMode="External"/><Relationship Id="rId947" Type="http://schemas.openxmlformats.org/officeDocument/2006/relationships/hyperlink" Target="https://www.indiahouseinc.org/india-house-charity-volunteer-clinic/" TargetMode="External"/><Relationship Id="rId946" Type="http://schemas.openxmlformats.org/officeDocument/2006/relationships/hyperlink" Target="https://www.google.com/maps/place/India+House/@29.6568322,-95.5355147,16z/data=!3m1!4b1!4m6!3m5!1s0x8640e83bd63efaf3:0xb687657e2e1a4536!8m2!3d29.6568276!4d-95.5329398!16s%2Fg%2F1tnplc_4?entry=ttu&amp;g_ep=EgoyMDI1MDUxNS4xIKXMDSoASAFQAw%3D%3D" TargetMode="External"/><Relationship Id="rId945" Type="http://schemas.openxmlformats.org/officeDocument/2006/relationships/hyperlink" Target="https://www.indiahouseinc.org/community-support/food-distribution/" TargetMode="External"/><Relationship Id="rId944" Type="http://schemas.openxmlformats.org/officeDocument/2006/relationships/hyperlink" Target="https://www.google.com/maps/place/Impact+Houston+Church+of+Christ/@29.7775053,-95.3778354,17z/data=!3m1!4b1!4m6!3m5!1s0x8640b8b5d22b486f:0xe462f348fc335710!8m2!3d29.7775007!4d-95.3752605!16s%2Fg%2F1tnss98g?entry=ttu&amp;g_ep=EgoyMDI1MDUxNS4xIKXMDSoASAFQAw%3D%3D" TargetMode="External"/><Relationship Id="rId1530" Type="http://schemas.openxmlformats.org/officeDocument/2006/relationships/hyperlink" Target="https://sfds-houston.org/society-of-st-vincent-de-paul" TargetMode="External"/><Relationship Id="rId1531" Type="http://schemas.openxmlformats.org/officeDocument/2006/relationships/hyperlink" Target="https://maps.google.com/?q=St%20Francis%20de%20Sales%20(SVdP%20D3)%208200%20Roos%20Rd%20Houston%20TX%2077036" TargetMode="External"/><Relationship Id="rId1521" Type="http://schemas.openxmlformats.org/officeDocument/2006/relationships/hyperlink" Target="https://maps.google.com/?q=St%20Edward%20Spring%202601%20Spring%20Stuebner%20Rd%20Spring%20TX%2077389" TargetMode="External"/><Relationship Id="rId1522" Type="http://schemas.openxmlformats.org/officeDocument/2006/relationships/hyperlink" Target="https://seascatholic.org/st-vincent-de-paul" TargetMode="External"/><Relationship Id="rId1523" Type="http://schemas.openxmlformats.org/officeDocument/2006/relationships/hyperlink" Target="https://maps.google.com/?q=St%20Elizabeth%20Ann%20Seton%20(SVdP%20D4)%206646%20Addicks%20Satsuma%20Dr%20Houston%20TX%2077084" TargetMode="External"/><Relationship Id="rId1524" Type="http://schemas.openxmlformats.org/officeDocument/2006/relationships/hyperlink" Target="https://seascatholic.org/st-vincent-de-paul" TargetMode="External"/><Relationship Id="rId1525" Type="http://schemas.openxmlformats.org/officeDocument/2006/relationships/hyperlink" Target="https://maps.google.com/?q=St%20Elizabeth%20Ann%20Seton%20(SVdP%20D4)%206646%20Addicks%20Satsuma%20Dr%20Houston%20TX%2077084" TargetMode="External"/><Relationship Id="rId1526" Type="http://schemas.openxmlformats.org/officeDocument/2006/relationships/hyperlink" Target="https://seascatholic.org/st-vincent-de-paul" TargetMode="External"/><Relationship Id="rId1527" Type="http://schemas.openxmlformats.org/officeDocument/2006/relationships/hyperlink" Target="https://maps.google.com/?q=St%20Elizabeth%20Ann%20Seton%20(SVdP%20D4)%206646%20Addicks%20Satsuma%20Dr%20Houston%20TX%2077084" TargetMode="External"/><Relationship Id="rId1528" Type="http://schemas.openxmlformats.org/officeDocument/2006/relationships/hyperlink" Target="https://cabrinihouston.org/" TargetMode="External"/><Relationship Id="rId1529" Type="http://schemas.openxmlformats.org/officeDocument/2006/relationships/hyperlink" Target="https://maps.google.com/?q=St%20Francis%20Cabrini%2010727%20Hartsook%20St%20Houston%20TX%2077034" TargetMode="External"/><Relationship Id="rId939" Type="http://schemas.openxmlformats.org/officeDocument/2006/relationships/hyperlink" Target="https://www.immigrantdefenseproject.org/criminal-immigration-helpline/" TargetMode="External"/><Relationship Id="rId938" Type="http://schemas.openxmlformats.org/officeDocument/2006/relationships/hyperlink" Target="https://maps.google.com/?q=Immaculate%20Conception%20Sealy%20608%205th%20St%20Sealy%20TX%2077474" TargetMode="External"/><Relationship Id="rId937" Type="http://schemas.openxmlformats.org/officeDocument/2006/relationships/hyperlink" Target="https://icc-sealy.org/" TargetMode="External"/><Relationship Id="rId932" Type="http://schemas.openxmlformats.org/officeDocument/2006/relationships/hyperlink" Target="https://maps.google.com/?q=Immaculate%20Conception%207250%20Harrisburg%20Blvd%20Houston%20TX%2077011" TargetMode="External"/><Relationship Id="rId931" Type="http://schemas.openxmlformats.org/officeDocument/2006/relationships/hyperlink" Target="https://icchouston.church/" TargetMode="External"/><Relationship Id="rId930" Type="http://schemas.openxmlformats.org/officeDocument/2006/relationships/hyperlink" Target="https://www.google.com/maps/place/Food+Pantry+-+ICNA+Relief+Houston/@29.7080499,-95.5162012,16z/data=!3m2!4b1!5s0x8640c2599376632f:0x1e54ca82300c3490!4m6!3m5!1s0x8640c24ab58b6807:0x386543be3d9ef859!8m2!3d29.7080453!4d-95.5136263!16s%2Fg%2F11c30qz5hn?entry=ttu&amp;g_ep=EgoyMDI1MDUxNS4xIKXMDSoASAFQAw%3D%3D" TargetMode="External"/><Relationship Id="rId936" Type="http://schemas.openxmlformats.org/officeDocument/2006/relationships/hyperlink" Target="https://maps.google.com/?q=Immaculate%20Conception%20Sealy%20608%205th%20St%20Sealy%20TX%2077474" TargetMode="External"/><Relationship Id="rId935" Type="http://schemas.openxmlformats.org/officeDocument/2006/relationships/hyperlink" Target="https://icc-sealy.org/" TargetMode="External"/><Relationship Id="rId934" Type="http://schemas.openxmlformats.org/officeDocument/2006/relationships/hyperlink" Target="https://maps.google.com/?q=Immaculate%20Conception%20Sealy%20608%205th%20St%20Sealy%20TX%2077474" TargetMode="External"/><Relationship Id="rId933" Type="http://schemas.openxmlformats.org/officeDocument/2006/relationships/hyperlink" Target="https://icc-sealy.org/" TargetMode="External"/><Relationship Id="rId1520" Type="http://schemas.openxmlformats.org/officeDocument/2006/relationships/hyperlink" Target="https://www.saintedward.org/" TargetMode="External"/><Relationship Id="rId1554" Type="http://schemas.openxmlformats.org/officeDocument/2006/relationships/hyperlink" Target="https://sjotctx.org/ministries/food-pantry" TargetMode="External"/><Relationship Id="rId1555" Type="http://schemas.openxmlformats.org/officeDocument/2006/relationships/hyperlink" Target="https://maps.google.com/?q=St%20John%20of%20the%20Cross%20New%20Caney%2020000%20TX-494%20Loop%20New%20Caney%20TX%2077357" TargetMode="External"/><Relationship Id="rId1556" Type="http://schemas.openxmlformats.org/officeDocument/2006/relationships/hyperlink" Target="https://www.stjohnalvin.org/" TargetMode="External"/><Relationship Id="rId1557" Type="http://schemas.openxmlformats.org/officeDocument/2006/relationships/hyperlink" Target="https://maps.google.com/?q=St%20John%20the%20Baptist%20Alvin%20110%20E%20South%20St%20Alvin%20TX%2077511" TargetMode="External"/><Relationship Id="rId1558" Type="http://schemas.openxmlformats.org/officeDocument/2006/relationships/hyperlink" Target="https://www.stjohnalvin.org/" TargetMode="External"/><Relationship Id="rId1559" Type="http://schemas.openxmlformats.org/officeDocument/2006/relationships/hyperlink" Target="https://maps.google.com/?q=St%20John%20the%20Baptist%20Alvin%20110%20E%20South%20St%20Alvin%20TX%2077511" TargetMode="External"/><Relationship Id="rId965" Type="http://schemas.openxmlformats.org/officeDocument/2006/relationships/hyperlink" Target="https://maps.google.com/?q=Interfaith%20Ministries%20for%20Greater%20Houston%203303%20Main%20St%20Houston%20TX%2077002" TargetMode="External"/><Relationship Id="rId964" Type="http://schemas.openxmlformats.org/officeDocument/2006/relationships/hyperlink" Target="https://imgh.org/" TargetMode="External"/><Relationship Id="rId963" Type="http://schemas.openxmlformats.org/officeDocument/2006/relationships/hyperlink" Target="https://maps.google.com/?q=Interfaith%20Ministries%20for%20Greater%20Houston%203303%20Main%20St%20Houston%20TX%2077002" TargetMode="External"/><Relationship Id="rId962" Type="http://schemas.openxmlformats.org/officeDocument/2006/relationships/hyperlink" Target="https://imgh.org/" TargetMode="External"/><Relationship Id="rId969" Type="http://schemas.openxmlformats.org/officeDocument/2006/relationships/hyperlink" Target="https://maps.google.com/?q=Interfaith%20of%20the%20Woodlands%204242%20Interfaith%20Way%20Spring%20TX%2077381" TargetMode="External"/><Relationship Id="rId968" Type="http://schemas.openxmlformats.org/officeDocument/2006/relationships/hyperlink" Target="https://icmtx.org/" TargetMode="External"/><Relationship Id="rId967" Type="http://schemas.openxmlformats.org/officeDocument/2006/relationships/hyperlink" Target="https://maps.google.com/?q=Interfaith%20Ministries%20for%20Greater%20Houston%203303%20Main%20St%20Houston%20TX%2077002" TargetMode="External"/><Relationship Id="rId966" Type="http://schemas.openxmlformats.org/officeDocument/2006/relationships/hyperlink" Target="https://imgh.org/" TargetMode="External"/><Relationship Id="rId961" Type="http://schemas.openxmlformats.org/officeDocument/2006/relationships/hyperlink" Target="https://maps.google.com/?q=Interfaith%20Caring%20Ministries%20151%20Park%20Ave%20League%20City%20TX%2077573" TargetMode="External"/><Relationship Id="rId1550" Type="http://schemas.openxmlformats.org/officeDocument/2006/relationships/hyperlink" Target="https://www.stjeromehou.org/stvdepaul" TargetMode="External"/><Relationship Id="rId960" Type="http://schemas.openxmlformats.org/officeDocument/2006/relationships/hyperlink" Target="https://icmtx.org/" TargetMode="External"/><Relationship Id="rId1551" Type="http://schemas.openxmlformats.org/officeDocument/2006/relationships/hyperlink" Target="https://maps.google.com/?q=St%20Jerome%20(SVdP)%208825%20Kempwood%20Dr%20Houston%20TX%2077080" TargetMode="External"/><Relationship Id="rId1552" Type="http://schemas.openxmlformats.org/officeDocument/2006/relationships/hyperlink" Target="https://www.stjeromehou.org/stvdepaul" TargetMode="External"/><Relationship Id="rId1553" Type="http://schemas.openxmlformats.org/officeDocument/2006/relationships/hyperlink" Target="https://maps.google.com/?q=St%20Jerome%20(SVdP)%208825%20Kempwood%20Dr%20Houston%20TX%2077080" TargetMode="External"/><Relationship Id="rId1543" Type="http://schemas.openxmlformats.org/officeDocument/2006/relationships/hyperlink" Target="https://maps.google.com/?q=St%20Hyacinth%20(SVdP%20D5)%20Deer%20Park%202921%20Center%20St%20Deer%20Park%20TX%2077536" TargetMode="External"/><Relationship Id="rId1544" Type="http://schemas.openxmlformats.org/officeDocument/2006/relationships/hyperlink" Target="https://sthyacinth.org/need-help-society-of-st-vincent-de-paul" TargetMode="External"/><Relationship Id="rId1545" Type="http://schemas.openxmlformats.org/officeDocument/2006/relationships/hyperlink" Target="https://maps.google.com/?q=St%20Hyacinth%20(SVdP%20D5)%20Deer%20Park%202921%20Center%20St%20Deer%20Park%20TX%2077536" TargetMode="External"/><Relationship Id="rId1546" Type="http://schemas.openxmlformats.org/officeDocument/2006/relationships/hyperlink" Target="https://www.stjta.org/service-items/88-social-ministry" TargetMode="External"/><Relationship Id="rId1547" Type="http://schemas.openxmlformats.org/officeDocument/2006/relationships/hyperlink" Target="https://maps.google.com/?q=St%20James%20Spring%2022800%20Aldine%20Westfield%20Rd%20Spring%20TX%2077373" TargetMode="External"/><Relationship Id="rId1548" Type="http://schemas.openxmlformats.org/officeDocument/2006/relationships/hyperlink" Target="https://www.stjta.org/service-items/88-social-ministry" TargetMode="External"/><Relationship Id="rId1549" Type="http://schemas.openxmlformats.org/officeDocument/2006/relationships/hyperlink" Target="https://maps.google.com/?q=St%20James%20Spring%2022800%20Aldine%20Westfield%20Rd%20Spring%20TX%2077373" TargetMode="External"/><Relationship Id="rId959" Type="http://schemas.openxmlformats.org/officeDocument/2006/relationships/hyperlink" Target="https://maps.google.com/?q=Interfaith%20Caring%20Ministries%20151%20Park%20Ave%20League%20City%20TX%2077573" TargetMode="External"/><Relationship Id="rId954" Type="http://schemas.openxmlformats.org/officeDocument/2006/relationships/hyperlink" Target="https://icmtx.org/" TargetMode="External"/><Relationship Id="rId953" Type="http://schemas.openxmlformats.org/officeDocument/2006/relationships/hyperlink" Target="https://maps.google.com/?q=Interfaith%20Caring%20Ministries%20151%20Park%20Ave%20League%20City%20TX%2077573" TargetMode="External"/><Relationship Id="rId952" Type="http://schemas.openxmlformats.org/officeDocument/2006/relationships/hyperlink" Target="https://icmtx.org/" TargetMode="External"/><Relationship Id="rId951" Type="http://schemas.openxmlformats.org/officeDocument/2006/relationships/hyperlink" Target="https://maps.google.com/?q=Interfaith%20Caring%20Ministries%20151%20Park%20Ave%20League%20City%20TX%2077573" TargetMode="External"/><Relationship Id="rId958" Type="http://schemas.openxmlformats.org/officeDocument/2006/relationships/hyperlink" Target="https://icmtx.org/" TargetMode="External"/><Relationship Id="rId957" Type="http://schemas.openxmlformats.org/officeDocument/2006/relationships/hyperlink" Target="https://maps.google.com/?q=Interfaith%20Caring%20Ministries%20151%20Park%20Ave%20League%20City%20TX%2077573" TargetMode="External"/><Relationship Id="rId956" Type="http://schemas.openxmlformats.org/officeDocument/2006/relationships/hyperlink" Target="https://icmtx.org/" TargetMode="External"/><Relationship Id="rId955" Type="http://schemas.openxmlformats.org/officeDocument/2006/relationships/hyperlink" Target="https://maps.google.com/?q=Interfaith%20Caring%20Ministries%20151%20Park%20Ave%20League%20City%20TX%2077573" TargetMode="External"/><Relationship Id="rId950" Type="http://schemas.openxmlformats.org/officeDocument/2006/relationships/hyperlink" Target="https://icmtx.org/" TargetMode="External"/><Relationship Id="rId1540" Type="http://schemas.openxmlformats.org/officeDocument/2006/relationships/hyperlink" Target="https://www.sthelenchurch.org/home/ministries_organizations/st-vincent-de-paul-society/" TargetMode="External"/><Relationship Id="rId1541" Type="http://schemas.openxmlformats.org/officeDocument/2006/relationships/hyperlink" Target="https://maps.google.com/?q=St%20Helen%20(SVdP%20D7)%20Pearland%202209%20Old%20Alvin%20Rd%20Pearland%20TX%2077581" TargetMode="External"/><Relationship Id="rId1542" Type="http://schemas.openxmlformats.org/officeDocument/2006/relationships/hyperlink" Target="https://sthyacinth.org/need-help-society-of-st-vincent-de-paul" TargetMode="External"/><Relationship Id="rId590" Type="http://schemas.openxmlformats.org/officeDocument/2006/relationships/hyperlink" Target="https://www.google.com/maps/place/Fifth+Ward+Multi-Service+Center/@29.7721662,-95.33319,16z/data=!3m1!4b1!4m6!3m5!1s0x8640beb57aca7dc7:0x8f9d48cd55f703e5!8m2!3d29.7721616!4d-95.3306151!16s%2Fg%2F11bv30k8s6?entry=ttu&amp;g_ep=EgoyMDI2MDIwMS4wIKXMDSoKLDEwMDc5MjA2OUgBUAM%3D" TargetMode="External"/><Relationship Id="rId107" Type="http://schemas.openxmlformats.org/officeDocument/2006/relationships/hyperlink" Target="https://www.google.com/maps/place/AsSalam+Clinic/@30.0065677,-95.5504569,17z/data=!3m1!4b1!4m6!3m5!1s0x8640cd71cffe0fcd:0x8090162a5183b47b!8m2!3d30.0065631!4d-95.547882!16s%2Fg%2F11g0k1vw7y?entry=ttu&amp;g_ep=EgoyMDI0MDkxNi4wIKXMDSoASAFQAw%3D%3D" TargetMode="External"/><Relationship Id="rId106" Type="http://schemas.openxmlformats.org/officeDocument/2006/relationships/hyperlink" Target="https://www.assalamclinic.com/contact/" TargetMode="External"/><Relationship Id="rId105" Type="http://schemas.openxmlformats.org/officeDocument/2006/relationships/hyperlink" Target="https://www.texasappleseed.org/immigration" TargetMode="External"/><Relationship Id="rId589" Type="http://schemas.openxmlformats.org/officeDocument/2006/relationships/hyperlink" Target="https://www.houstonhealth.org/services/multi-service-centers/fifth-ward-multi-service-center" TargetMode="External"/><Relationship Id="rId104"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588" Type="http://schemas.openxmlformats.org/officeDocument/2006/relationships/hyperlink" Target="https://www.google.com/maps/place/Fifth+Ward+Multi-Service+Center/@29.7721662,-95.33319,16z/data=!3m1!4b1!4m6!3m5!1s0x8640beb57aca7dc7:0x8f9d48cd55f703e5!8m2!3d29.7721616!4d-95.3306151!16s%2Fg%2F11bv30k8s6?entry=ttu&amp;g_ep=EgoyMDI2MDIwMS4wIKXMDSoKLDEwMDc5MjA2OUgBUAM%3D" TargetMode="External"/><Relationship Id="rId109" Type="http://schemas.openxmlformats.org/officeDocument/2006/relationships/hyperlink" Target="https://www.google.com/maps/place/AAMA/@29.7143334,-95.3127981,19z/data=!3m1!4b1!4m6!3m5!1s0x8640bfd5e8dcfca9:0x894a10d39493d560!8m2!3d29.7143322!4d-95.3121544!16s%2Fg%2F11sszckmnd?entry=ttu&amp;g_ep=EgoyMDI1MDgxOS4wIKXMDSoASAFQAw%3D%3D" TargetMode="External"/><Relationship Id="rId1170" Type="http://schemas.openxmlformats.org/officeDocument/2006/relationships/hyperlink" Target="https://www.google.com/maps/place/Mission+Northeast/@30.1263271,-95.2247416,16z/data=!3m1!4b1!4m6!3m5!1s0x8647520b68943d01:0xb7c7a71ecf753c14!8m2!3d30.1263225!4d-95.2221667!16s%2Fg%2F1td6n14m?entry=ttu&amp;g_ep=EgoyMDI0MTAwOS4wIKXMDSoASAFQAw%3D%3D" TargetMode="External"/><Relationship Id="rId108" Type="http://schemas.openxmlformats.org/officeDocument/2006/relationships/hyperlink" Target="https://www.aama.org/apps/pages/prevention-and-counseling-services-houston" TargetMode="External"/><Relationship Id="rId1171" Type="http://schemas.openxmlformats.org/officeDocument/2006/relationships/hyperlink" Target="https://www.missionne.org/" TargetMode="External"/><Relationship Id="rId583" Type="http://schemas.openxmlformats.org/officeDocument/2006/relationships/hyperlink" Target="https://familyreach.org/financialassistance/" TargetMode="External"/><Relationship Id="rId1172" Type="http://schemas.openxmlformats.org/officeDocument/2006/relationships/hyperlink" Target="https://www.google.com/maps/place/Mission+Northeast/@30.1263271,-95.2247416,16z/data=!3m1!4b1!4m6!3m5!1s0x8647520b68943d01:0xb7c7a71ecf753c14!8m2!3d30.1263225!4d-95.2221667!16s%2Fg%2F1td6n14m?entry=ttu&amp;g_ep=EgoyMDI0MTAwOS4wIKXMDSoASAFQAw%3D%3D" TargetMode="External"/><Relationship Id="rId582" Type="http://schemas.openxmlformats.org/officeDocument/2006/relationships/hyperlink" Targe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 TargetMode="External"/><Relationship Id="rId1173" Type="http://schemas.openxmlformats.org/officeDocument/2006/relationships/hyperlink" Target="https://missionofyahweh.org" TargetMode="External"/><Relationship Id="rId581" Type="http://schemas.openxmlformats.org/officeDocument/2006/relationships/hyperlink" Target="https://www.familypromiseofmc.org/emergency-shelter" TargetMode="External"/><Relationship Id="rId1174" Type="http://schemas.openxmlformats.org/officeDocument/2006/relationships/hyperlink" Target="https://missionofyahweh.org" TargetMode="External"/><Relationship Id="rId580" Type="http://schemas.openxmlformats.org/officeDocument/2006/relationships/hyperlink" Targe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 TargetMode="External"/><Relationship Id="rId1175" Type="http://schemas.openxmlformats.org/officeDocument/2006/relationships/hyperlink" Target="https://publichealth.harriscountytx.gov/Divisions-Offices/Divisions/Community-Health-Wellness-Division/Dental-Health-Prevention/Community-Dental-Services" TargetMode="External"/><Relationship Id="rId103" Type="http://schemas.openxmlformats.org/officeDocument/2006/relationships/hyperlink" Target="https://publichealth.harriscountytx.gov/Divisions-Offices/Divisions/Community-Health-Wellness-Division/Refugee-Health-Services" TargetMode="External"/><Relationship Id="rId587" Type="http://schemas.openxmlformats.org/officeDocument/2006/relationships/hyperlink" Target="https://www.houstonhealth.org/services/multi-service-centers/fifth-ward-multi-service-center" TargetMode="External"/><Relationship Id="rId1176" Type="http://schemas.openxmlformats.org/officeDocument/2006/relationships/hyperlink" Target="https://www.google.com/maps/place/James+Driver+All-Inclusive+Park/@29.8749546,-95.3362787,17z/data=!3m1!4b1!4m6!3m5!1s0x8640b767045b110f:0x5c155ea1c560238c!8m2!3d29.8749546!4d-95.3336984!16s%2Fg%2F11bz08xmpz?entry=ttu&amp;g_ep=EgoyMDI2MDEyNi4wIKXMDSoKLDEwMDc5MjA2OUgBUAM%3D" TargetMode="External"/><Relationship Id="rId102"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586" Type="http://schemas.openxmlformats.org/officeDocument/2006/relationships/hyperlink" Target="https://fielhouston.org/immigration/" TargetMode="External"/><Relationship Id="rId1177" Type="http://schemas.openxmlformats.org/officeDocument/2006/relationships/hyperlink" Target="https://publichealth.harriscountytx.gov/Divisions-Offices/Divisions/Community-Health-Wellness-Division/Dental-Health-Prevention/Community-Dental-Services" TargetMode="External"/><Relationship Id="rId101" Type="http://schemas.openxmlformats.org/officeDocument/2006/relationships/hyperlink" Target="https://publichealth.harriscountytx.gov/Divisions-Offices/Divisions/Community-Health-Wellness-Division/Health-Services" TargetMode="External"/><Relationship Id="rId585" Type="http://schemas.openxmlformats.org/officeDocument/2006/relationships/hyperlink" Target="https://familytimeccc.org/about/overview/" TargetMode="External"/><Relationship Id="rId1178" Type="http://schemas.openxmlformats.org/officeDocument/2006/relationships/hyperlink" Target="https://www.google.com/maps/place/Octavia+Fields+Branch+Library/@29.9804567,-95.2625923,17z/data=!3m1!4b1!4m6!3m5!1s0x8640b2371806945d:0xb55b6d463df22b15!8m2!3d29.9804567!4d-95.260012!16s%2Fg%2F1tfk06xz?entry=ttu&amp;g_ep=EgoyMDI2MDEyNi4wIKXMDSoKLDEwMDc5MjA2OUgBUAM%3D" TargetMode="External"/><Relationship Id="rId100"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584" Type="http://schemas.openxmlformats.org/officeDocument/2006/relationships/hyperlink" Target="https://www.google.com/maps/place/Family+Reach/@42.3488309,-71.0770129,17z/data=!3m2!4b1!5s0x89e37a733f1d3301:0xb3e21cc92ac59e6b!4m6!3m5!1s0x89e37a733f730321:0x11208cbac7fe58f2!8m2!3d42.348831!4d-71.0721366!16s%2Fg%2F11d_zmqf63?entry=ttu&amp;g_ep=EgoyMDI2MDEyMC4wIKXMDSoKLDEwMDc5MjA2OUgBUAM%3D" TargetMode="External"/><Relationship Id="rId1179" Type="http://schemas.openxmlformats.org/officeDocument/2006/relationships/hyperlink" Target="https://publichealth.harriscountytx.gov/Divisions-Offices/Divisions/Community-Health-Wellness-Division/Dental-Health-Prevention/Community-Dental-Services" TargetMode="External"/><Relationship Id="rId1169" Type="http://schemas.openxmlformats.org/officeDocument/2006/relationships/hyperlink" Target="https://www.missionne.org/" TargetMode="External"/><Relationship Id="rId579" Type="http://schemas.openxmlformats.org/officeDocument/2006/relationships/hyperlink" Target="https://www.familypromiseofmc.org/emergency-shelter" TargetMode="External"/><Relationship Id="rId578" Type="http://schemas.openxmlformats.org/officeDocument/2006/relationships/hyperlink" Targe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 TargetMode="External"/><Relationship Id="rId577" Type="http://schemas.openxmlformats.org/officeDocument/2006/relationships/hyperlink" Target="https://www.familypromiseofmc.org/emergency-shelter" TargetMode="External"/><Relationship Id="rId1160" Type="http://schemas.openxmlformats.org/officeDocument/2006/relationships/hyperlink" Target="https://www.google.com/maps/place/MESA-OUTREACH,+INC./@29.8486599,-95.6441137,17z/data=!3m1!4b1!4m6!3m5!1s0x8640dbca6ec278cf:0xa9c7052bf6bc8d8d!8m2!3d29.8486553!4d-95.6415388!16s%2Fg%2F11yfnrwhjz?entry=ttu&amp;g_ep=EgoyMDI1MDgxMy4wIKXMDSoASAFQAw%3D%3D" TargetMode="External"/><Relationship Id="rId572"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1161" Type="http://schemas.openxmlformats.org/officeDocument/2006/relationships/hyperlink" Target="https://www.missionbells.org/about-us.html" TargetMode="External"/><Relationship Id="rId571" Type="http://schemas.openxmlformats.org/officeDocument/2006/relationships/hyperlink" Target="https://www.ccfamilypromise.org/programs-and-services/" TargetMode="External"/><Relationship Id="rId1162" Type="http://schemas.openxmlformats.org/officeDocument/2006/relationships/hyperlink" Target="https://www.google.com/maps/place/Christ+the+King+Episcopal+Church/@29.6992298,-95.6592692,17z/data=!3m1!4b1!4m6!3m5!1s0x8640de6e3113efc1:0xfe2e3c8442ac15ef!8m2!3d29.6992252!4d-95.6566889!16s%2Fg%2F1tcv6pz3?entry=ttu&amp;g_ep=EgoyMDI1MDYwMy4wIKXMDSoASAFQAw%3D%3D" TargetMode="External"/><Relationship Id="rId570"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1163" Type="http://schemas.openxmlformats.org/officeDocument/2006/relationships/hyperlink" Target="https://www.missionne.org/" TargetMode="External"/><Relationship Id="rId1164" Type="http://schemas.openxmlformats.org/officeDocument/2006/relationships/hyperlink" Target="https://www.google.com/maps/place/Mission+Northeast/@30.1263271,-95.2247416,16z/data=!3m1!4b1!4m6!3m5!1s0x8647520b68943d01:0xb7c7a71ecf753c14!8m2!3d30.1263225!4d-95.2221667!16s%2Fg%2F1td6n14m?entry=ttu&amp;g_ep=EgoyMDI0MTAwOS4wIKXMDSoASAFQAw%3D%3D" TargetMode="External"/><Relationship Id="rId576" Type="http://schemas.openxmlformats.org/officeDocument/2006/relationships/hyperlink" Target="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 TargetMode="External"/><Relationship Id="rId1165" Type="http://schemas.openxmlformats.org/officeDocument/2006/relationships/hyperlink" Target="https://www.missionne.org/" TargetMode="External"/><Relationship Id="rId575" Type="http://schemas.openxmlformats.org/officeDocument/2006/relationships/hyperlink" Target="https://fplh.org/about/" TargetMode="External"/><Relationship Id="rId1166" Type="http://schemas.openxmlformats.org/officeDocument/2006/relationships/hyperlink" Target="https://www.google.com/maps/place/Mission+Northeast/@30.1263271,-95.2247416,16z/data=!3m1!4b1!4m6!3m5!1s0x8647520b68943d01:0xb7c7a71ecf753c14!8m2!3d30.1263225!4d-95.2221667!16s%2Fg%2F1td6n14m?entry=ttu&amp;g_ep=EgoyMDI0MTAwOS4wIKXMDSoASAFQAw%3D%3D" TargetMode="External"/><Relationship Id="rId574" Type="http://schemas.openxmlformats.org/officeDocument/2006/relationships/hyperlink" Target="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 TargetMode="External"/><Relationship Id="rId1167" Type="http://schemas.openxmlformats.org/officeDocument/2006/relationships/hyperlink" Target="https://www.missionne.org/" TargetMode="External"/><Relationship Id="rId573" Type="http://schemas.openxmlformats.org/officeDocument/2006/relationships/hyperlink" Target="https://fplh.org/about/" TargetMode="External"/><Relationship Id="rId1168" Type="http://schemas.openxmlformats.org/officeDocument/2006/relationships/hyperlink" Target="https://www.google.com/maps/place/Mission+Northeast/@30.1263271,-95.2247416,16z/data=!3m1!4b1!4m6!3m5!1s0x8647520b68943d01:0xb7c7a71ecf753c14!8m2!3d30.1263225!4d-95.2221667!16s%2Fg%2F1td6n14m?entry=ttu&amp;g_ep=EgoyMDI0MTAwOS4wIKXMDSoASAFQAw%3D%3D" TargetMode="External"/><Relationship Id="rId129" Type="http://schemas.openxmlformats.org/officeDocument/2006/relationships/hyperlink" Target="https://www.google.com/maps/place/Omega+House+Inc/@29.7493709,-95.4271715,14z/data=!4m10!1m2!2m1!1sAvenue+360+omega+house!3m6!1s0x8640bf7b34918707:0xca52df43197d2b70!8m2!3d29.737315!4d-95.387145!15sChZBdmVudWUgMzYwIG9tZWdhIGhvdXNlIgOIAQGSAQdob3NwaWNlqgFqCg0vZy8xMWZreXk5ZHM2EAEqGiIWYXZlbnVlIDM2MCBvbWVnYSBob3VzZSgAMh8QASIbVSKfBN_lgTeTOV3_tjNAWct14vydLLzNZg8gMhoQAiIWYXZlbnVlIDM2MCBvbWVnYSBob3VzZeABAA!16s%2Fg%2F12601824t?entry=ttu&amp;g_ep=EgoyMDI1MDUwNy4wIKXMDSoASAFQAw%3D%3D" TargetMode="External"/><Relationship Id="rId128" Type="http://schemas.openxmlformats.org/officeDocument/2006/relationships/hyperlink" Target="https://avenue360.org/" TargetMode="External"/><Relationship Id="rId127" Type="http://schemas.openxmlformats.org/officeDocument/2006/relationships/hyperlink" Targe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 TargetMode="External"/><Relationship Id="rId126" Type="http://schemas.openxmlformats.org/officeDocument/2006/relationships/hyperlink" Target="https://avenue360.org/" TargetMode="External"/><Relationship Id="rId1190" Type="http://schemas.openxmlformats.org/officeDocument/2006/relationships/hyperlink" Target="https://www.movingwaters-houston.org/showers" TargetMode="External"/><Relationship Id="rId1191" Type="http://schemas.openxmlformats.org/officeDocument/2006/relationships/hyperlink" Target="https://www.google.com/maps/place/Northwest+Assistance+Ministries/@30.0037415,-95.4646401,17z/data=!3m2!4b1!5s0x8640cb7564e1e487:0xad353ce1e04558a2!4m6!3m5!1s0x8640cb7417ffa571:0x87e1b18d3f01969b!8m2!3d30.0037415!4d-95.4620652!16s%2Fg%2F1td6135_?entry=ttu&amp;g_ep=EgoyMDI1MDUyMS4wIKXMDSoASAFQAw%3D%3D" TargetMode="External"/><Relationship Id="rId1192" Type="http://schemas.openxmlformats.org/officeDocument/2006/relationships/hyperlink" Target="https://www.movingwaters-houston.org/showers" TargetMode="External"/><Relationship Id="rId1193" Type="http://schemas.openxmlformats.org/officeDocument/2006/relationships/hyperlink" Target="https://www.google.com/maps/place/St.+Joseph+Catholic+Church/@29.7658333,-95.3756305,17z/data=!3m1!4b1!4m6!3m5!1s0x8640bf49e1fc26f7:0x78f160f62d7822ce!8m2!3d29.7658333!4d-95.3730556!16s%2Fg%2F1tg50tfh?entry=ttu&amp;g_ep=EgoyMDI1MDUyMS4wIKXMDSoASAFQAw%3D%3D" TargetMode="External"/><Relationship Id="rId121" Type="http://schemas.openxmlformats.org/officeDocument/2006/relationships/hyperlink" Target="https://www.google.com/maps/place/Avenue+360+Health+and+Wellness+-+Memorial+City/@29.7801026,-95.6992342,12z/data=!4m10!1m2!2m1!1sAvenue+360+Health+and+Wellness+near+Heights+Boulevard,+Houston,+TX!3m6!1s0x8640c52ad343a75d:0xd0181acca5791ec2!8m2!3d29.7801026!4d-95.5467989!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k14_wv4?entry=ttu&amp;g_ep=EgoyMDI1MDUwNy4wIKXMDSoASAFQAw%3D%3D" TargetMode="External"/><Relationship Id="rId1194" Type="http://schemas.openxmlformats.org/officeDocument/2006/relationships/hyperlink" Target="https://www.mybkoutreach.org/programs-and-services" TargetMode="External"/><Relationship Id="rId120" Type="http://schemas.openxmlformats.org/officeDocument/2006/relationships/hyperlink" Target="https://avenue360.org/" TargetMode="External"/><Relationship Id="rId1195" Type="http://schemas.openxmlformats.org/officeDocument/2006/relationships/hyperlink" Target="https://maps.google.com/?q=My%20Brother's%20Keeper%2012621%20Bissonnet%20Street%20Houston%20TX%2077099" TargetMode="External"/><Relationship Id="rId1196" Type="http://schemas.openxmlformats.org/officeDocument/2006/relationships/hyperlink" Target="https://www.mybkoutreach.org/programs-and-services" TargetMode="External"/><Relationship Id="rId1197" Type="http://schemas.openxmlformats.org/officeDocument/2006/relationships/hyperlink" Target="https://maps.google.com/?q=My%20Brother's%20Keeper%2012621%20Bissonnet%20Street%20Houston%20TX%2077099" TargetMode="External"/><Relationship Id="rId125" Type="http://schemas.openxmlformats.org/officeDocument/2006/relationships/hyperlink" Targe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 TargetMode="External"/><Relationship Id="rId1198" Type="http://schemas.openxmlformats.org/officeDocument/2006/relationships/hyperlink" Target="https://www.mybkoutreach.org/programs-and-services" TargetMode="External"/><Relationship Id="rId124" Type="http://schemas.openxmlformats.org/officeDocument/2006/relationships/hyperlink" Target="https://avenue360.org/" TargetMode="External"/><Relationship Id="rId1199" Type="http://schemas.openxmlformats.org/officeDocument/2006/relationships/hyperlink" Target="https://maps.google.com/?q=My%20Brother's%20Keeper%2012621%20Bissonnet%20Street%20Houston%20TX%2077099" TargetMode="External"/><Relationship Id="rId123" Type="http://schemas.openxmlformats.org/officeDocument/2006/relationships/hyperlink" Targe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 TargetMode="External"/><Relationship Id="rId122" Type="http://schemas.openxmlformats.org/officeDocument/2006/relationships/hyperlink" Target="https://avenue360.org/" TargetMode="External"/><Relationship Id="rId118" Type="http://schemas.openxmlformats.org/officeDocument/2006/relationships/hyperlink" Target="https://avenue360.org/" TargetMode="External"/><Relationship Id="rId117" Type="http://schemas.openxmlformats.org/officeDocument/2006/relationships/hyperlink" Target="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 TargetMode="External"/><Relationship Id="rId116" Type="http://schemas.openxmlformats.org/officeDocument/2006/relationships/hyperlink" Target="https://avenue360.org/" TargetMode="External"/><Relationship Id="rId115" Type="http://schemas.openxmlformats.org/officeDocument/2006/relationships/hyperlink" Target="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 TargetMode="External"/><Relationship Id="rId599" Type="http://schemas.openxmlformats.org/officeDocument/2006/relationships/hyperlink" Target="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 TargetMode="External"/><Relationship Id="rId1180" Type="http://schemas.openxmlformats.org/officeDocument/2006/relationships/hyperlink" Target="https://www.google.com/maps/place/Fairbanks+Library/@29.8720013,-95.543751,17z/data=!3m1!4b1!4m6!3m5!1s0x8640cf9355146beb:0xcf6f02dd11cda91c!8m2!3d29.8720013!4d-95.5411707!16s%2Fg%2F1tf7bgzt?entry=ttu&amp;g_ep=EgoyMDI2MDEyNi4wIKXMDSoKLDEwMDc5MjA2OUgBUAM%3D" TargetMode="External"/><Relationship Id="rId1181" Type="http://schemas.openxmlformats.org/officeDocument/2006/relationships/hyperlink" Target="https://publichealth.harriscountytx.gov/Divisions-Offices/Divisions/Community-Health-Wellness-Division/Dental-Health-Prevention/Community-Dental-Services" TargetMode="External"/><Relationship Id="rId119" Type="http://schemas.openxmlformats.org/officeDocument/2006/relationships/hyperlink" Target="https://www.google.com/maps/place/Avenue+360+Health+and+Wellness+-+Humble%2FLake+Houston+Area/@30.0107658,-95.6120224,12z/data=!3m1!5s0x8640b3b1af0a8aa9:0x46de262279676a0a!4m10!1m2!2m1!1sAvenue+360+Health+and+Wellness+near+Heights+Boulevard,+Houston,+TX!3m6!1s0x8640b3866c8e8433:0xaa3dd7fa9a3f8f2a!8m2!3d29.9936394!4d-95.275666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4bbbv1z?entry=ttu&amp;g_ep=EgoyMDI1MDUwNy4wIKXMDSoASAFQAw%3D%3D" TargetMode="External"/><Relationship Id="rId1182" Type="http://schemas.openxmlformats.org/officeDocument/2006/relationships/hyperlink" Target="https://www.google.com/maps/place/7340+Spencer+Hwy,+Pasadena,+TX+77505/@29.6605524,-95.1282972,17z/data=!3m1!4b1!4m6!3m5!1s0x86409f3c2513b38b:0x9e8a827402316fcf!8m2!3d29.6605524!4d-95.1257169!16s%2Fg%2F11c43tfbm6?entry=ttu&amp;g_ep=EgoyMDI2MDEyNi4wIKXMDSoKLDEwMDc5MjA2OUgBUAM%3D" TargetMode="External"/><Relationship Id="rId110" Type="http://schemas.openxmlformats.org/officeDocument/2006/relationships/hyperlink" Target="https://www.aama.org/apps/pages/early-childhood" TargetMode="External"/><Relationship Id="rId594" Type="http://schemas.openxmlformats.org/officeDocument/2006/relationships/hyperlink" Target="https://maps.google.com/?q=First%20Presbyterian%20Church%20%20%20TX%20" TargetMode="External"/><Relationship Id="rId1183" Type="http://schemas.openxmlformats.org/officeDocument/2006/relationships/hyperlink" Target="https://mcwctx.org/our-services/" TargetMode="External"/><Relationship Id="rId593" Type="http://schemas.openxmlformats.org/officeDocument/2006/relationships/hyperlink" Target="https://maps.google.com/?q=First%20Baptist%20North%20Houston%204422%20Lauder%20Rd%20Houston%20TX%2077039" TargetMode="External"/><Relationship Id="rId1184" Type="http://schemas.openxmlformats.org/officeDocument/2006/relationships/hyperlink" Target="https://www.montrosegraceplace.org" TargetMode="External"/><Relationship Id="rId592" Type="http://schemas.openxmlformats.org/officeDocument/2006/relationships/hyperlink" Target="https://maps.google.com/?q=First%20Baptist%20Highlands%20Magnolia%20210%20N%20Magnolia%20St%20Highlands%20TX%2077562" TargetMode="External"/><Relationship Id="rId1185" Type="http://schemas.openxmlformats.org/officeDocument/2006/relationships/hyperlink" Target="https://www.google.com/maps/place/Montrose+Grace+Place/@29.7464002,-95.3965054,17z/data=!3m1!4b1!4m6!3m5!1s0x8640bf60282edf19:0x114fde4ed42e1be0!8m2!3d29.7464002!4d-95.3939305!16s%2Fg%2F11c0vph0w9?entry=ttu&amp;g_ep=EgoyMDI1MDUyMS4wIKXMDSoASAFQAw%3D%3D" TargetMode="External"/><Relationship Id="rId591" Type="http://schemas.openxmlformats.org/officeDocument/2006/relationships/hyperlink" Target="https://www.firstbaptisthighlands.org/" TargetMode="External"/><Relationship Id="rId1186" Type="http://schemas.openxmlformats.org/officeDocument/2006/relationships/hyperlink" Target="https://www.movingwaters-houston.org/showers" TargetMode="External"/><Relationship Id="rId114" Type="http://schemas.openxmlformats.org/officeDocument/2006/relationships/hyperlink" Target="https://avenue360.org/" TargetMode="External"/><Relationship Id="rId598" Type="http://schemas.openxmlformats.org/officeDocument/2006/relationships/hyperlink" Target="https://focusing-families.org/family-violence" TargetMode="External"/><Relationship Id="rId1187" Type="http://schemas.openxmlformats.org/officeDocument/2006/relationships/hyperlink" Target="https://www.google.com/maps/place/Ecclesia+Houston+-+Downtown+Campus/@29.7686528,-95.3697745,16z/data=!3m1!4b1!4m6!3m5!1s0x8640bf338d127f11:0x506bb795c4dd643!8m2!3d29.7686528!4d-95.3671996!16s%2Fg%2F1hhhqtb6n?entry=ttu&amp;g_ep=EgoyMDI1MDUyMS4wIKXMDSoASAFQAw%3D%3D" TargetMode="External"/><Relationship Id="rId113" Type="http://schemas.openxmlformats.org/officeDocument/2006/relationships/hyperlink" Target="https://www.google.com/maps/place/AAMA/@29.7143334,-95.3127981,19z/data=!3m1!4b1!4m6!3m5!1s0x8640bfd5e8dcfca9:0x894a10d39493d560!8m2!3d29.7143322!4d-95.3121544!16s%2Fg%2F11sszckmnd?entry=ttu&amp;g_ep=EgoyMDI1MDgxOS4wIKXMDSoASAFQAw%3D%3D" TargetMode="External"/><Relationship Id="rId597" Type="http://schemas.openxmlformats.org/officeDocument/2006/relationships/hyperlink" Target="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 TargetMode="External"/><Relationship Id="rId1188" Type="http://schemas.openxmlformats.org/officeDocument/2006/relationships/hyperlink" Target="https://www.movingwaters-houston.org/showers" TargetMode="External"/><Relationship Id="rId112" Type="http://schemas.openxmlformats.org/officeDocument/2006/relationships/hyperlink" Target="https://www.aama.org/" TargetMode="External"/><Relationship Id="rId596" Type="http://schemas.openxmlformats.org/officeDocument/2006/relationships/hyperlink" Target="https://focusing-families.org/family-violence" TargetMode="External"/><Relationship Id="rId1189" Type="http://schemas.openxmlformats.org/officeDocument/2006/relationships/hyperlink" Target="https://www.google.com/maps/place/Emergency+Aid+Coalition/@29.7264726,-95.3900795,17z/data=!3m1!4b1!4m6!3m5!1s0x8640bf7f55756945:0xcceb3ea4d7a260ab!8m2!3d29.7264726!4d-95.3875046!16s%2Fg%2F1tf6xqx9?entry=ttu&amp;g_ep=EgoyMDI1MDUyMS4wIKXMDSoASAFQAw%3D%3D" TargetMode="External"/><Relationship Id="rId111" Type="http://schemas.openxmlformats.org/officeDocument/2006/relationships/hyperlink" Target="https://www.google.com/maps/place/AAMA/@29.7143334,-95.3127981,19z/data=!3m1!4b1!4m6!3m5!1s0x8640bfd5e8dcfca9:0x894a10d39493d560!8m2!3d29.7143322!4d-95.3121544!16s%2Fg%2F11sszckmnd?entry=ttu&amp;g_ep=EgoyMDI1MDgxOS4wIKXMDSoASAFQAw%3D%3D" TargetMode="External"/><Relationship Id="rId595" Type="http://schemas.openxmlformats.org/officeDocument/2006/relationships/hyperlink" Target="https://maps.google.com/?q=First%20Presbyterian%20Church%20%20%20TX%20" TargetMode="External"/><Relationship Id="rId1136" Type="http://schemas.openxmlformats.org/officeDocument/2006/relationships/hyperlink" Target="https://masonichometx.org/" TargetMode="External"/><Relationship Id="rId1137" Type="http://schemas.openxmlformats.org/officeDocument/2006/relationships/hyperlink" Target="https://publichealth.harriscountytx.gov/Divisions-Offices/Divisions/Community-Health-Wellness-Division/Maternal-Child-Health" TargetMode="External"/><Relationship Id="rId1138" Type="http://schemas.openxmlformats.org/officeDocument/2006/relationships/hyperlink" Target="https://www.google.com/maps/place/Harris+County+Public+Health/@29.7263836,-95.4519715,13.01z/data=!4m10!1m2!2m1!1sharris+county+public+health+clinic!3m6!1s0x8640c11553c34fe1:0x455d350513ba73ef!8m2!3d29.7549995!4d-95.3645572!15sCiJoYXJyaXMgY291bnR5IHB1YmxpYyBoZWFsdGggY2xpbmljWiQiImhhcnJpcyBjb3VudHkgcHVibGljIGhlYWx0aCBjbGluaWOSARhwdWJsaWNfaGVhbHRoX2RlcGFydG1lbnSaASNDaFpEU1VoTk1HOW5TMFZKUTBGblRVTlplR1JNTlU5bkVBReABAPoBBAgAEBA!16s%2Fg%2F1tyyxhfh?entry=ttu&amp;g_ep=EgoyMDI2MDEyNi4wIKXMDSoKLDEwMDc5MjA2OUgBUAM%3D" TargetMode="External"/><Relationship Id="rId1139" Type="http://schemas.openxmlformats.org/officeDocument/2006/relationships/hyperlink" Target="https://www.mamhouston.org/services" TargetMode="External"/><Relationship Id="rId547" Type="http://schemas.openxmlformats.org/officeDocument/2006/relationships/hyperlink" Target="https://eachouston.org/" TargetMode="External"/><Relationship Id="rId546" Type="http://schemas.openxmlformats.org/officeDocument/2006/relationships/hyperlink" Target="https://maps.google.com/?q=Emergency%20Aid%20Coalition%205401%20Fanin%20St%20Houston%20TX%2077004" TargetMode="External"/><Relationship Id="rId545" Type="http://schemas.openxmlformats.org/officeDocument/2006/relationships/hyperlink" Target="https://eachouston.org/" TargetMode="External"/><Relationship Id="rId544" Type="http://schemas.openxmlformats.org/officeDocument/2006/relationships/hyperlink" Target="https://www.google.com/maps/place/Emancipet/@29.7301277,-95.315564,17z/data=!3m1!4b1!4m6!3m5!1s0x8640bebfd377fb23:0x5e7286da59d12d14!8m2!3d29.7301231!4d-95.3106931!16s%2Fg%2F11cjn0f9dc?entry=ttu&amp;g_ep=EgoyMDI1MDkyMi4wIKXMDSoASAFQAw%3D%3D" TargetMode="External"/><Relationship Id="rId549" Type="http://schemas.openxmlformats.org/officeDocument/2006/relationships/hyperlink" Target="https://echoshouston.org/client-services/financial_assistance/" TargetMode="External"/><Relationship Id="rId548" Type="http://schemas.openxmlformats.org/officeDocument/2006/relationships/hyperlink" Target="https://maps.google.com/?q=Emergency%20Aid%20Coalition%205401%20Fanin%20St%20Houston%20TX%2077004" TargetMode="External"/><Relationship Id="rId1130" Type="http://schemas.openxmlformats.org/officeDocument/2006/relationships/hyperlink" Target="https://maps.google.com/?q=Mary%20Queen%20Friendswood%20%20%20TX%20" TargetMode="External"/><Relationship Id="rId1131" Type="http://schemas.openxmlformats.org/officeDocument/2006/relationships/hyperlink" Target="https://www.maryqueencatholicchurch.org/social-concerns" TargetMode="External"/><Relationship Id="rId543" Type="http://schemas.openxmlformats.org/officeDocument/2006/relationships/hyperlink" Target="https://emancipet.org" TargetMode="External"/><Relationship Id="rId1132" Type="http://schemas.openxmlformats.org/officeDocument/2006/relationships/hyperlink" Target="https://maps.google.com/?q=Mary%20Queen%20Friendswood%20%20%20TX%20" TargetMode="External"/><Relationship Id="rId542" Type="http://schemas.openxmlformats.org/officeDocument/2006/relationships/hyperlink" Target="https://www.google.com/maps/place/Emancipet/@29.6688965,-95.2639586,17z/data=!3m1!4b1!4m6!3m5!1s0x8640979908914191:0x163eb3eb8b2b690d!8m2!3d29.6688919!4d-95.2613837!16s%2Fg%2F11j8x8mgxd?entry=ttu&amp;g_ep=EgoyMDI1MDkyMi4wIKXMDSoASAFQAw%3D%3D" TargetMode="External"/><Relationship Id="rId1133" Type="http://schemas.openxmlformats.org/officeDocument/2006/relationships/hyperlink" Target="https://masonichometx.org/" TargetMode="External"/><Relationship Id="rId541" Type="http://schemas.openxmlformats.org/officeDocument/2006/relationships/hyperlink" Target="https://emancipet.org" TargetMode="External"/><Relationship Id="rId1134" Type="http://schemas.openxmlformats.org/officeDocument/2006/relationships/hyperlink" Target="https://masonichometx.org/" TargetMode="External"/><Relationship Id="rId540" Type="http://schemas.openxmlformats.org/officeDocument/2006/relationships/hyperlink" Target="https://www.google.com/maps/place/Emancipet/@29.8557388,-95.518464,17z/data=!3m1!4b1!4m6!3m5!1s0x8640c585812011f3:0xc56ecfbc063f8b4a!8m2!3d29.8557342!4d-95.5135931!16s%2Fg%2F11pz8shnc3?entry=ttu&amp;g_ep=EgoyMDI1MDkyMi4wIKXMDSoASAFQAw%3D%3D" TargetMode="External"/><Relationship Id="rId1135" Type="http://schemas.openxmlformats.org/officeDocument/2006/relationships/hyperlink" Target="https://masonichometx.org/" TargetMode="External"/><Relationship Id="rId1125" Type="http://schemas.openxmlformats.org/officeDocument/2006/relationships/hyperlink" Target="https://catholiccharities.org/mgcc/" TargetMode="External"/><Relationship Id="rId1126" Type="http://schemas.openxmlformats.org/officeDocument/2006/relationships/hyperlink" Target="https://www.google.com/maps/place/Catholic+Charities'+Mamie+George+Community+Center/@29.5902807,-95.7756345,17z/data=!3m1!4b1!4m6!3m5!1s0x86411e8a0b6c3067:0x8f10e7da6befccca!8m2!3d29.5902807!4d-95.7730596!16s%2Fg%2F11bbrmdcs1?entry=ttu&amp;g_ep=EgoyMDI1MDQwOS4wIKXMDSoASAFQAw%3D%3D" TargetMode="External"/><Relationship Id="rId1127" Type="http://schemas.openxmlformats.org/officeDocument/2006/relationships/hyperlink" Target="https://www.maryqueencatholicchurch.org/social-concerns" TargetMode="External"/><Relationship Id="rId1128" Type="http://schemas.openxmlformats.org/officeDocument/2006/relationships/hyperlink" Target="https://maps.google.com/?q=Mary%20Queen%20Friendswood%20%20%20TX%20" TargetMode="External"/><Relationship Id="rId1129" Type="http://schemas.openxmlformats.org/officeDocument/2006/relationships/hyperlink" Target="https://www.maryqueencatholicchurch.org/social-concerns" TargetMode="External"/><Relationship Id="rId536" Type="http://schemas.openxmlformats.org/officeDocument/2006/relationships/hyperlink" Target="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 TargetMode="External"/><Relationship Id="rId535" Type="http://schemas.openxmlformats.org/officeDocument/2006/relationships/hyperlink" Target="https://www.elcentrodecorazon.org" TargetMode="External"/><Relationship Id="rId534" Type="http://schemas.openxmlformats.org/officeDocument/2006/relationships/hyperlink" Target="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 TargetMode="External"/><Relationship Id="rId533" Type="http://schemas.openxmlformats.org/officeDocument/2006/relationships/hyperlink" Target="https://www.elcentrodecorazon.org" TargetMode="External"/><Relationship Id="rId539" Type="http://schemas.openxmlformats.org/officeDocument/2006/relationships/hyperlink" Target="https://emancipet.org" TargetMode="External"/><Relationship Id="rId538" Type="http://schemas.openxmlformats.org/officeDocument/2006/relationships/hyperlink" Target="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 TargetMode="External"/><Relationship Id="rId537" Type="http://schemas.openxmlformats.org/officeDocument/2006/relationships/hyperlink" Target="https://www.elcentrodecorazon.org" TargetMode="External"/><Relationship Id="rId1120" Type="http://schemas.openxmlformats.org/officeDocument/2006/relationships/hyperlink" Target="https://maps.google.com/?q=Main%20Street%20Ministries%20%20%20TX%20" TargetMode="External"/><Relationship Id="rId532" Type="http://schemas.openxmlformats.org/officeDocument/2006/relationships/hyperlink" Target="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 TargetMode="External"/><Relationship Id="rId1121" Type="http://schemas.openxmlformats.org/officeDocument/2006/relationships/hyperlink" Target="https://msmhouston.org/" TargetMode="External"/><Relationship Id="rId531" Type="http://schemas.openxmlformats.org/officeDocument/2006/relationships/hyperlink" Target="https://www.elcentrodecorazon.org" TargetMode="External"/><Relationship Id="rId1122" Type="http://schemas.openxmlformats.org/officeDocument/2006/relationships/hyperlink" Target="https://maps.google.com/?q=Main%20Street%20Ministries%20%20%20TX%20" TargetMode="External"/><Relationship Id="rId530" Type="http://schemas.openxmlformats.org/officeDocument/2006/relationships/hyperlink" Target="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 TargetMode="External"/><Relationship Id="rId1123" Type="http://schemas.openxmlformats.org/officeDocument/2006/relationships/hyperlink" Target="https://msmhouston.org/" TargetMode="External"/><Relationship Id="rId1124" Type="http://schemas.openxmlformats.org/officeDocument/2006/relationships/hyperlink" Target="https://maps.google.com/?q=Main%20Street%20Ministries%20%20%20TX%20" TargetMode="External"/><Relationship Id="rId1158" Type="http://schemas.openxmlformats.org/officeDocument/2006/relationships/hyperlink" Target="https://maps.google.com/?q=Memorial%20Assistance%20Ministries%201625%20Blalock%20Rd%20Houston%20TX%2077080" TargetMode="External"/><Relationship Id="rId1159" Type="http://schemas.openxmlformats.org/officeDocument/2006/relationships/hyperlink" Target="https://www.mesa-outreach.org/programs/food-pantry/" TargetMode="External"/><Relationship Id="rId569" Type="http://schemas.openxmlformats.org/officeDocument/2006/relationships/hyperlink" Target="https://www.ccfamilypromise.org/programs-and-services/" TargetMode="External"/><Relationship Id="rId568"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567" Type="http://schemas.openxmlformats.org/officeDocument/2006/relationships/hyperlink" Target="https://www.ccfamilypromise.org/programs-and-services/" TargetMode="External"/><Relationship Id="rId566"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561" Type="http://schemas.openxmlformats.org/officeDocument/2006/relationships/hyperlink" Target="https://www.epiphanycatholic.org/outreach" TargetMode="External"/><Relationship Id="rId1150" Type="http://schemas.openxmlformats.org/officeDocument/2006/relationships/hyperlink" Target="https://maps.google.com/?q=Memorial%20Assistance%20Ministries%201625%20Blalock%20Rd%20Houston%20TX%2077080" TargetMode="External"/><Relationship Id="rId560" Type="http://schemas.openxmlformats.org/officeDocument/2006/relationships/hyperlink" Target="https://maps.google.com/?q=Epiphany%20of%20the%20Lord%20(SVdP%20D4)%20Katy%201530%20Norwalk%20Dr%20Katy%20TX%2077450" TargetMode="External"/><Relationship Id="rId1151" Type="http://schemas.openxmlformats.org/officeDocument/2006/relationships/hyperlink" Target="https://www.mamhouston.org/services" TargetMode="External"/><Relationship Id="rId1152" Type="http://schemas.openxmlformats.org/officeDocument/2006/relationships/hyperlink" Target="https://maps.google.com/?q=Memorial%20Assistance%20Ministries%201625%20Blalock%20Rd%20Houston%20TX%2077080" TargetMode="External"/><Relationship Id="rId1153" Type="http://schemas.openxmlformats.org/officeDocument/2006/relationships/hyperlink" Target="https://www.mamhouston.org/services" TargetMode="External"/><Relationship Id="rId565" Type="http://schemas.openxmlformats.org/officeDocument/2006/relationships/hyperlink" Target="https://www.ccfamilypromise.org/programs-and-services/" TargetMode="External"/><Relationship Id="rId1154" Type="http://schemas.openxmlformats.org/officeDocument/2006/relationships/hyperlink" Target="https://maps.google.com/?q=Memorial%20Assistance%20Ministries%201625%20Blalock%20Rd%20Houston%20TX%2077080" TargetMode="External"/><Relationship Id="rId564" Type="http://schemas.openxmlformats.org/officeDocument/2006/relationships/hyperlink" Target="https://maps.google.com/?q=Fair%20Haven%20Methodist%20Church%201330%20Gessner%20Rd%20Houston%20TX%2077055" TargetMode="External"/><Relationship Id="rId1155" Type="http://schemas.openxmlformats.org/officeDocument/2006/relationships/hyperlink" Target="https://www.mamhouston.org/services" TargetMode="External"/><Relationship Id="rId563" Type="http://schemas.openxmlformats.org/officeDocument/2006/relationships/hyperlink" Target="https://www.chapelwood.org/sanctuary/get-involved/serving-opportunities/fair-haven-food-pantry/249/" TargetMode="External"/><Relationship Id="rId1156" Type="http://schemas.openxmlformats.org/officeDocument/2006/relationships/hyperlink" Target="https://maps.google.com/?q=Memorial%20Assistance%20Ministries%201625%20Blalock%20Rd%20Houston%20TX%2077080" TargetMode="External"/><Relationship Id="rId562" Type="http://schemas.openxmlformats.org/officeDocument/2006/relationships/hyperlink" Target="https://maps.google.com/?q=Epiphany%20of%20the%20Lord%20(SVdP%20D4)%20Katy%201530%20Norwalk%20Dr%20Katy%20TX%2077450" TargetMode="External"/><Relationship Id="rId1157" Type="http://schemas.openxmlformats.org/officeDocument/2006/relationships/hyperlink" Target="https://www.mamhouston.org/services" TargetMode="External"/><Relationship Id="rId1147" Type="http://schemas.openxmlformats.org/officeDocument/2006/relationships/hyperlink" Target="https://www.mamhouston.org/services" TargetMode="External"/><Relationship Id="rId1148" Type="http://schemas.openxmlformats.org/officeDocument/2006/relationships/hyperlink" Target="https://maps.google.com/?q=Memorial%20Assistance%20Ministries%201625%20Blalock%20Rd%20Houston%20TX%2077080" TargetMode="External"/><Relationship Id="rId1149" Type="http://schemas.openxmlformats.org/officeDocument/2006/relationships/hyperlink" Target="https://www.mamhouston.org/services" TargetMode="External"/><Relationship Id="rId558" Type="http://schemas.openxmlformats.org/officeDocument/2006/relationships/hyperlink" Target="https://maps.google.com/?q=Epiphany%20of%20the%20Lord%20(SVdP%20D4)%20Katy%201530%20Norwalk%20Dr%20Katy%20TX%2077450" TargetMode="External"/><Relationship Id="rId557" Type="http://schemas.openxmlformats.org/officeDocument/2006/relationships/hyperlink" Target="https://www.epiphanycatholic.org/outreach" TargetMode="External"/><Relationship Id="rId556" Type="http://schemas.openxmlformats.org/officeDocument/2006/relationships/hyperlink" Target="https://maps.google.com/?q=Epiphany%20Community%20Health%20Outreach%20Services%20ECHOS%20(SW%20Harris%20County)%209894%20Bissonnet%20St%20%23918%20Houston%20TX%2077036" TargetMode="External"/><Relationship Id="rId555" Type="http://schemas.openxmlformats.org/officeDocument/2006/relationships/hyperlink" Target="https://echoshouston.org/client-services/application-assistance/" TargetMode="External"/><Relationship Id="rId559" Type="http://schemas.openxmlformats.org/officeDocument/2006/relationships/hyperlink" Target="https://www.epiphanycatholic.org/outreach" TargetMode="External"/><Relationship Id="rId550" Type="http://schemas.openxmlformats.org/officeDocument/2006/relationships/hyperlink" Target="https://maps.google.com/?q=Epiphany%20Community%20Health%20Outreach%20Services%20ECHOS%20(SW%20Harris%20County)%209894%20Bissonnet%20St%20%23918%20Houston%20TX%2077036" TargetMode="External"/><Relationship Id="rId1140" Type="http://schemas.openxmlformats.org/officeDocument/2006/relationships/hyperlink" Target="https://maps.google.com/?q=Memorial%20Assistance%20Ministries%201625%20Blalock%20Rd%20Houston%20TX%2077080" TargetMode="External"/><Relationship Id="rId1141" Type="http://schemas.openxmlformats.org/officeDocument/2006/relationships/hyperlink" Target="https://www.mamhouston.org/services" TargetMode="External"/><Relationship Id="rId1142" Type="http://schemas.openxmlformats.org/officeDocument/2006/relationships/hyperlink" Target="https://maps.google.com/?q=Memorial%20Assistance%20Ministries%201625%20Blalock%20Rd%20Houston%20TX%2077080" TargetMode="External"/><Relationship Id="rId554" Type="http://schemas.openxmlformats.org/officeDocument/2006/relationships/hyperlink" Target="https://maps.google.com/?q=Epiphany%20Community%20Health%20Outreach%20Services%20ECHOS%20(SW%20Harris%20County)%209894%20Bissonnet%20St%20%23918%20Houston%20TX%2077036" TargetMode="External"/><Relationship Id="rId1143" Type="http://schemas.openxmlformats.org/officeDocument/2006/relationships/hyperlink" Target="https://www.mamhouston.org/services" TargetMode="External"/><Relationship Id="rId553" Type="http://schemas.openxmlformats.org/officeDocument/2006/relationships/hyperlink" Target="https://echoshouston.org/" TargetMode="External"/><Relationship Id="rId1144" Type="http://schemas.openxmlformats.org/officeDocument/2006/relationships/hyperlink" Target="https://maps.google.com/?q=Memorial%20Assistance%20Ministries%201625%20Blalock%20Rd%20Houston%20TX%2077080" TargetMode="External"/><Relationship Id="rId552" Type="http://schemas.openxmlformats.org/officeDocument/2006/relationships/hyperlink" Target="https://maps.google.com/?q=Epiphany%20Community%20Health%20Outreach%20Services%20ECHOS%20(SW%20Harris%20County)%209894%20Bissonnet%20St%20%23918%20Houston%20TX%2077036" TargetMode="External"/><Relationship Id="rId1145" Type="http://schemas.openxmlformats.org/officeDocument/2006/relationships/hyperlink" Target="https://www.mamhouston.org/services" TargetMode="External"/><Relationship Id="rId551" Type="http://schemas.openxmlformats.org/officeDocument/2006/relationships/hyperlink" Target="https://echoshouston.org/client-services/financial_assistance/" TargetMode="External"/><Relationship Id="rId1146" Type="http://schemas.openxmlformats.org/officeDocument/2006/relationships/hyperlink" Target="https://maps.google.com/?q=Memorial%20Assistance%20Ministries%201625%20Blalock%20Rd%20Houston%20TX%2077080" TargetMode="External"/><Relationship Id="rId495" Type="http://schemas.openxmlformats.org/officeDocument/2006/relationships/hyperlink" Target="https://www.houstonhealth.org/services/multi-service-centers/denver-harbor-multi-service-center" TargetMode="External"/><Relationship Id="rId494" Type="http://schemas.openxmlformats.org/officeDocument/2006/relationships/hyperlink" Target="https://www.google.com/maps/place/Vecino's+Denver+Harbor+Family+Health+Center/@29.7804606,-95.3124257,16z/data=!3m1!4b1!4m6!3m5!1s0x8640bbfe0493ec21:0xa8baa6b440546cf3!8m2!3d29.780456!4d-95.3098454!16s%2Fg%2F1td9whln?entry=ttu&amp;g_ep=EgoyMDI0MDkwNC4wIKXMDSoASAFQAw%3D%3D" TargetMode="External"/><Relationship Id="rId493" Type="http://schemas.openxmlformats.org/officeDocument/2006/relationships/hyperlink" Target="https://www.denverharborhealthcenter.org" TargetMode="External"/><Relationship Id="rId492" Type="http://schemas.openxmlformats.org/officeDocument/2006/relationships/hyperlink" Target="https://www.google.com/maps/place/Vecino's+Denver+Harbor+Family+Health+Center/@29.7804606,-95.3124257,16z/data=!3m1!4b1!4m6!3m5!1s0x8640bbfe0493ec21:0xa8baa6b440546cf3!8m2!3d29.780456!4d-95.3098454!16s%2Fg%2F1td9whln?entry=ttu&amp;g_ep=EgoyMDI0MDkwNC4wIKXMDSoASAFQAw%3D%3D" TargetMode="External"/><Relationship Id="rId499" Type="http://schemas.openxmlformats.org/officeDocument/2006/relationships/hyperlink" Target="https://dollarfor.org/how-we-help/" TargetMode="External"/><Relationship Id="rId498" Type="http://schemas.openxmlformats.org/officeDocument/2006/relationships/hyperlink" Target="https://www.google.com/maps/place/Denver+Harbor+Multi-Service+Center/@29.7720985,-95.3095812,16z/data=!3m1!4b1!4m6!3m5!1s0x8640bc00ddfbd2cb:0xd148e224cfb07332!8m2!3d29.7720939!4d-95.3047103!16s%2Fg%2F1tdnlhnb?entry=ttu&amp;g_ep=EgoyMDI2MDIwMS4wIKXMDSoKLDEwMDc5MjA2OUgBUAM%3D" TargetMode="External"/><Relationship Id="rId497" Type="http://schemas.openxmlformats.org/officeDocument/2006/relationships/hyperlink" Target="https://www.houstonhealth.org/services/multi-service-centers/denver-harbor-multi-service-center" TargetMode="External"/><Relationship Id="rId496" Type="http://schemas.openxmlformats.org/officeDocument/2006/relationships/hyperlink" Target="https://www.google.com/maps/place/Denver+Harbor+Multi-Service+Center/@29.7720985,-95.3095812,16z/data=!3m1!4b1!4m6!3m5!1s0x8640bc00ddfbd2cb:0xd148e224cfb07332!8m2!3d29.7720939!4d-95.3047103!16s%2Fg%2F1tdnlhnb?entry=ttu&amp;g_ep=EgoyMDI2MDIwMS4wIKXMDSoKLDEwMDc5MjA2OUgBUAM%3D" TargetMode="External"/><Relationship Id="rId1610" Type="http://schemas.openxmlformats.org/officeDocument/2006/relationships/hyperlink" Target="https://stmaryslaporte.com/st-vincent-de-paul-store" TargetMode="External"/><Relationship Id="rId1611" Type="http://schemas.openxmlformats.org/officeDocument/2006/relationships/hyperlink" Target="https://maps.google.com/?q=St%20Mary's%20(SVdP%20D5)%20La%20Porte%20816%20Park%20Dr%20La%20Porte%20TX%2077571" TargetMode="External"/><Relationship Id="rId1612" Type="http://schemas.openxmlformats.org/officeDocument/2006/relationships/hyperlink" Target="https://stmaryslaporte.com/st-vincent-de-paul-store" TargetMode="External"/><Relationship Id="rId1613" Type="http://schemas.openxmlformats.org/officeDocument/2006/relationships/hyperlink" Target="https://maps.google.com/?q=St%20Mary's%20(SVdP%20D5)%20La%20Porte%20816%20Park%20Dr%20La%20Porte%20TX%2077571" TargetMode="External"/><Relationship Id="rId1614" Type="http://schemas.openxmlformats.org/officeDocument/2006/relationships/hyperlink" Target="https://stmaryslaporte.com/st-vincent-de-paul-store" TargetMode="External"/><Relationship Id="rId1615" Type="http://schemas.openxmlformats.org/officeDocument/2006/relationships/hyperlink" Target="https://maps.google.com/?q=St%20Mary's%20(SVdP%20D5)%20La%20Porte%20816%20Park%20Dr%20La%20Porte%20TX%2077571" TargetMode="External"/><Relationship Id="rId1616" Type="http://schemas.openxmlformats.org/officeDocument/2006/relationships/hyperlink" Target="https://smsj.org/" TargetMode="External"/><Relationship Id="rId907" Type="http://schemas.openxmlformats.org/officeDocument/2006/relationships/hyperlink" Target="https://haamministries.org/" TargetMode="External"/><Relationship Id="rId1617" Type="http://schemas.openxmlformats.org/officeDocument/2006/relationships/hyperlink" Target="https://maps.google.com/?q=St%20Mary's%20%20(SVdP%20D6)%20Plantersville%208227%20County%20Road%20205%20Plantersville%20TX%2077363" TargetMode="External"/><Relationship Id="rId906" Type="http://schemas.openxmlformats.org/officeDocument/2006/relationships/hyperlink" Target="https://www.google.com/maps/place/Houston+Volunteer+Lawyers/@29.758516,-95.3708292,17z/data=!3m2!4b1!5s0x8640bf3a2b949039:0xe6f16368b6e34694!4m6!3m5!1s0x8640bf3ade8cef81:0x5e8349c5d3cdf865!8m2!3d29.7585114!4d-95.3682543!16s%2Fg%2F1q5cdpts1?entry=ttu&amp;g_ep=EgoyMDI1MTIwOS4wIKXMDSoKLDEwMDc5MjA2OUgBUAM%3D" TargetMode="External"/><Relationship Id="rId1618" Type="http://schemas.openxmlformats.org/officeDocument/2006/relationships/hyperlink" Target="https://smsj.org/" TargetMode="External"/><Relationship Id="rId905" Type="http://schemas.openxmlformats.org/officeDocument/2006/relationships/hyperlink" Target="https://www.makejusticehappen.org/programs/" TargetMode="External"/><Relationship Id="rId1619" Type="http://schemas.openxmlformats.org/officeDocument/2006/relationships/hyperlink" Target="https://maps.google.com/?q=St%20Mary's%20%20(SVdP%20D6)%20Plantersville%208227%20County%20Road%20205%20Plantersville%20TX%2077363" TargetMode="External"/><Relationship Id="rId904" Type="http://schemas.openxmlformats.org/officeDocument/2006/relationships/hyperlink" Target="https://www.google.com/maps/place/Houston+Community+ToolBank/@29.766933,-95.3065453,16z/data=!3m1!4b1!4m6!3m5!1s0x8640bc04619f4ca1:0x77d9885582f53fff!8m2!3d29.766933!4d-95.303965!16s%2Fg%2F11b7jgbdcj?entry=ttu&amp;g_ep=EgoyMDI2MDExMy4wIKXMDSoKLDEwMDc5MjA2OUgBUAM%3D" TargetMode="External"/><Relationship Id="rId909" Type="http://schemas.openxmlformats.org/officeDocument/2006/relationships/hyperlink" Target="https://haamministries.org/" TargetMode="External"/><Relationship Id="rId908" Type="http://schemas.openxmlformats.org/officeDocument/2006/relationships/hyperlink" Target="https://maps.google.com/?q=Humble%20Area%20Assistance%20Ministries%201302%201st%20St%20East%20Humble%20TX%2077338" TargetMode="External"/><Relationship Id="rId903" Type="http://schemas.openxmlformats.org/officeDocument/2006/relationships/hyperlink" Target="https://www.houstontoolbank.org/borrow/" TargetMode="External"/><Relationship Id="rId902" Type="http://schemas.openxmlformats.org/officeDocument/2006/relationships/hyperlink" Target="https://www.google.com/maps/place/Houston+Recovery+Center+LGC-+Sobering+Center/@29.7617845,-95.3533955,16z/data=!3m1!4b1!4m6!3m5!1s0x8640bed8194a6c21:0xbca6b2c6e94fd961!8m2!3d29.7617799!4d-95.3508206!16s%2Fg%2F12hp2pnc4?entry=ttu&amp;g_ep=EgoyMDI1MDUxMy4xIKXMDSoASAFQAw%3D%3D" TargetMode="External"/><Relationship Id="rId901" Type="http://schemas.openxmlformats.org/officeDocument/2006/relationships/hyperlink" Target="https://houstonrecoverycenter.org/houston-recovery-centers-community-healthcare-workers-chw-program/" TargetMode="External"/><Relationship Id="rId900" Type="http://schemas.openxmlformats.org/officeDocument/2006/relationships/hyperlink" Target="https://www.google.com/maps/place/Metropolitan+Transit+Authority+of+Harris+County+(METRO)/@29.7502068,-95.373268,16z/data=!3m1!4b1!4m6!3m5!1s0x8640bf3fd093bc6b:0x140c85ed0d209f79!8m2!3d29.7502022!4d-95.3706931!16s%2Fg%2F1tf_hsz3?entry=ttu&amp;g_ep=EgoyMDI2MDIwMS4wIKXMDSoKLDEwMDc5MjA2OUgBUAM%3D" TargetMode="External"/><Relationship Id="rId1600" Type="http://schemas.openxmlformats.org/officeDocument/2006/relationships/hyperlink" Target="https://stmartinbarrett.org/" TargetMode="External"/><Relationship Id="rId1601" Type="http://schemas.openxmlformats.org/officeDocument/2006/relationships/hyperlink" Target="https://maps.google.com/?q=St%20Martin%20de%20Porres%20(SVdP%20D5)%2012606%20Crosby%20Lynchburg%20Rd%20Crosby%20TX%2077532" TargetMode="External"/><Relationship Id="rId1602" Type="http://schemas.openxmlformats.org/officeDocument/2006/relationships/hyperlink" Target="https://st-mm.com/social-ministry" TargetMode="External"/><Relationship Id="rId1603" Type="http://schemas.openxmlformats.org/officeDocument/2006/relationships/hyperlink" Target="https://maps.google.com/?q=St%20Mary%20Magdalene%20Humble%20527%20South%20Houston%20Ave%20Humble%20TX%2077338" TargetMode="External"/><Relationship Id="rId1604" Type="http://schemas.openxmlformats.org/officeDocument/2006/relationships/hyperlink" Target="https://saintmcc.org/food-pantry" TargetMode="External"/><Relationship Id="rId1605" Type="http://schemas.openxmlformats.org/officeDocument/2006/relationships/hyperlink" Target="https://maps.google.com/?q=St%20Mary%20of%20the%20Expectation%201612%20E%20Walker%20St%20League%20City%20TX%2077573" TargetMode="External"/><Relationship Id="rId1606" Type="http://schemas.openxmlformats.org/officeDocument/2006/relationships/hyperlink" Target="https://stmaryshouston.org/st-vincent-de-paul" TargetMode="External"/><Relationship Id="rId1607" Type="http://schemas.openxmlformats.org/officeDocument/2006/relationships/hyperlink" Target="https://maps.google.com/?q=St%20Mary%20of%20the%20Purification%20(SVdP%20D3)%203006%20Rosedale%20St%20Houston%20TX%2077004" TargetMode="External"/><Relationship Id="rId1608" Type="http://schemas.openxmlformats.org/officeDocument/2006/relationships/hyperlink" Target="https://stmaryshouston.org/st-vincent-de-paul" TargetMode="External"/><Relationship Id="rId1609" Type="http://schemas.openxmlformats.org/officeDocument/2006/relationships/hyperlink" Target="https://maps.google.com/?q=St%20Mary%20of%20the%20Purification%20(SVdP%20D3)%203006%20Rosedale%20St%20Houston%20TX%2077004" TargetMode="External"/><Relationship Id="rId1631" Type="http://schemas.openxmlformats.org/officeDocument/2006/relationships/hyperlink" Target="https://maps.google.com/?q=St%20Matthias%20%20(SVdP%20D6)%20Magnolia%20302%20Magnolia%20Blvd%20Magnolia%20TX%2077355" TargetMode="External"/><Relationship Id="rId1632" Type="http://schemas.openxmlformats.org/officeDocument/2006/relationships/hyperlink" Target="https://st-matthias.net/st-vincent-de-paul" TargetMode="External"/><Relationship Id="rId1633" Type="http://schemas.openxmlformats.org/officeDocument/2006/relationships/hyperlink" Target="https://maps.google.com/?q=St%20Matthias%20%20(SVdP%20D6)%20Magnolia%20302%20Magnolia%20Blvd%20Magnolia%20TX%2077355" TargetMode="External"/><Relationship Id="rId1634" Type="http://schemas.openxmlformats.org/officeDocument/2006/relationships/hyperlink" Target="https://st-matthias.net/st-vincent-de-paul" TargetMode="External"/><Relationship Id="rId1635" Type="http://schemas.openxmlformats.org/officeDocument/2006/relationships/hyperlink" Target="https://maps.google.com/?q=St%20Matthias%20%20(SVdP%20D6)%20Magnolia%20302%20Magnolia%20Blvd%20Magnolia%20TX%2077355" TargetMode="External"/><Relationship Id="rId1636" Type="http://schemas.openxmlformats.org/officeDocument/2006/relationships/hyperlink" Target="https://needvillecatholic.com/" TargetMode="External"/><Relationship Id="rId1637" Type="http://schemas.openxmlformats.org/officeDocument/2006/relationships/hyperlink" Target="https://maps.google.com/?q=St%20Michael%20the%20Archangel%20(SVdP%20D2)%20Needville%209214%20Main%20St%20Needville%20TX%2077461" TargetMode="External"/><Relationship Id="rId1638" Type="http://schemas.openxmlformats.org/officeDocument/2006/relationships/hyperlink" Target="https://needvillecatholic.com/" TargetMode="External"/><Relationship Id="rId929" Type="http://schemas.openxmlformats.org/officeDocument/2006/relationships/hyperlink" Target="https://icnarelief.org/houston/" TargetMode="External"/><Relationship Id="rId1639" Type="http://schemas.openxmlformats.org/officeDocument/2006/relationships/hyperlink" Target="https://maps.google.com/?q=St%20Michael%20the%20Archangel%20(SVdP%20D2)%20Needville%209214%20Main%20St%20Needville%20TX%2077461" TargetMode="External"/><Relationship Id="rId928"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927" Type="http://schemas.openxmlformats.org/officeDocument/2006/relationships/hyperlink" Target="https://publichealth.harriscountytx.gov/Divisions-Offices/Divisions/Community-Health-Wellness-Division/Refugee-Health-Services" TargetMode="External"/><Relationship Id="rId926"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921" Type="http://schemas.openxmlformats.org/officeDocument/2006/relationships/hyperlink" Target="https://publichealth.harriscountytx.gov/Divisions-Offices/Divisions/Community-Health-Wellness-Division/Health-Services" TargetMode="External"/><Relationship Id="rId920" Type="http://schemas.openxmlformats.org/officeDocument/2006/relationships/hyperlink" Target="https://maps.google.com/?q=Humble%20Area%20Assistance%20Ministries%201302%201st%20St%20East%20Humble%20TX%2077338" TargetMode="External"/><Relationship Id="rId925" Type="http://schemas.openxmlformats.org/officeDocument/2006/relationships/hyperlink" Target="https://publichealth.harriscountytx.gov/Divisions-Offices/Divisions/Community-Health-Wellness-Division/Behavioral-Health-Services" TargetMode="External"/><Relationship Id="rId924"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923" Type="http://schemas.openxmlformats.org/officeDocument/2006/relationships/hyperlink" Target="https://publichealth.harriscountytx.gov/Divisions-Offices/Divisions/Community-Health-Wellness-Division/Dental-Health-Prevention/Dental-Clinics" TargetMode="External"/><Relationship Id="rId922"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1630" Type="http://schemas.openxmlformats.org/officeDocument/2006/relationships/hyperlink" Target="https://st-matthias.net/st-vincent-de-paul" TargetMode="External"/><Relationship Id="rId1620" Type="http://schemas.openxmlformats.org/officeDocument/2006/relationships/hyperlink" Target="https://smsj.org/" TargetMode="External"/><Relationship Id="rId1621" Type="http://schemas.openxmlformats.org/officeDocument/2006/relationships/hyperlink" Target="https://maps.google.com/?q=St%20Mary's%20%20(SVdP%20D6)%20Plantersville%208227%20County%20Road%20205%20Plantersville%20TX%2077363" TargetMode="External"/><Relationship Id="rId1622" Type="http://schemas.openxmlformats.org/officeDocument/2006/relationships/hyperlink" Target="https://www.stmarycctc.org/st-vincent-de-paul" TargetMode="External"/><Relationship Id="rId1623" Type="http://schemas.openxmlformats.org/officeDocument/2006/relationships/hyperlink" Target="https://maps.google.com/?q=St%20Mary's%20Texas%20City%20(SVdP%20D7)%201604%209th%20Ave%20N%20Texas%20City%20TX%2077590" TargetMode="External"/><Relationship Id="rId1624" Type="http://schemas.openxmlformats.org/officeDocument/2006/relationships/hyperlink" Target="https://www.stmatthewhou.org/" TargetMode="External"/><Relationship Id="rId1625" Type="http://schemas.openxmlformats.org/officeDocument/2006/relationships/hyperlink" Target="https://maps.google.com/?q=St%20Matthew%20the%20Evangelist%209915%20Hollister%20St%20Houston%20TX%2077040" TargetMode="External"/><Relationship Id="rId1626" Type="http://schemas.openxmlformats.org/officeDocument/2006/relationships/hyperlink" Target="https://st-matthias.net/st-vincent-de-paul" TargetMode="External"/><Relationship Id="rId1627" Type="http://schemas.openxmlformats.org/officeDocument/2006/relationships/hyperlink" Target="https://maps.google.com/?q=St%20Matthias%20%20(SVdP%20D6)%20Magnolia%20302%20Magnolia%20Blvd%20Magnolia%20TX%2077355" TargetMode="External"/><Relationship Id="rId918" Type="http://schemas.openxmlformats.org/officeDocument/2006/relationships/hyperlink" Target="https://maps.google.com/?q=Humble%20Area%20Assistance%20Ministries%201302%201st%20St%20East%20Humble%20TX%2077338" TargetMode="External"/><Relationship Id="rId1628" Type="http://schemas.openxmlformats.org/officeDocument/2006/relationships/hyperlink" Target="https://st-matthias.net/st-vincent-de-paul" TargetMode="External"/><Relationship Id="rId917" Type="http://schemas.openxmlformats.org/officeDocument/2006/relationships/hyperlink" Target="https://haamministries.org/" TargetMode="External"/><Relationship Id="rId1629" Type="http://schemas.openxmlformats.org/officeDocument/2006/relationships/hyperlink" Target="https://maps.google.com/?q=St%20Matthias%20%20(SVdP%20D6)%20Magnolia%20302%20Magnolia%20Blvd%20Magnolia%20TX%2077355" TargetMode="External"/><Relationship Id="rId916" Type="http://schemas.openxmlformats.org/officeDocument/2006/relationships/hyperlink" Target="https://maps.google.com/?q=Humble%20Area%20Assistance%20Ministries%201302%201st%20St%20East%20Humble%20TX%2077338" TargetMode="External"/><Relationship Id="rId915" Type="http://schemas.openxmlformats.org/officeDocument/2006/relationships/hyperlink" Target="https://haamministries.org/" TargetMode="External"/><Relationship Id="rId919" Type="http://schemas.openxmlformats.org/officeDocument/2006/relationships/hyperlink" Target="https://haamministries.org/" TargetMode="External"/><Relationship Id="rId910" Type="http://schemas.openxmlformats.org/officeDocument/2006/relationships/hyperlink" Target="https://maps.google.com/?q=Humble%20Area%20Assistance%20Ministries%201302%201st%20St%20East%20Humble%20TX%2077338" TargetMode="External"/><Relationship Id="rId914" Type="http://schemas.openxmlformats.org/officeDocument/2006/relationships/hyperlink" Target="https://maps.google.com/?q=Humble%20Area%20Assistance%20Ministries%201302%201st%20St%20East%20Humble%20TX%2077338" TargetMode="External"/><Relationship Id="rId913" Type="http://schemas.openxmlformats.org/officeDocument/2006/relationships/hyperlink" Target="https://haamministries.org/" TargetMode="External"/><Relationship Id="rId912" Type="http://schemas.openxmlformats.org/officeDocument/2006/relationships/hyperlink" Target="https://maps.google.com/?q=Humble%20Area%20Assistance%20Ministries%201302%201st%20St%20East%20Humble%20TX%2077338" TargetMode="External"/><Relationship Id="rId911" Type="http://schemas.openxmlformats.org/officeDocument/2006/relationships/hyperlink" Target="https://haamministries.org/" TargetMode="External"/><Relationship Id="rId1213" Type="http://schemas.openxmlformats.org/officeDocument/2006/relationships/hyperlink" Target="https://www.google.com/maps/place/NeedyMeds/@42.618269,-70.6791911,16z/data=!3m1!4b1!4m6!3m5!1s0x89e324fb38caafb1:0xe53f1bc93d7188a2!8m2!3d42.618269!4d-70.6766108!16s%2Fg%2F11csbw_ntg?entry=ttu&amp;g_ep=EgoyMDI2MDEyMC4wIKXMDSoKLDEwMDc5MjA2OUgBUAM%3D" TargetMode="External"/><Relationship Id="rId1697" Type="http://schemas.openxmlformats.org/officeDocument/2006/relationships/hyperlink" Target="https://www.google.com/maps/place/St.+Thomas+Presbyterian+Church+PC(USA)/@29.7708702,-95.5954455,17z/data=!3m1!4b1!4m6!3m5!1s0x8640db64ccd8cb7b:0xe9a4caf95decff57!8m2!3d29.7708656!4d-95.5928706!16s%2Fg%2F1wk4dfnk?entry=ttu&amp;g_ep=EgoyMDI1MDgxMy4wIKXMDSoASAFQAw%3D%3D" TargetMode="External"/><Relationship Id="rId1214" Type="http://schemas.openxmlformats.org/officeDocument/2006/relationships/hyperlink" Target="https://newhopehousing.com/" TargetMode="External"/><Relationship Id="rId1698" Type="http://schemas.openxmlformats.org/officeDocument/2006/relationships/hyperlink" Target="https://saintthomashuntsville.org/st-vincent-depaul-society" TargetMode="External"/><Relationship Id="rId1215" Type="http://schemas.openxmlformats.org/officeDocument/2006/relationships/hyperlink" Target="https://www.google.com/maps/place/7520+Avenue+C,+Houston,+TX+77012/@29.7336117,-95.2938043,17z/data=!4m5!3m4!1s0x8640bc35bc8dffad:0x4a3730ad9e7b0f63!8m2!3d29.7336072!4d-95.2912294?entry=ttu&amp;g_ep=EgoyMDI1MDUxMS4wIKXMDSoASAFQAw%3D%3D" TargetMode="External"/><Relationship Id="rId1699" Type="http://schemas.openxmlformats.org/officeDocument/2006/relationships/hyperlink" Target="https://maps.google.com/?q=St%20Thomas%20the%20Apostle%20%20(SVdP%20D6)%20Huntsville%2013223%2016th%20St%20Huntsville%20TX%2077340" TargetMode="External"/><Relationship Id="rId1216" Type="http://schemas.openxmlformats.org/officeDocument/2006/relationships/hyperlink" Target="https://newhopehousing.com/" TargetMode="External"/><Relationship Id="rId1217" Type="http://schemas.openxmlformats.org/officeDocument/2006/relationships/hyperlink" Target="https://www.google.com/maps/place/Avenue+J/@29.748855,-95.3396514,15z/data=!4m10!1m2!2m1!1snew+hope+housing+avenue+j!3m6!1s0x8640bf8dfe8b37c7:0x16c4fdb6d43f08f2!8m2!3d29.748855!4d-95.320597!15sChluZXcgaG9wZSBob3VzaW5nIGF2ZW51ZSBqIgOIAQGSARFhcGFydG1lbnRfY29tcGxleKoBZwoNL2cvMTFiN2M5dzVoZhABKhQiEG5ldyBob3BlIGhvdXNpbmcoADIfEAEiGzMcBMeE4n0NfOxOpaMfsrWy27xUxVjvM78YSjIdEAIiGW5ldyBob3BlIGhvdXNpbmcgYXZlbnVlIGrgAQA!16s%2Fg%2F11swvjlcm_?entry=ttu&amp;g_ep=EgoyMDI1MDUxMS4wIKXMDSoASAFQAw%3D%3D" TargetMode="External"/><Relationship Id="rId1218" Type="http://schemas.openxmlformats.org/officeDocument/2006/relationships/hyperlink" Target="https://newhopehousing.com/" TargetMode="External"/><Relationship Id="rId1219" Type="http://schemas.openxmlformats.org/officeDocument/2006/relationships/hyperlink" Target="https://www.google.com/maps/place/NHH+Berry+Apartments/@29.8403468,-95.3735682,16z/data=!4m15!1m8!3m7!1s0x8640b99aed520dd7:0xaead79675e30ebfe!2s8855+McGallion+Rd,+Houston,+TX+77022!3b1!8m2!3d29.8403422!4d-95.3686973!16s%2Fg%2F11vjxng5l9!3m5!1s0x8640b9b119524a33:0x43c501675b5ca753!8m2!3d29.8403422!4d-95.3686973!16s%2Fg%2F11y96249m7?entry=ttu&amp;g_ep=EgoyMDI1MDUxMS4wIKXMDSoASAFQAw%3D%3D" TargetMode="External"/><Relationship Id="rId866" Type="http://schemas.openxmlformats.org/officeDocument/2006/relationships/hyperlink" Target="https://www.google.com/maps/place/Houston+Children's+Charity+Closet/@29.813218,-95.4684879,16z/data=!3m1!4b1!4m6!3m5!1s0x8640c70046913169:0x3900490624f818a1!8m2!3d29.8132134!4d-95.465913!16s%2Fg%2F11vwl7_jsh?entry=ttu&amp;g_ep=EgoyMDI1MTIwOS4wIKXMDSoKLDEwMDc5MjA2OUgBUAM%3D" TargetMode="External"/><Relationship Id="rId865" Type="http://schemas.openxmlformats.org/officeDocument/2006/relationships/hyperlink" Target="https://houstonchildrenscharity.org/programs/hcc-closet/" TargetMode="External"/><Relationship Id="rId864" Type="http://schemas.openxmlformats.org/officeDocument/2006/relationships/hyperlink" Target="https://www.google.com/maps/place/2002+Holcombe+Blvd,+Houston,+TX+77030/@29.7006264,-95.3913561,16z/data=!3m1!4b1!4m6!3m5!1s0x8640bff5abf01f45:0xdf739e8e76d24278!8m2!3d29.7006218!4d-95.3887758!16s%2Fg%2F11c1glnxs3?entry=ttu&amp;g_ep=EgoyMDI2MDIxMS4wIKXMDSoASAFQAw%3D%3D" TargetMode="External"/><Relationship Id="rId863" Type="http://schemas.openxmlformats.org/officeDocument/2006/relationships/hyperlink" Target="https://www.hba.org/?pg=Veterans-Legal-Initiative" TargetMode="External"/><Relationship Id="rId869" Type="http://schemas.openxmlformats.org/officeDocument/2006/relationships/hyperlink" Target="https://houstonchildrenscharity.org/programs/chariots-children/" TargetMode="External"/><Relationship Id="rId868"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867" Type="http://schemas.openxmlformats.org/officeDocument/2006/relationships/hyperlink" Target="https://houstonchildrenscharity.org/programs/texas-childrens-hospital-emergency-fund/" TargetMode="External"/><Relationship Id="rId1690" Type="http://schemas.openxmlformats.org/officeDocument/2006/relationships/hyperlink" Target="https://www.stmhouston.org/st-vincent-de-paul-society" TargetMode="External"/><Relationship Id="rId1691" Type="http://schemas.openxmlformats.org/officeDocument/2006/relationships/hyperlink" Target="https://maps.google.com/?q=St%20Thomas%20More%20(SVdP%20D3)%2010330%20Hillcroft%20St%20Houston%20TX%2077096" TargetMode="External"/><Relationship Id="rId1692" Type="http://schemas.openxmlformats.org/officeDocument/2006/relationships/hyperlink" Target="https://www.stmhouston.org/st-vincent-de-paul-society" TargetMode="External"/><Relationship Id="rId862" Type="http://schemas.openxmlformats.org/officeDocument/2006/relationships/hyperlink" Target="https://hawc.org/what-we-do/" TargetMode="External"/><Relationship Id="rId1693" Type="http://schemas.openxmlformats.org/officeDocument/2006/relationships/hyperlink" Target="https://maps.google.com/?q=St%20Thomas%20More%20(SVdP%20D3)%2010330%20Hillcroft%20St%20Houston%20TX%2077096" TargetMode="External"/><Relationship Id="rId861" Type="http://schemas.openxmlformats.org/officeDocument/2006/relationships/hyperlink" Target="https://www.google.com/maps/place/City+of+Houston+Housing+and+Community+Development+Department/@29.7491917,-95.3776636,16z/data=!3m2!4b1!5s0x8640bf1553ff700d:0x5b1c65c6eb045e0!4m6!3m5!1s0x8640bfe464235301:0xc2345c26b1bc829!8m2!3d29.7491871!4d-95.3727927!16s%2Fg%2F11fm68gpwr?entry=ttu&amp;g_ep=EgoyMDI2MDIwMS4wIKXMDSoKLDEwMDc5MjA2OUgBUAM%3D" TargetMode="External"/><Relationship Id="rId1210" Type="http://schemas.openxmlformats.org/officeDocument/2006/relationships/hyperlink" Target="https://rarediseases.org/patient-assistance-programs/financial-assistance/" TargetMode="External"/><Relationship Id="rId1694" Type="http://schemas.openxmlformats.org/officeDocument/2006/relationships/hyperlink" Target="https://www.stmhouston.org/st-vincent-de-paul-society" TargetMode="External"/><Relationship Id="rId860" Type="http://schemas.openxmlformats.org/officeDocument/2006/relationships/hyperlink" Target="https://www.houstontx.gov/housing/home-repair.html" TargetMode="External"/><Relationship Id="rId1211" Type="http://schemas.openxmlformats.org/officeDocument/2006/relationships/hyperlink" Target="https://www.google.com/maps/place/120+Longwater+Dr,+Norwell,+MA+02061/@42.1567896,-70.8816777,17z/data=!3m1!4b1!4m6!3m5!1s0x89e49e3c424bb2b9:0xfa983ef0f37d0da4!8m2!3d42.1567896!4d-70.8790974!16s%2Fg%2F11bw4372cf?entry=ttu&amp;g_ep=EgoyMDI2MDEyMC4wIKXMDSoKLDEwMDc5MjA2OUgBUAM%3D" TargetMode="External"/><Relationship Id="rId1695" Type="http://schemas.openxmlformats.org/officeDocument/2006/relationships/hyperlink" Target="https://maps.google.com/?q=St%20Thomas%20More%20(SVdP%20D3)%2010330%20Hillcroft%20St%20Houston%20TX%2077096" TargetMode="External"/><Relationship Id="rId1212" Type="http://schemas.openxmlformats.org/officeDocument/2006/relationships/hyperlink" Target="https://www.needymeds.org" TargetMode="External"/><Relationship Id="rId1696" Type="http://schemas.openxmlformats.org/officeDocument/2006/relationships/hyperlink" Target="https://www.stthomaspc.org/outreach" TargetMode="External"/><Relationship Id="rId1202" Type="http://schemas.openxmlformats.org/officeDocument/2006/relationships/hyperlink" Target="https://www.mybkoutreach.org/programs-and-services" TargetMode="External"/><Relationship Id="rId1686" Type="http://schemas.openxmlformats.org/officeDocument/2006/relationships/hyperlink" Target="https://www.stasugarland.com/caring-ministries" TargetMode="External"/><Relationship Id="rId1203" Type="http://schemas.openxmlformats.org/officeDocument/2006/relationships/hyperlink" Target="https://maps.google.com/?q=My%20Brother's%20Keeper%2012621%20Bissonnet%20Street%20Houston%20TX%2077099" TargetMode="External"/><Relationship Id="rId1687" Type="http://schemas.openxmlformats.org/officeDocument/2006/relationships/hyperlink" Target="https://maps.google.com/?q=St%20Thomas%20Aquinas%20(SVdP%20D2)%2012627%20W%20Belfort%20Ave%20Sugar%20Land%20TX%2077478" TargetMode="External"/><Relationship Id="rId1204" Type="http://schemas.openxmlformats.org/officeDocument/2006/relationships/hyperlink" Target="https://www.mybkoutreach.org/programs-and-services" TargetMode="External"/><Relationship Id="rId1688" Type="http://schemas.openxmlformats.org/officeDocument/2006/relationships/hyperlink" Target="https://www.stasugarland.com/caring-ministries" TargetMode="External"/><Relationship Id="rId1205" Type="http://schemas.openxmlformats.org/officeDocument/2006/relationships/hyperlink" Target="https://maps.google.com/?q=My%20Brother's%20Keeper%2012621%20Bissonnet%20Street%20Houston%20TX%2077099" TargetMode="External"/><Relationship Id="rId1689" Type="http://schemas.openxmlformats.org/officeDocument/2006/relationships/hyperlink" Target="https://maps.google.com/?q=St%20Thomas%20Aquinas%20(SVdP%20D2)%2012627%20W%20Belfort%20Ave%20Sugar%20Land%20TX%2077478" TargetMode="External"/><Relationship Id="rId1206" Type="http://schemas.openxmlformats.org/officeDocument/2006/relationships/hyperlink" Target="https://naborhousecommunity.org/enroll" TargetMode="External"/><Relationship Id="rId1207" Type="http://schemas.openxmlformats.org/officeDocument/2006/relationships/hyperlink" Target="https://www.google.com/maps/place/Nabor+House+Community/@29.8015676,-95.4906399,17z/data=!3m1!4b1!4m6!3m5!1s0x8640c4254c67d2d5:0x886b07f248f8618d!8m2!3d29.801563!4d-95.488065!16s%2Fg%2F11cn8tfdvz?entry=ttu&amp;g_ep=EgoyMDI1MDgxMy4wIKXMDSoASAFQAw%3D%3D" TargetMode="External"/><Relationship Id="rId1208" Type="http://schemas.openxmlformats.org/officeDocument/2006/relationships/hyperlink" Target="https://naborhousecommunity.org/enroll" TargetMode="External"/><Relationship Id="rId1209" Type="http://schemas.openxmlformats.org/officeDocument/2006/relationships/hyperlink" Target="https://www.google.com/maps/place/Nabor+House+Community/@29.7703837,-95.5956811,17z/data=!3m1!4b1!4m6!3m5!1s0x8640db005547b721:0x62352b57f2b81935!8m2!3d29.7703791!4d-95.5931062!16s%2Fg%2F11xfr3cp2w?entry=ttu&amp;g_ep=EgoyMDI1MDgxMy4wIKXMDSoASAFQAw%3D%3D" TargetMode="External"/><Relationship Id="rId855" Type="http://schemas.openxmlformats.org/officeDocument/2006/relationships/hyperlink" Target="https://maps.google.com/?q=House%20of%20Amos%2011169%20Beechnut%20St%2C%20Suite%20G%20Houston%20TX%2077072" TargetMode="External"/><Relationship Id="rId854" Type="http://schemas.openxmlformats.org/officeDocument/2006/relationships/hyperlink" Target="https://www.houseofamos.org/" TargetMode="External"/><Relationship Id="rId853" Type="http://schemas.openxmlformats.org/officeDocument/2006/relationships/hyperlink" Target="https://maps.google.com/?q=House%20of%20Amos%2011169%20Beechnut%20St%2C%20Suite%20G%20Houston%20TX%2077072" TargetMode="External"/><Relationship Id="rId852" Type="http://schemas.openxmlformats.org/officeDocument/2006/relationships/hyperlink" Target="https://www.houseofamos.org/" TargetMode="External"/><Relationship Id="rId859" Type="http://schemas.openxmlformats.org/officeDocument/2006/relationships/hyperlink" Target="https://www.google.com/maps/place/House+Of+Help+Thrift+Shop+%26+Food+Pantry/@30.0978198,-96.0701706,16z/data=!3m1!4b1!4m6!3m5!1s0x8646b5f61dbfa0b5:0x129e9e0b57382dbd!8m2!3d30.0978152!4d-96.0675957!16s%2Fg%2F12616hh5f?entry=ttu&amp;g_ep=EgoyMDI1MDgwNC4wIKXMDSoASAFQAw%3D%3D" TargetMode="External"/><Relationship Id="rId858" Type="http://schemas.openxmlformats.org/officeDocument/2006/relationships/hyperlink" Target="https://hohhempstead.org/" TargetMode="External"/><Relationship Id="rId857" Type="http://schemas.openxmlformats.org/officeDocument/2006/relationships/hyperlink" Target="https://maps.google.com/?q=House%20of%20Amos%2011169%20Beechnut%20St%2C%20Suite%20G%20Houston%20TX%2077072" TargetMode="External"/><Relationship Id="rId856" Type="http://schemas.openxmlformats.org/officeDocument/2006/relationships/hyperlink" Target="https://www.houseofamos.org/" TargetMode="External"/><Relationship Id="rId1680" Type="http://schemas.openxmlformats.org/officeDocument/2006/relationships/hyperlink" Target="https://www.sugarlandcatholic.com/ministry-spotlight--st-vincent-de-paul" TargetMode="External"/><Relationship Id="rId1681" Type="http://schemas.openxmlformats.org/officeDocument/2006/relationships/hyperlink" Target="https://maps.google.com/?q=St%20Theresa%20%20(SVdP%20D2)%20Sugar%20Land%20705%20St%20Theresa%20Blvd%20Sugar%20Land%20TX%2077498" TargetMode="External"/><Relationship Id="rId851" Type="http://schemas.openxmlformats.org/officeDocument/2006/relationships/hyperlink" Target="https://maps.google.com/?q=House%20of%20Amos%2011169%20Beechnut%20St%2C%20Suite%20G%20Houston%20TX%2077072" TargetMode="External"/><Relationship Id="rId1682" Type="http://schemas.openxmlformats.org/officeDocument/2006/relationships/hyperlink" Target="https://www.sugarlandcatholic.com/ministry-spotlight--st-vincent-de-paul" TargetMode="External"/><Relationship Id="rId850" Type="http://schemas.openxmlformats.org/officeDocument/2006/relationships/hyperlink" Target="https://www.houseofamos.org/" TargetMode="External"/><Relationship Id="rId1683" Type="http://schemas.openxmlformats.org/officeDocument/2006/relationships/hyperlink" Target="https://maps.google.com/?q=St%20Theresa%20%20(SVdP%20D2)%20Sugar%20Land%20705%20St%20Theresa%20Blvd%20Sugar%20Land%20TX%2077498" TargetMode="External"/><Relationship Id="rId1200" Type="http://schemas.openxmlformats.org/officeDocument/2006/relationships/hyperlink" Target="https://www.mybkoutreach.org/programs-and-services" TargetMode="External"/><Relationship Id="rId1684" Type="http://schemas.openxmlformats.org/officeDocument/2006/relationships/hyperlink" Target="https://www.sugarlandcatholic.com/ministry-spotlight--st-vincent-de-paul" TargetMode="External"/><Relationship Id="rId1201" Type="http://schemas.openxmlformats.org/officeDocument/2006/relationships/hyperlink" Target="https://maps.google.com/?q=My%20Brother's%20Keeper%2012621%20Bissonnet%20Street%20Houston%20TX%2077099" TargetMode="External"/><Relationship Id="rId1685" Type="http://schemas.openxmlformats.org/officeDocument/2006/relationships/hyperlink" Target="https://maps.google.com/?q=St%20Theresa%20%20(SVdP%20D2)%20Sugar%20Land%20705%20St%20Theresa%20Blvd%20Sugar%20Land%20TX%2077498" TargetMode="External"/><Relationship Id="rId1235" Type="http://schemas.openxmlformats.org/officeDocument/2006/relationships/hyperlink" Target="https://www.google.com/maps/place/New+Hope+Housing+Perry/@29.6966019,-95.3708283,15z/data=!4m10!1m2!2m1!1snew+hope+housing+avenue+j!3m6!1s0x8640bec322192db9:0x14f077d5b67f3deb!8m2!3d29.6966019!4d-95.3517739!15sChluZXcgaG9wZSBob3VzaW5nIGF2ZW51ZSBqIgOIAQGSARNob3VzaW5nX2RldmVsb3BtZW50qgFnCg0vZy8xMWI3Yzl3NWhmEAEqFCIQbmV3IGhvcGUgaG91c2luZygAMh8QASIbMxwEx4TifQ187E6lox-ytbLbvFTFWO8zvxhKMh0QAiIZbmV3IGhvcGUgaG91c2luZyBhdmVudWUgauABAA!16s%2Fg%2F1264d89w9?entry=ttu&amp;g_ep=EgoyMDI1MDUxMS4wIKXMDSoASAFQAw%3D%3D" TargetMode="External"/><Relationship Id="rId1236" Type="http://schemas.openxmlformats.org/officeDocument/2006/relationships/hyperlink" Target="https://newhopehousing.com/" TargetMode="External"/><Relationship Id="rId1237" Type="http://schemas.openxmlformats.org/officeDocument/2006/relationships/hyperlink" Target="https://www.google.com/maps/place/New+Hope+Housing+Reed/@29.659254,-95.4092445,15z/data=!4m10!1m2!2m1!1snew+hope+housing+avenue+j!3m6!1s0x8640954a5fbe0387:0xbdf27f08427efa04!8m2!3d29.659254!4d-95.3901901!15sChluZXcgaG9wZSBob3VzaW5nIGF2ZW51ZSBqIgOIAQGSARpsb3dfaW5jb21lX2hvdXNpbmdfcHJvZ3JhbaoBZwoNL2cvMTFiN2M5dzVoZhABKhQiEG5ldyBob3BlIGhvdXNpbmcoADIfEAEiGzMcBMeE4n0NfOxOpaMfsrWy27xUxVjvM78YSjIdEAIiGW5ldyBob3BlIGhvdXNpbmcgYXZlbnVlIGrgAQA!16s%2Fg%2F11f5hm6zp8?entry=ttu&amp;g_ep=EgoyMDI1MDUxMS4wIKXMDSoASAFQAw%3D%3D" TargetMode="External"/><Relationship Id="rId1238" Type="http://schemas.openxmlformats.org/officeDocument/2006/relationships/hyperlink" Target="https://newhopehousing.com/" TargetMode="External"/><Relationship Id="rId1239" Type="http://schemas.openxmlformats.org/officeDocument/2006/relationships/hyperlink" Target="https://www.google.com/maps/place/New+Hope+Housing+Rittenhouse/@29.863851,-95.4275565,15z/data=!4m10!1m2!2m1!1snew+hope+housing+avenue+j!3m6!1s0x8640c809faee24fb:0x37f95bfe352245b9!8m2!3d29.863851!4d-95.4085021!15sChluZXcgaG9wZSBob3VzaW5nIGF2ZW51ZSBqIgOIAQGSAQ9ob3VzaW5nX2NvbXBsZXiqAWcKDS9nLzExYjdjOXc1aGYQASoUIhBuZXcgaG9wZSBob3VzaW5nKAAyHxABIhszHATHhOJ9DXzsTqWjH7K1stu8VMVY7zO_GEoyHRACIhluZXcgaG9wZSBob3VzaW5nIGF2ZW51ZSBq4AEA!16s%2Fg%2F11bxd7v90b?entry=ttu&amp;g_ep=EgoyMDI1MDUxMS4wIKXMDSoASAFQAw%3D%3D" TargetMode="External"/><Relationship Id="rId409" Type="http://schemas.openxmlformats.org/officeDocument/2006/relationships/hyperlink" Target="https://www.google.com/maps/place/City+Wide+Club+of+Clubs/@29.7168602,-95.4669374,17z/data=!4m6!3m5!1s0x8640bf02816b5c8f:0x924fead667dfbce9!8m2!3d29.7168602!4d-95.4643571!16s%2Fg%2F1xn_ns15?entry=ttu&amp;g_ep=EgoyMDI2MDIyNC4wIKXMDSoASAFQAw%3D%3D" TargetMode="External"/><Relationship Id="rId404" Type="http://schemas.openxmlformats.org/officeDocument/2006/relationships/hyperlink" Target="https://citywideclub.com/youth-services/" TargetMode="External"/><Relationship Id="rId888" Type="http://schemas.openxmlformats.org/officeDocument/2006/relationships/hyperlink" Target="https://www.houstonsfirst.org/missions/faith-centers" TargetMode="External"/><Relationship Id="rId403" Type="http://schemas.openxmlformats.org/officeDocument/2006/relationships/hyperlink" Target="https://www.google.com/maps/place/City+Wide+Club+of+Clubs/@29.7168602,-95.4669374,17z/data=!4m6!3m5!1s0x8640bf02816b5c8f:0x924fead667dfbce9!8m2!3d29.7168602!4d-95.4643571!16s%2Fg%2F1xn_ns15?entry=ttu&amp;g_ep=EgoyMDI2MDIyNC4wIKXMDSoASAFQAw%3D%3D" TargetMode="External"/><Relationship Id="rId887" Type="http://schemas.openxmlformats.org/officeDocument/2006/relationships/hyperlink" Target="https://www.google.com/maps/place/Faith+Center+-+Food+Pantry+%26+Clothes+Closet/@29.8035203,-95.4937519,20z/data=!4m15!1m8!3m7!1s0x8640c430b4a2fc5d:0xf59290e6a154af37!2s8244+Long+Point+Rd,+Houston,+TX+77055!3b1!8m2!3d29.8035157!4d-95.49343!16s%2Fg%2F11bw41t5rs!3m5!1s0x8640c430b49a5093:0x9adc19126aaa5d66!8m2!3d29.8035925!4d-95.49345!16s%2Fg%2F11b6f6mhh8?entry=ttu&amp;g_ep=EgoyMDI1MDcxNi4wIKXMDSoASAFQAw%3D%3D" TargetMode="External"/><Relationship Id="rId402" Type="http://schemas.openxmlformats.org/officeDocument/2006/relationships/hyperlink" Target="https://citywideclub.com/youth-services/" TargetMode="External"/><Relationship Id="rId886" Type="http://schemas.openxmlformats.org/officeDocument/2006/relationships/hyperlink" Target="https://www.houstonsfirst.org/missions/faith-centers" TargetMode="External"/><Relationship Id="rId401" Type="http://schemas.openxmlformats.org/officeDocument/2006/relationships/hyperlink" Target="https://maps.google.com/?q=City%20of%20Houston%20W.A.T.E.R.%20Fund%20%20%20TX%20" TargetMode="External"/><Relationship Id="rId885" Type="http://schemas.openxmlformats.org/officeDocument/2006/relationships/hyperlink" Target="https://www.google.com/maps/place/Faith+Center+Harwin+Food+Pantry/@29.7148287,-95.5491823,18z/data=!3m1!4b1!4m6!3m5!1s0x8640c2d90ab77585:0x99e7b71c420b49cd!8m2!3d29.7148275!4d-95.5485386!16s%2Fg%2F11cs3p2k09?entry=ttu&amp;g_ep=EgoyMDI1MDcxNi4wIKXMDSoASAFQAw%3D%3D" TargetMode="External"/><Relationship Id="rId408" Type="http://schemas.openxmlformats.org/officeDocument/2006/relationships/hyperlink" Target="https://citywideclub.com/youth-services/" TargetMode="External"/><Relationship Id="rId407" Type="http://schemas.openxmlformats.org/officeDocument/2006/relationships/hyperlink" Target="https://www.google.com/maps/place/City+Wide+Club+of+Clubs/@29.7168602,-95.4669374,17z/data=!4m6!3m5!1s0x8640bf02816b5c8f:0x924fead667dfbce9!8m2!3d29.7168602!4d-95.4643571!16s%2Fg%2F1xn_ns15?entry=ttu&amp;g_ep=EgoyMDI2MDIyNC4wIKXMDSoASAFQAw%3D%3D" TargetMode="External"/><Relationship Id="rId406" Type="http://schemas.openxmlformats.org/officeDocument/2006/relationships/hyperlink" Target="https://citywideclub.com/youth-services/" TargetMode="External"/><Relationship Id="rId405" Type="http://schemas.openxmlformats.org/officeDocument/2006/relationships/hyperlink" Target="https://www.google.com/maps/place/City+Wide+Club+of+Clubs/@29.7168602,-95.4669374,17z/data=!4m6!3m5!1s0x8640bf02816b5c8f:0x924fead667dfbce9!8m2!3d29.7168602!4d-95.4643571!16s%2Fg%2F1xn_ns15?entry=ttu&amp;g_ep=EgoyMDI2MDIyNC4wIKXMDSoASAFQAw%3D%3D" TargetMode="External"/><Relationship Id="rId889" Type="http://schemas.openxmlformats.org/officeDocument/2006/relationships/hyperlink" Target="https://www.google.com/maps/place/Faith+Center+-+Food+Pantry+%26+Clothes+Closet/@29.8035203,-95.4937519,20z/data=!4m15!1m8!3m7!1s0x8640c430b4a2fc5d:0xf59290e6a154af37!2s8244+Long+Point+Rd,+Houston,+TX+77055!3b1!8m2!3d29.8035157!4d-95.49343!16s%2Fg%2F11bw41t5rs!3m5!1s0x8640c430b49a5093:0x9adc19126aaa5d66!8m2!3d29.8035925!4d-95.49345!16s%2Fg%2F11b6f6mhh8?entry=ttu&amp;g_ep=EgoyMDI1MDcxNi4wIKXMDSoASAFQAw%3D%3D" TargetMode="External"/><Relationship Id="rId880" Type="http://schemas.openxmlformats.org/officeDocument/2006/relationships/hyperlink" Target="https://www.houstonsfirst.org/missions/faith-centers" TargetMode="External"/><Relationship Id="rId1230" Type="http://schemas.openxmlformats.org/officeDocument/2006/relationships/hyperlink" Target="https://newhopehousing.com/" TargetMode="External"/><Relationship Id="rId400" Type="http://schemas.openxmlformats.org/officeDocument/2006/relationships/hyperlink" Target="https://houstonwater20.helpdocsonline.com/w-a-t-e-r-fund" TargetMode="External"/><Relationship Id="rId884" Type="http://schemas.openxmlformats.org/officeDocument/2006/relationships/hyperlink" Target="https://www.houstonsfirst.org/missions/faith-centers" TargetMode="External"/><Relationship Id="rId1231" Type="http://schemas.openxmlformats.org/officeDocument/2006/relationships/hyperlink" Target="https://www.google.com/maps/place/New+Hope+Housing/@29.739865,-95.3767614,15z/data=!4m10!1m2!2m1!1snew+hope+housing+avenue+j!3m6!1s0x8640bf1b5c312da7:0xf6fac1d77da403a0!8m2!3d29.739865!4d-95.357707!15sChluZXcgaG9wZSBob3VzaW5nIGF2ZW51ZSBqIgOIAQGqAWcKDS9nLzExYjdjOXc1aGYQASoUIhBuZXcgaG9wZSBob3VzaW5nKAAyHxABIhszHATHhOJ9DXzsTqWjH7K1stu8VMVY7zO_GEoyHRACIhluZXcgaG9wZSBob3VzaW5nIGF2ZW51ZSBq4AEA!16s%2Fg%2F11xcn6qfy0?entry=ttu&amp;g_ep=EgoyMDI1MDUxMS4wIKXMDSoASAFQAw%3D%3D" TargetMode="External"/><Relationship Id="rId883" Type="http://schemas.openxmlformats.org/officeDocument/2006/relationships/hyperlink" Target="https://maps.google.com/?q=First%20Baptist%20(Long%20Point%20Baptist)%208009%20Long%20Point%20Road%20Houston%20TX%2077055" TargetMode="External"/><Relationship Id="rId1232" Type="http://schemas.openxmlformats.org/officeDocument/2006/relationships/hyperlink" Target="https://newhopehousing.com/" TargetMode="External"/><Relationship Id="rId882" Type="http://schemas.openxmlformats.org/officeDocument/2006/relationships/hyperlink" Target="https://www.houstonsfirst.org/missions/faith-centers" TargetMode="External"/><Relationship Id="rId1233" Type="http://schemas.openxmlformats.org/officeDocument/2006/relationships/hyperlink" Target="https://www.google.com/maps/place/New+Hope+Housing,+Inc./@29.7488888,-95.3463625,16z/data=!3m1!4b1!4m6!3m5!1s0x8640bf94a729fea7:0xdd4120c22f542cac!8m2!3d29.7488842!4d-95.3414916!16s%2Fg%2F11g2r89vjv?entry=ttu&amp;g_ep=EgoyMDI1MDUxMS4wIKXMDSoASAFQAw%3D%3D" TargetMode="External"/><Relationship Id="rId881" Type="http://schemas.openxmlformats.org/officeDocument/2006/relationships/hyperlink" Target="https://maps.google.com/?q=First%20Baptist%20(Long%20Point%20Baptist)%208009%20Long%20Point%20Road%20Houston%20TX%2077055" TargetMode="External"/><Relationship Id="rId1234" Type="http://schemas.openxmlformats.org/officeDocument/2006/relationships/hyperlink" Target="https://newhopehousing.com/" TargetMode="External"/><Relationship Id="rId1224" Type="http://schemas.openxmlformats.org/officeDocument/2006/relationships/hyperlink" Target="https://newhopehousing.com/" TargetMode="External"/><Relationship Id="rId1225" Type="http://schemas.openxmlformats.org/officeDocument/2006/relationships/hyperlink" Target="https://www.google.com/maps/place/New+Hope+Housing+Congress/@29.7598105,-95.3759714,15z/data=!4m10!1m2!2m1!1snew+hope+housing+avenue+j!3m6!1s0x8640bf26773131ad:0xacdc10793b2ea637!8m2!3d29.7598105!4d-95.356917!15sChluZXcgaG9wZSBob3VzaW5nIGF2ZW51ZSBqIgOIAQGSARJhcGFydG1lbnRfYnVpbGRpbmeqAWcKDS9nLzExYjdjOXc1aGYQASoUIhBuZXcgaG9wZSBob3VzaW5nKAAyHxABIhszHATHhOJ9DXzsTqWjH7K1stu8VMVY7zO_GEoyHRACIhluZXcgaG9wZSBob3VzaW5nIGF2ZW51ZSBq4AEA!16s%2Fg%2F1tflgm4j?entry=ttu&amp;g_ep=EgoyMDI1MDUxMS4wIKXMDSoASAFQAw%3D%3D" TargetMode="External"/><Relationship Id="rId1226" Type="http://schemas.openxmlformats.org/officeDocument/2006/relationships/hyperlink" Target="https://newhopehousing.com/" TargetMode="External"/><Relationship Id="rId1227" Type="http://schemas.openxmlformats.org/officeDocument/2006/relationships/hyperlink" Target="https://www.google.com/maps/place/New+Hope+Housing+Dale+Carnegie/@29.7155753,-95.5255177,15z/data=!4m10!1m2!2m1!1snew+hope+housing+avenue+j!3m6!1s0x8640c391c38a2c03:0x73da9740e56572d1!8m2!3d29.7155753!4d-95.5064633!15sChluZXcgaG9wZSBob3VzaW5nIGF2ZW51ZSBqIgOIAQGSAQ9ob3VzaW5nX2NvbXBsZXiqAWcKDS9nLzExYjdjOXc1aGYQASoUIhBuZXcgaG9wZSBob3VzaW5nKAAyHxABIhszHATHhOJ9DXzsTqWjH7K1stu8VMVY7zO_GEoyHRACIhluZXcgaG9wZSBob3VzaW5nIGF2ZW51ZSBq4AEA!16s%2Fg%2F11p9mxy9j8?entry=ttu&amp;g_ep=EgoyMDI1MDUxMS4wIKXMDSoASAFQAw%3D%3D" TargetMode="External"/><Relationship Id="rId1228" Type="http://schemas.openxmlformats.org/officeDocument/2006/relationships/hyperlink" Target="https://newhopehousing.com/" TargetMode="External"/><Relationship Id="rId1229" Type="http://schemas.openxmlformats.org/officeDocument/2006/relationships/hyperlink" Target="https://www.google.com/maps/place/New+Hope+Housing+-+Ennis/@29.739865,-95.3767614,15z/data=!4m10!1m2!2m1!1snew+hope+housing+avenue+j!3m6!1s0x8640bf00533f2509:0xf59868b3a5612ccc!8m2!3d29.7398685!4d-95.3531917!15sChluZXcgaG9wZSBob3VzaW5nIGF2ZW51ZSBqIgOIAQGSARpsb3dfaW5jb21lX2hvdXNpbmdfcHJvZ3JhbaoBZwoNL2cvMTFiN2M5dzVoZhABKhQiEG5ldyBob3BlIGhvdXNpbmcoADIfEAEiGzMcBMeE4n0NfOxOpaMfsrWy27xUxVjvM78YSjIdEAIiGW5ldyBob3BlIGhvdXNpbmcgYXZlbnVlIGrgAQA!16s%2Fg%2F11vz540q7l?entry=ttu&amp;g_ep=EgoyMDI1MDUxMS4wIKXMDSoASAFQAw%3D%3D" TargetMode="External"/><Relationship Id="rId877" Type="http://schemas.openxmlformats.org/officeDocument/2006/relationships/hyperlink" Target="https://www.houstoneac.org/our-mission-vision-statement-and-guiding-principles/" TargetMode="External"/><Relationship Id="rId876"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875" Type="http://schemas.openxmlformats.org/officeDocument/2006/relationships/hyperlink" Target="https://houstonchildrenscharity.org/programs/back-2-school/" TargetMode="External"/><Relationship Id="rId874"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879" Type="http://schemas.openxmlformats.org/officeDocument/2006/relationships/hyperlink" Target="https://www.google.com/maps/place/Eye+Care+For+Kids+%2F+Houston+Eye+Associates+Foundation/@29.7828415,-95.453116,17z/data=!3m1!5s0x8640c6c50d3c0871:0x5fcece2938a04fae!4m16!1m9!3m8!1s0x8640c20a0c1990f1:0x34fe64fa192faf32!2sEye+Care+For+Kids+%2F+Houston+Eye+Associates+Foundation!8m2!3d29.7828416!4d-95.4482397!9m1!1b1!16s%2Fg%2F1tcz_xhk!3m5!1s0x8640c20a0c1990f1:0x34fe64fa192faf32!8m2!3d29.7828416!4d-95.4482397!16s%2Fg%2F1tcz_xhk?entry=ttu&amp;g_ep=EgoyMDI2MDEyNS4wIKXMDSoKLDEwMDc5MjA2OUgBUAM%3D" TargetMode="External"/><Relationship Id="rId878" Type="http://schemas.openxmlformats.org/officeDocument/2006/relationships/hyperlink" Target="https://foundation.houstoneye.com/about-us/" TargetMode="External"/><Relationship Id="rId873" Type="http://schemas.openxmlformats.org/officeDocument/2006/relationships/hyperlink" Target="https://houstonchildrenscharity.org/programs/better-nights-sleep/" TargetMode="External"/><Relationship Id="rId1220" Type="http://schemas.openxmlformats.org/officeDocument/2006/relationships/hyperlink" Target="https://newhopehousing.com/" TargetMode="External"/><Relationship Id="rId872"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1221" Type="http://schemas.openxmlformats.org/officeDocument/2006/relationships/hyperlink" Target="https://www.google.com/maps/place/New+Hope+Housing+Brays+Crossing/@29.7106381,-95.3262834,15z/data=!4m10!1m2!2m1!1snew+hope+housing+avenue+j!3m6!1s0x8640bddedc2493c9:0xdddf06fcb83ce46c!8m2!3d29.7106381!4d-95.307229!15sChluZXcgaG9wZSBob3VzaW5nIGF2ZW51ZSBqIgOIAQGSARpsb3dfaW5jb21lX2hvdXNpbmdfcHJvZ3JhbaoBZwoNL2cvMTFiN2M5dzVoZhABKhQiEG5ldyBob3BlIGhvdXNpbmcoADIfEAEiGzMcBMeE4n0NfOxOpaMfsrWy27xUxVjvM78YSjIdEAIiGW5ldyBob3BlIGhvdXNpbmcgYXZlbnVlIGrgAQA!16s%2Fg%2F1tf48jn5?entry=ttu&amp;g_ep=EgoyMDI1MDUxMS4wIKXMDSoASAFQAw%3D%3D" TargetMode="External"/><Relationship Id="rId871" Type="http://schemas.openxmlformats.org/officeDocument/2006/relationships/hyperlink" Target="https://houstonchildrenscharity.org/programs/annual-toy-distribution/" TargetMode="External"/><Relationship Id="rId1222" Type="http://schemas.openxmlformats.org/officeDocument/2006/relationships/hyperlink" Target="https://newhopehousing.com/" TargetMode="External"/><Relationship Id="rId870"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1223" Type="http://schemas.openxmlformats.org/officeDocument/2006/relationships/hyperlink" Target="https://www.google.com/maps/place/New+Hope+Housing+Canal/@29.7554601,-95.3610743,15z/data=!4m10!1m2!2m1!1snew+hope+housing+avenue+j!3m6!1s0x8640bedcae2446cb:0xcf1d41649ebdb169!8m2!3d29.7554601!4d-95.3420199!15sChluZXcgaG9wZSBob3VzaW5nIGF2ZW51ZSBqIgOIAQGSARNob3VzaW5nX2RldmVsb3BtZW50qgFnCg0vZy8xMWI3Yzl3NWhmEAEqFCIQbmV3IGhvcGUgaG91c2luZygAMh8QASIbMxwEx4TifQ187E6lox-ytbLbvFTFWO8zvxhKMh0QAiIZbmV3IGhvcGUgaG91c2luZyBhdmVudWUgauABAA!16s%2Fg%2F1v46_r31?entry=ttu&amp;g_ep=EgoyMDI1MDUxMS4wIKXMDSoASAFQAw%3D%3D" TargetMode="External"/><Relationship Id="rId1653" Type="http://schemas.openxmlformats.org/officeDocument/2006/relationships/hyperlink" Target="https://maps.google.com/?q=St%20Patrick%20(SVdP)%204918%20Cochran%20St%20Houston%20TX%2077009" TargetMode="External"/><Relationship Id="rId1654" Type="http://schemas.openxmlformats.org/officeDocument/2006/relationships/hyperlink" Target="https://stpatrickhouston.com/help-support" TargetMode="External"/><Relationship Id="rId1655" Type="http://schemas.openxmlformats.org/officeDocument/2006/relationships/hyperlink" Target="https://maps.google.com/?q=St%20Patrick%20(SVdP)%204918%20Cochran%20St%20Houston%20TX%2077009" TargetMode="External"/><Relationship Id="rId1656" Type="http://schemas.openxmlformats.org/officeDocument/2006/relationships/hyperlink" Target="https://stpaulcatholic.org/foodassistance" TargetMode="External"/><Relationship Id="rId1657" Type="http://schemas.openxmlformats.org/officeDocument/2006/relationships/hyperlink" Target="https://maps.google.com/?q=St%20Paul%20the%20Apostle%20(SVdP%20D7)%2018223%20Point%20Lookout%20Dr%20Houston%20TX%2077058" TargetMode="External"/><Relationship Id="rId1658" Type="http://schemas.openxmlformats.org/officeDocument/2006/relationships/hyperlink" Target="https://stpaulcatholic.org/foodassistance" TargetMode="External"/><Relationship Id="rId1659" Type="http://schemas.openxmlformats.org/officeDocument/2006/relationships/hyperlink" Target="https://maps.google.com/?q=St%20Paul%20the%20Apostle%20(SVdP%20D7)%2018223%20Point%20Lookout%20Dr%20Houston%20TX%2077058" TargetMode="External"/><Relationship Id="rId829" Type="http://schemas.openxmlformats.org/officeDocument/2006/relationships/hyperlink" Target="https://maps.google.com/?q=Holy%20Rosary%20(SVdP)%20Rosenberg%201416%20George%20St%20Rosenberg%20TX%2077471" TargetMode="External"/><Relationship Id="rId828" Type="http://schemas.openxmlformats.org/officeDocument/2006/relationships/hyperlink" Target="https://www.hrccr.com/" TargetMode="External"/><Relationship Id="rId827" Type="http://schemas.openxmlformats.org/officeDocument/2006/relationships/hyperlink" Target="https://maps.google.com/?q=Holy%20Rosary%20(SVdP%20D5)%203617%20Milam%20St%20Houston%20TX%2077002" TargetMode="External"/><Relationship Id="rId822" Type="http://schemas.openxmlformats.org/officeDocument/2006/relationships/hyperlink" Target="https://www.holynamecatholichouston.org/" TargetMode="External"/><Relationship Id="rId821" Type="http://schemas.openxmlformats.org/officeDocument/2006/relationships/hyperlink" Target="https://maps.google.com/?q=Holy%20Family%20(SVdP%20D7)%20Galveston%201525%2025th%20St%20Galveston%20TX%2077550" TargetMode="External"/><Relationship Id="rId820" Type="http://schemas.openxmlformats.org/officeDocument/2006/relationships/hyperlink" Target="https://holyfamilygb.com/hfp-groups/society-of-st-vincent-de-paul/" TargetMode="External"/><Relationship Id="rId826" Type="http://schemas.openxmlformats.org/officeDocument/2006/relationships/hyperlink" Target="https://holyrosarycatholic.org/" TargetMode="External"/><Relationship Id="rId825" Type="http://schemas.openxmlformats.org/officeDocument/2006/relationships/hyperlink" Target="https://maps.google.com/?q=Holy%20Rosary%20(SVdP%20D5)%203617%20Milam%20St%20Houston%20TX%2077002" TargetMode="External"/><Relationship Id="rId824" Type="http://schemas.openxmlformats.org/officeDocument/2006/relationships/hyperlink" Target="https://holyrosarycatholic.org/" TargetMode="External"/><Relationship Id="rId823" Type="http://schemas.openxmlformats.org/officeDocument/2006/relationships/hyperlink" Target="https://maps.google.com/?q=Holy%20Name%201920%20Marion%20St%20Houston%20TX%2077009" TargetMode="External"/><Relationship Id="rId1650" Type="http://schemas.openxmlformats.org/officeDocument/2006/relationships/hyperlink" Target="https://www.stmonicafoodpantry.com/" TargetMode="External"/><Relationship Id="rId1651" Type="http://schemas.openxmlformats.org/officeDocument/2006/relationships/hyperlink" Target="https://maps.google.com/?q=St%20Monica%20(SVdP%20D1)%208421%20W%20Montgomery%20Rd%20Houston%20TX%2077088" TargetMode="External"/><Relationship Id="rId1652" Type="http://schemas.openxmlformats.org/officeDocument/2006/relationships/hyperlink" Target="https://stpatrickhouston.com/help-support" TargetMode="External"/><Relationship Id="rId1642" Type="http://schemas.openxmlformats.org/officeDocument/2006/relationships/hyperlink" Target="https://www.stmichaelchurch.net/society-of-st-vincent-de-paul" TargetMode="External"/><Relationship Id="rId1643" Type="http://schemas.openxmlformats.org/officeDocument/2006/relationships/hyperlink" Target="https://maps.google.com/?q=St%20Michael%20the%20Archangel%20(SVdP%20D3)%201801%20Sage%20Rd%20Houston%20TX%2077056" TargetMode="External"/><Relationship Id="rId1644" Type="http://schemas.openxmlformats.org/officeDocument/2006/relationships/hyperlink" Target="https://smlj.org/st-vincent-de-paul" TargetMode="External"/><Relationship Id="rId1645" Type="http://schemas.openxmlformats.org/officeDocument/2006/relationships/hyperlink" Target="https://maps.google.com/?q=St%20Michael%20the%20Archangel%20(SVdP%20D7)%20Lake%20Jackson%20%20100%20Oak%20Drive%20South%20Lake%20Jackson%20TX%2077566" TargetMode="External"/><Relationship Id="rId1646" Type="http://schemas.openxmlformats.org/officeDocument/2006/relationships/hyperlink" Target="https://smlj.org/st-vincent-de-paul" TargetMode="External"/><Relationship Id="rId1647" Type="http://schemas.openxmlformats.org/officeDocument/2006/relationships/hyperlink" Target="https://maps.google.com/?q=St%20Michael%20the%20Archangel%20(SVdP%20D7)%20Lake%20Jackson%20%20100%20Oak%20Drive%20South%20Lake%20Jackson%20TX%2077566" TargetMode="External"/><Relationship Id="rId1648" Type="http://schemas.openxmlformats.org/officeDocument/2006/relationships/hyperlink" Target="https://smlj.org/st-vincent-de-paul" TargetMode="External"/><Relationship Id="rId1649" Type="http://schemas.openxmlformats.org/officeDocument/2006/relationships/hyperlink" Target="https://maps.google.com/?q=St%20Michael%20the%20Archangel%20(SVdP%20D7)%20Lake%20Jackson%20%20100%20Oak%20Drive%20South%20Lake%20Jackson%20TX%2077566" TargetMode="External"/><Relationship Id="rId819" Type="http://schemas.openxmlformats.org/officeDocument/2006/relationships/hyperlink" Target="https://maps.google.com/?q=Holy%20Family%20(SVdP%20D7)%20Galveston%201525%2025th%20St%20Galveston%20TX%2077550" TargetMode="External"/><Relationship Id="rId818" Type="http://schemas.openxmlformats.org/officeDocument/2006/relationships/hyperlink" Target="https://holyfamilygb.com/hfp-groups/society-of-st-vincent-de-paul/" TargetMode="External"/><Relationship Id="rId817" Type="http://schemas.openxmlformats.org/officeDocument/2006/relationships/hyperlink" Target="https://maps.google.com/?q=Holy%20Family%20(SVdP%20D2)%20Missouri%20City%201510%205th%20St%20Missouri%20City%20TX%2077489" TargetMode="External"/><Relationship Id="rId816" Type="http://schemas.openxmlformats.org/officeDocument/2006/relationships/hyperlink" Target="https://holyfamilychurch.us/about/ministries/st-vincent-de-paul/" TargetMode="External"/><Relationship Id="rId811" Type="http://schemas.openxmlformats.org/officeDocument/2006/relationships/hyperlink" Target="https://www.google.com/maps/place/Hiram+Clarke+Multi-Service+Center/@29.6141554,-95.4361658,16z/data=!3m1!4b1!4m6!3m5!1s0x8640eb0a25265bb7:0x3a7e70b8b4f8e2ca!8m2!3d29.6141508!4d-95.4335909!16s%2Fg%2F11b75gm51g?entry=ttu&amp;g_ep=EgoyMDI2MDIwMS4wIKXMDSoKLDEwMDc5MjA2OUgBUAM%3D" TargetMode="External"/><Relationship Id="rId810" Type="http://schemas.openxmlformats.org/officeDocument/2006/relationships/hyperlink" Target="https://www.houstonhealth.org/services/multi-service-centers/hiram-clarke-multi-service-center" TargetMode="External"/><Relationship Id="rId815" Type="http://schemas.openxmlformats.org/officeDocument/2006/relationships/hyperlink" Target="https://maps.google.com/?q=Holy%20Family%20(SVdP%20D2)%20Missouri%20City%201510%205th%20St%20Missouri%20City%20TX%2077489" TargetMode="External"/><Relationship Id="rId814" Type="http://schemas.openxmlformats.org/officeDocument/2006/relationships/hyperlink" Target="https://holyfamilychurch.us/about/ministries/st-vincent-de-paul/" TargetMode="External"/><Relationship Id="rId813" Type="http://schemas.openxmlformats.org/officeDocument/2006/relationships/hyperlink" Target="https://maps.google.com/?q=Holy%20Family%20(SVdP%20D2)%20Missouri%20City%201510%205th%20St%20Missouri%20City%20TX%2077489" TargetMode="External"/><Relationship Id="rId812" Type="http://schemas.openxmlformats.org/officeDocument/2006/relationships/hyperlink" Target="https://holyfamilychurch.us/about/ministries/st-vincent-de-paul/" TargetMode="External"/><Relationship Id="rId1640" Type="http://schemas.openxmlformats.org/officeDocument/2006/relationships/hyperlink" Target="https://www.stmichaelchurch.net/society-of-st-vincent-de-paul" TargetMode="External"/><Relationship Id="rId1641" Type="http://schemas.openxmlformats.org/officeDocument/2006/relationships/hyperlink" Target="https://maps.google.com/?q=St%20Michael%20the%20Archangel%20(SVdP%20D3)%201801%20Sage%20Rd%20Houston%20TX%2077056" TargetMode="External"/><Relationship Id="rId1675" Type="http://schemas.openxmlformats.org/officeDocument/2006/relationships/hyperlink" Target="https://maps.google.com/?q=St%20Rose%20of%20Lima%20(SVdP%20D1)%203600%20Brinkman%20Houston%20TX%2077018" TargetMode="External"/><Relationship Id="rId1676" Type="http://schemas.openxmlformats.org/officeDocument/2006/relationships/hyperlink" Target="https://www.stroselima.org/outreach" TargetMode="External"/><Relationship Id="rId1677" Type="http://schemas.openxmlformats.org/officeDocument/2006/relationships/hyperlink" Target="https://maps.google.com/?q=St%20Rose%20of%20Lima%20(SVdP%20D1)%203600%20Brinkman%20Houston%20TX%2077018" TargetMode="External"/><Relationship Id="rId1678" Type="http://schemas.openxmlformats.org/officeDocument/2006/relationships/hyperlink" Target="https://www.stroselima.org/outreach" TargetMode="External"/><Relationship Id="rId1679" Type="http://schemas.openxmlformats.org/officeDocument/2006/relationships/hyperlink" Target="https://maps.google.com/?q=St%20Rose%20of%20Lima%20(SVdP%20D1)%203600%20Brinkman%20Houston%20TX%2077018" TargetMode="External"/><Relationship Id="rId849" Type="http://schemas.openxmlformats.org/officeDocument/2006/relationships/hyperlink" Target="https://www.google.com/maps/place/Hospitality+Apartments/@29.6974711,-95.4039597,16z/data=!3m1!4b1!4m6!3m5!1s0x8640c00bf709ff5b:0xf165d7005246adb6!8m2!3d29.6974712!4d-95.3990834!16s%2Fg%2F1vp6_kjw?entry=ttu&amp;g_ep=EgoyMDI2MDExMS4wIKXMDSoKLDEwMDc5MjA2OUgBUAM%3D" TargetMode="External"/><Relationship Id="rId844" Type="http://schemas.openxmlformats.org/officeDocument/2006/relationships/hyperlink" Target="https://www.hopechc.org" TargetMode="External"/><Relationship Id="rId843" Type="http://schemas.openxmlformats.org/officeDocument/2006/relationships/hyperlink" Target="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 TargetMode="External"/><Relationship Id="rId842" Type="http://schemas.openxmlformats.org/officeDocument/2006/relationships/hyperlink" Target="https://www.hopechc.org" TargetMode="External"/><Relationship Id="rId841" Type="http://schemas.openxmlformats.org/officeDocument/2006/relationships/hyperlink" Target="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 TargetMode="External"/><Relationship Id="rId848" Type="http://schemas.openxmlformats.org/officeDocument/2006/relationships/hyperlink" Target="https://www.hospitalityapartments.org/guests/request" TargetMode="External"/><Relationship Id="rId847" Type="http://schemas.openxmlformats.org/officeDocument/2006/relationships/hyperlink" Target="https://www.google.com/maps/place/2929+McKinney+St,+Houston,+TX+77003/@29.7471389,-95.3530624,17z/data=!3m1!4b1!4m6!3m5!1s0x8640bee1187d8e33:0x7670df80b23deb44!8m2!3d29.7471343!4d-95.3481915!16s%2Fg%2F11pw3k0tsn?entry=ttu&amp;g_ep=EgoyMDI2MDIxMS4wIKXMDSoASAFQAw%3D%3D" TargetMode="External"/><Relationship Id="rId846" Type="http://schemas.openxmlformats.org/officeDocument/2006/relationships/hyperlink" Target="https://www.hopeforthewarriors.org/programs-and-services/connect-to-services/" TargetMode="External"/><Relationship Id="rId845" Type="http://schemas.openxmlformats.org/officeDocument/2006/relationships/hyperlink" Target="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 TargetMode="External"/><Relationship Id="rId1670" Type="http://schemas.openxmlformats.org/officeDocument/2006/relationships/hyperlink" Target="https://stphiliphuffmantx.org/contact" TargetMode="External"/><Relationship Id="rId840" Type="http://schemas.openxmlformats.org/officeDocument/2006/relationships/hyperlink" Target="https://www.hopechc.org" TargetMode="External"/><Relationship Id="rId1671" Type="http://schemas.openxmlformats.org/officeDocument/2006/relationships/hyperlink" Target="https://maps.google.com/?q=St%20Philip%20the%20Apostle%202308%203rd%20St%20Huffman%20TX%2077336" TargetMode="External"/><Relationship Id="rId1672" Type="http://schemas.openxmlformats.org/officeDocument/2006/relationships/hyperlink" Target="https://stpiusvchurch.com/social-mininstry" TargetMode="External"/><Relationship Id="rId1673" Type="http://schemas.openxmlformats.org/officeDocument/2006/relationships/hyperlink" Target="https://maps.google.com/?q=St%20Pius%20Pasadena%20824%20Main%20St%20Pasadena%20TX%2077506" TargetMode="External"/><Relationship Id="rId1674" Type="http://schemas.openxmlformats.org/officeDocument/2006/relationships/hyperlink" Target="https://www.stroselima.org/outreach" TargetMode="External"/><Relationship Id="rId1664" Type="http://schemas.openxmlformats.org/officeDocument/2006/relationships/hyperlink" Target="https://stphilipnerichurch.org/" TargetMode="External"/><Relationship Id="rId1665" Type="http://schemas.openxmlformats.org/officeDocument/2006/relationships/hyperlink" Target="https://maps.google.com/?q=St%20Philip%20Neri%20(SVdP%20D3)%2010960%20Martin%20Luther%20King%20Blvd%20Houston%20TX%2077048" TargetMode="External"/><Relationship Id="rId1666" Type="http://schemas.openxmlformats.org/officeDocument/2006/relationships/hyperlink" Target="https://stphilipnerichurch.org/" TargetMode="External"/><Relationship Id="rId1667" Type="http://schemas.openxmlformats.org/officeDocument/2006/relationships/hyperlink" Target="https://maps.google.com/?q=St%20Philip%20Neri%20(SVdP%20D3)%2010960%20Martin%20Luther%20King%20Blvd%20Houston%20TX%2077048" TargetMode="External"/><Relationship Id="rId1668" Type="http://schemas.openxmlformats.org/officeDocument/2006/relationships/hyperlink" Target="https://stphiliphuffmantx.org/contact" TargetMode="External"/><Relationship Id="rId1669" Type="http://schemas.openxmlformats.org/officeDocument/2006/relationships/hyperlink" Target="https://maps.google.com/?q=St%20Philip%20the%20Apostle%202308%203rd%20St%20Huffman%20TX%2077336" TargetMode="External"/><Relationship Id="rId839" Type="http://schemas.openxmlformats.org/officeDocument/2006/relationships/hyperlink" Target="https://www.google.com/maps/place/Hope+Center+Houston/@30.020301,-95.4478682,16z/data=!3m1!4b1!4m6!3m5!1s0x8640cbeeb92e2717:0x6ab75b25672d0f50!8m2!3d30.0202964!4d-95.4452933!16s%2Fg%2F11fmsbvtfm?entry=ttu&amp;g_ep=EgoyMDI1MDgyNC4wIKXMDSoASAFQAw%3D%3D" TargetMode="External"/><Relationship Id="rId838" Type="http://schemas.openxmlformats.org/officeDocument/2006/relationships/hyperlink" Target="https://hopecenterhouston.org" TargetMode="External"/><Relationship Id="rId833" Type="http://schemas.openxmlformats.org/officeDocument/2006/relationships/hyperlink" Target="https://maps.google.com/?q=Holy%20Rosary%20(SVdP)%20Rosenberg%201416%20George%20St%20Rosenberg%20TX%2077471" TargetMode="External"/><Relationship Id="rId832" Type="http://schemas.openxmlformats.org/officeDocument/2006/relationships/hyperlink" Target="https://www.hrccr.com/" TargetMode="External"/><Relationship Id="rId831" Type="http://schemas.openxmlformats.org/officeDocument/2006/relationships/hyperlink" Target="https://maps.google.com/?q=Holy%20Rosary%20(SVdP)%20Rosenberg%201416%20George%20St%20Rosenberg%20TX%2077471" TargetMode="External"/><Relationship Id="rId830" Type="http://schemas.openxmlformats.org/officeDocument/2006/relationships/hyperlink" Target="https://www.hrccr.com/" TargetMode="External"/><Relationship Id="rId837" Type="http://schemas.openxmlformats.org/officeDocument/2006/relationships/hyperlink" Target="https://www.google.com/maps/place/Hope+Center+Houston/@30.020301,-95.4478682,16z/data=!3m1!4b1!4m6!3m5!1s0x8640cbeeb92e2717:0x6ab75b25672d0f50!8m2!3d30.0202964!4d-95.4452933!16s%2Fg%2F11fmsbvtfm?entry=ttu&amp;g_ep=EgoyMDI1MDgyNC4wIKXMDSoASAFQAw%3D%3D" TargetMode="External"/><Relationship Id="rId836" Type="http://schemas.openxmlformats.org/officeDocument/2006/relationships/hyperlink" Target="https://hopecenterhouston.org" TargetMode="External"/><Relationship Id="rId835" Type="http://schemas.openxmlformats.org/officeDocument/2006/relationships/hyperlink" Target="https://maps.google.com/?q=Holy%20Rosary%20(SVdP)%20Rosenberg%201416%20George%20St%20Rosenberg%20TX%2077471" TargetMode="External"/><Relationship Id="rId834" Type="http://schemas.openxmlformats.org/officeDocument/2006/relationships/hyperlink" Target="https://www.hrccr.com/" TargetMode="External"/><Relationship Id="rId1660" Type="http://schemas.openxmlformats.org/officeDocument/2006/relationships/hyperlink" Target="https://stpaulcatholic.org/foodassistance" TargetMode="External"/><Relationship Id="rId1661" Type="http://schemas.openxmlformats.org/officeDocument/2006/relationships/hyperlink" Target="https://maps.google.com/?q=St%20Paul%20the%20Apostle%20(SVdP%20D7)%2018223%20Point%20Lookout%20Dr%20Houston%20TX%2077058" TargetMode="External"/><Relationship Id="rId1662" Type="http://schemas.openxmlformats.org/officeDocument/2006/relationships/hyperlink" Target="https://stsppbellvilletx.org/" TargetMode="External"/><Relationship Id="rId1663" Type="http://schemas.openxmlformats.org/officeDocument/2006/relationships/hyperlink" Target="https://maps.google.com/?q=St%20Peter%20%26%20Paul%20Bellville%20936%20South%20Front%20St%20Bellville%20TX%2077418" TargetMode="External"/><Relationship Id="rId469" Type="http://schemas.openxmlformats.org/officeDocument/2006/relationships/hyperlink" Target="https://www.cypressassistance.org/" TargetMode="External"/><Relationship Id="rId468" Type="http://schemas.openxmlformats.org/officeDocument/2006/relationships/hyperlink" Target="https://maps.google.com/?q=Cypress%20Assistance%20Ministries%2012930%20Cypress%20N%20Houston%20Rd%20Houston%20TX%2077429" TargetMode="External"/><Relationship Id="rId467" Type="http://schemas.openxmlformats.org/officeDocument/2006/relationships/hyperlink" Target="https://www.cypressassistance.org/" TargetMode="External"/><Relationship Id="rId1290" Type="http://schemas.openxmlformats.org/officeDocument/2006/relationships/hyperlink" Target="https://maps.google.com/?q=Our%20Mother%20of%20Mercy%20(SVdP%20D1)%202007%20Granger%20St%20Houston%20TX%2077020" TargetMode="External"/><Relationship Id="rId1291" Type="http://schemas.openxmlformats.org/officeDocument/2006/relationships/hyperlink" Target="https://www.padsplit.com/rooms-for-rent/houston-tx" TargetMode="External"/><Relationship Id="rId1292" Type="http://schemas.openxmlformats.org/officeDocument/2006/relationships/hyperlink" Target="https://www.pcm-texas.org/" TargetMode="External"/><Relationship Id="rId462" Type="http://schemas.openxmlformats.org/officeDocument/2006/relationships/hyperlink" Target="https://maps.google.com/?q=Cypress%20Assistance%20Ministries%2012930%20Cypress%20N%20Houston%20Rd%20Houston%20TX%2077429" TargetMode="External"/><Relationship Id="rId1293" Type="http://schemas.openxmlformats.org/officeDocument/2006/relationships/hyperlink" Target="https://maps.google.com/?q=Pasadena%20Community%20Ministries%202301%20South%20Houston%20Rd%20Pasadena%20TX%2077502" TargetMode="External"/><Relationship Id="rId461" Type="http://schemas.openxmlformats.org/officeDocument/2006/relationships/hyperlink" Target="https://www.cypressassistance.org/" TargetMode="External"/><Relationship Id="rId1294" Type="http://schemas.openxmlformats.org/officeDocument/2006/relationships/hyperlink" Target="https://www.pcm-texas.org/" TargetMode="External"/><Relationship Id="rId460" Type="http://schemas.openxmlformats.org/officeDocument/2006/relationships/hyperlink" Target="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 TargetMode="External"/><Relationship Id="rId1295" Type="http://schemas.openxmlformats.org/officeDocument/2006/relationships/hyperlink" Target="https://maps.google.com/?q=Pasadena%20Community%20Ministries%202301%20South%20Houston%20Rd%20Pasadena%20TX%2077502" TargetMode="External"/><Relationship Id="rId1296" Type="http://schemas.openxmlformats.org/officeDocument/2006/relationships/hyperlink" Target="https://www.pcm-texas.org/" TargetMode="External"/><Relationship Id="rId466" Type="http://schemas.openxmlformats.org/officeDocument/2006/relationships/hyperlink" Target="https://maps.google.com/?q=Cypress%20Assistance%20Ministries%2012930%20Cypress%20N%20Houston%20Rd%20Houston%20TX%2077429" TargetMode="External"/><Relationship Id="rId1297" Type="http://schemas.openxmlformats.org/officeDocument/2006/relationships/hyperlink" Target="https://maps.google.com/?q=Pasadena%20Community%20Ministries%202301%20South%20Houston%20Rd%20Pasadena%20TX%2077502" TargetMode="External"/><Relationship Id="rId465" Type="http://schemas.openxmlformats.org/officeDocument/2006/relationships/hyperlink" Target="https://www.cypressassistance.org/" TargetMode="External"/><Relationship Id="rId1298" Type="http://schemas.openxmlformats.org/officeDocument/2006/relationships/hyperlink" Target="https://www.panfoundation.org/find-disease-fund/" TargetMode="External"/><Relationship Id="rId464" Type="http://schemas.openxmlformats.org/officeDocument/2006/relationships/hyperlink" Target="https://maps.google.com/?q=Cypress%20Assistance%20Ministries%2012930%20Cypress%20N%20Houston%20Rd%20Houston%20TX%2077429" TargetMode="External"/><Relationship Id="rId1299" Type="http://schemas.openxmlformats.org/officeDocument/2006/relationships/hyperlink" Target="https://www.google.com/maps/place/PAN+Foundation/@38.8999625,-77.0502225,16z/data=!3m1!5s0x89b7b7bef9b31fc3:0xd150b404a0212d9f!4m10!1m2!2m1!1spatient+access+network+foundation,+washington,+dc!3m6!1s0x89b7b7ba18d8071d:0x299505d94cdc82d1!8m2!3d38.9034383!4d-77.0350372!15sCjFwYXRpZW50IGFjY2VzcyBuZXR3b3JrIGZvdW5kYXRpb24sIHdhc2hpbmd0b24sIGRjWjEiL3BhdGllbnQgYWNjZXNzIG5ldHdvcmsgZm91bmRhdGlvbiB3YXNoaW5ndG9uIGRjkgEbYXNzb2NpYXRpb25fb3Jfb3JnYW5pemF0aW9umgEkQ2hkRFNVaE5NRzluUzBWSlEwRm5TVVI0ZEdOdGJteEJSUkFC4AEA-gEECAAQLw!16s%2Fg%2F1tcws0fw?entry=ttu&amp;g_ep=EgoyMDI2MDEyMC4wIKXMDSoKLDEwMDc5MjA2OUgBUAM%3D" TargetMode="External"/><Relationship Id="rId463" Type="http://schemas.openxmlformats.org/officeDocument/2006/relationships/hyperlink" Target="https://www.cypressassistance.org/" TargetMode="External"/><Relationship Id="rId459" Type="http://schemas.openxmlformats.org/officeDocument/2006/relationships/hyperlink" Target="https://www.cyfairhelpinghands.org/" TargetMode="External"/><Relationship Id="rId458" Type="http://schemas.openxmlformats.org/officeDocument/2006/relationships/hyperlink" Target="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 TargetMode="External"/><Relationship Id="rId457" Type="http://schemas.openxmlformats.org/officeDocument/2006/relationships/hyperlink" Target="https://www.cyfairhelpinghands.org/" TargetMode="External"/><Relationship Id="rId456" Type="http://schemas.openxmlformats.org/officeDocument/2006/relationships/hyperlink" Target="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 TargetMode="External"/><Relationship Id="rId1280" Type="http://schemas.openxmlformats.org/officeDocument/2006/relationships/hyperlink" Target="https://maps.google.com/?q=Our%20Lady%20of%20Fatima%201705%208th%20St%20Galena%20Park%20TX%2077547" TargetMode="External"/><Relationship Id="rId1281" Type="http://schemas.openxmlformats.org/officeDocument/2006/relationships/hyperlink" Target="https://olgbaytown.org/en/homepage/" TargetMode="External"/><Relationship Id="rId451" Type="http://schemas.openxmlformats.org/officeDocument/2006/relationships/hyperlink" Target="https://rhf.org/creekbend-gardens/" TargetMode="External"/><Relationship Id="rId1282" Type="http://schemas.openxmlformats.org/officeDocument/2006/relationships/hyperlink" Target="https://maps.google.com/?q=Our%20Lady%20of%20Guadalupe%20Baytown%201124%20Beech%20St%20Baytown%20TX%2077520" TargetMode="External"/><Relationship Id="rId450" Type="http://schemas.openxmlformats.org/officeDocument/2006/relationships/hyperlink" Target="https://www.google.com/maps/place/Cornerstone+Garden+Apartments/@29.99105,-95.484959,16z/data=!4m6!3m5!1s0x8640cc7ba48de0d7:0x1978e87cff30674e!8m2!3d29.9910503!4d-95.4849588!16s%2Fg%2F1tm8kzm1?hl=en&amp;entry=ttu&amp;g_ep=EgoyMDI1MDUxMS4wIKXMDSoASAFQAw%3D%3D" TargetMode="External"/><Relationship Id="rId1283" Type="http://schemas.openxmlformats.org/officeDocument/2006/relationships/hyperlink" Target="https://olphsja.org/ministries" TargetMode="External"/><Relationship Id="rId1284" Type="http://schemas.openxmlformats.org/officeDocument/2006/relationships/hyperlink" Target="https://maps.google.com/?q=Our%20Lady%20of%20Perpetual%20Help%20(SVdP)%20310%20N%20McKinney%20St%20Sweeny%20TX%2077480" TargetMode="External"/><Relationship Id="rId1285" Type="http://schemas.openxmlformats.org/officeDocument/2006/relationships/hyperlink" Target="https://olphsja.org/ministries" TargetMode="External"/><Relationship Id="rId455" Type="http://schemas.openxmlformats.org/officeDocument/2006/relationships/hyperlink" Target="https://www.cyfairhelpinghands.org/" TargetMode="External"/><Relationship Id="rId1286" Type="http://schemas.openxmlformats.org/officeDocument/2006/relationships/hyperlink" Target="https://maps.google.com/?q=Our%20Lady%20of%20Perpetual%20Help%20(SVdP)%20310%20N%20McKinney%20St%20Sweeny%20TX%2077480" TargetMode="External"/><Relationship Id="rId454" Type="http://schemas.openxmlformats.org/officeDocument/2006/relationships/hyperlink" Target="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 TargetMode="External"/><Relationship Id="rId1287" Type="http://schemas.openxmlformats.org/officeDocument/2006/relationships/hyperlink" Target="https://olphsja.org/ministries" TargetMode="External"/><Relationship Id="rId453" Type="http://schemas.openxmlformats.org/officeDocument/2006/relationships/hyperlink" Target="https://www.cyfairhelpinghands.org/" TargetMode="External"/><Relationship Id="rId1288" Type="http://schemas.openxmlformats.org/officeDocument/2006/relationships/hyperlink" Target="https://maps.google.com/?q=Our%20Lady%20of%20Perpetual%20Help%20(SVdP)%20310%20N%20McKinney%20St%20Sweeny%20TX%2077480" TargetMode="External"/><Relationship Id="rId452" Type="http://schemas.openxmlformats.org/officeDocument/2006/relationships/hyperlink" Target="https://www.google.com/maps/place/Creekbend+Garden+Apartments/@29.6656788,-95.5219628,16z/data=!4m15!1m8!3m7!1s0x8640e82cfa2f680b:0x891c8618852f7712!2sCreekbend+Garden+Apartments!8m2!3d29.665854!4d-95.5219476!10e5!16s%2Fg%2F1v8k__jt!3m5!1s0x8640e82cfa2f680b:0x891c8618852f7712!8m2!3d29.665854!4d-95.5219476!16s%2Fg%2F1v8k__jt?entry=ttu&amp;g_ep=EgoyMDI1MDUxMS4wIKXMDSoASAFQAw%3D%3D" TargetMode="External"/><Relationship Id="rId1289" Type="http://schemas.openxmlformats.org/officeDocument/2006/relationships/hyperlink" Target="https://www.ourmotherofmercy.net/" TargetMode="External"/><Relationship Id="rId491" Type="http://schemas.openxmlformats.org/officeDocument/2006/relationships/hyperlink" Target="https://www.denverharborhealthcenter.org" TargetMode="External"/><Relationship Id="rId490" Type="http://schemas.openxmlformats.org/officeDocument/2006/relationships/hyperlink" Target="https://www.google.com/maps/place/Vecino's+Denver+Harbor+Family+Health+Center/@29.7804606,-95.3124257,16z/data=!3m1!4b1!4m6!3m5!1s0x8640bbfe0493ec21:0xa8baa6b440546cf3!8m2!3d29.780456!4d-95.3098454!16s%2Fg%2F1td9whln?entry=ttu&amp;g_ep=EgoyMDI0MDkwNC4wIKXMDSoASAFQAw%3D%3D" TargetMode="External"/><Relationship Id="rId489" Type="http://schemas.openxmlformats.org/officeDocument/2006/relationships/hyperlink" Target="https://www.denverharborhealthcenter.org" TargetMode="External"/><Relationship Id="rId484" Type="http://schemas.openxmlformats.org/officeDocument/2006/relationships/hyperlink" Target="https://maps.google.com/?q=Deer%20Park%20UMC%201300%20E%2013th%20St%20Deer%20Park%20TX%2077536" TargetMode="External"/><Relationship Id="rId483" Type="http://schemas.openxmlformats.org/officeDocument/2006/relationships/hyperlink" Target="https://dpumc.org/outreach/" TargetMode="External"/><Relationship Id="rId482" Type="http://schemas.openxmlformats.org/officeDocument/2006/relationships/hyperlink" Target="https://maps.google.com/?q=Deer%20Park%20First%20Baptist%20%20%20TX%20" TargetMode="External"/><Relationship Id="rId481" Type="http://schemas.openxmlformats.org/officeDocument/2006/relationships/hyperlink" Target="https://deerparkfirst.org/" TargetMode="External"/><Relationship Id="rId488" Type="http://schemas.openxmlformats.org/officeDocument/2006/relationships/hyperlink" Target="https://www.google.com/maps/place/Vecino's+Denver+Harbor+Family+Health+Center/@29.7804606,-95.3124257,16z/data=!3m1!4b1!4m6!3m5!1s0x8640bbfe0493ec21:0xa8baa6b440546cf3!8m2!3d29.780456!4d-95.3098454!16s%2Fg%2F1td9whln?entry=ttu&amp;g_ep=EgoyMDI0MDkwNC4wIKXMDSoASAFQAw%3D%3D" TargetMode="External"/><Relationship Id="rId487" Type="http://schemas.openxmlformats.org/officeDocument/2006/relationships/hyperlink" Target="https://www.denverharborhealthcenter.org" TargetMode="External"/><Relationship Id="rId486" Type="http://schemas.openxmlformats.org/officeDocument/2006/relationships/hyperlink" Target="https://maps.google.com/?q=Deer%20Park%20UMC%201300%20E%2013th%20St%20Deer%20Park%20TX%2077536" TargetMode="External"/><Relationship Id="rId485" Type="http://schemas.openxmlformats.org/officeDocument/2006/relationships/hyperlink" Target="https://dpumc.org/outreach/" TargetMode="External"/><Relationship Id="rId480" Type="http://schemas.openxmlformats.org/officeDocument/2006/relationships/hyperlink" Target="https://maps.google.com/?q=Deer%20Park%20First%20Baptist%20%20%20TX%20" TargetMode="External"/><Relationship Id="rId479" Type="http://schemas.openxmlformats.org/officeDocument/2006/relationships/hyperlink" Target="https://deerparkfirst.org/" TargetMode="External"/><Relationship Id="rId478" Type="http://schemas.openxmlformats.org/officeDocument/2006/relationships/hyperlink" Target="https://maps.google.com/?q=Deer%20Park%20First%20Baptist%20%20%20TX%20" TargetMode="External"/><Relationship Id="rId473" Type="http://schemas.openxmlformats.org/officeDocument/2006/relationships/hyperlink" Target="https://www.cypressassistance.org/" TargetMode="External"/><Relationship Id="rId472" Type="http://schemas.openxmlformats.org/officeDocument/2006/relationships/hyperlink" Target="https://maps.google.com/?q=Cypress%20Assistance%20Ministries%2012930%20Cypress%20N%20Houston%20Rd%20Houston%20TX%2077429" TargetMode="External"/><Relationship Id="rId471" Type="http://schemas.openxmlformats.org/officeDocument/2006/relationships/hyperlink" Target="https://www.cypressassistance.org/" TargetMode="External"/><Relationship Id="rId470" Type="http://schemas.openxmlformats.org/officeDocument/2006/relationships/hyperlink" Target="https://maps.google.com/?q=Cypress%20Assistance%20Ministries%2012930%20Cypress%20N%20Houston%20Rd%20Houston%20TX%2077429" TargetMode="External"/><Relationship Id="rId477" Type="http://schemas.openxmlformats.org/officeDocument/2006/relationships/hyperlink" Target="https://deerparkfirst.org/" TargetMode="External"/><Relationship Id="rId476" Type="http://schemas.openxmlformats.org/officeDocument/2006/relationships/hyperlink" Target="https://www.dayahouston.org/services" TargetMode="External"/><Relationship Id="rId475" Type="http://schemas.openxmlformats.org/officeDocument/2006/relationships/hyperlink" Target="https://danshouseofhope.org/" TargetMode="External"/><Relationship Id="rId474" Type="http://schemas.openxmlformats.org/officeDocument/2006/relationships/hyperlink" Target="https://maps.google.com/?q=Cypress%20Assistance%20Ministries%2012930%20Cypress%20N%20Houston%20Rd%20Houston%20TX%2077429" TargetMode="External"/><Relationship Id="rId1257" Type="http://schemas.openxmlformats.org/officeDocument/2006/relationships/hyperlink" Target="https://www.namonline.org/" TargetMode="External"/><Relationship Id="rId1258" Type="http://schemas.openxmlformats.org/officeDocument/2006/relationships/hyperlink" Target="https://maps.google.com/?q=Northwest%20Area%20Ministries%2015555%20Kuykendahl%20Rd%20Houston%20TX%2077080" TargetMode="External"/><Relationship Id="rId1259" Type="http://schemas.openxmlformats.org/officeDocument/2006/relationships/hyperlink" Target="https://www.namonline.org/" TargetMode="External"/><Relationship Id="rId426" Type="http://schemas.openxmlformats.org/officeDocument/2006/relationships/hyperlink" Target="https://www.google.com/maps/place/Community+Assistance+Center/@30.3142683,-95.4695141,17z/data=!3m1!4b1!4m6!3m5!1s0x8647394e216f2bc3:0xe547c6a100b41011!8m2!3d30.3142683!4d-95.4669338!16s%2Fg%2F1tgz0_58?entry=ttu&amp;g_ep=EgoyMDI1MDcyNy4wIKXMDSoASAFQAw%3D%3D" TargetMode="External"/><Relationship Id="rId425" Type="http://schemas.openxmlformats.org/officeDocument/2006/relationships/hyperlink" Target="https://cac-mctx.org/appointment/" TargetMode="External"/><Relationship Id="rId424" Type="http://schemas.openxmlformats.org/officeDocument/2006/relationships/hyperlink" Target="https://www.google.com/maps/place/Community+Assistance+Center/@30.3142683,-95.4695141,17z/data=!3m1!4b1!4m6!3m5!1s0x8647394e216f2bc3:0xe547c6a100b41011!8m2!3d30.3142683!4d-95.4669338!16s%2Fg%2F1tgz0_58?entry=ttu&amp;g_ep=EgoyMDI1MDcyNy4wIKXMDSoASAFQAw%3D%3D" TargetMode="External"/><Relationship Id="rId423" Type="http://schemas.openxmlformats.org/officeDocument/2006/relationships/hyperlink" Target="https://cac-mctx.org/appointment/" TargetMode="External"/><Relationship Id="rId429" Type="http://schemas.openxmlformats.org/officeDocument/2006/relationships/hyperlink" Target="https://cac-mctx.org/food-pantry/" TargetMode="External"/><Relationship Id="rId428" Type="http://schemas.openxmlformats.org/officeDocument/2006/relationships/hyperlink" Target="https://www.google.com/maps/place/Community+Assistance+Center/@30.3142683,-95.4695141,17z/data=!3m1!4b1!4m6!3m5!1s0x8647394e216f2bc3:0xe547c6a100b41011!8m2!3d30.3142683!4d-95.4669338!16s%2Fg%2F1tgz0_58?entry=ttu&amp;g_ep=EgoyMDI1MDcyNy4wIKXMDSoASAFQAw%3D%3D" TargetMode="External"/><Relationship Id="rId427" Type="http://schemas.openxmlformats.org/officeDocument/2006/relationships/hyperlink" Target="https://cac-mctx.org/food-pantry/" TargetMode="External"/><Relationship Id="rId1250" Type="http://schemas.openxmlformats.org/officeDocument/2006/relationships/hyperlink" Target="https://www.google.com/maps/place/Houston+Health+Department+Northeast+Multi-Service+Center/@29.8494671,-95.3072852,17z/data=!3m1!4b1!4m6!3m5!1s0x8640ba1bec1d4d1d:0x916c1316cb5b15ba!8m2!3d29.8494625!4d-95.3047103!16s%2Fg%2F11bw5t6nzd?entry=ttu&amp;g_ep=EgoyMDI2MDIwMS4wIKXMDSoKLDEwMDc5MjA2OUgBUAM%3D" TargetMode="External"/><Relationship Id="rId1251" Type="http://schemas.openxmlformats.org/officeDocument/2006/relationships/hyperlink" Target="https://www.houstonhealth.org/services/multi-service-centers/northeast-multi-service-center" TargetMode="External"/><Relationship Id="rId1252" Type="http://schemas.openxmlformats.org/officeDocument/2006/relationships/hyperlink" Target="https://www.google.com/maps/place/Houston+Health+Department+Northeast+Multi-Service+Center/@29.8494671,-95.3072852,17z/data=!3m1!4b1!4m6!3m5!1s0x8640ba1bec1d4d1d:0x916c1316cb5b15ba!8m2!3d29.8494625!4d-95.3047103!16s%2Fg%2F11bw5t6nzd?entry=ttu&amp;g_ep=EgoyMDI2MDIwMS4wIKXMDSoKLDEwMDc5MjA2OUgBUAM%3D" TargetMode="External"/><Relationship Id="rId422" Type="http://schemas.openxmlformats.org/officeDocument/2006/relationships/hyperlink" Target="https://findchildcare.collabforchildren.org/?_gl=1*mpqzr*_gcl_aw*R0NMLjE3NDQ2OTAwNTAuQ2p3S0NBanc1UEtfQmhCQkVpd0FMN0dUUFE2bDhTa1lfUHpmaUdwZjBMa1FUQUZ2dUVPcEtGcHJQU0tsSng0VENCMnJ5MWx2aXEzZmZCb0NWZ1VRQXZEX0J3RQ..*_gcl_au*MjA5MjU1MDU1Mi4xNzQ0NjkwMDUw*_ga*MjEzOTIwMTM5Mi4xNzQ0NjkwMDQ1*_ga_XT35LKH9TY*MTc0NDY5MDA0NS4xLjEuMTc0NDY5MDE3OS42MC4wLjA." TargetMode="External"/><Relationship Id="rId1253" Type="http://schemas.openxmlformats.org/officeDocument/2006/relationships/hyperlink" Target="https://rhf.org/northvale-village/" TargetMode="External"/><Relationship Id="rId421" Type="http://schemas.openxmlformats.org/officeDocument/2006/relationships/hyperlink" Target="https://www.google.com/maps/place/Coastal+Health+%26+Wellness/@29.4041156,-95.0199676,16z/data=!3m1!4b1!4m6!3m5!1s0x863f7e883bff77e1:0xe601144a368f23d8!8m2!3d29.4041156!4d-95.0173873!16s%2Fg%2F11c1tzn5bs?entry=ttu&amp;g_ep=EgoyMDI1MDUwNy4wIKXMDSoASAFQAw%3D%3D" TargetMode="External"/><Relationship Id="rId1254" Type="http://schemas.openxmlformats.org/officeDocument/2006/relationships/hyperlink" Target="https://www.google.com/maps/place/Northvale+Village/@29.990179,-95.484496,16z/data=!4m6!3m5!1s0x8640cc7bb5279051:0x31eae4436bf5cdab!8m2!3d29.990179!4d-95.484496!16s%2Fg%2F1263cmq6g?hl=en&amp;entry=ttu&amp;g_ep=EgoyMDI1MDUxMS4wIKXMDSoASAFQAw%3D%3D" TargetMode="External"/><Relationship Id="rId420" Type="http://schemas.openxmlformats.org/officeDocument/2006/relationships/hyperlink" Target="https://www.coastalhw.org/home-coastal" TargetMode="External"/><Relationship Id="rId1255" Type="http://schemas.openxmlformats.org/officeDocument/2006/relationships/hyperlink" Target="https://www.namonline.org/" TargetMode="External"/><Relationship Id="rId1256" Type="http://schemas.openxmlformats.org/officeDocument/2006/relationships/hyperlink" Target="https://maps.google.com/?q=Northwest%20Area%20Ministries%2015555%20Kuykendahl%20Rd%20Houston%20TX%2077080" TargetMode="External"/><Relationship Id="rId1246" Type="http://schemas.openxmlformats.org/officeDocument/2006/relationships/hyperlink" Target="https://norashome.org/admission-criteria" TargetMode="External"/><Relationship Id="rId1247" Type="http://schemas.openxmlformats.org/officeDocument/2006/relationships/hyperlink" Target="https://www.google.com/maps/place/Nora's+Home/@29.6832195,-95.3925905,16z/data=!3m1!4b1!4m6!3m5!1s0x8640bffef25ba781:0x51ccf9907672a725!8m2!3d29.6832195!4d-95.3900102!16s%2Fg%2F11b6dkfk60?entry=ttu&amp;g_ep=EgoyMDI2MDExMS4wIKXMDSoKLDEwMDc5MjA2OUgBUAM%3D" TargetMode="External"/><Relationship Id="rId1248" Type="http://schemas.openxmlformats.org/officeDocument/2006/relationships/hyperlink" Target="https://maps.google.com/?q=North%20Channel%20Assistance%20Ministries%2013837%20Bonham%20Dt%20Houston%20TX%2077015" TargetMode="External"/><Relationship Id="rId1249" Type="http://schemas.openxmlformats.org/officeDocument/2006/relationships/hyperlink" Target="https://www.houstonhealth.org/services/multi-service-centers/northeast-multi-service-center" TargetMode="External"/><Relationship Id="rId415" Type="http://schemas.openxmlformats.org/officeDocument/2006/relationships/hyperlink" Target="https://www.google.com/maps/place/Coastal+Health+%26+Wellness/@29.4041156,-95.0199676,16z/data=!3m1!4b1!4m6!3m5!1s0x863f7e883bff77e1:0xe601144a368f23d8!8m2!3d29.4041156!4d-95.0173873!16s%2Fg%2F11c1tzn5bs?entry=ttu&amp;g_ep=EgoyMDI1MDUwNy4wIKXMDSoASAFQAw%3D%3D" TargetMode="External"/><Relationship Id="rId899" Type="http://schemas.openxmlformats.org/officeDocument/2006/relationships/hyperlink" Target="https://www.ridemetro.org/riding-metro/transit-services/metrolift-paratransit" TargetMode="External"/><Relationship Id="rId414" Type="http://schemas.openxmlformats.org/officeDocument/2006/relationships/hyperlink" Target="https://www.coastalhw.org/home-coastal" TargetMode="External"/><Relationship Id="rId898" Type="http://schemas.openxmlformats.org/officeDocument/2006/relationships/hyperlink" Target="https://www.google.com/maps/place/Houston+Humane+Society/@29.5913746,-95.4391306,15z/data=!4m6!3m5!1s0x8640eb7b87f0944b:0x383740f24083c682!8m2!3d29.5913783!4d-95.4291105!16s%2Fg%2F1xtf1z1c?entry=ttu&amp;g_ep=EgoyMDI1MDkyMi4wIKXMDSoASAFQAw%3D%3D" TargetMode="External"/><Relationship Id="rId413" Type="http://schemas.openxmlformats.org/officeDocument/2006/relationships/hyperlink" Target="https://www.google.com/maps/place/Coastal+Health+%26+Wellness/@29.4041156,-95.0199676,16z/data=!3m1!4b1!4m6!3m5!1s0x863f7e883bff77e1:0xe601144a368f23d8!8m2!3d29.4041156!4d-95.0173873!16s%2Fg%2F11c1tzn5bs?entry=ttu&amp;g_ep=EgoyMDI1MDUwNy4wIKXMDSoASAFQAw%3D%3D" TargetMode="External"/><Relationship Id="rId897" Type="http://schemas.openxmlformats.org/officeDocument/2006/relationships/hyperlink" Target="https://www.houstonhumane.org/clinic/about-our-clinic" TargetMode="External"/><Relationship Id="rId412" Type="http://schemas.openxmlformats.org/officeDocument/2006/relationships/hyperlink" Target="https://www.coastalhw.org/home-coastal" TargetMode="External"/><Relationship Id="rId896" Type="http://schemas.openxmlformats.org/officeDocument/2006/relationships/hyperlink" Target="https://www.cancer.org/support-programs-and-services/patient-lodging/hope-lodge/houston.html" TargetMode="External"/><Relationship Id="rId419" Type="http://schemas.openxmlformats.org/officeDocument/2006/relationships/hyperlink" Target="https://www.google.com/maps/place/Coastal+Health+%26+Wellness/@29.4041156,-95.0199676,16z/data=!3m1!4b1!4m6!3m5!1s0x863f7e883bff77e1:0xe601144a368f23d8!8m2!3d29.4041156!4d-95.0173873!16s%2Fg%2F11c1tzn5bs?entry=ttu&amp;g_ep=EgoyMDI1MDUwNy4wIKXMDSoASAFQAw%3D%3D" TargetMode="External"/><Relationship Id="rId418" Type="http://schemas.openxmlformats.org/officeDocument/2006/relationships/hyperlink" Target="https://www.coastalhw.org/home-coastal" TargetMode="External"/><Relationship Id="rId417" Type="http://schemas.openxmlformats.org/officeDocument/2006/relationships/hyperlink" Target="https://www.google.com/maps/place/Coastal+Health+%26+Wellness/@29.4041156,-95.0199676,16z/data=!3m1!4b1!4m6!3m5!1s0x863f7e883bff77e1:0xe601144a368f23d8!8m2!3d29.4041156!4d-95.0173873!16s%2Fg%2F11c1tzn5bs?entry=ttu&amp;g_ep=EgoyMDI1MDUwNy4wIKXMDSoASAFQAw%3D%3D" TargetMode="External"/><Relationship Id="rId416" Type="http://schemas.openxmlformats.org/officeDocument/2006/relationships/hyperlink" Target="https://www.coastalhw.org/home-coastal" TargetMode="External"/><Relationship Id="rId891" Type="http://schemas.openxmlformats.org/officeDocument/2006/relationships/hyperlink" Target="https://www.google.com/maps/place/Houston's+First+Baptist+Church+-+The+Loop/@29.7824525,-95.4648454,17z/data=!3m2!4b1!5s0x8640c6b9b35e2bc5:0xfda58267e716dd90!4m6!3m5!1s0x8640c6b997ede1b1:0xb1255f58581366ed!8m2!3d29.7824479!4d-95.4599745!16s%2Fg%2F1tmz79pf?entry=ttu&amp;g_ep=EgoyMDI1MDcxNi4wIKXMDSoASAFQAw%3D%3D" TargetMode="External"/><Relationship Id="rId890" Type="http://schemas.openxmlformats.org/officeDocument/2006/relationships/hyperlink" Target="https://www.houstonsfirst.org/missions/faith-centers" TargetMode="External"/><Relationship Id="rId1240" Type="http://schemas.openxmlformats.org/officeDocument/2006/relationships/hyperlink" Target="https://newhopehousing.com/" TargetMode="External"/><Relationship Id="rId1241" Type="http://schemas.openxmlformats.org/officeDocument/2006/relationships/hyperlink" Target="https://www.google.com/maps/place/New+Hope+Housing+Sakowitz/@29.7830314,-95.3321486,15z/data=!4m10!1m2!2m1!1snew+hope+housing+avenue+j!3m6!1s0x8640b956fab7f5d1:0x79de931a7438e00d!8m2!3d29.7830314!4d-95.3130942!15sChluZXcgaG9wZSBob3VzaW5nIGF2ZW51ZSBqIgOIAQGSARpsb3dfaW5jb21lX2hvdXNpbmdfcHJvZ3JhbaoBZwoNL2cvMTFiN2M5dzVoZhABKhQiEG5ldyBob3BlIGhvdXNpbmcoADIfEAEiGzMcBMeE4n0NfOxOpaMfsrWy27xUxVjvM78YSjIdEAIiGW5ldyBob3BlIGhvdXNpbmcgYXZlbnVlIGrgAQA!16s%2Fg%2F1wl4qz_3?entry=ttu&amp;g_ep=EgoyMDI1MDUxMS4wIKXMDSoASAFQAw%3D%3D" TargetMode="External"/><Relationship Id="rId411" Type="http://schemas.openxmlformats.org/officeDocument/2006/relationships/hyperlink" Target="https://www.google.com/maps/place/Coastal+Health+%26+Wellness/@29.4041156,-95.0199676,16z/data=!3m1!4b1!4m6!3m5!1s0x863f7e883bff77e1:0xe601144a368f23d8!8m2!3d29.4041156!4d-95.0173873!16s%2Fg%2F11c1tzn5bs?entry=ttu&amp;g_ep=EgoyMDI1MDUwNy4wIKXMDSoASAFQAw%3D%3D" TargetMode="External"/><Relationship Id="rId895" Type="http://schemas.openxmlformats.org/officeDocument/2006/relationships/hyperlink" Target="https://maps.google.com/?q=Houston%20Food%20Bank%20535%20Portwall%20St%20Houston%20TX%2077029" TargetMode="External"/><Relationship Id="rId1242" Type="http://schemas.openxmlformats.org/officeDocument/2006/relationships/hyperlink" Target="https://newhopehousing.com/" TargetMode="External"/><Relationship Id="rId410" Type="http://schemas.openxmlformats.org/officeDocument/2006/relationships/hyperlink" Target="https://www.coastalhw.org/home-coastal" TargetMode="External"/><Relationship Id="rId894" Type="http://schemas.openxmlformats.org/officeDocument/2006/relationships/hyperlink" Target="https://www.houstonfoodbank.org/" TargetMode="External"/><Relationship Id="rId1243" Type="http://schemas.openxmlformats.org/officeDocument/2006/relationships/hyperlink" Target="https://www.google.com/maps/place/Savoy/@29.7159035,-95.5059678,17z/data=!4m15!1m8!3m7!1s0x8640c317a2e6851d:0x4dd1bda02663375a!2s6315+Savoy+Dr,+Houston,+TX+77036!3b1!8m2!3d29.715899!4d-95.5036718!16s%2Fg%2F11v0y9ndr2!3m5!1s0x8640c3b47e908e23:0x389d9d096549425c!8m2!3d29.7155309!4d-95.5041055!16s%2Fg%2F11vf5l24hs?entry=ttu&amp;g_ep=EgoyMDI1MDUxMS4wIKXMDSoASAFQAw%3D%3D" TargetMode="External"/><Relationship Id="rId893" Type="http://schemas.openxmlformats.org/officeDocument/2006/relationships/hyperlink" Target="https://maps.google.com/?q=Houston%20Food%20Bank%20535%20Portwall%20St%20Houston%20TX%2077029" TargetMode="External"/><Relationship Id="rId1244" Type="http://schemas.openxmlformats.org/officeDocument/2006/relationships/hyperlink" Target="https://newlifeadopt.com/" TargetMode="External"/><Relationship Id="rId892" Type="http://schemas.openxmlformats.org/officeDocument/2006/relationships/hyperlink" Target="https://www.houstonfoodbank.org/" TargetMode="External"/><Relationship Id="rId1245" Type="http://schemas.openxmlformats.org/officeDocument/2006/relationships/hyperlink" Target="https://www.google.com/maps/place/11439+Spring+Cypress+Rd,+Tomball,+TX+77377/@30.0122229,-95.6003604,17z/data=!3m1!4b1!4m6!3m5!1s0x8640d2e6ba648b6b:0x8ada0ab5865303ea!8m2!3d30.0122229!4d-95.5977855!16s%2Fg%2F11f54v0m64?entry=ttu&amp;g_ep=EgoyMDI1MDQwOS4wIKXMDSoASAFQAw%3D%3D" TargetMode="External"/><Relationship Id="rId1279" Type="http://schemas.openxmlformats.org/officeDocument/2006/relationships/hyperlink" Target="https://www.olfparishgp.org/" TargetMode="External"/><Relationship Id="rId448" Type="http://schemas.openxmlformats.org/officeDocument/2006/relationships/hyperlink" Target="https://www.google.com/maps/place/Coalition+for+the+Homeless+of+Houston%2FHarris+County/@29.7460168,-95.3712344,17z/data=!3m2!4b1!5s0x8640bf168aa71315:0x21872ff2ea0f1ffe!4m6!3m5!1s0x8640bf3be4e7bf41:0xe740d0842b94faaf!8m2!3d29.7460122!4d-95.3663581!16s%2Fg%2F1hc35nzp4?entry=ttu&amp;g_ep=EgoyMDI1MTIwOS4wIKXMDSoKLDEwMDc5MjA2OUgBUAM%3D" TargetMode="External"/><Relationship Id="rId447" Type="http://schemas.openxmlformats.org/officeDocument/2006/relationships/hyperlink" Target="https://www.cfthhouston.org/" TargetMode="External"/><Relationship Id="rId446" Type="http://schemas.openxmlformats.org/officeDocument/2006/relationships/hyperlink" Target="https://www.google.com/maps/place/Compassion+United,+Inc./@30.2910199,-95.4515063,17z/data=!3m1!4b1!4m6!3m5!1s0x864739d53fc4c44b:0x5146b0c0cd21bbc9!8m2!3d30.2910153!4d-95.4489314!16s%2Fg%2F11kglyb270?entry=ttu&amp;g_ep=EgoyMDI1MTAwOC4wIKXMDSoASAFQAw%3D%3D" TargetMode="External"/><Relationship Id="rId445" Type="http://schemas.openxmlformats.org/officeDocument/2006/relationships/hyperlink" Target="https://compassionunited.us/programs/day-services" TargetMode="External"/><Relationship Id="rId449" Type="http://schemas.openxmlformats.org/officeDocument/2006/relationships/hyperlink" Target="https://rhf.org/cornerstone-gardens/" TargetMode="External"/><Relationship Id="rId1270" Type="http://schemas.openxmlformats.org/officeDocument/2006/relationships/hyperlink" Target="https://maps.google.com/?q=Northwest%20Area%20Ministries%2015555%20Kuykendahl%20Rd%20Houston%20TX%2077080" TargetMode="External"/><Relationship Id="rId440" Type="http://schemas.openxmlformats.org/officeDocument/2006/relationships/hyperlink" Target="https://maps.google.com/?q=Community%20Family%20Center%207524%20Ave%20E%20Houston%20TX%2077012" TargetMode="External"/><Relationship Id="rId1271" Type="http://schemas.openxmlformats.org/officeDocument/2006/relationships/hyperlink" Target="https://www.namonline.org/" TargetMode="External"/><Relationship Id="rId1272" Type="http://schemas.openxmlformats.org/officeDocument/2006/relationships/hyperlink" Target="https://maps.google.com/?q=Northwest%20Area%20Ministries%2015555%20Kuykendahl%20Rd%20Houston%20TX%2077080" TargetMode="External"/><Relationship Id="rId1273" Type="http://schemas.openxmlformats.org/officeDocument/2006/relationships/hyperlink" Target="https://ndgh.org/" TargetMode="External"/><Relationship Id="rId1274" Type="http://schemas.openxmlformats.org/officeDocument/2006/relationships/hyperlink" Target="https://maps.google.com/?q=Notre%20Dame%20Catholic%20Church%207720%20Boone%20Rd%20Houston%20TX%2077072" TargetMode="External"/><Relationship Id="rId444" Type="http://schemas.openxmlformats.org/officeDocument/2006/relationships/hyperlink" Target="https://www.google.com/maps/place/Terry's+Tables+Food+Pantry/@30.3404025,-95.3369883,17z/data=!3m1!4b1!4m6!3m5!1s0x86474157df0ab6ad:0x35df802e22c150bd!8m2!3d30.3403979!4d-95.3344134!16s%2Fg%2F11vdn6kvtc?entry=ttu&amp;g_ep=EgoyMDI1MTAwOC4wIKXMDSoASAFQAw%3D%3D" TargetMode="External"/><Relationship Id="rId1275" Type="http://schemas.openxmlformats.org/officeDocument/2006/relationships/hyperlink" Target="https://houstontx.gov/vetaffairs/" TargetMode="External"/><Relationship Id="rId443" Type="http://schemas.openxmlformats.org/officeDocument/2006/relationships/hyperlink" Target="https://compassionunited.us/programs/food-pantry" TargetMode="External"/><Relationship Id="rId1276" Type="http://schemas.openxmlformats.org/officeDocument/2006/relationships/hyperlink" Target="https://www.google.com/maps/place/170+Heights+Blvd,+Houston,+TX+77007/@29.7725268,-95.4016586,17z/data=!3m1!4b1!4m6!3m5!1s0x8640c754d83428b3:0xaa4f65a9c8d458e9!8m2!3d29.7725222!4d-95.3967823!16s%2Fg%2F11bw4bzbp9?entry=ttu&amp;g_ep=EgoyMDI2MDIxMS4wIKXMDSoASAFQAw%3D%3D" TargetMode="External"/><Relationship Id="rId442" Type="http://schemas.openxmlformats.org/officeDocument/2006/relationships/hyperlink" Target="https://maps.google.com/?q=Community%20Family%20Center%207524%20Ave%20E%20Houston%20TX%2077012" TargetMode="External"/><Relationship Id="rId1277" Type="http://schemas.openxmlformats.org/officeDocument/2006/relationships/hyperlink" Target="https://www.opendoorhouston.org/doorway" TargetMode="External"/><Relationship Id="rId441" Type="http://schemas.openxmlformats.org/officeDocument/2006/relationships/hyperlink" Target="https://www.communityfamilycenters.org/" TargetMode="External"/><Relationship Id="rId1278" Type="http://schemas.openxmlformats.org/officeDocument/2006/relationships/hyperlink" Target="https://www.google.com/maps/place/Open+Door+Mission/@29.7404488,-95.3196831,17z/data=!3m1!4b1!4m6!3m5!1s0x8640be9b3696a5e7:0x550ce3e191cc1b99!8m2!3d29.7404442!4d-95.3171082!16s%2Fg%2F1tdk0zby?entry=ttu&amp;g_ep=EgoyMDI1MTAwOC4wIKXMDSoASAFQAw%3D%3D" TargetMode="External"/><Relationship Id="rId1268" Type="http://schemas.openxmlformats.org/officeDocument/2006/relationships/hyperlink" Target="https://maps.google.com/?q=Northwest%20Area%20Ministries%2015555%20Kuykendahl%20Rd%20Houston%20TX%2077080" TargetMode="External"/><Relationship Id="rId1269" Type="http://schemas.openxmlformats.org/officeDocument/2006/relationships/hyperlink" Target="https://www.namonline.org/" TargetMode="External"/><Relationship Id="rId437" Type="http://schemas.openxmlformats.org/officeDocument/2006/relationships/hyperlink" Target="https://www.communityfamilycenters.org/" TargetMode="External"/><Relationship Id="rId436" Type="http://schemas.openxmlformats.org/officeDocument/2006/relationships/hyperlink" Target="https://maps.google.com/?q=Community%20Family%20Center%207524%20Ave%20E%20Houston%20TX%2077012" TargetMode="External"/><Relationship Id="rId435" Type="http://schemas.openxmlformats.org/officeDocument/2006/relationships/hyperlink" Target="https://www.communityfamilycenters.org/" TargetMode="External"/><Relationship Id="rId434" Type="http://schemas.openxmlformats.org/officeDocument/2006/relationships/hyperlink" Target="https://maps.google.com/?q=Community%20Family%20Center%207524%20Ave%20E%20Houston%20TX%2077012" TargetMode="External"/><Relationship Id="rId439" Type="http://schemas.openxmlformats.org/officeDocument/2006/relationships/hyperlink" Target="https://www.communityfamilycenters.org/" TargetMode="External"/><Relationship Id="rId438" Type="http://schemas.openxmlformats.org/officeDocument/2006/relationships/hyperlink" Target="https://maps.google.com/?q=Community%20Family%20Center%207524%20Ave%20E%20Houston%20TX%2077012" TargetMode="External"/><Relationship Id="rId1260" Type="http://schemas.openxmlformats.org/officeDocument/2006/relationships/hyperlink" Target="https://maps.google.com/?q=Northwest%20Area%20Ministries%2015555%20Kuykendahl%20Rd%20Houston%20TX%2077080" TargetMode="External"/><Relationship Id="rId1261" Type="http://schemas.openxmlformats.org/officeDocument/2006/relationships/hyperlink" Target="https://www.namonline.org/" TargetMode="External"/><Relationship Id="rId1262" Type="http://schemas.openxmlformats.org/officeDocument/2006/relationships/hyperlink" Target="https://maps.google.com/?q=Northwest%20Area%20Ministries%2015555%20Kuykendahl%20Rd%20Houston%20TX%2077080" TargetMode="External"/><Relationship Id="rId1263" Type="http://schemas.openxmlformats.org/officeDocument/2006/relationships/hyperlink" Target="https://www.namonline.org/" TargetMode="External"/><Relationship Id="rId433" Type="http://schemas.openxmlformats.org/officeDocument/2006/relationships/hyperlink" Target="https://www.communityfamilycenters.org/" TargetMode="External"/><Relationship Id="rId1264" Type="http://schemas.openxmlformats.org/officeDocument/2006/relationships/hyperlink" Target="https://maps.google.com/?q=Northwest%20Area%20Ministries%2015555%20Kuykendahl%20Rd%20Houston%20TX%2077080" TargetMode="External"/><Relationship Id="rId432" Type="http://schemas.openxmlformats.org/officeDocument/2006/relationships/hyperlink" Target="https://maps.google.com/?q=Community%20Family%20Center%207524%20Ave%20E%20Houston%20TX%2077012" TargetMode="External"/><Relationship Id="rId1265" Type="http://schemas.openxmlformats.org/officeDocument/2006/relationships/hyperlink" Target="https://www.namonline.org/" TargetMode="External"/><Relationship Id="rId431" Type="http://schemas.openxmlformats.org/officeDocument/2006/relationships/hyperlink" Target="https://www.communityfamilycenters.org/" TargetMode="External"/><Relationship Id="rId1266" Type="http://schemas.openxmlformats.org/officeDocument/2006/relationships/hyperlink" Target="https://maps.google.com/?q=Northwest%20Area%20Ministries%2015555%20Kuykendahl%20Rd%20Houston%20TX%2077080" TargetMode="External"/><Relationship Id="rId430" Type="http://schemas.openxmlformats.org/officeDocument/2006/relationships/hyperlink" Target="https://www.google.com/maps/place/Community+Assistance+Center/@30.3142683,-95.4695141,17z/data=!3m1!4b1!4m6!3m5!1s0x8647394e216f2bc3:0xe547c6a100b41011!8m2!3d30.3142683!4d-95.4669338!16s%2Fg%2F1tgz0_58?entry=ttu&amp;g_ep=EgoyMDI1MDcyNy4wIKXMDSoASAFQAw%3D%3D" TargetMode="External"/><Relationship Id="rId1267" Type="http://schemas.openxmlformats.org/officeDocument/2006/relationships/hyperlink" Target="https://www.namonline.org/fvc"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publichealth.harriscountytx.gov/Divisions-Offices/Divisions/Community-Health-Wellness-Division/Dental-Health-Prevention/Community-Dental-Services" TargetMode="External"/><Relationship Id="rId391" Type="http://schemas.openxmlformats.org/officeDocument/2006/relationships/hyperlink" Target="https://publichealth.harriscountytx.gov/Divisions-Offices/Divisions/Community-Health-Wellness-Division/Dental-Health-Prevention/Community-Dental-Services" TargetMode="External"/><Relationship Id="rId390" Type="http://schemas.openxmlformats.org/officeDocument/2006/relationships/hyperlink" Target="https://www.google.com/maps/place/Octavia+Fields+Branch+Library/@29.9804567,-95.2625923,17z/data=!3m1!4b1!4m6!3m5!1s0x8640b2371806945d:0xb55b6d463df22b15!8m2!3d29.9804567!4d-95.260012!16s%2Fg%2F1tfk06xz?entry=ttu&amp;g_ep=EgoyMDI2MDEyNi4wIKXMDSoKLDEwMDc5MjA2OUgBUAM%3D" TargetMode="External"/><Relationship Id="rId1" Type="http://schemas.openxmlformats.org/officeDocument/2006/relationships/hyperlink" Target="https://www.aama.org/apps/pages/george-i-sanchez-charter-schools" TargetMode="External"/><Relationship Id="rId2" Type="http://schemas.openxmlformats.org/officeDocument/2006/relationships/hyperlink" Target="https://www.google.com/maps/place/Sanchez+Charter+Middle+and+High+School/@29.8635627,-95.3810943,16z/data=!3m1!4b1!4m6!3m5!1s0x8640b80004692007:0x8f00566854f63014!8m2!3d29.8635581!4d-95.3785194!16s%2Fg%2F11c600mkxz?entry=ttu&amp;g_ep=EgoyMDI1MDgxOS4wIKXMDSoASAFQAw%3D%3D" TargetMode="External"/><Relationship Id="rId3" Type="http://schemas.openxmlformats.org/officeDocument/2006/relationships/hyperlink" Target="https://www.google.com/maps/place/AAMA/@29.7143334,-95.3127981,19z/data=!3m1!4b1!4m6!3m5!1s0x8640bfd5e8dcfca9:0x894a10d39493d560!8m2!3d29.7143322!4d-95.3121544!16s%2Fg%2F11sszckmnd?entry=ttu&amp;g_ep=EgoyMDI1MDgxOS4wIKXMDSoASAFQAw%3D%3D" TargetMode="External"/><Relationship Id="rId4" Type="http://schemas.openxmlformats.org/officeDocument/2006/relationships/hyperlink" Target="https://www.google.com/maps/place/Ability+Found+Charity/@40.7202562,-111.9631665,17z/data=!3m1!4b1!4m6!3m5!1s0x87528a2b55962c8f:0x4d686ad30de1f05d!8m2!3d40.7202563!4d-111.9582902!16s%2Fg%2F1vzv443n?entry=ttu&amp;g_ep=EgoyMDI2MDEyMC4wIKXMDSoKLDEwMDc5MjA2OUgBUAM%3D" TargetMode="External"/><Relationship Id="rId9" Type="http://schemas.openxmlformats.org/officeDocument/2006/relationships/hyperlink" Target="https://www.myaccesshealth.org/" TargetMode="External"/><Relationship Id="rId385" Type="http://schemas.openxmlformats.org/officeDocument/2006/relationships/hyperlink" Target="https://www.missionbells.org/about-us.html" TargetMode="External"/><Relationship Id="rId384" Type="http://schemas.openxmlformats.org/officeDocument/2006/relationships/hyperlink" Target="https://www.google.com/maps/place/MESA-OUTREACH,+INC./@29.8486599,-95.6441137,17z/data=!3m1!4b1!4m6!3m5!1s0x8640dbca6ec278cf:0xa9c7052bf6bc8d8d!8m2!3d29.8486553!4d-95.6415388!16s%2Fg%2F11yfnrwhjz?entry=ttu&amp;g_ep=EgoyMDI1MDgxMy4wIKXMDSoASAFQAw%3D%3D" TargetMode="External"/><Relationship Id="rId383" Type="http://schemas.openxmlformats.org/officeDocument/2006/relationships/hyperlink" Target="https://www.google.com/maps/place/Harris+County+Public+Health/@29.7263836,-95.4519715,13.01z/data=!4m10!1m2!2m1!1sharris+county+public+health+clinic!3m6!1s0x8640c11553c34fe1:0x455d350513ba73ef!8m2!3d29.7549995!4d-95.3645572!15sCiJoYXJyaXMgY291bnR5IHB1YmxpYyBoZWFsdGggY2xpbmljWiQiImhhcnJpcyBjb3VudHkgcHVibGljIGhlYWx0aCBjbGluaWOSARhwdWJsaWNfaGVhbHRoX2RlcGFydG1lbnSaASNDaFpEU1VoTk1HOW5TMFZKUTBGblRVTlplR1JNTlU5bkVBReABAPoBBAgAEBA!16s%2Fg%2F1tyyxhfh?entry=ttu&amp;g_ep=EgoyMDI2MDEyNi4wIKXMDSoKLDEwMDc5MjA2OUgBUAM%3D" TargetMode="External"/><Relationship Id="rId382" Type="http://schemas.openxmlformats.org/officeDocument/2006/relationships/hyperlink" Target="https://publichealth.harriscountytx.gov/Divisions-Offices/Divisions/Community-Health-Wellness-Division/Maternal-Child-Health" TargetMode="External"/><Relationship Id="rId5" Type="http://schemas.openxmlformats.org/officeDocument/2006/relationships/hyperlink" Target="https://www.myaccesshealth.org/" TargetMode="External"/><Relationship Id="rId389" Type="http://schemas.openxmlformats.org/officeDocument/2006/relationships/hyperlink" Target="https://publichealth.harriscountytx.gov/Divisions-Offices/Divisions/Community-Health-Wellness-Division/Dental-Health-Prevention/Community-Dental-Services" TargetMode="External"/><Relationship Id="rId6" Type="http://schemas.openxmlformats.org/officeDocument/2006/relationships/hyperlink" Target="https://www.google.com/maps/place/Access+Health+Bellville+WIC+Clinic/@29.9400956,-96.2564832,16z/data=!3m1!4b1!4m6!3m5!1s0x86415214a20f7165:0x9a29241743df954d!8m2!3d29.940091!4d-96.2539029!16s%2Fg%2F11bzsdntr2?entry=ttu&amp;g_ep=EgoyMDI1MDYxNy4wIKXMDSoASAFQAw%3D%3D" TargetMode="External"/><Relationship Id="rId388" Type="http://schemas.openxmlformats.org/officeDocument/2006/relationships/hyperlink" Target="https://www.google.com/maps/place/James+Driver+All-Inclusive+Park/@29.8749546,-95.3362787,17z/data=!3m1!4b1!4m6!3m5!1s0x8640b767045b110f:0x5c155ea1c560238c!8m2!3d29.8749546!4d-95.3336984!16s%2Fg%2F11bz08xmpz?entry=ttu&amp;g_ep=EgoyMDI2MDEyNi4wIKXMDSoKLDEwMDc5MjA2OUgBUAM%3D" TargetMode="External"/><Relationship Id="rId7" Type="http://schemas.openxmlformats.org/officeDocument/2006/relationships/hyperlink" Target="https://www.myaccesshealth.org/" TargetMode="External"/><Relationship Id="rId387" Type="http://schemas.openxmlformats.org/officeDocument/2006/relationships/hyperlink" Target="https://publichealth.harriscountytx.gov/Divisions-Offices/Divisions/Community-Health-Wellness-Division/Dental-Health-Prevention/Community-Dental-Services" TargetMode="External"/><Relationship Id="rId8" Type="http://schemas.openxmlformats.org/officeDocument/2006/relationships/hyperlink" Target="https://www.google.com/maps/place/AccessHealth+Brookshire+Clinic/@29.774261,-95.9528807,17z/data=!3m1!4b1!4m6!3m5!1s0x86413ba32ec6aa43:0xecb591ea00b3e4b5!8m2!3d29.7742564!4d-95.9503004!16s%2Fg%2F11hc_k0k4f?entry=ttu&amp;g_ep=EgoyMDI1MDYxNy4wIKXMDSoASAFQAw%3D%3D" TargetMode="External"/><Relationship Id="rId386" Type="http://schemas.openxmlformats.org/officeDocument/2006/relationships/hyperlink" Target="https://www.google.com/maps/place/Christ+the+King+Episcopal+Church/@29.6992298,-95.6592692,17z/data=!3m1!4b1!4m6!3m5!1s0x8640de6e3113efc1:0xfe2e3c8442ac15ef!8m2!3d29.6992252!4d-95.6566889!16s%2Fg%2F1tcv6pz3?entry=ttu&amp;g_ep=EgoyMDI1MDYwMy4wIKXMDSoASAFQAw%3D%3D" TargetMode="External"/><Relationship Id="rId381" Type="http://schemas.openxmlformats.org/officeDocument/2006/relationships/hyperlink" Target="https://masonichometx.org/" TargetMode="External"/><Relationship Id="rId380" Type="http://schemas.openxmlformats.org/officeDocument/2006/relationships/hyperlink" Target="https://masonichometx.org/" TargetMode="External"/><Relationship Id="rId379" Type="http://schemas.openxmlformats.org/officeDocument/2006/relationships/hyperlink" Target="https://masonichometx.org/" TargetMode="External"/><Relationship Id="rId374"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373"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372" Type="http://schemas.openxmlformats.org/officeDocument/2006/relationships/hyperlink" Target="https://www.google.com/maps/place/Lord+of+the+Streets/@29.7395326,-95.37956,17z/data=!3m1!4b1!4m6!3m5!1s0x8640bf6dc0907353:0x66d6db853817e704!8m2!3d29.739528!4d-95.3769851!16s%2Fg%2F11kbyknd41?entry=ttu&amp;g_ep=EgoyMDI1MTAwOC4wIKXMDSoASAFQAw%3D%3D" TargetMode="External"/><Relationship Id="rId371" Type="http://schemas.openxmlformats.org/officeDocument/2006/relationships/hyperlink" Target="https://www.lotshouston.org/services-we-offer.html" TargetMode="External"/><Relationship Id="rId378" Type="http://schemas.openxmlformats.org/officeDocument/2006/relationships/hyperlink" Target="https://masonichometx.org/" TargetMode="External"/><Relationship Id="rId377"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376"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375" Type="http://schemas.openxmlformats.org/officeDocument/2006/relationships/hyperlink" Target="https://www.google.com/maps/place/Houston+Health+Department+Magnolia+Multi-Service+Center/@29.732484,-95.3032207,16.64z/data=!4m6!3m5!1s0x8640bc2de78f87a3:0x1235e8616601823b!8m2!3d29.7345178!4d-95.3009019!16s%2Fg%2F1tg870nd?entry=ttu&amp;g_ep=EgoyMDI2MDIwMS4wIKXMDSoKLDEwMDc5MjA2OUgBUAM%3D" TargetMode="External"/><Relationship Id="rId396" Type="http://schemas.openxmlformats.org/officeDocument/2006/relationships/hyperlink" Target="https://www.needymeds.org" TargetMode="External"/><Relationship Id="rId395" Type="http://schemas.openxmlformats.org/officeDocument/2006/relationships/hyperlink" Target="https://www.google.com/maps/place/120+Longwater+Dr,+Norwell,+MA+02061/@42.1567896,-70.8816777,17z/data=!3m1!4b1!4m6!3m5!1s0x89e49e3c424bb2b9:0xfa983ef0f37d0da4!8m2!3d42.1567896!4d-70.8790974!16s%2Fg%2F11bw4372cf?entry=ttu&amp;g_ep=EgoyMDI2MDEyMC4wIKXMDSoKLDEwMDc5MjA2OUgBUAM%3D" TargetMode="External"/><Relationship Id="rId394" Type="http://schemas.openxmlformats.org/officeDocument/2006/relationships/hyperlink" Target="https://rarediseases.org/patient-assistance-programs/financial-assistance/" TargetMode="External"/><Relationship Id="rId393" Type="http://schemas.openxmlformats.org/officeDocument/2006/relationships/hyperlink" Target="https://www.google.com/maps/place/7340+Spencer+Hwy,+Pasadena,+TX+77505/@29.6605524,-95.1282972,17z/data=!3m1!4b1!4m6!3m5!1s0x86409f3c2513b38b:0x9e8a827402316fcf!8m2!3d29.6605524!4d-95.1257169!16s%2Fg%2F11c43tfbm6?entry=ttu&amp;g_ep=EgoyMDI2MDEyNi4wIKXMDSoKLDEwMDc5MjA2OUgBUAM%3D" TargetMode="External"/><Relationship Id="rId399" Type="http://schemas.openxmlformats.org/officeDocument/2006/relationships/hyperlink" Target="https://www.google.com/maps/place/Nora's+Home/@29.6832195,-95.3925905,16z/data=!3m1!4b1!4m6!3m5!1s0x8640bffef25ba781:0x51ccf9907672a725!8m2!3d29.6832195!4d-95.3900102!16s%2Fg%2F11b6dkfk60?entry=ttu&amp;g_ep=EgoyMDI2MDExMS4wIKXMDSoKLDEwMDc5MjA2OUgBUAM%3D" TargetMode="External"/><Relationship Id="rId398" Type="http://schemas.openxmlformats.org/officeDocument/2006/relationships/hyperlink" Target="https://norashome.org/admission-criteria" TargetMode="External"/><Relationship Id="rId397" Type="http://schemas.openxmlformats.org/officeDocument/2006/relationships/hyperlink" Target="https://www.google.com/maps/place/NeedyMeds/@42.618269,-70.6791911,16z/data=!3m1!4b1!4m6!3m5!1s0x89e324fb38caafb1:0xe53f1bc93d7188a2!8m2!3d42.618269!4d-70.6766108!16s%2Fg%2F11csbw_ntg?entry=ttu&amp;g_ep=EgoyMDI2MDEyMC4wIKXMDSoKLDEwMDc5MjA2OUgBUAM%3D" TargetMode="External"/><Relationship Id="rId40" Type="http://schemas.openxmlformats.org/officeDocument/2006/relationships/hyperlink" Target="https://www.google.com/maps/place/Acres+Homes+Multi-Service+Center/@29.8574912,-95.4247509,17z/data=!3m1!4b1!4m6!3m5!1s0x8640c7d963488d53:0x6044d3466dc08305!8m2!3d29.8574866!4d-95.422176!16s%2Fg%2F11g7z0pwk3?entry=ttu&amp;g_ep=EgoyMDI2MDIwMS4wIKXMDSoKLDEwMDc5MjA2OUgBUAM%3D" TargetMode="External"/><Relationship Id="rId42" Type="http://schemas.openxmlformats.org/officeDocument/2006/relationships/hyperlink" Target="https://www.google.com/maps/place/Acres+Homes+Multi-Service+Center/@29.8574912,-95.4247509,17z/data=!3m1!4b1!4m6!3m5!1s0x8640c7d963488d53:0x6044d3466dc08305!8m2!3d29.8574866!4d-95.422176!16s%2Fg%2F11g7z0pwk3?entry=ttu&amp;g_ep=EgoyMDI2MDIwMS4wIKXMDSoKLDEwMDc5MjA2OUgBUAM%3D" TargetMode="External"/><Relationship Id="rId41" Type="http://schemas.openxmlformats.org/officeDocument/2006/relationships/hyperlink" Target="https://www.houstonhealth.org/services/multi-service-centers/acres-homes-multi-service-center" TargetMode="External"/><Relationship Id="rId44" Type="http://schemas.openxmlformats.org/officeDocument/2006/relationships/hyperlink" Target="https://www.google.com/maps/place/910+9th+St,+Hempstead,+TX+77445/@30.0961763,-96.0795556,17z/data=!3m1!4b1!4m6!3m5!1s0x8646b5f1b69d9005:0x358dea5554b4780d!8m2!3d30.0961763!4d-96.0769753!16s%2Fg%2F11c4jtyf3r?entry=ttu&amp;g_ep=EgoyMDI2MDExMy4wIKXMDSoKLDEwMDc5MjA2OUgBUAM%3D" TargetMode="External"/><Relationship Id="rId43" Type="http://schemas.openxmlformats.org/officeDocument/2006/relationships/hyperlink" Target="https://www.google.com/maps/place/12300+Parc+Crest+Dr,+Stafford,+TX+77477/@29.6427714,-95.571324,17z/data=!3m1!4b1!4m6!3m5!1s0x8640e7db8e5876c1:0xe77e74e1dbfaf7a8!8m2!3d29.6427714!4d-95.5687437!16s%2Fg%2F11bw4ptrpn?entry=ttu&amp;g_ep=EgoyMDI2MDExMy4wIKXMDSoKLDEwMDc5MjA2OUgBUAM%3D" TargetMode="External"/><Relationship Id="rId46" Type="http://schemas.openxmlformats.org/officeDocument/2006/relationships/hyperlink" Target="https://www.google.com/maps/place/910+9th+St,+Hempstead,+TX+77445/@30.0961763,-96.0795556,17z/data=!3m1!4b1!4m6!3m5!1s0x8646b5f1b69d9005:0x358dea5554b4780d!8m2!3d30.0961763!4d-96.0769753!16s%2Fg%2F11c4jtyf3r?entry=ttu&amp;g_ep=EgoyMDI2MDExMy4wIKXMDSoKLDEwMDc5MjA2OUgBUAM%3D" TargetMode="External"/><Relationship Id="rId45" Type="http://schemas.openxmlformats.org/officeDocument/2006/relationships/hyperlink" Target="https://www.google.com/maps/place/12300+Parc+Crest+Dr,+Stafford,+TX+77477/@29.6427714,-95.571324,17z/data=!3m1!4b1!4m6!3m5!1s0x8640e7db8e5876c1:0xe77e74e1dbfaf7a8!8m2!3d29.6427714!4d-95.5687437!16s%2Fg%2F11bw4ptrpn?entry=ttu&amp;g_ep=EgoyMDI2MDExMy4wIKXMDSoKLDEwMDc5MjA2OUgBUAM%3D" TargetMode="External"/><Relationship Id="rId48" Type="http://schemas.openxmlformats.org/officeDocument/2006/relationships/hyperlink" Target="https://www.google.com/maps/place/Aishel+House/@29.7118263,-95.4063507,16z/data=!3m1!4b1!4m6!3m5!1s0x8640c07016137dbf:0x16c023b2074d0f7a!8m2!3d29.7118263!4d-95.4037704!16s%2Fg%2F1tjt29qf?entry=ttu&amp;g_ep=EgoyMDI2MDExMS4wIKXMDSoKLDEwMDc5MjA2OUgBUAM%3D" TargetMode="External"/><Relationship Id="rId47" Type="http://schemas.openxmlformats.org/officeDocument/2006/relationships/hyperlink" Target="https://www.aishelhouse.org/patients/stay-with-us/" TargetMode="External"/><Relationship Id="rId49" Type="http://schemas.openxmlformats.org/officeDocument/2006/relationships/hyperlink" Target="https://www.google.com/maps/place/Alief+Neighborhood+Center/@29.7027824,-95.5914638,17z/data=!3m1!4b1!4m6!3m5!1s0x8640dd1112820e8f:0x8168f3ce4f125463!8m2!3d29.7027778!4d-95.5888889!16s%2Fg%2F1vn18xzb?entry=ttu&amp;g_ep=EgoyMDI2MDIwMS4wIKXMDSoKLDEwMDc5MjA2OUgBUAM%3D" TargetMode="External"/><Relationship Id="rId31" Type="http://schemas.openxmlformats.org/officeDocument/2006/relationships/hyperlink" Target="https://www.myaccesshealth.org/" TargetMode="External"/><Relationship Id="rId30" Type="http://schemas.openxmlformats.org/officeDocument/2006/relationships/hyperlink" Target="https://www.google.com/maps/place/AccessHealth+Stafford+Clinic/@29.6205769,-95.5674255,16z/data=!3m1!4b1!4m6!3m5!1s0x8640e62a1e55c92b:0xaffc49351a84756c!8m2!3d29.6205723!4d-95.5625492!16s%2Fg%2F11hd9qz3ct?entry=ttu&amp;g_ep=EgoyMDI1MDYxNy4wIKXMDSoASAFQAw%3D%3D" TargetMode="External"/><Relationship Id="rId33" Type="http://schemas.openxmlformats.org/officeDocument/2006/relationships/hyperlink" Target="https://www.myaccesshealth.org/" TargetMode="External"/><Relationship Id="rId32" Type="http://schemas.openxmlformats.org/officeDocument/2006/relationships/hyperlink" Target="https://www.google.com/maps/place/Access+Health+Stafford+WIC+Clinic/@29.6206841,-95.5651997,17z/data=!3m1!4b1!4m6!3m5!1s0x8640e62a1dd7f35d:0xc95ea2dcf95c8f93!8m2!3d29.6206795!4d-95.5626194!16s%2Fg%2F1v_w2r9z?entry=ttu&amp;g_ep=EgoyMDI1MDYxNy4wIKXMDSoASAFQAw%3D%3D" TargetMode="External"/><Relationship Id="rId35" Type="http://schemas.openxmlformats.org/officeDocument/2006/relationships/hyperlink" Target="https://accessiahealth.org/" TargetMode="External"/><Relationship Id="rId34" Type="http://schemas.openxmlformats.org/officeDocument/2006/relationships/hyperlink" Target="https://www.google.com/maps/place/Access+Health+Wharton+WIC+Clinic/@29.3292211,-96.0957272,16z/data=!3m1!4b1!4m6!3m5!1s0x864174e69c244ca1:0x19aa48ea44b3deee!8m2!3d29.3292164!4d-96.0931469!16s%2Fg%2F1td6b80l?entry=ttu&amp;g_ep=EgoyMDI1MDYxNy4wIKXMDSoASAFQAw%3D%3D" TargetMode="External"/><Relationship Id="rId37" Type="http://schemas.openxmlformats.org/officeDocument/2006/relationships/hyperlink" Target="https://www.houstonhealth.org/services/multi-service-centers/acres-homes-multi-service-center" TargetMode="External"/><Relationship Id="rId36" Type="http://schemas.openxmlformats.org/officeDocument/2006/relationships/hyperlink" Target="https://www.google.com/maps/place/Accessia+Health/@37.447121,-77.6480803,17z/data=!3m1!4b1!4m6!3m5!1s0x89b173d0fbba5d41:0x4ec81be8dbc6a9e5!8m2!3d37.447121!4d-77.6455!16s%2Fg%2F113g6sbc5?entry=ttu&amp;g_ep=EgoyMDI2MDEyMC4wIKXMDSoKLDEwMDc5MjA2OUgBUAM%3D" TargetMode="External"/><Relationship Id="rId39" Type="http://schemas.openxmlformats.org/officeDocument/2006/relationships/hyperlink" Target="https://www.houstonhealth.org/services/multi-service-centers/acres-homes-multi-service-center" TargetMode="External"/><Relationship Id="rId38" Type="http://schemas.openxmlformats.org/officeDocument/2006/relationships/hyperlink" Target="https://www.google.com/maps/place/Acres+Homes+Multi-Service+Center/@29.8574912,-95.4247509,17z/data=!3m1!4b1!4m6!3m5!1s0x8640c7d963488d53:0x6044d3466dc08305!8m2!3d29.8574866!4d-95.422176!16s%2Fg%2F11g7z0pwk3?entry=ttu&amp;g_ep=EgoyMDI2MDIwMS4wIKXMDSoKLDEwMDc5MjA2OUgBUAM%3D" TargetMode="External"/><Relationship Id="rId20" Type="http://schemas.openxmlformats.org/officeDocument/2006/relationships/hyperlink" Target="https://www.google.com/maps/place/AccessHealth+Richmond+Clinic/@29.5786882,-95.7628537,17z/data=!3m1!4b1!4m6!3m5!1s0x86411e70c080105b:0x621ea27cba35c1c3!8m2!3d29.5786836!4d-95.7602734!16s%2Fg%2F1td72cvn?entry=ttu&amp;g_ep=EgoyMDI1MDYxNy4wIKXMDSoASAFQAw%3D%3D" TargetMode="External"/><Relationship Id="rId22" Type="http://schemas.openxmlformats.org/officeDocument/2006/relationships/hyperlink" Target="https://www.google.com/maps/place/Access+Health+Rosenberg+WIC+Clinic/@29.5538011,-95.769961,17z/data=!3m1!4b1!4m6!3m5!1s0x86411dcbe3b6a681:0x3c791560e4e234fd!8m2!3d29.5537965!4d-95.7673807!16s%2Fg%2F11bc73s7j8?entry=ttu&amp;g_ep=EgoyMDI1MDYxNy4wIKXMDSoASAFQAw%3D%3D" TargetMode="External"/><Relationship Id="rId21" Type="http://schemas.openxmlformats.org/officeDocument/2006/relationships/hyperlink" Target="https://www.myaccesshealth.org/" TargetMode="External"/><Relationship Id="rId24" Type="http://schemas.openxmlformats.org/officeDocument/2006/relationships/hyperlink" Target="https://www.google.com/maps/place/Access+Health+Sealy+WIC+Clinic/@29.7775694,-96.1626114,17z/data=!3m1!4b1!4m6!3m5!1s0x864145c2ee89398d:0xf4a9afa58d7d4bb2!8m2!3d29.7775648!4d-96.1600311!16s%2Fg%2F11ql_575sd?entry=ttu&amp;g_ep=EgoyMDI1MDYxNy4wIKXMDSoASAFQAw%3D%3D" TargetMode="External"/><Relationship Id="rId23" Type="http://schemas.openxmlformats.org/officeDocument/2006/relationships/hyperlink" Target="https://www.myaccesshealth.org/" TargetMode="External"/><Relationship Id="rId26" Type="http://schemas.openxmlformats.org/officeDocument/2006/relationships/hyperlink" Target="https://www.google.com/maps/place/AccessHealth+Second+Mile+Clinic/@29.6205168,-95.5324576,17z/data=!3m1!4b1!4m6!3m5!1s0x8640e9ffb088e7c1:0x9b6babdfeeae07e7!8m2!3d29.6205122!4d-95.5298773!16s%2Fg%2F11l2x99fkq?entry=ttu&amp;g_ep=EgoyMDI1MDYxNy4wIKXMDSoASAFQAw%3D%3D" TargetMode="External"/><Relationship Id="rId25" Type="http://schemas.openxmlformats.org/officeDocument/2006/relationships/hyperlink" Target="https://www.myaccesshealth.org/" TargetMode="External"/><Relationship Id="rId28" Type="http://schemas.openxmlformats.org/officeDocument/2006/relationships/hyperlink" Target="https://www.google.com/maps/place/AccessHealth+Stafford+Clinic/@29.6205769,-95.5674255,16z/data=!3m1!4b1!4m6!3m5!1s0x8640e62a1e55c92b:0xaffc49351a84756c!8m2!3d29.6205723!4d-95.5625492!16s%2Fg%2F11hd9qz3ct?entry=ttu&amp;g_ep=EgoyMDI1MDYxNy4wIKXMDSoASAFQAw%3D%3D" TargetMode="External"/><Relationship Id="rId27" Type="http://schemas.openxmlformats.org/officeDocument/2006/relationships/hyperlink" Target="https://www.myaccesshealth.org/" TargetMode="External"/><Relationship Id="rId29" Type="http://schemas.openxmlformats.org/officeDocument/2006/relationships/hyperlink" Target="https://www.myaccesshealth.org/" TargetMode="External"/><Relationship Id="rId11" Type="http://schemas.openxmlformats.org/officeDocument/2006/relationships/hyperlink" Target="https://www.myaccesshealth.org/" TargetMode="External"/><Relationship Id="rId10" Type="http://schemas.openxmlformats.org/officeDocument/2006/relationships/hyperlink" Target="https://www.google.com/maps/place/Access+Health+Brookshire+WIC+Clinic/@29.7743128,-95.9532197,17z/data=!3m1!4b1!4m6!3m5!1s0x86413ba32420529b:0x5798dda56f02582e!8m2!3d29.7743082!4d-95.9506394!16s%2Fg%2F11hcd_dmqz?entry=ttu&amp;g_ep=EgoyMDI1MDYxNy4wIKXMDSoASAFQAw%3D%3D" TargetMode="External"/><Relationship Id="rId13" Type="http://schemas.openxmlformats.org/officeDocument/2006/relationships/hyperlink" Target="https://www.myaccesshealth.org/" TargetMode="External"/><Relationship Id="rId12" Type="http://schemas.openxmlformats.org/officeDocument/2006/relationships/hyperlink" Target="https://www.google.com/maps/place/AccessHealth+East+Fort+Bend/@29.5498337,-95.5509975,17z/data=!3m1!4b1!4m6!3m5!1s0x8640ef623897ab5b:0x45df221a3b363090!8m2!3d29.5498291!4d-95.5484172!16s%2Fg%2F11g3zk_tqr?entry=ttu&amp;g_ep=EgoyMDI1MDYxNy4wIKXMDSoASAFQAw%3D%3D" TargetMode="External"/><Relationship Id="rId15" Type="http://schemas.openxmlformats.org/officeDocument/2006/relationships/hyperlink" Target="https://www.myaccesshealth.org/" TargetMode="External"/><Relationship Id="rId14" Type="http://schemas.openxmlformats.org/officeDocument/2006/relationships/hyperlink" Target="https://www.google.com/maps/place/Access+Health+Hempstead+WIC+Clinic/@30.0885994,-96.0854671,17z/data=!3m1!4b1!4m6!3m5!1s0x8646cbf2bdd604ed:0x3871c5dc9c88752f!8m2!3d30.0885948!4d-96.0828868!16s%2Fg%2F11c80c5pwh?entry=ttu&amp;g_ep=EgoyMDI1MDYxNy4wIKXMDSoASAFQAw%3D%3D" TargetMode="External"/><Relationship Id="rId17" Type="http://schemas.openxmlformats.org/officeDocument/2006/relationships/hyperlink" Target="https://www.myaccesshealth.org/" TargetMode="External"/><Relationship Id="rId16" Type="http://schemas.openxmlformats.org/officeDocument/2006/relationships/hyperlink" Target="https://www.google.com/maps/place/Access+Health+Katy+WIC+Clinic/@29.7715667,-95.8211363,17z/data=!3m2!4b1!5s0x8641241ea38f160d:0x1f5667d0be90dcb3!4m6!3m5!1s0x8641241ea41aa14b:0xbfb6bd3112b944c4!8m2!3d29.7715621!4d-95.818556!16s%2Fg%2F1tkb5hd8?entry=ttu&amp;g_ep=EgoyMDI1MDYxNy4wIKXMDSoASAFQAw%3D%3D" TargetMode="External"/><Relationship Id="rId19" Type="http://schemas.openxmlformats.org/officeDocument/2006/relationships/hyperlink" Target="https://www.myaccesshealth.org/" TargetMode="External"/><Relationship Id="rId18" Type="http://schemas.openxmlformats.org/officeDocument/2006/relationships/hyperlink" Target="https://www.google.com/maps/place/AccessHealth+Missouri+City+Clinic/@29.6175145,-95.5386005,17z/data=!3m1!4b1!4m6!3m5!1s0x8640e8f2465c6023:0xf54e0d695a0a28f2!8m2!3d29.6175099!4d-95.5360202!16s%2Fg%2F1v3lqbd7?entry=ttu&amp;g_ep=EgoyMDI1MDYxNy4wIKXMDSoASAFQAw%3D%3D" TargetMode="External"/><Relationship Id="rId84" Type="http://schemas.openxmlformats.org/officeDocument/2006/relationships/hyperlink" Target="https://bakerripley.org/programs-and-services/immigration-and-citizenship-services/" TargetMode="External"/><Relationship Id="rId83" Type="http://schemas.openxmlformats.org/officeDocument/2006/relationships/hyperlink" Target="https://bakerripley.org/locations/east-aldine-campus/" TargetMode="External"/><Relationship Id="rId86" Type="http://schemas.openxmlformats.org/officeDocument/2006/relationships/hyperlink" Target="https://bakerripley.org/app/uploads/2025/05/BR-Immigration-Social-Services.pdf" TargetMode="External"/><Relationship Id="rId85" Type="http://schemas.openxmlformats.org/officeDocument/2006/relationships/hyperlink" Target="https://www.google.com/maps/place/6200+Savoy+Dr,+Houston,+TX+77036/@29.7143316,-95.5077939,19z/data=!4m6!3m5!1s0x8640c24e8ff2311d:0x27eec4e88a1a3647!8m2!3d29.7144668!4d-95.5060075!16s%2Fg%2F11c1jh3lb1?entry=ttu&amp;g_ep=EgoyMDI1MDgwNi4wIKXMDSoASAFQAw%3D%3D" TargetMode="External"/><Relationship Id="rId88" Type="http://schemas.openxmlformats.org/officeDocument/2006/relationships/hyperlink" Target="https://bakerripley.org/programs-and-services/head-start/" TargetMode="External"/><Relationship Id="rId87" Type="http://schemas.openxmlformats.org/officeDocument/2006/relationships/hyperlink" Target="https://bakerripley.org/programs-and-services/tax-assistance/" TargetMode="External"/><Relationship Id="rId89" Type="http://schemas.openxmlformats.org/officeDocument/2006/relationships/hyperlink" Target="https://www.google.com/maps/place/Albury+Head+Start/@29.6581517,-95.502603,17z/data=!3m1!4b1!4m6!3m5!1s0x8640e9e9f4100001:0x483c982a4db5c0ef!8m2!3d29.6581471!4d-95.4977321!16s%2Fg%2F11hy9ntx15?entry=ttu&amp;g_ep=EgoyMDI1MDcxNi4wIKXMDSoASAFQAw%3D%3D" TargetMode="External"/><Relationship Id="rId80" Type="http://schemas.openxmlformats.org/officeDocument/2006/relationships/hyperlink" Target="https://www.google.com/maps/place/4414+Navigation+Blvd,+Houston,+TX+77011/@29.7519488,-95.3290606,19z/data=!4m6!3m5!1s0x8640bebe2d110c5b:0xc782a5be663ced9!8m2!3d29.7519442!4d-95.3284169!16s%2Fg%2F11bw4c2lr8?entry=ttu&amp;g_ep=EgoyMDI1MDcxNi4wIKXMDSoASAFQAw%3D%3D" TargetMode="External"/><Relationship Id="rId82" Type="http://schemas.openxmlformats.org/officeDocument/2006/relationships/hyperlink" Target="https://bakerripley.org/programs-and-services/tax-assistance/" TargetMode="External"/><Relationship Id="rId81" Type="http://schemas.openxmlformats.org/officeDocument/2006/relationships/hyperlink" Target="https://bakerripley.org/locations/east-aldine-campus/" TargetMode="External"/><Relationship Id="rId73" Type="http://schemas.openxmlformats.org/officeDocument/2006/relationships/hyperlink" Target="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 TargetMode="External"/><Relationship Id="rId72" Type="http://schemas.openxmlformats.org/officeDocument/2006/relationships/hyperlink" Targe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 TargetMode="External"/><Relationship Id="rId75" Type="http://schemas.openxmlformats.org/officeDocument/2006/relationships/hyperlink" Target="https://bakerripley.org/locations/fraga-angelita-pre-k/" TargetMode="External"/><Relationship Id="rId74" Type="http://schemas.openxmlformats.org/officeDocument/2006/relationships/hyperlink" Target="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 TargetMode="External"/><Relationship Id="rId77" Type="http://schemas.openxmlformats.org/officeDocument/2006/relationships/hyperlink" Target="https://bakerripley.org/programs-and-services/community-schools/" TargetMode="External"/><Relationship Id="rId76" Type="http://schemas.openxmlformats.org/officeDocument/2006/relationships/hyperlink" Target="https://www.google.com/maps/place/209+N+York+St,+Houston,+TX+77003/@29.7531274,-95.3392518,17z/data=!3m1!4b1!4m6!3m5!1s0x8640bec226167a03:0x2007e1cd959c8d7f!8m2!3d29.7531228!4d-95.3366769!16s%2Fg%2F11c0zqjc8l?entry=ttu&amp;g_ep=EgoyMDI1MDcxNi4wIKXMDSoASAFQAw%3D%3D" TargetMode="External"/><Relationship Id="rId79" Type="http://schemas.openxmlformats.org/officeDocument/2006/relationships/hyperlink" Target="https://bakerripley.org/programs-and-services/community-schools/" TargetMode="External"/><Relationship Id="rId78" Type="http://schemas.openxmlformats.org/officeDocument/2006/relationships/hyperlink" Target="https://www.google.com/maps/place/6500+Rookin+St,+Houston,+TX+77074/@29.7111711,-95.4978507,19z/data=!4m6!3m5!1s0x8640c2379594d1f5:0x6035d300bf22db36!8m2!3d29.7111665!4d-95.497207!16s%2Fg%2F11wx041dbm?entry=ttu&amp;g_ep=EgoyMDI1MDcxNi4wIKXMDSoASAFQAw%3D%3D" TargetMode="External"/><Relationship Id="rId71" Type="http://schemas.openxmlformats.org/officeDocument/2006/relationships/hyperlink" Targe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 TargetMode="External"/><Relationship Id="rId70" Type="http://schemas.openxmlformats.org/officeDocument/2006/relationships/hyperlink" Target="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 TargetMode="External"/><Relationship Id="rId62" Type="http://schemas.openxmlformats.org/officeDocument/2006/relationships/hyperlink" Target="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 TargetMode="External"/><Relationship Id="rId61" Type="http://schemas.openxmlformats.org/officeDocument/2006/relationships/hyperlink" Target="https://www.aama.org/apps/pages/early-childhood" TargetMode="External"/><Relationship Id="rId64" Type="http://schemas.openxmlformats.org/officeDocument/2006/relationships/hyperlink" Target="https://www.google.com/maps/place/Avenue+360+Health+and+Wellness+-+Humble%2FLake+Houston+Area/@30.0107658,-95.6120224,12z/data=!3m1!5s0x8640b3b1af0a8aa9:0x46de262279676a0a!4m10!1m2!2m1!1sAvenue+360+Health+and+Wellness+near+Heights+Boulevard,+Houston,+TX!3m6!1s0x8640b3866c8e8433:0xaa3dd7fa9a3f8f2a!8m2!3d29.9936394!4d-95.275666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4bbbv1z?entry=ttu&amp;g_ep=EgoyMDI1MDUwNy4wIKXMDSoASAFQAw%3D%3D" TargetMode="External"/><Relationship Id="rId63" Type="http://schemas.openxmlformats.org/officeDocument/2006/relationships/hyperlink" Target="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 TargetMode="External"/><Relationship Id="rId66" Type="http://schemas.openxmlformats.org/officeDocument/2006/relationships/hyperlink" Targe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 TargetMode="External"/><Relationship Id="rId65" Type="http://schemas.openxmlformats.org/officeDocument/2006/relationships/hyperlink" Target="https://www.google.com/maps/place/Avenue+360+Health+and+Wellness+-+Memorial+City/@29.7801026,-95.6992342,12z/data=!4m10!1m2!2m1!1sAvenue+360+Health+and+Wellness+near+Heights+Boulevard,+Houston,+TX!3m6!1s0x8640c52ad343a75d:0xd0181acca5791ec2!8m2!3d29.7801026!4d-95.5467989!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k14_wv4?entry=ttu&amp;g_ep=EgoyMDI1MDUwNy4wIKXMDSoASAFQAw%3D%3D" TargetMode="External"/><Relationship Id="rId68" Type="http://schemas.openxmlformats.org/officeDocument/2006/relationships/hyperlink" Targe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 TargetMode="External"/><Relationship Id="rId67" Type="http://schemas.openxmlformats.org/officeDocument/2006/relationships/hyperlink" Target="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 TargetMode="External"/><Relationship Id="rId60"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69" Type="http://schemas.openxmlformats.org/officeDocument/2006/relationships/hyperlink" Target="https://www.google.com/maps/place/Omega+House+Inc/@29.7493709,-95.4271715,14z/data=!4m10!1m2!2m1!1sAvenue+360+omega+house!3m6!1s0x8640bf7b34918707:0xca52df43197d2b70!8m2!3d29.737315!4d-95.387145!15sChZBdmVudWUgMzYwIG9tZWdhIGhvdXNlIgOIAQGSAQdob3NwaWNlqgFqCg0vZy8xMWZreXk5ZHM2EAEqGiIWYXZlbnVlIDM2MCBvbWVnYSBob3VzZSgAMh8QASIbVSKfBN_lgTeTOV3_tjNAWct14vydLLzNZg8gMhoQAiIWYXZlbnVlIDM2MCBvbWVnYSBob3VzZeABAA!16s%2Fg%2F12601824t?entry=ttu&amp;g_ep=EgoyMDI1MDUwNy4wIKXMDSoASAFQAw%3D%3D" TargetMode="External"/><Relationship Id="rId51" Type="http://schemas.openxmlformats.org/officeDocument/2006/relationships/hyperlink" Target="https://www.kidneyfund.org/get-assistance" TargetMode="External"/><Relationship Id="rId50" Type="http://schemas.openxmlformats.org/officeDocument/2006/relationships/hyperlink" Target="https://allysonwhitney.org/" TargetMode="External"/><Relationship Id="rId53" Type="http://schemas.openxmlformats.org/officeDocument/2006/relationships/hyperlink" Target="https://publichealth.harriscountytx.gov/Divisions-Offices/Divisions/Community-Health-Wellness-Division/HIV-STI-Prevention" TargetMode="External"/><Relationship Id="rId52" Type="http://schemas.openxmlformats.org/officeDocument/2006/relationships/hyperlink" Target="https://www.google.com/maps/place/American+Kidney+Fund/@39.0518139,-77.1196798,16z/data=!3m2!4b1!5s0x89b7cc31c5ed337d:0x5a6d370d8c2bc86f!4m6!3m5!1s0x89b7cd246949ae89:0x563a057bb9f021d0!8m2!3d39.051814!4d-77.1148035!16s%2Fg%2F11vszk1mcb?entry=ttu&amp;g_ep=EgoyMDI2MDEyMC4wIKXMDSoKLDEwMDc5MjA2OUgBUAM%3D" TargetMode="External"/><Relationship Id="rId55" Type="http://schemas.openxmlformats.org/officeDocument/2006/relationships/hyperlink" Target="https://publichealth.harriscountytx.gov/Divisions-Offices/Divisions/Community-Health-Wellness-Division/Health-Services" TargetMode="External"/><Relationship Id="rId54"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57" Type="http://schemas.openxmlformats.org/officeDocument/2006/relationships/hyperlink" Target="https://publichealth.harriscountytx.gov/Divisions-Offices/Divisions/Community-Health-Wellness-Division/Health-Services" TargetMode="External"/><Relationship Id="rId56"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59" Type="http://schemas.openxmlformats.org/officeDocument/2006/relationships/hyperlink" Target="https://publichealth.harriscountytx.gov/Divisions-Offices/Divisions/Community-Health-Wellness-Division/Refugee-Health-Services" TargetMode="External"/><Relationship Id="rId58" Type="http://schemas.openxmlformats.org/officeDocument/2006/relationships/hyperlink" Target="https://www.google.com/maps/place/Harris+County+Public+Health+Antoine+Clinic/@29.8495368,-95.4797903,17z/data=!3m1!4b1!4m6!3m5!1s0x8640c60628e1da99:0x67a191704b8c03b5!8m2!3d29.8495369!4d-95.474914!16s%2Fg%2F1tfzh4dy?entry=ttu&amp;g_ep=EgoyMDI2MDEyNi4wIKXMDSoKLDEwMDc5MjA2OUgBUAM%3D" TargetMode="External"/><Relationship Id="rId349"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348" Type="http://schemas.openxmlformats.org/officeDocument/2006/relationships/hyperlink" Target="https://publichealth.harriscountytx.gov/Divisions-Offices/Divisions/Community-Health-Wellness-Division/Health-Services" TargetMode="External"/><Relationship Id="rId347" Type="http://schemas.openxmlformats.org/officeDocument/2006/relationships/hyperlink" Target="https://www.google.com/maps/place/Houston+Community+ToolBank/@29.766933,-95.3065453,16z/data=!3m1!4b1!4m6!3m5!1s0x8640bc04619f4ca1:0x77d9885582f53fff!8m2!3d29.766933!4d-95.303965!16s%2Fg%2F11b7jgbdcj?entry=ttu&amp;g_ep=EgoyMDI2MDExMy4wIKXMDSoKLDEwMDc5MjA2OUgBUAM%3D" TargetMode="External"/><Relationship Id="rId346" Type="http://schemas.openxmlformats.org/officeDocument/2006/relationships/hyperlink" Target="https://www.houstontoolbank.org/borrow/" TargetMode="External"/><Relationship Id="rId341" Type="http://schemas.openxmlformats.org/officeDocument/2006/relationships/hyperlink" Target="https://www.cancer.org/support-programs-and-services/patient-lodging/hope-lodge/houston.html" TargetMode="External"/><Relationship Id="rId340"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345" Type="http://schemas.openxmlformats.org/officeDocument/2006/relationships/hyperlink" Target="https://www.google.com/maps/place/Metropolitan+Transit+Authority+of+Harris+County+(METRO)/@29.7502068,-95.373268,16z/data=!3m1!4b1!4m6!3m5!1s0x8640bf3fd093bc6b:0x140c85ed0d209f79!8m2!3d29.7502022!4d-95.3706931!16s%2Fg%2F1tf_hsz3?entry=ttu&amp;g_ep=EgoyMDI2MDIwMS4wIKXMDSoKLDEwMDc5MjA2OUgBUAM%3D" TargetMode="External"/><Relationship Id="rId344" Type="http://schemas.openxmlformats.org/officeDocument/2006/relationships/hyperlink" Target="https://www.ridemetro.org/riding-metro/transit-services/metrolift-paratransit" TargetMode="External"/><Relationship Id="rId343" Type="http://schemas.openxmlformats.org/officeDocument/2006/relationships/hyperlink" Target="https://www.google.com/maps/place/Houston+Humane+Society/@29.5913746,-95.4391306,15z/data=!4m6!3m5!1s0x8640eb7b87f0944b:0x383740f24083c682!8m2!3d29.5913783!4d-95.4291105!16s%2Fg%2F1xtf1z1c?entry=ttu&amp;g_ep=EgoyMDI1MDkyMi4wIKXMDSoASAFQAw%3D%3D" TargetMode="External"/><Relationship Id="rId342" Type="http://schemas.openxmlformats.org/officeDocument/2006/relationships/hyperlink" Target="https://www.houstonhumane.org/clinic/about-our-clinic" TargetMode="External"/><Relationship Id="rId338"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337"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336"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335" Type="http://schemas.openxmlformats.org/officeDocument/2006/relationships/hyperlink" Target="https://www.google.com/maps/place/Houston+Children's+Charity+Closet/@29.813218,-95.4684879,16z/data=!3m1!4b1!4m6!3m5!1s0x8640c70046913169:0x3900490624f818a1!8m2!3d29.8132134!4d-95.465913!16s%2Fg%2F11vwl7_jsh?entry=ttu&amp;g_ep=EgoyMDI1MTIwOS4wIKXMDSoKLDEwMDc5MjA2OUgBUAM%3D" TargetMode="External"/><Relationship Id="rId339" Type="http://schemas.openxmlformats.org/officeDocument/2006/relationships/hyperlink" Target="https://www.google.com/maps/place/Houston+Children's+Charity/@29.7520932,-95.4598968,17z/data=!3m2!4b1!5s0x8640c140acd58ac7:0xb7723db0b664d1ee!4m6!3m5!1s0x8640c0cebce503a5:0x40339623af6dace8!8m2!3d29.7520886!4d-95.4573219!16s%2Fg%2F1v_0k3vy?entry=ttu&amp;g_ep=EgoyMDI1MTIwOS4wIKXMDSoKLDEwMDc5MjA2OUgBUAM%3D" TargetMode="External"/><Relationship Id="rId330" Type="http://schemas.openxmlformats.org/officeDocument/2006/relationships/hyperlink" Target="https://www.google.com/maps/place/2929+McKinney+St,+Houston,+TX+77003/@29.7471389,-95.3530624,17z/data=!3m1!4b1!4m6!3m5!1s0x8640bee1187d8e33:0x7670df80b23deb44!8m2!3d29.7471343!4d-95.3481915!16s%2Fg%2F11pw3k0tsn?entry=ttu&amp;g_ep=EgoyMDI2MDIxMS4wIKXMDSoASAFQAw%3D%3D" TargetMode="External"/><Relationship Id="rId334" Type="http://schemas.openxmlformats.org/officeDocument/2006/relationships/hyperlink" Target="https://www.google.com/maps/place/2002+Holcombe+Blvd,+Houston,+TX+77030/@29.7006264,-95.3913561,16z/data=!3m1!4b1!4m6!3m5!1s0x8640bff5abf01f45:0xdf739e8e76d24278!8m2!3d29.7006218!4d-95.3887758!16s%2Fg%2F11c1glnxs3?entry=ttu&amp;g_ep=EgoyMDI2MDIxMS4wIKXMDSoASAFQAw%3D%3D" TargetMode="External"/><Relationship Id="rId333" Type="http://schemas.openxmlformats.org/officeDocument/2006/relationships/hyperlink" Target="https://www.hba.org/?pg=Veterans-Legal-Initiative" TargetMode="External"/><Relationship Id="rId332" Type="http://schemas.openxmlformats.org/officeDocument/2006/relationships/hyperlink" Target="https://www.google.com/maps/place/Hospitality+Apartments/@29.6974711,-95.4039597,16z/data=!3m1!4b1!4m6!3m5!1s0x8640c00bf709ff5b:0xf165d7005246adb6!8m2!3d29.6974712!4d-95.3990834!16s%2Fg%2F1vp6_kjw?entry=ttu&amp;g_ep=EgoyMDI2MDExMS4wIKXMDSoKLDEwMDc5MjA2OUgBUAM%3D" TargetMode="External"/><Relationship Id="rId331" Type="http://schemas.openxmlformats.org/officeDocument/2006/relationships/hyperlink" Target="https://www.hospitalityapartments.org/guests/request" TargetMode="External"/><Relationship Id="rId370" Type="http://schemas.openxmlformats.org/officeDocument/2006/relationships/hyperlink" Target="https://www.google.com/maps/place/Lord+of+the+Streets/@29.7395326,-95.37956,17z/data=!3m1!4b1!4m6!3m5!1s0x8640bf6dc0907353:0x66d6db853817e704!8m2!3d29.739528!4d-95.3769851!16s%2Fg%2F11kbyknd41?entry=ttu&amp;g_ep=EgoyMDI1MTAwOC4wIKXMDSoASAFQAw%3D%3D" TargetMode="External"/><Relationship Id="rId369" Type="http://schemas.openxmlformats.org/officeDocument/2006/relationships/hyperlink" Target="https://www.lotshouston.org/services-we-offer.html" TargetMode="External"/><Relationship Id="rId368" Type="http://schemas.openxmlformats.org/officeDocument/2006/relationships/hyperlink" Target="https://www.lhwassociation.org/" TargetMode="External"/><Relationship Id="rId363" Type="http://schemas.openxmlformats.org/officeDocument/2006/relationships/hyperlink" Target="https://www.google.com/maps/place/Kailee+Mills+Foundation/@30.1225077,-95.4427258,17z/data=!3m1!4b1!4m6!3m5!1s0x8647339f8439801f:0xde23c0419bf97b8d!8m2!3d30.1225077!4d-95.4401509!16s%2Fg%2F11gdrzml_b?entry=ttu&amp;g_ep=EgoyMDI1MDUxNS4wIKXMDSoASAFQAw%3D%3D" TargetMode="External"/><Relationship Id="rId362" Type="http://schemas.openxmlformats.org/officeDocument/2006/relationships/hyperlink" Target="https://www.kaileemillsfoundation.org" TargetMode="External"/><Relationship Id="rId361" Type="http://schemas.openxmlformats.org/officeDocument/2006/relationships/hyperlink" Target="https://www.indiahouseinc.org/community-support/legal-center/" TargetMode="External"/><Relationship Id="rId360" Type="http://schemas.openxmlformats.org/officeDocument/2006/relationships/hyperlink" Target="https://www.google.com/maps/place/India+House/@29.6568322,-95.5355147,16z/data=!3m1!4b1!4m6!3m5!1s0x8640e83bd63efaf3:0xb687657e2e1a4536!8m2!3d29.6568276!4d-95.5329398!16s%2Fg%2F1tnplc_4?entry=ttu&amp;g_ep=EgoyMDI1MDUxNS4xIKXMDSoASAFQAw%3D%3D" TargetMode="External"/><Relationship Id="rId367" Type="http://schemas.openxmlformats.org/officeDocument/2006/relationships/hyperlink" Target="mailto:servicios@lhwassociation.org" TargetMode="External"/><Relationship Id="rId366" Type="http://schemas.openxmlformats.org/officeDocument/2006/relationships/hyperlink" Target="https://www.google.com/maps/place/Kids'+Meals/@29.8114364,-95.5126829,17z/data=!3m1!4b1!4m6!3m5!1s0x8640c79ac7954d85:0xa72b5d8c3f144491!8m2!3d29.8114318!4d-95.507812!16s%2Fg%2F11b7jwdw8s?entry=ttu&amp;g_ep=EgoyMDI1MTIwOS4wIKXMDSoKLDEwMDc5MjA2OUgBUAM%3D" TargetMode="External"/><Relationship Id="rId365" Type="http://schemas.openxmlformats.org/officeDocument/2006/relationships/hyperlink" Target="https://www.google.com/maps/place/Woodlands+Plaza+1488,+5517+FM+1488,+Magnolia,+TX+77354/@30.2226991,-95.5549706,17z/data=!3m1!4b1!4m6!3m5!1s0x86473006379f2de9:0x7d456a967fa0fd09!8m2!3d30.2226945!4d-95.5523957!16s%2Fg%2F11rr8fg055?entry=ttu&amp;g_ep=EgoyMDI1MTIwOS4wIKXMDSoKLDEwMDc5MjA2OUgBUAM%3D" TargetMode="External"/><Relationship Id="rId364" Type="http://schemas.openxmlformats.org/officeDocument/2006/relationships/hyperlink" Target="https://ktcm.org/social-services/" TargetMode="External"/><Relationship Id="rId95" Type="http://schemas.openxmlformats.org/officeDocument/2006/relationships/hyperlink" Target="https://bakerripley.org/programs-and-services/head-start/" TargetMode="External"/><Relationship Id="rId94" Type="http://schemas.openxmlformats.org/officeDocument/2006/relationships/hyperlink" Target="https://www.google.com/maps/place/8575+Pitner+Rd,+Houston,+TX+77080/@29.8285851,-95.5013535,20z/data=!4m6!3m5!1s0x8640c5b8fb651835:0xb55fd1ecd9e6a24a!8m2!3d29.8285805!4d-95.5010316!16s%2Fg%2F11c43xxb8c?entry=ttu&amp;g_ep=EgoyMDI1MDcxNi4wIKXMDSoASAFQAw%3D%3D" TargetMode="External"/><Relationship Id="rId97" Type="http://schemas.openxmlformats.org/officeDocument/2006/relationships/hyperlink" Target="https://bakerripley.org/programs-and-services/head-start/" TargetMode="External"/><Relationship Id="rId96" Type="http://schemas.openxmlformats.org/officeDocument/2006/relationships/hyperlink" Target="https://www.google.com/maps/place/Head+Start+-+George+Family+Development+Center/@29.5781022,-95.7636494,17z/data=!3m1!4b1!4m6!3m5!1s0x86411e70a4572c79:0x5e6f69c45016b56d!8m2!3d29.5780976!4d-95.7610745!16s%2Fg%2F1262c87fr?entry=ttu&amp;g_ep=EgoyMDI1MDcxNi4wIKXMDSoASAFQAw%3D%3D" TargetMode="External"/><Relationship Id="rId99" Type="http://schemas.openxmlformats.org/officeDocument/2006/relationships/hyperlink" Target="https://bakerripley.org/programs-and-services/head-start/" TargetMode="External"/><Relationship Id="rId98" Type="http://schemas.openxmlformats.org/officeDocument/2006/relationships/hyperlink" Target="https://www.google.com/maps/place/Head+Start+-+Hiram+Clarke/@29.6141848,-95.4336097,19z/data=!4m15!1m8!3m7!1s0x8640eb0bd5c250d9:0x9e2bd941cb57211!2s3810+W+Fuqua+St,+Houston,+TX+77045!3b1!8m2!3d29.6141802!4d-95.432966!16s%2Fg%2F11mgpx7vvg!3m5!1s0x8640eb0a25265bb7:0x5a61b6e2b74a3bb!8m2!3d29.6140174!4d-95.4333801!16s%2Fg%2F1pxwnvhp_?entry=ttu&amp;g_ep=EgoyMDI1MDcxNi4wIKXMDSoASAFQAw%3D%3D" TargetMode="External"/><Relationship Id="rId91" Type="http://schemas.openxmlformats.org/officeDocument/2006/relationships/hyperlink" Target="https://bakerripley.org/programs-and-services/head-start/" TargetMode="External"/><Relationship Id="rId90" Type="http://schemas.openxmlformats.org/officeDocument/2006/relationships/hyperlink" Target="https://bakerripley.org/programs-and-services/head-start/" TargetMode="External"/><Relationship Id="rId93" Type="http://schemas.openxmlformats.org/officeDocument/2006/relationships/hyperlink" Target="https://bakerripley.org/programs-and-services/head-start/" TargetMode="External"/><Relationship Id="rId92" Type="http://schemas.openxmlformats.org/officeDocument/2006/relationships/hyperlink" Target="https://www.google.com/maps/place/Cook+Road+Head+Start+Center/@29.7009903,-95.5977096,17z/data=!3m1!4b1!4m6!3m5!1s0x8640dd0e65d0d1e1:0xa0e155c8254ea668!8m2!3d29.7009857!4d-95.5951347!16s%2Fg%2F1tcxk4h0?entry=ttu&amp;g_ep=EgoyMDI1MDcxNi4wIKXMDSoASAFQAw%3D%3D" TargetMode="External"/><Relationship Id="rId359" Type="http://schemas.openxmlformats.org/officeDocument/2006/relationships/hyperlink" Target="https://www.indiahouseinc.org/india-house-charity-volunteer-clinic/" TargetMode="External"/><Relationship Id="rId358" Type="http://schemas.openxmlformats.org/officeDocument/2006/relationships/hyperlink" Target="https://www.google.com/maps/place/India+House/@29.6568322,-95.5355147,16z/data=!3m1!4b1!4m6!3m5!1s0x8640e83bd63efaf3:0xb687657e2e1a4536!8m2!3d29.6568276!4d-95.5329398!16s%2Fg%2F1tnplc_4?entry=ttu&amp;g_ep=EgoyMDI1MDUxNS4xIKXMDSoASAFQAw%3D%3D" TargetMode="External"/><Relationship Id="rId357" Type="http://schemas.openxmlformats.org/officeDocument/2006/relationships/hyperlink" Target="https://www.indiahouseinc.org/community-support/food-distribution/" TargetMode="External"/><Relationship Id="rId352" Type="http://schemas.openxmlformats.org/officeDocument/2006/relationships/hyperlink" Target="https://publichealth.harriscountytx.gov/Divisions-Offices/Divisions/Community-Health-Wellness-Division/Behavioral-Health-Services" TargetMode="External"/><Relationship Id="rId351"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350" Type="http://schemas.openxmlformats.org/officeDocument/2006/relationships/hyperlink" Target="https://publichealth.harriscountytx.gov/Divisions-Offices/Divisions/Community-Health-Wellness-Division/Dental-Health-Prevention/Dental-Clinics" TargetMode="External"/><Relationship Id="rId356" Type="http://schemas.openxmlformats.org/officeDocument/2006/relationships/hyperlink" Target="https://impacthoustonchurch.org/gethelp/" TargetMode="External"/><Relationship Id="rId355"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354" Type="http://schemas.openxmlformats.org/officeDocument/2006/relationships/hyperlink" Target="https://publichealth.harriscountytx.gov/Divisions-Offices/Divisions/Community-Health-Wellness-Division/Refugee-Health-Services" TargetMode="External"/><Relationship Id="rId353" Type="http://schemas.openxmlformats.org/officeDocument/2006/relationships/hyperlink" Target="https://www.google.com/maps/place/Humble+Dental+Clinic/@29.9951463,-95.2508657,17z/data=!3m1!4b1!4m6!3m5!1s0x8640b242971686f3:0xfe7b8451c3c6c8cc!8m2!3d29.9951463!4d-95.2482854!16s%2Fg%2F11c452z1s4?entry=ttu&amp;g_ep=EgoyMDI2MDEyNS4wIKXMDSoKLDEwMDc5MjA2OUgBUAM%3D" TargetMode="External"/><Relationship Id="rId305" Type="http://schemas.openxmlformats.org/officeDocument/2006/relationships/hyperlink" Target="https://www.homeless-healthcare.org/" TargetMode="External"/><Relationship Id="rId304" Type="http://schemas.openxmlformats.org/officeDocument/2006/relationships/hyperlink" Target="https://www.google.com/maps/place/Caroline+Street+Clinic/@29.7481927,-95.3708166,17z/data=!3m1!4b1!4m6!3m5!1s0x8640bf15ddbac77d:0xb8db8925827229c0!8m2!3d29.7481881!4d-95.3682363!16s%2Fg%2F11gy7zfq5n?entry=ttu&amp;g_ep=EgoyMDI1MDYxNy4wIKXMDSoASAFQAw%3D%3D" TargetMode="External"/><Relationship Id="rId303" Type="http://schemas.openxmlformats.org/officeDocument/2006/relationships/hyperlink" Target="https://www.homeless-healthcare.org/" TargetMode="External"/><Relationship Id="rId302" Type="http://schemas.openxmlformats.org/officeDocument/2006/relationships/hyperlink" Target="https://www.google.com/maps/place/Caroline+Street+Clinic/@29.7481927,-95.3708166,17z/data=!3m1!4b1!4m6!3m5!1s0x8640bf15ddbac77d:0xb8db8925827229c0!8m2!3d29.7481881!4d-95.3682363!16s%2Fg%2F11gy7zfq5n?entry=ttu&amp;g_ep=EgoyMDI1MDYxNy4wIKXMDSoASAFQAw%3D%3D" TargetMode="External"/><Relationship Id="rId309" Type="http://schemas.openxmlformats.org/officeDocument/2006/relationships/hyperlink" Target="https://www.homeless-healthcare.org/" TargetMode="External"/><Relationship Id="rId308" Type="http://schemas.openxmlformats.org/officeDocument/2006/relationships/hyperlink" Target="https://www.google.com/maps/place/CATHEDRAL+CLINIC/@29.7592201,-95.3623399,17z/data=!3m1!4b1!4m6!3m5!1s0x8640bf250743c239:0x5dd2bb009e0a7442!8m2!3d29.7592155!4d-95.3597596!16s%2Fg%2F11kbykj46f?entry=ttu&amp;g_ep=EgoyMDI1MDYxNy4wIKXMDSoASAFQAw%3D%3D" TargetMode="External"/><Relationship Id="rId307" Type="http://schemas.openxmlformats.org/officeDocument/2006/relationships/hyperlink" Target="https://www.homeless-healthcare.org/" TargetMode="External"/><Relationship Id="rId306" Type="http://schemas.openxmlformats.org/officeDocument/2006/relationships/hyperlink" Target="https://www.google.com/maps/place/Caroline+Street+Clinic/@29.7481927,-95.3708166,17z/data=!3m1!4b1!4m6!3m5!1s0x8640bf15ddbac77d:0xb8db8925827229c0!8m2!3d29.7481881!4d-95.3682363!16s%2Fg%2F11gy7zfq5n?entry=ttu&amp;g_ep=EgoyMDI1MDYxNy4wIKXMDSoASAFQAw%3D%3D" TargetMode="External"/><Relationship Id="rId301" Type="http://schemas.openxmlformats.org/officeDocument/2006/relationships/hyperlink" Target="https://www.homeless-healthcare.org/" TargetMode="External"/><Relationship Id="rId300" Type="http://schemas.openxmlformats.org/officeDocument/2006/relationships/hyperlink" Target="https://www.google.com/maps/place/Harris+Health+Rehabilitation+Services+at+Fournace/@29.7171909,-95.465765,17z/data=!3m1!4b1!4m6!3m5!1s0x8640c177b71c6bf7:0x677a5ec31d89637c!8m2!3d29.7171863!4d-95.4631847!16s%2Fg%2F11rn3yc4y6?entry=ttu&amp;g_ep=EgoyMDI1MDUyMS4wIKXMDSoASAFQAw%3D%3D" TargetMode="External"/><Relationship Id="rId327" Type="http://schemas.openxmlformats.org/officeDocument/2006/relationships/hyperlink" Target="https://hopecenterhouston.org" TargetMode="External"/><Relationship Id="rId326" Type="http://schemas.openxmlformats.org/officeDocument/2006/relationships/hyperlink" Target="https://www.google.com/maps/place/Hope+Center+Houston/@30.020301,-95.4478682,16z/data=!3m1!4b1!4m6!3m5!1s0x8640cbeeb92e2717:0x6ab75b25672d0f50!8m2!3d30.0202964!4d-95.4452933!16s%2Fg%2F11fmsbvtfm?entry=ttu&amp;g_ep=EgoyMDI1MDgyNC4wIKXMDSoASAFQAw%3D%3D" TargetMode="External"/><Relationship Id="rId325" Type="http://schemas.openxmlformats.org/officeDocument/2006/relationships/hyperlink" Target="https://hopecenterhouston.org" TargetMode="External"/><Relationship Id="rId324" Type="http://schemas.openxmlformats.org/officeDocument/2006/relationships/hyperlink" Target="https://www.google.com/maps/place/Hiram+Clarke+Multi-Service+Center/@29.6141554,-95.4361658,16z/data=!3m1!4b1!4m6!3m5!1s0x8640eb0a25265bb7:0x3a7e70b8b4f8e2ca!8m2!3d29.6141508!4d-95.4335909!16s%2Fg%2F11b75gm51g?entry=ttu&amp;g_ep=EgoyMDI2MDIwMS4wIKXMDSoKLDEwMDc5MjA2OUgBUAM%3D" TargetMode="External"/><Relationship Id="rId329" Type="http://schemas.openxmlformats.org/officeDocument/2006/relationships/hyperlink" Target="https://www.hopeforthewarriors.org/programs-and-services/connect-to-services/" TargetMode="External"/><Relationship Id="rId328" Type="http://schemas.openxmlformats.org/officeDocument/2006/relationships/hyperlink" Target="https://www.google.com/maps/place/Hope+Center+Houston/@30.020301,-95.4478682,16z/data=!3m1!4b1!4m6!3m5!1s0x8640cbeeb92e2717:0x6ab75b25672d0f50!8m2!3d30.0202964!4d-95.4452933!16s%2Fg%2F11fmsbvtfm?entry=ttu&amp;g_ep=EgoyMDI1MDgyNC4wIKXMDSoASAFQAw%3D%3D" TargetMode="External"/><Relationship Id="rId323" Type="http://schemas.openxmlformats.org/officeDocument/2006/relationships/hyperlink" Target="https://www.houstonhealth.org/services/multi-service-centers/hiram-clarke-multi-service-center" TargetMode="External"/><Relationship Id="rId322" Type="http://schemas.openxmlformats.org/officeDocument/2006/relationships/hyperlink" Target="https://www.google.com/maps/place/Heights+Interfaith+Ministries+Food+Pantry/@29.7896836,-95.3794885,17z/data=!4m15!1m8!3m7!1s0x8640b8b8cb9f7867:0x333471333229d64f!2s3523+Beauchamp+St,+Houston,+TX+77009!3b1!8m2!3d29.789679!4d-95.3746122!16s%2Fg%2F1hjhd84fr!3m5!1s0x8640b8b8ca573b5d:0x68ef4538f2ee034f!8m2!3d29.7897141!4d-95.3745733!16s%2Fg%2F124yc2256?entry=ttu&amp;g_ep=EgoyMDI1MDYwMy4wIKXMDSoASAFQAw%3D%3D" TargetMode="External"/><Relationship Id="rId321" Type="http://schemas.openxmlformats.org/officeDocument/2006/relationships/hyperlink" Target="https://himfoodpantry.org/" TargetMode="External"/><Relationship Id="rId320" Type="http://schemas.openxmlformats.org/officeDocument/2006/relationships/hyperlink" Target="https://www.google.com/maps/place/HealthWell+Foundation/@39.1932987,-77.270919,16z/data=!3m1!4b1!4m6!3m5!1s0x89b62c0c7fb732eb:0xc689b99656b87990!8m2!3d39.1932987!4d-77.2683387!16s%2Fg%2F11cry0x3c4?entry=ttu&amp;g_ep=EgoyMDI2MDEyMC4wIKXMDSoKLDEwMDc5MjA2OUgBUAM%3D" TargetMode="External"/><Relationship Id="rId316" Type="http://schemas.openxmlformats.org/officeDocument/2006/relationships/hyperlink" Target="https://www.google.com/maps/place/Reed+Family+Clinic/@29.6592208,-95.3927318,17z/data=!3m1!4b1!4m6!3m5!1s0x8640954a4ae55555:0x1bbd2f0f37994cae!8m2!3d29.6592162!4d-95.3901515!16s%2Fg%2F11ttbhyt4b?entry=ttu&amp;g_ep=EgoyMDI1MDYxNy4wIKXMDSoASAFQAw%3D%3D" TargetMode="External"/><Relationship Id="rId315" Type="http://schemas.openxmlformats.org/officeDocument/2006/relationships/hyperlink" Target="https://www.homeless-healthcare.org/" TargetMode="External"/><Relationship Id="rId314" Type="http://schemas.openxmlformats.org/officeDocument/2006/relationships/hyperlink" Target="https://www.google.com/maps/place/Reed+Family+Clinic/@29.6592208,-95.3927318,17z/data=!3m1!4b1!4m6!3m5!1s0x8640954a4ae55555:0x1bbd2f0f37994cae!8m2!3d29.6592162!4d-95.3901515!16s%2Fg%2F11ttbhyt4b?entry=ttu&amp;g_ep=EgoyMDI1MDYxNy4wIKXMDSoASAFQAw%3D%3D" TargetMode="External"/><Relationship Id="rId313" Type="http://schemas.openxmlformats.org/officeDocument/2006/relationships/hyperlink" Target="https://www.homeless-healthcare.org/" TargetMode="External"/><Relationship Id="rId319" Type="http://schemas.openxmlformats.org/officeDocument/2006/relationships/hyperlink" Target="https://www.healthwellfoundation.org" TargetMode="External"/><Relationship Id="rId318" Type="http://schemas.openxmlformats.org/officeDocument/2006/relationships/hyperlink" Target="https://www.google.com/maps/place/Reed+Family+Clinic/@29.6592208,-95.3927318,17z/data=!3m1!4b1!4m6!3m5!1s0x8640954a4ae55555:0x1bbd2f0f37994cae!8m2!3d29.6592162!4d-95.3901515!16s%2Fg%2F11ttbhyt4b?entry=ttu&amp;g_ep=EgoyMDI1MDYxNy4wIKXMDSoASAFQAw%3D%3D" TargetMode="External"/><Relationship Id="rId317" Type="http://schemas.openxmlformats.org/officeDocument/2006/relationships/hyperlink" Target="https://www.homeless-healthcare.org/" TargetMode="External"/><Relationship Id="rId312" Type="http://schemas.openxmlformats.org/officeDocument/2006/relationships/hyperlink" Target="https://www.google.com/maps/place/CATHEDRAL+CLINIC/@29.7592201,-95.3623399,17z/data=!3m1!4b1!4m6!3m5!1s0x8640bf250743c239:0x5dd2bb009e0a7442!8m2!3d29.7592155!4d-95.3597596!16s%2Fg%2F11kbykj46f?entry=ttu&amp;g_ep=EgoyMDI1MDYxNy4wIKXMDSoASAFQAw%3D%3D" TargetMode="External"/><Relationship Id="rId311" Type="http://schemas.openxmlformats.org/officeDocument/2006/relationships/hyperlink" Target="https://www.homeless-healthcare.org/" TargetMode="External"/><Relationship Id="rId310" Type="http://schemas.openxmlformats.org/officeDocument/2006/relationships/hyperlink" Target="https://www.google.com/maps/place/CATHEDRAL+CLINIC/@29.7592201,-95.3623399,17z/data=!3m1!4b1!4m6!3m5!1s0x8640bf250743c239:0x5dd2bb009e0a7442!8m2!3d29.7592155!4d-95.3597596!16s%2Fg%2F11kbykj46f?entry=ttu&amp;g_ep=EgoyMDI1MDYxNy4wIKXMDSoASAFQAw%3D%3D" TargetMode="External"/><Relationship Id="rId297" Type="http://schemas.openxmlformats.org/officeDocument/2006/relationships/hyperlink" Target="https://www.google.com/maps/place/Harris+Health+Sunset+Heights+Clinic/@29.8010981,-95.384798,16z/data=!3m1!4b1!4m6!3m5!1s0x8640b8973552df5b:0x2ff521c996db970!8m2!3d29.8010935!4d-95.3822177!16s%2Fg%2F11b70h90fp?entry=ttu&amp;g_ep=EgoyMDI1MDUyMS4wIKXMDSoASAFQAw%3D%3D" TargetMode="External"/><Relationship Id="rId296" Type="http://schemas.openxmlformats.org/officeDocument/2006/relationships/hyperlink" Target="https://www.google.com/maps/place/Harris+Health+Strawberry+Health+Center/@29.7134196,-95.2048264,16z/data=!3m1!4b1!4m6!3m5!1s0x8640a2c975cc1837:0xe6bb38d9d21dd738!8m2!3d29.713415!4d-95.2022461!16s%2Fg%2F1tfzh48r?entry=ttu&amp;g_ep=EgoyMDI1MDUyMS4wIKXMDSoASAFQAw%3D%3D" TargetMode="External"/><Relationship Id="rId295" Type="http://schemas.openxmlformats.org/officeDocument/2006/relationships/hyperlink" Target="https://www.google.com/maps/place/Harris+Health+Strawberry+Health+Center/@29.7134196,-95.2048264,16z/data=!3m1!4b1!4m6!3m5!1s0x8640a2c975cc1837:0xe6bb38d9d21dd738!8m2!3d29.713415!4d-95.2022461!16s%2Fg%2F1tfzh48r?entry=ttu&amp;g_ep=EgoyMDI1MDUyMS4wIKXMDSoASAFQAw%3D%3D" TargetMode="External"/><Relationship Id="rId294" Type="http://schemas.openxmlformats.org/officeDocument/2006/relationships/hyperlink" Target="https://www.google.com/maps/place/Harris+Health+Settegast+Health+Center/@29.8453713,-95.2889164,16z/data=!3m1!4b1!4m6!3m5!1s0x8640ba41d80dc0af:0x89f01d1a68ed4bfe!8m2!3d29.8453667!4d-95.2863361!16s%2Fg%2F1tdwf9hz?entry=ttu&amp;g_ep=EgoyMDI1MDUyMS4wIKXMDSoASAFQAw%3D%3D" TargetMode="External"/><Relationship Id="rId299" Type="http://schemas.openxmlformats.org/officeDocument/2006/relationships/hyperlink" Target="https://www.google.com/maps/place/Harris+Health+Vallbona+Health+Center/@29.7076745,-95.5028598,17z/data=!3m1!4b1!4m6!3m5!1s0x8640c247bd15c2dd:0xa56894ed48f376fc!8m2!3d29.7076699!4d-95.5002795!16s%2Fg%2F1tjbsk6j?entry=ttu&amp;g_ep=EgoyMDI1MDUyMS4wIKXMDSoASAFQAw%3D%3D" TargetMode="External"/><Relationship Id="rId298" Type="http://schemas.openxmlformats.org/officeDocument/2006/relationships/hyperlink" Target="https://www.google.com/maps/place/%E2%80%8B%E2%80%8BHarris+Health+Urgent+Care+at+Outpatient+Center/@29.8119078,-95.3146645,16z/data=!3m2!4b1!5s0x88602f187266b603:0x923a0355d1884044!4m6!3m5!1s0x8640b97d0149d42b:0xc78b8bf47cb08b75!8m2!3d29.8119032!4d-95.3120842!16s%2Fg%2F11c5xthhyk?entry=ttu&amp;g_ep=EgoyMDI1MDUyMS4wIKXMDSoASAFQAw%3D%3D" TargetMode="External"/><Relationship Id="rId271" Type="http://schemas.openxmlformats.org/officeDocument/2006/relationships/hyperlink" Target="https://www.google.com/maps/place/Harris+Health+Aldine+Health+Center/@29.9032127,-95.3235658,16z/data=!3m1!4b1!4m6!3m5!1s0x8640b7256679bf63:0xd195fa76b13c3a3e!8m2!3d29.9032081!4d-95.3209855!16s%2Fg%2F1tgz0znw?entry=ttu&amp;g_ep=EgoyMDI1MDUyMS4wIKXMDSoASAFQAw%3D%3D" TargetMode="External"/><Relationship Id="rId270" Type="http://schemas.openxmlformats.org/officeDocument/2006/relationships/hyperlink" Target="https://www.google.com/maps/place/Harris+Health+Aldine+Health+Center/@29.9032127,-95.3235658,16z/data=!3m1!4b1!4m6!3m5!1s0x8640b7256679bf63:0xd195fa76b13c3a3e!8m2!3d29.9032081!4d-95.3209855!16s%2Fg%2F1tgz0znw?entry=ttu&amp;g_ep=EgoyMDI1MDUyMS4wIKXMDSoASAFQAw%3D%3D" TargetMode="External"/><Relationship Id="rId269" Type="http://schemas.openxmlformats.org/officeDocument/2006/relationships/hyperlink" Target="https://www.google.com/maps/place/Harris+Health+Acres+Home+Health+Center/@29.8758543,-95.4213997,16z/data=!3m1!4b1!4m6!3m5!1s0x8640c86de9652fa7:0x936a59c12f7e8ddd!8m2!3d29.8758497!4d-95.4188194!16s%2Fg%2F1tg4x6ts?entry=ttu&amp;g_ep=EgoyMDI1MDUyMS4wIKXMDSoASAFQAw%3D%3D" TargetMode="External"/><Relationship Id="rId264" Type="http://schemas.openxmlformats.org/officeDocument/2006/relationships/hyperlink" Target="https://www.google.com/maps/place/Harris+County+Cemetery/@29.8152693,-95.2393573,17z/data=!3m1!4b1!4m6!3m5!1s0x8640bb2583833435:0xee53b2c3fb77944f!8m2!3d29.8152647!4d-95.2367824!16s%2Fg%2F1vntk8dl?entry=ttu&amp;g_ep=EgoyMDI1MDUxMS4wIKXMDSoASAFQAw%3D%3D" TargetMode="External"/><Relationship Id="rId263" Type="http://schemas.openxmlformats.org/officeDocument/2006/relationships/hyperlink" Target="https://www.google.com/maps/place/1111+Fannin+St,+Houston,+TX+77002/@29.7552171,-95.3695025,17z/data=!3m1!4b1!4m6!3m5!1s0x8640bf3f8e29b9a9:0x8fd7ee903ef77abb!8m2!3d29.7552125!4d-95.3646316!16s%2Fg%2F11ltpgk85w?entry=ttu&amp;g_ep=EgoyMDI1MDUxMS4wIKXMDSoASAFQAw%3D%3D" TargetMode="External"/><Relationship Id="rId262" Type="http://schemas.openxmlformats.org/officeDocument/2006/relationships/hyperlink" Target="https://hcd.harriscountytx.gov/Residents/Home-Repair-Program" TargetMode="External"/><Relationship Id="rId261" Type="http://schemas.openxmlformats.org/officeDocument/2006/relationships/hyperlink" Target="https://www.google.com/maps/place/The+Harris+Center+Southwest+Community+Service+Center/@29.6784545,-95.5409547,17z/data=!3m2!4b1!5s0x8640c29f264c3a51:0xabdbf83e6c708826!4m6!3m5!1s0x8640c29f2615b457:0xfd4cbe48d3582122!8m2!3d29.6784545!4d-95.5383798!16s%2Fg%2F11c1q8b24n?entry=ttu&amp;g_ep=EgoyMDI1MTAxNC4wIKXMDSoASAFQAw%3D%3D" TargetMode="External"/><Relationship Id="rId268" Type="http://schemas.openxmlformats.org/officeDocument/2006/relationships/hyperlink" Target="https://www.google.com/maps/place/2000+Travis+St,+Houston,+TX+77002/@29.7500194,-95.3743053,17z/data=!3m1!4b1!4m5!3m4!1s0x8640bf3fe1f88cb1:0x4e6a2f3cb4c836a4!8m2!3d29.7500148!4d-95.371725?entry=ttu&amp;g_ep=EgoyMDI2MDIxMS4wIKXMDSoASAFQAw%3D%3D" TargetMode="External"/><Relationship Id="rId267" Type="http://schemas.openxmlformats.org/officeDocument/2006/relationships/hyperlink" Target="https://www.harrisvets.com/claims" TargetMode="External"/><Relationship Id="rId266" Type="http://schemas.openxmlformats.org/officeDocument/2006/relationships/hyperlink" Target="https://www.google.com/maps/place/Harris+County+Resources+for+Children+and+Adults/@29.6846563,-95.4195168,16z/data=!3m1!4b1!4m6!3m5!1s0x8640c0222098f103:0xf23ddb54b95c6976!8m2!3d29.6846517!4d-95.4169365!16s%2Fg%2F1t_hzcfk?entry=ttu&amp;g_ep=EgoyMDI1MTAxMy4wIKXMDSoASAFQAw%3D%3D" TargetMode="External"/><Relationship Id="rId265" Type="http://schemas.openxmlformats.org/officeDocument/2006/relationships/hyperlink" Target="https://resources.harriscountytx.gov/About-Us/Who-We-Are" TargetMode="External"/><Relationship Id="rId260" Type="http://schemas.openxmlformats.org/officeDocument/2006/relationships/hyperlink" Target="https://www.theharriscenter.org/about" TargetMode="External"/><Relationship Id="rId259" Type="http://schemas.openxmlformats.org/officeDocument/2006/relationships/hyperlink" Target="https://www.google.com/maps/place/The+Harris+Center+Southwest+Community+Service+Center/@29.6784545,-95.5409547,17z/data=!3m2!4b1!5s0x8640c29f264c3a51:0xabdbf83e6c708826!4m6!3m5!1s0x8640c29f2615b457:0xfd4cbe48d3582122!8m2!3d29.6784545!4d-95.5383798!16s%2Fg%2F11c1q8b24n?entry=ttu&amp;g_ep=EgoyMDI1MTAxNC4wIKXMDSoASAFQAw%3D%3D" TargetMode="External"/><Relationship Id="rId258" Type="http://schemas.openxmlformats.org/officeDocument/2006/relationships/hyperlink" Target="https://www.theharriscenter.org/about" TargetMode="External"/><Relationship Id="rId253" Type="http://schemas.openxmlformats.org/officeDocument/2006/relationships/hyperlink" Target="https://www.google.com/maps/place/The+Harris+Center+Southeast+Community+Service+Center/@29.6945454,-95.3270697,17z/data=!3m1!4b1!4m6!3m5!1s0x8640be109416bfe5:0xd01a055af2fa4534!8m2!3d29.6945454!4d-95.3244948!16s%2Fg%2F1td6gw8p?entry=ttu&amp;g_ep=EgoyMDI1MTAxNC4wIKXMDSoASAFQAw%3D%3D" TargetMode="External"/><Relationship Id="rId252" Type="http://schemas.openxmlformats.org/officeDocument/2006/relationships/hyperlink" Target="https://www.theharriscenter.org/about" TargetMode="External"/><Relationship Id="rId251" Type="http://schemas.openxmlformats.org/officeDocument/2006/relationships/hyperlink" Target="https://www.google.com/maps/place/The+Harris+Center+Southeast+Community+Service+Center/@29.6945454,-95.3270697,17z/data=!3m1!4b1!4m6!3m5!1s0x8640be109416bfe5:0xd01a055af2fa4534!8m2!3d29.6945454!4d-95.3244948!16s%2Fg%2F1td6gw8p?entry=ttu&amp;g_ep=EgoyMDI1MTAxNC4wIKXMDSoASAFQAw%3D%3D" TargetMode="External"/><Relationship Id="rId250" Type="http://schemas.openxmlformats.org/officeDocument/2006/relationships/hyperlink" Target="https://www.theharriscenter.org/about" TargetMode="External"/><Relationship Id="rId257" Type="http://schemas.openxmlformats.org/officeDocument/2006/relationships/hyperlink" Target="https://www.google.com/maps/place/The+Harris+Center+Southwest+Community+Service+Center/@29.6784545,-95.5409547,17z/data=!3m2!4b1!5s0x8640c29f264c3a51:0xabdbf83e6c708826!4m6!3m5!1s0x8640c29f2615b457:0xfd4cbe48d3582122!8m2!3d29.6784545!4d-95.5383798!16s%2Fg%2F11c1q8b24n?entry=ttu&amp;g_ep=EgoyMDI1MTAxNC4wIKXMDSoASAFQAw%3D%3D" TargetMode="External"/><Relationship Id="rId256" Type="http://schemas.openxmlformats.org/officeDocument/2006/relationships/hyperlink" Target="https://www.theharriscenter.org/about" TargetMode="External"/><Relationship Id="rId255" Type="http://schemas.openxmlformats.org/officeDocument/2006/relationships/hyperlink" Target="https://www.google.com/maps/place/The+Harris+Center+Southeast+Community+Service+Center/@29.6945454,-95.3270697,17z/data=!3m1!4b1!4m6!3m5!1s0x8640be109416bfe5:0xd01a055af2fa4534!8m2!3d29.6945454!4d-95.3244948!16s%2Fg%2F1td6gw8p?entry=ttu&amp;g_ep=EgoyMDI1MTAxNC4wIKXMDSoASAFQAw%3D%3D" TargetMode="External"/><Relationship Id="rId254" Type="http://schemas.openxmlformats.org/officeDocument/2006/relationships/hyperlink" Target="https://www.theharriscenter.org/about" TargetMode="External"/><Relationship Id="rId293" Type="http://schemas.openxmlformats.org/officeDocument/2006/relationships/hyperlink" Target="https://www.google.com/maps/place/Harris+Health+Smith+Clinic/@29.6862273,-95.3898745,17z/data=!3m1!4b1!4m6!3m5!1s0x863f5e805f9cadf3:0x6305e2c2bfb127eb!8m2!3d29.6862227!4d-95.3872942!16s%2Fg%2F1yfj55yns?entry=ttu&amp;g_ep=EgoyMDI1MDUyMS4wIKXMDSoASAFQAw%3D%3D" TargetMode="External"/><Relationship Id="rId292" Type="http://schemas.openxmlformats.org/officeDocument/2006/relationships/hyperlink" Target="https://www.google.com/maps/place/Harris+Health+Settegast+Health+Center/@29.8453713,-95.2889164,16z/data=!3m1!4b1!4m6!3m5!1s0x8640ba41d80dc0af:0x89f01d1a68ed4bfe!8m2!3d29.8453667!4d-95.2863361!16s%2Fg%2F1tdwf9hz?entry=ttu&amp;g_ep=EgoyMDI1MDUyMS4wIKXMDSoASAFQAw%3D%3D" TargetMode="External"/><Relationship Id="rId291" Type="http://schemas.openxmlformats.org/officeDocument/2006/relationships/hyperlink" Target="https://www.google.com/maps/place/Harris+Health+Sareen+Clinic/@29.6567287,-95.5355176,16z/data=!3m1!4b1!4m6!3m5!1s0x8640e83bd4a02323:0x8f526c08026f8142!8m2!3d29.6567241!4d-95.5329373!16s%2Fg%2F11b70ghk6s?entry=ttu&amp;g_ep=EgoyMDI1MDUyMS4wIKXMDSoASAFQAw%3D%3D" TargetMode="External"/><Relationship Id="rId290" Type="http://schemas.openxmlformats.org/officeDocument/2006/relationships/hyperlink" Target="https://www.google.com/maps/place/Harris+Health+Quentin+Mease+Health+Center/@29.711139,-95.362228,16z/data=!3m2!4b1!5s0x8640bfb11f7c6ae1:0xb8a348e1b92412a3!4m6!3m5!1s0x8640b8cc5ad31719:0x46f54af1a0382a5c!8m2!3d29.7111344!4d-95.3596477!16s%2Fg%2F1tfydz1v?entry=ttu&amp;g_ep=EgoyMDI1MDUyMS4wIKXMDSoASAFQAw%3D%3D" TargetMode="External"/><Relationship Id="rId286" Type="http://schemas.openxmlformats.org/officeDocument/2006/relationships/hyperlink" Target="https://www.google.com/maps/place/Harris+Health+Northwest+Health+Center/@29.8183144,-95.4209388,17z/data=!3m1!4b1!4m6!3m5!1s0x8640c7a093af5811:0x1109bde063c823d1!8m2!3d29.8183098!4d-95.4183585!16s%2Fg%2F1tgwsn6q?entry=ttu&amp;g_ep=EgoyMDI1MDUyMS4wIKXMDSoASAFQAw%3D%3D" TargetMode="External"/><Relationship Id="rId285" Type="http://schemas.openxmlformats.org/officeDocument/2006/relationships/hyperlink" Target="https://www.google.com/maps/place/Harris+Health+Monroe+Clinic/@29.6689242,-95.263044,16z/data=!3m1!4b1!4m6!3m5!1s0x864097ced0144bb1:0x63d4ddb2f4832b6!8m2!3d29.6689196!4d-95.2604637!16s%2Fg%2F11gr30wbw5?entry=ttu&amp;g_ep=EgoyMDI1MDUyMS4wIKXMDSoASAFQAw%3D%3D" TargetMode="External"/><Relationship Id="rId284" Type="http://schemas.openxmlformats.org/officeDocument/2006/relationships/hyperlink" Target="https://www.google.com/maps/place/Harris+Health+Martin+Luther+King+Jr.+Health+Center/@29.6196453,-95.3695031,16z/data=!3m1!4b1!4m6!3m5!1s0x864094ef11aabe2f:0x2e3a131c5bf49c2d!8m2!3d29.6196407!4d-95.3669228!16s%2Fg%2F1tpc8bp6?entry=ttu&amp;g_ep=EgoyMDI1MDUyMS4wIKXMDSoASAFQAw%3D%3D" TargetMode="External"/><Relationship Id="rId283" Type="http://schemas.openxmlformats.org/officeDocument/2006/relationships/hyperlink" Target="https://www.google.com/maps/place/Lyndon+B.+Johnson+Hospital+Emergency+Room/@29.8120223,-95.3168451,17z/data=!3m2!4b1!5s0x88602f187266b603:0x923a0355d1884044!4m6!3m5!1s0x8640b97d755e51ad:0x818b0ea39e4ca28d!8m2!3d29.8120177!4d-95.3119688!16s%2Fg%2F11f291r2jj?entry=ttu&amp;g_ep=EgoyMDI1MDUyMS4wIKXMDSoASAFQAw%3D%3D" TargetMode="External"/><Relationship Id="rId289" Type="http://schemas.openxmlformats.org/officeDocument/2006/relationships/hyperlink" Target="https://www.google.com/maps/place/Harris+Health+Pasadena+Pediatric+and+Adolescent+Health+Center/@29.6515471,-95.1883539,17z/data=!3m1!4b1!4m6!3m5!1s0x86409857c3182259:0xec63279e76e03716!8m2!3d29.6515425!4d-95.1857736!16s%2Fg%2F11bbrj3f8r?entry=ttu&amp;g_ep=EgoyMDI1MDUyMS4wIKXMDSoASAFQAw%3D%3D" TargetMode="External"/><Relationship Id="rId288" Type="http://schemas.openxmlformats.org/officeDocument/2006/relationships/hyperlink" Target="https://www.google.com/maps/place/Harris+Health+Pasadena+Pediatric+and+Adolescent+Health+Center/@29.6515471,-95.1883539,17z/data=!3m1!4b1!4m6!3m5!1s0x86409857c3182259:0xec63279e76e03716!8m2!3d29.6515425!4d-95.1857736!16s%2Fg%2F11bbrj3f8r?entry=ttu&amp;g_ep=EgoyMDI1MDUyMS4wIKXMDSoASAFQAw%3D%3D" TargetMode="External"/><Relationship Id="rId287" Type="http://schemas.openxmlformats.org/officeDocument/2006/relationships/hyperlink" Target="https://www.google.com/maps/place/Harris+Health+Outpatient+Center/@29.8115523,-95.315884,17z/data=!3m1!4b1!4m6!3m5!1s0x8640b97cfb307c89:0x88e3d7b28eba7c4d!8m2!3d29.8115477!4d-95.3133037!16s%2Fg%2F11c525w7f1?entry=ttu&amp;g_ep=EgoyMDI1MDUyMS4wIKXMDSoASAFQAw%3D%3D" TargetMode="External"/><Relationship Id="rId282" Type="http://schemas.openxmlformats.org/officeDocument/2006/relationships/hyperlink" Target="https://www.google.com/maps/place/Harris+Health+Gulfgate+Health+Center/@29.6997779,-95.2883048,17z/data=!3m1!4b1!4m6!3m5!1s0x8640bd93784a65c1:0x72d463c89480905d!8m2!3d29.6997733!4d-95.2857245!16s%2Fg%2F1tz963qh?entry=ttu&amp;g_ep=EgoyMDI1MDUyMS4wIKXMDSoASAFQAw%3D%3D" TargetMode="External"/><Relationship Id="rId281" Type="http://schemas.openxmlformats.org/officeDocument/2006/relationships/hyperlink" Target="https://www.google.com/maps/place/Harris+Health+Gulfgate+Health+Center/@29.6997779,-95.2883048,17z/data=!3m1!4b1!4m6!3m5!1s0x8640bd93784a65c1:0x72d463c89480905d!8m2!3d29.6997733!4d-95.2857245!16s%2Fg%2F1tz963qh?entry=ttu&amp;g_ep=EgoyMDI1MDUyMS4wIKXMDSoASAFQAw%3D%3D" TargetMode="External"/><Relationship Id="rId280" Type="http://schemas.openxmlformats.org/officeDocument/2006/relationships/hyperlink" Target="https://www.google.com/maps/place/Harris+Health+El+Franco+Lee+Health+Center/@29.6804541,-95.5769875,16z/data=!3m1!4b1!4m6!3m5!1s0x8640dd5ae14f6e69:0x1ae2691fe6b59e84!8m2!3d29.6804495!4d-95.5744072!16s%2Fg%2F11b6wh_y_q?entry=ttu&amp;g_ep=EgoyMDI1MDUyMS4wIKXMDSoASAFQAw%3D%3D" TargetMode="External"/><Relationship Id="rId275" Type="http://schemas.openxmlformats.org/officeDocument/2006/relationships/hyperlink" Target="https://www.google.com/maps/place/Harris+Health+Casa+De+Amigos+Health+Center/@29.7738946,-95.3635215,17z/data=!3m1!4b1!4m6!3m5!1s0x8640b8d2c5bde5b7:0x49a1b4d6b4f95e3!8m2!3d29.77389!4d-95.3609412!16s%2Fg%2F1tgx2dhc?entry=ttu&amp;g_ep=EgoyMDI1MDUyMS4wIKXMDSoASAFQAw%3D%3D" TargetMode="External"/><Relationship Id="rId274" Type="http://schemas.openxmlformats.org/officeDocument/2006/relationships/hyperlink" Target="https://www.google.com/maps/place/Harris+Health+C.E.+Odom+Pediatric+and+Adolescent+Health+Center/@29.8105635,-95.3192549,17z/data=!3m1!4b1!4m6!3m5!1s0x8640b97b40784413:0xfc6248cc253a0ff5!8m2!3d29.8105589!4d-95.3166746!16s%2Fg%2F11gglt7d97?entry=ttu&amp;g_ep=EgoyMDI1MDUyMS4wIKXMDSoASAFQAw%3D%3D" TargetMode="External"/><Relationship Id="rId273" Type="http://schemas.openxmlformats.org/officeDocument/2006/relationships/hyperlink" Target="https://www.google.com/maps/place/Harris+Health+Ben+Taub+Hospital/@29.7110084,-95.3961757,17z/data=!3m1!5s0x8640c0762b63f5f5:0x73238771294260bb!4m10!1m2!2m1!1sben+taub!3m6!1s0x8640c0763339cd31:0x1bbd8ebf70c2247d!8m2!3d29.7108129!4d-95.3942132!15sCghiZW4gdGF1YpIBCGhvc3BpdGFsqgE8CgkvbS8wZHh5eDgQATIfEAEiG-Ak1rXT6DB_DYE95Tcb5hFGknDuuT_aVVM7QTIMEAIiCGJlbiB0YXVi4AEA!16zL20vMGR4eXg4?entry=ttu&amp;g_ep=EgoyMDI1MDUyMS4wIKXMDSoASAFQAw%3D%3D" TargetMode="External"/><Relationship Id="rId272" Type="http://schemas.openxmlformats.org/officeDocument/2006/relationships/hyperlink" Target="https://www.google.com/maps/place/Harris+Health+Baytown+Health+Center/@29.7446409,-94.9793789,16z/data=!3m1!4b1!4m6!3m5!1s0x863f5e808517a3ad:0x7e6c32939669e3a0!8m2!3d29.7446363!4d-94.9767986!16s%2Fg%2F1263l5c19?entry=ttu&amp;g_ep=EgoyMDI1MDUyMS4wIKXMDSoASAFQAw%3D%3D" TargetMode="External"/><Relationship Id="rId279" Type="http://schemas.openxmlformats.org/officeDocument/2006/relationships/hyperlink" Target="https://www.google.com/maps/place/Harris+Health+Dental+Center/@29.696282,-95.3379907,16z/data=!3m1!4b1!4m6!3m5!1s0x8640bfb2ed85fbcb:0x35972ee8ff7fd474!8m2!3d29.6962774!4d-95.3354104!16s%2Fg%2F11g1pq9dw7?entry=ttu&amp;g_ep=EgoyMDI1MDUyMS4wIKXMDSoASAFQAw%3D%3D" TargetMode="External"/><Relationship Id="rId278" Type="http://schemas.openxmlformats.org/officeDocument/2006/relationships/hyperlink" Target="https://www.google.com/maps/place/Harris+Health+Danny+Jackson+Health+Center/@29.8503882,-95.7217981,16z/data=!3m1!4b1!4m6!3m5!1s0x8640d81d558affb7:0x1d5d1143a74e74a0!8m2!3d29.8503836!4d-95.7192178!16s%2Fg%2F11b70cbpt8?entry=ttu&amp;g_ep=EgoyMDI1MDUyMS4wIKXMDSoASAFQAw%3D%3D" TargetMode="External"/><Relationship Id="rId277" Type="http://schemas.openxmlformats.org/officeDocument/2006/relationships/hyperlink" Target="https://www.google.com/maps/place/Harris+Health+Cypress+Health+Center/@29.9537051,-95.5865345,17z/data=!3m1!4b1!4m6!3m5!1s0x8640d221f251a4c3:0x8ec2f2b73d1591d3!8m2!3d29.9537005!4d-95.5839542!16s%2Fg%2F11cjhq99b5?entry=ttu&amp;g_ep=EgoyMDI1MDUyMS4wIKXMDSoASAFQAw%3D%3D" TargetMode="External"/><Relationship Id="rId276" Type="http://schemas.openxmlformats.org/officeDocument/2006/relationships/hyperlink" Target="https://www.google.com/maps/place/Harris+Health+Cypress+Health+Center/@29.9537051,-95.5865345,17z/data=!3m1!4b1!4m6!3m5!1s0x8640d221f251a4c3:0x8ec2f2b73d1591d3!8m2!3d29.9537005!4d-95.5839542!16s%2Fg%2F11cjhq99b5?entry=ttu&amp;g_ep=EgoyMDI1MDUyMS4wIKXMDSoASAFQAw%3D%3D" TargetMode="External"/><Relationship Id="rId228"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227" Type="http://schemas.openxmlformats.org/officeDocument/2006/relationships/hyperlink" Target="https://fortbendfamilypromise.org/programs/" TargetMode="External"/><Relationship Id="rId226"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225" Type="http://schemas.openxmlformats.org/officeDocument/2006/relationships/hyperlink" Target="https://fortbendfamilypromise.org/programs/" TargetMode="External"/><Relationship Id="rId229" Type="http://schemas.openxmlformats.org/officeDocument/2006/relationships/hyperlink" Target="https://fortbendfamilypromise.org/programs/" TargetMode="External"/><Relationship Id="rId220"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224"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223" Type="http://schemas.openxmlformats.org/officeDocument/2006/relationships/hyperlink" Target="https://fortbendfamilypromise.org/programs/" TargetMode="External"/><Relationship Id="rId222"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221" Type="http://schemas.openxmlformats.org/officeDocument/2006/relationships/hyperlink" Target="https://fortbendfamilypromise.org/programs/" TargetMode="External"/><Relationship Id="rId217" Type="http://schemas.openxmlformats.org/officeDocument/2006/relationships/hyperlink" Target="https://fortbendfamilypromise.org/programs/" TargetMode="External"/><Relationship Id="rId216"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215" Type="http://schemas.openxmlformats.org/officeDocument/2006/relationships/hyperlink" Target="https://fortbendfamilypromise.org/programs/" TargetMode="External"/><Relationship Id="rId214"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219" Type="http://schemas.openxmlformats.org/officeDocument/2006/relationships/hyperlink" Target="https://fortbendfamilypromise.org/programs/" TargetMode="External"/><Relationship Id="rId218"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213" Type="http://schemas.openxmlformats.org/officeDocument/2006/relationships/hyperlink" Target="https://fortbendfamilypromise.org/programs/" TargetMode="External"/><Relationship Id="rId212" Type="http://schemas.openxmlformats.org/officeDocument/2006/relationships/hyperlink" Target="https://www.google.com/maps/place/1002+Wilson+Dr,+Rosenberg,+TX+77471/@29.5698183,-95.781014,16z/data=!3m1!4b1!4m6!3m5!1s0x86411c2a149875b7:0x87dd96d9496c3bbd!8m2!3d29.5698137!4d-95.7761431!16s%2Fg%2F11ltc59y38?entry=ttu&amp;g_ep=EgoyMDI1MTIwOS4wIKXMDSoKLDEwMDc5MjA2OUgBUAM%3D" TargetMode="External"/><Relationship Id="rId211" Type="http://schemas.openxmlformats.org/officeDocument/2006/relationships/hyperlink" Target="https://fortbendfamilypromise.org/programs/" TargetMode="External"/><Relationship Id="rId210"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249" Type="http://schemas.openxmlformats.org/officeDocument/2006/relationships/hyperlink" Target="https://www.google.com/maps/@29.6949202,-95.3224941,16z?entry=ttu&amp;g_ep=EgoyMDI1MTAxNC4wIKXMDSoASAFQAw%3D%3D" TargetMode="External"/><Relationship Id="rId248" Type="http://schemas.openxmlformats.org/officeDocument/2006/relationships/hyperlink" Target="https://www.theharriscenter.org/about" TargetMode="External"/><Relationship Id="rId247" Type="http://schemas.openxmlformats.org/officeDocument/2006/relationships/hyperlink" Target="https://www.google.com/maps/place/The+Harris+Center+Northwest+Community+Service+Center/@29.8089168,-95.4491291,16z/data=!3m2!4b1!5s0x8640c6f0a10ccaff:0x537c78a642ebb276!4m6!3m5!1s0x8640c6f0a1a6082d:0x85c3ba979fd4f86!8m2!3d29.8089168!4d-95.4465542!16s%2Fg%2F1vyswxyj?entry=ttu&amp;g_ep=EgoyMDI1MTAxNC4wIKXMDSoASAFQAw%3D%3D" TargetMode="External"/><Relationship Id="rId242" Type="http://schemas.openxmlformats.org/officeDocument/2006/relationships/hyperlink" Target="https://www.theharriscenter.org/about" TargetMode="External"/><Relationship Id="rId241" Type="http://schemas.openxmlformats.org/officeDocument/2006/relationships/hyperlink" Target="https://www.google.com/maps/place/The+Harris+Center+Northeast+Community+Service+Center/@29.8038621,-95.301307,17z/data=!3m1!4b1!4m6!3m5!1s0x8640bbc38718c473:0x7f8a006bfe5d0099!8m2!3d29.8038622!4d-95.2964361!16s%2Fg%2F1tfg3ghx?entry=ttu&amp;g_ep=EgoyMDI1MTAxNC4wIKXMDSoASAFQAw%3D%3D" TargetMode="External"/><Relationship Id="rId240" Type="http://schemas.openxmlformats.org/officeDocument/2006/relationships/hyperlink" Target="https://www.theharriscenter.org/about" TargetMode="External"/><Relationship Id="rId246" Type="http://schemas.openxmlformats.org/officeDocument/2006/relationships/hyperlink" Target="https://www.theharriscenter.org/about" TargetMode="External"/><Relationship Id="rId245" Type="http://schemas.openxmlformats.org/officeDocument/2006/relationships/hyperlink" Target="https://www.google.com/maps/place/The+Harris+Center+Northwest+Community+Service+Center/@29.8089168,-95.4491291,16z/data=!3m2!4b1!5s0x8640c6f0a10ccaff:0x537c78a642ebb276!4m6!3m5!1s0x8640c6f0a1a6082d:0x85c3ba979fd4f86!8m2!3d29.8089168!4d-95.4465542!16s%2Fg%2F1vyswxyj?entry=ttu&amp;g_ep=EgoyMDI1MTAxNC4wIKXMDSoASAFQAw%3D%3D" TargetMode="External"/><Relationship Id="rId244" Type="http://schemas.openxmlformats.org/officeDocument/2006/relationships/hyperlink" Target="https://www.theharriscenter.org/about" TargetMode="External"/><Relationship Id="rId243" Type="http://schemas.openxmlformats.org/officeDocument/2006/relationships/hyperlink" Target="https://www.google.com/maps/place/The+Harris+Center+Northeast+Community+Service+Center/@29.8038621,-95.301307,17z/data=!3m1!4b1!4m6!3m5!1s0x8640bbc38718c473:0x7f8a006bfe5d0099!8m2!3d29.8038622!4d-95.2964361!16s%2Fg%2F1tfg3ghx?entry=ttu&amp;g_ep=EgoyMDI1MTAxNC4wIKXMDSoASAFQAw%3D%3D" TargetMode="External"/><Relationship Id="rId239" Type="http://schemas.openxmlformats.org/officeDocument/2006/relationships/hyperlink" Target="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 TargetMode="External"/><Relationship Id="rId238" Type="http://schemas.openxmlformats.org/officeDocument/2006/relationships/hyperlink" Target="https://www.theharriscenter.org/about" TargetMode="External"/><Relationship Id="rId237" Type="http://schemas.openxmlformats.org/officeDocument/2006/relationships/hyperlink" Target="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 TargetMode="External"/><Relationship Id="rId236" Type="http://schemas.openxmlformats.org/officeDocument/2006/relationships/hyperlink" Target="https://www.theharriscenter.org/about" TargetMode="External"/><Relationship Id="rId231" Type="http://schemas.openxmlformats.org/officeDocument/2006/relationships/hyperlink" Target="https://mygooddays.org/apply/" TargetMode="External"/><Relationship Id="rId230" Type="http://schemas.openxmlformats.org/officeDocument/2006/relationships/hyperlink" Target="https://www.google.com/maps/place/4646+Cartwright+Rd,+Missouri+City,+TX+77459/@29.5832215,-95.5810433,17z/data=!3m1!4b1!4m5!3m4!1s0x8640e60bd7911823:0x55d673bee80c25cf!8m2!3d29.5832169!4d-95.5784684?entry=ttu&amp;g_ep=EgoyMDI1MTIwOS4wIKXMDSoKLDEwMDc5MjA2OUgBUAM%3D" TargetMode="External"/><Relationship Id="rId235" Type="http://schemas.openxmlformats.org/officeDocument/2006/relationships/hyperlink" Target="https://www.google.com/maps/place/2929+McKinney+St,+Houston,+TX+77003/@29.7471389,-95.3530624,17z/data=!3m1!4b1!4m6!3m5!1s0x8640bee1187d8e33:0x7670df80b23deb44!8m2!3d29.7471343!4d-95.3481915!16s%2Fg%2F11pw3k0tsn?entry=ttu&amp;g_ep=EgoyMDI2MDIxMS4wIKXMDSoASAFQAw%3D%3D" TargetMode="External"/><Relationship Id="rId234" Type="http://schemas.openxmlformats.org/officeDocument/2006/relationships/hyperlink" Target="http://www.graceafterfire.org/join-member.html" TargetMode="External"/><Relationship Id="rId233" Type="http://schemas.openxmlformats.org/officeDocument/2006/relationships/hyperlink" Target="https://www.goodshepherdmission.org/shelter.html" TargetMode="External"/><Relationship Id="rId232" Type="http://schemas.openxmlformats.org/officeDocument/2006/relationships/hyperlink" Target="https://www.google.com/maps/place/Good+Days/@33.1007054,-96.8327393,17z/data=!3m2!4b1!5s0x864c3c9c0bf995ad:0xbbcec9cafda1ee14!4m6!3m5!1s0x864c3cb2ae5991bf:0xa8731cd3b5584f3!8m2!3d33.1007054!4d-96.830159!16s%2Fg%2F1tdf1rts?entry=ttu&amp;g_ep=EgoyMDI2MDEyMC4wIKXMDSoKLDEwMDc5MjA2OUgBUAM%3D" TargetMode="External"/><Relationship Id="rId206"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205"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204"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203"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209"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208"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207" Type="http://schemas.openxmlformats.org/officeDocument/2006/relationships/hyperlink" Target="https://www.google.com/maps/place/Fort+Bend+County+Social+Services/@29.563525,-95.7824184,16z/data=!3m1!4b1!4m6!3m5!1s0x86411c2f271d90f3:0x3bf06deb66f2bbf7!8m2!3d29.563525!4d-95.7798435!16s%2Fg%2F1hc1q7bfp?entry=ttu&amp;g_ep=EgoyMDI1MDcyOS4wIKXMDSoASAFQAw%3D%3D" TargetMode="External"/><Relationship Id="rId202" Type="http://schemas.openxmlformats.org/officeDocument/2006/relationships/hyperlink" Target="https://www.google.com/maps/place/307+Texas+Pkwy,+Missouri+City,+TX+77489/@29.617227,-95.5386195,17z/data=!3m1!4b1!4m6!3m5!1s0x8640e8f2234e3d8b:0xb4b5026a11bf6b5a!8m2!3d29.617227!4d-95.5360446!16s%2Fg%2F11rp1xn5p6?entry=ttu&amp;g_ep=EgoyMDI1MDcyOS4wIKXMDSoASAFQAw%3D%3D" TargetMode="External"/><Relationship Id="rId201" Type="http://schemas.openxmlformats.org/officeDocument/2006/relationships/hyperlink" Target="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 TargetMode="External"/><Relationship Id="rId200" Type="http://schemas.openxmlformats.org/officeDocument/2006/relationships/hyperlink" Target="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 TargetMode="External"/><Relationship Id="rId190" Type="http://schemas.openxmlformats.org/officeDocument/2006/relationships/hyperlink" Target="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 TargetMode="External"/><Relationship Id="rId194" Type="http://schemas.openxmlformats.org/officeDocument/2006/relationships/hyperlink" Targe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 TargetMode="External"/><Relationship Id="rId193" Type="http://schemas.openxmlformats.org/officeDocument/2006/relationships/hyperlink" Targe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 TargetMode="External"/><Relationship Id="rId192" Type="http://schemas.openxmlformats.org/officeDocument/2006/relationships/hyperlink" Target="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 TargetMode="External"/><Relationship Id="rId191" Type="http://schemas.openxmlformats.org/officeDocument/2006/relationships/hyperlink" Target="https://fplh.org/about/" TargetMode="External"/><Relationship Id="rId187" Type="http://schemas.openxmlformats.org/officeDocument/2006/relationships/hyperlink" Target="https://www.ccfamilypromise.org/programs-and-services/" TargetMode="External"/><Relationship Id="rId186"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185" Type="http://schemas.openxmlformats.org/officeDocument/2006/relationships/hyperlink" Target="https://www.ccfamilypromise.org/programs-and-services/" TargetMode="External"/><Relationship Id="rId184"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189" Type="http://schemas.openxmlformats.org/officeDocument/2006/relationships/hyperlink" Target="https://fplh.org/about/" TargetMode="External"/><Relationship Id="rId188"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183" Type="http://schemas.openxmlformats.org/officeDocument/2006/relationships/hyperlink" Target="https://www.ccfamilypromise.org/programs-and-services/" TargetMode="External"/><Relationship Id="rId182" Type="http://schemas.openxmlformats.org/officeDocument/2006/relationships/hyperlink" Target="https://www.google.com/maps/place/14550+State+Hwy+3,+Webster,+TX+77598/@29.5738434,-95.1552923,17z/data=!3m1!4b1!4m6!3m5!1s0x86409bf2b16bea43:0x88d42ed69bcbdcff!8m2!3d29.5738388!4d-95.1527174!16s%2Fg%2F11ckqnx3bk?entry=ttu&amp;g_ep=EgoyMDI1MTIwOS4wIKXMDSoKLDEwMDc5MjA2OUgBUAM%3D" TargetMode="External"/><Relationship Id="rId181" Type="http://schemas.openxmlformats.org/officeDocument/2006/relationships/hyperlink" Target="https://www.ccfamilypromise.org/programs-and-services/" TargetMode="External"/><Relationship Id="rId180" Type="http://schemas.openxmlformats.org/officeDocument/2006/relationships/hyperlink" Target="https://www.google.com/maps/place/ECDC+HMC/@29.7272049,-95.573485,16z/data=!3m2!4b1!5s0x8640dcc54868f8f9:0x86f50a9fafa8b2e2!4m6!3m5!1s0x8640dd000be24131:0xf996ff29ae5ee5d2!8m2!3d29.7272049!4d-95.5709101!16s%2Fg%2F11y7s_m6ph?entry=ttu&amp;g_ep=EgoyMDI1MDcxMy4wIKXMDSoASAFQAw%3D%3D" TargetMode="External"/><Relationship Id="rId176" Type="http://schemas.openxmlformats.org/officeDocument/2006/relationships/hyperlink" Target="https://www.google.com/maps/place/East+End+Social+Services+Inc./@29.7505279,-95.3053317,17z/data=!4m15!1m8!3m7!1s0x8640bc22c586e303:0x1c1e980397081ddc!2s6801+Avenue+U,+Houston,+TX+77011!3b1!8m2!3d29.7505233!4d-95.3004554!16s%2Fg%2F11pw0kncx6!3m5!1s0x8640bc22c5874fd3:0x944629381533dfed!8m2!3d29.7505233!4d-95.3004554!16s%2Fg%2F11jk3rdb_8?entry=ttu&amp;g_ep=EgoyMDI1MDYwMy4wIKXMDSoASAFQAw%3D%3D" TargetMode="External"/><Relationship Id="rId175" Type="http://schemas.openxmlformats.org/officeDocument/2006/relationships/hyperlink" Target="https://eastendsocialservices.org/about-us" TargetMode="External"/><Relationship Id="rId174" Type="http://schemas.openxmlformats.org/officeDocument/2006/relationships/hyperlink" Target="https://dollarfor.org/how-we-help/" TargetMode="External"/><Relationship Id="rId173" Type="http://schemas.openxmlformats.org/officeDocument/2006/relationships/hyperlink" Target="https://www.google.com/maps/place/Denver+Harbor+Multi-Service+Center/@29.7720985,-95.3095812,16z/data=!3m1!4b1!4m6!3m5!1s0x8640bc00ddfbd2cb:0xd148e224cfb07332!8m2!3d29.7720939!4d-95.3047103!16s%2Fg%2F1tdnlhnb?entry=ttu&amp;g_ep=EgoyMDI2MDIwMS4wIKXMDSoKLDEwMDc5MjA2OUgBUAM%3D" TargetMode="External"/><Relationship Id="rId179" Type="http://schemas.openxmlformats.org/officeDocument/2006/relationships/hyperlink" Target="https://ecdchmc.org/refugee-resettlement-services" TargetMode="External"/><Relationship Id="rId178" Type="http://schemas.openxmlformats.org/officeDocument/2006/relationships/hyperlink" Target="https://www.google.com/maps/place/ECDC+HMC/@29.7272049,-95.573485,16z/data=!3m2!4b1!5s0x8640dcc54868f8f9:0x86f50a9fafa8b2e2!4m6!3m5!1s0x8640dd000be24131:0xf996ff29ae5ee5d2!8m2!3d29.7272049!4d-95.5709101!16s%2Fg%2F11y7s_m6ph?entry=ttu&amp;g_ep=EgoyMDI1MDcxMy4wIKXMDSoASAFQAw%3D%3D" TargetMode="External"/><Relationship Id="rId177" Type="http://schemas.openxmlformats.org/officeDocument/2006/relationships/hyperlink" Target="https://ecdchmc.org/refugee-resettlement-services" TargetMode="External"/><Relationship Id="rId198" Type="http://schemas.openxmlformats.org/officeDocument/2006/relationships/hyperlink" Target="https://www.google.com/maps/place/Fifth+Ward+Multi-Service+Center/@29.7721662,-95.33319,16z/data=!3m1!4b1!4m6!3m5!1s0x8640beb57aca7dc7:0x8f9d48cd55f703e5!8m2!3d29.7721616!4d-95.3306151!16s%2Fg%2F11bv30k8s6?entry=ttu&amp;g_ep=EgoyMDI2MDIwMS4wIKXMDSoKLDEwMDc5MjA2OUgBUAM%3D" TargetMode="External"/><Relationship Id="rId197" Type="http://schemas.openxmlformats.org/officeDocument/2006/relationships/hyperlink" Target="https://www.google.com/maps/place/Family+Reach/@42.3488309,-71.0770129,17z/data=!3m2!4b1!5s0x89e37a733f1d3301:0xb3e21cc92ac59e6b!4m6!3m5!1s0x89e37a733f730321:0x11208cbac7fe58f2!8m2!3d42.348831!4d-71.0721366!16s%2Fg%2F11d_zmqf63?entry=ttu&amp;g_ep=EgoyMDI2MDEyMC4wIKXMDSoKLDEwMDc5MjA2OUgBUAM%3D" TargetMode="External"/><Relationship Id="rId196" Type="http://schemas.openxmlformats.org/officeDocument/2006/relationships/hyperlink" Target="https://familyreach.org/financialassistance/" TargetMode="External"/><Relationship Id="rId195" Type="http://schemas.openxmlformats.org/officeDocument/2006/relationships/hyperlink" Target="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 TargetMode="External"/><Relationship Id="rId199" Type="http://schemas.openxmlformats.org/officeDocument/2006/relationships/hyperlink" Target="https://www.google.com/maps/place/Fifth+Ward+Multi-Service+Center/@29.7721662,-95.33319,16z/data=!3m1!4b1!4m6!3m5!1s0x8640beb57aca7dc7:0x8f9d48cd55f703e5!8m2!3d29.7721616!4d-95.3306151!16s%2Fg%2F11bv30k8s6?entry=ttu&amp;g_ep=EgoyMDI2MDIwMS4wIKXMDSoKLDEwMDc5MjA2OUgBUAM%3D" TargetMode="External"/><Relationship Id="rId150" Type="http://schemas.openxmlformats.org/officeDocument/2006/relationships/hyperlink" Target="https://www.google.com/maps/place/CancerCare/@40.7588086,-73.9770662,17z/data=!3m1!4b1!4m6!3m5!1s0x89c259a5490dd021:0x3bbe7b2b19568f81!8m2!3d40.7588086!4d-73.9744859!16s%2Fg%2F113gxx9fq?entry=ttu&amp;g_ep=EgoyMDI2MDEyMC4wIKXMDSoKLDEwMDc5MjA2OUgBUAM%3D" TargetMode="External"/><Relationship Id="rId149" Type="http://schemas.openxmlformats.org/officeDocument/2006/relationships/hyperlink" Target="https://www.cancercare.org/financial_assistance" TargetMode="External"/><Relationship Id="rId148" Type="http://schemas.openxmlformats.org/officeDocument/2006/relationships/hyperlink" Target="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 TargetMode="External"/><Relationship Id="rId143" Type="http://schemas.openxmlformats.org/officeDocument/2006/relationships/hyperlink" Target="https://bosplace.org/en/for-those-grieving/" TargetMode="External"/><Relationship Id="rId142" Type="http://schemas.openxmlformats.org/officeDocument/2006/relationships/hyperlink" Target="https://www.google.com/maps/place/Bezos+Academy+Houston+-+North+Shore/@29.8107826,-95.1845091,17z/data=!3m1!4b1!4m6!3m5!1s0x8640a5d9638816b3:0x13bc14c068b8a7b9!8m2!3d29.810778!4d-95.1819288!16s%2Fg%2F11tjj8sfy9?entry=ttu&amp;g_ep=EgoyMDI1MDYwNC4wIKXMDSoASAFQAw%3D%3D" TargetMode="External"/><Relationship Id="rId141" Type="http://schemas.openxmlformats.org/officeDocument/2006/relationships/hyperlink" Target="https://bezosacademy.org/schools/houston-north-shore-tx/" TargetMode="External"/><Relationship Id="rId140" Type="http://schemas.openxmlformats.org/officeDocument/2006/relationships/hyperlink" Target="https://www.google.com/maps/place/Bezos+Academy+Houston+-+Magnolia+Park/@29.734426,-95.2932709,17z/data=!3m1!4b1!4m6!3m5!1s0x8640bd0a1e9c7623:0xf334a3ae7443db1e!8m2!3d29.7344214!4d-95.2906906!16s%2Fg%2F11kpd0gr3w?entry=ttu&amp;g_ep=EgoyMDI1MDYwNC4wIKXMDSoASAFQAw%3D%3D" TargetMode="External"/><Relationship Id="rId147" Type="http://schemas.openxmlformats.org/officeDocument/2006/relationships/hyperlink" Target="https://www.campshield.org/tvcfund" TargetMode="External"/><Relationship Id="rId146" Type="http://schemas.openxmlformats.org/officeDocument/2006/relationships/hyperlink" Target="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 TargetMode="External"/><Relationship Id="rId145" Type="http://schemas.openxmlformats.org/officeDocument/2006/relationships/hyperlink" Target="https://www.campshield.org/tvcfund" TargetMode="External"/><Relationship Id="rId144" Type="http://schemas.openxmlformats.org/officeDocument/2006/relationships/hyperlink" Target="https://www.google.com/maps/place/Bo's+Place/@29.6729774,-95.4277638,17z/data=!3m1!4b1!4m6!3m5!1s0x8640ea9cad353625:0x755930ca4a53a7e6!8m2!3d29.6729728!4d-95.4251889!16s%2Fg%2F1tcv1v4h?entry=ttu&amp;g_ep=EgoyMDI1MTIwOS4wIKXMDSoKLDEwMDc5MjA2OUgBUAM%3D" TargetMode="External"/><Relationship Id="rId139" Type="http://schemas.openxmlformats.org/officeDocument/2006/relationships/hyperlink" Target="https://bezosacademy.org/schools/houston-magnolia-park-tx/" TargetMode="External"/><Relationship Id="rId138" Type="http://schemas.openxmlformats.org/officeDocument/2006/relationships/hyperlink" Target="https://www.google.com/maps/place/Bee+Busy+Wellness+Center/@29.6551599,-95.535136,17z/data=!3m1!4b1!4m6!3m5!1s0x8640e839f37ef8db:0x4926b02a82126fa!8m2!3d29.6551553!4d-95.5302597!16s%2Fg%2F11bwn5gt5t?entry=ttu&amp;g_ep=EgoyMDI1MDUwNy4wIKXMDSoASAFQAw%3D%3D" TargetMode="External"/><Relationship Id="rId137" Type="http://schemas.openxmlformats.org/officeDocument/2006/relationships/hyperlink" Target="https://mybbwc.org/" TargetMode="External"/><Relationship Id="rId132" Type="http://schemas.openxmlformats.org/officeDocument/2006/relationships/hyperlink" Target="https://www.google.com/maps/place/Be+An+Angel/@30.0800043,-95.4442114,17z/data=!3m1!4b1!4m6!3m5!1s0x8640b65ef32a029f:0xfb3e902cd13dd03f!8m2!3d30.0799997!4d-95.4393405!16s%2Fg%2F1tf1p6jm?entry=ttu&amp;g_ep=EgoyMDI1MTIwOS4wIKXMDSoKLDEwMDc5MjA2OUgBUAM%3D" TargetMode="External"/><Relationship Id="rId131" Type="http://schemas.openxmlformats.org/officeDocument/2006/relationships/hyperlink" Target="https://www.google.com/maps/place/Be+An+Angel/@30.0800043,-95.4442114,17z/data=!3m1!4b1!4m6!3m5!1s0x8640b65ef32a029f:0xfb3e902cd13dd03f!8m2!3d30.0799997!4d-95.4393405!16s%2Fg%2F1tf1p6jm?entry=ttu&amp;g_ep=EgoyMDI1MTIwOS4wIKXMDSoKLDEwMDc5MjA2OUgBUAM%3D" TargetMode="External"/><Relationship Id="rId130" Type="http://schemas.openxmlformats.org/officeDocument/2006/relationships/hyperlink" Target="https://www.google.com/maps/place/Be+An+Angel/@30.0800043,-95.4442114,17z/data=!3m1!4b1!4m6!3m5!1s0x8640b65ef32a029f:0xfb3e902cd13dd03f!8m2!3d30.0799997!4d-95.4393405!16s%2Fg%2F1tf1p6jm?entry=ttu&amp;g_ep=EgoyMDI1MTIwOS4wIKXMDSoKLDEwMDc5MjA2OUgBUAM%3D" TargetMode="External"/><Relationship Id="rId136" Type="http://schemas.openxmlformats.org/officeDocument/2006/relationships/hyperlink" Target="https://www.google.com/maps/place/Bee+Busy+Wellness+Center/@29.6551599,-95.535136,17z/data=!3m1!4b1!4m6!3m5!1s0x8640e839f37ef8db:0x4926b02a82126fa!8m2!3d29.6551553!4d-95.5302597!16s%2Fg%2F11bwn5gt5t?entry=ttu&amp;g_ep=EgoyMDI1MDUwNy4wIKXMDSoASAFQAw%3D%3D" TargetMode="External"/><Relationship Id="rId135" Type="http://schemas.openxmlformats.org/officeDocument/2006/relationships/hyperlink" Target="https://mybbwc.org/" TargetMode="External"/><Relationship Id="rId134" Type="http://schemas.openxmlformats.org/officeDocument/2006/relationships/hyperlink" Target="https://www.google.com/maps/place/Bee+Busy+Wellness+Center/@29.6551599,-95.535136,17z/data=!3m1!4b1!4m6!3m5!1s0x8640e839f37ef8db:0x4926b02a82126fa!8m2!3d29.6551553!4d-95.5302597!16s%2Fg%2F11bwn5gt5t?entry=ttu&amp;g_ep=EgoyMDI1MDUwNy4wIKXMDSoASAFQAw%3D%3D" TargetMode="External"/><Relationship Id="rId133" Type="http://schemas.openxmlformats.org/officeDocument/2006/relationships/hyperlink" Target="https://mybbwc.org/" TargetMode="External"/><Relationship Id="rId172" Type="http://schemas.openxmlformats.org/officeDocument/2006/relationships/hyperlink" Target="https://www.google.com/maps/place/Denver+Harbor+Multi-Service+Center/@29.7720985,-95.3095812,16z/data=!3m1!4b1!4m6!3m5!1s0x8640bc00ddfbd2cb:0xd148e224cfb07332!8m2!3d29.7720939!4d-95.3047103!16s%2Fg%2F1tdnlhnb?entry=ttu&amp;g_ep=EgoyMDI2MDIwMS4wIKXMDSoKLDEwMDc5MjA2OUgBUAM%3D" TargetMode="External"/><Relationship Id="rId171" Type="http://schemas.openxmlformats.org/officeDocument/2006/relationships/hyperlink" Target="https://danshouseofhope.org/" TargetMode="External"/><Relationship Id="rId170" Type="http://schemas.openxmlformats.org/officeDocument/2006/relationships/hyperlink" Target="https://www.google.com/maps/place/Cornerstone+Garden+Apartments/@29.99105,-95.484959,16z/data=!4m6!3m5!1s0x8640cc7ba48de0d7:0x1978e87cff30674e!8m2!3d29.9910503!4d-95.4849588!16s%2Fg%2F1tm8kzm1?hl=en&amp;entry=ttu&amp;g_ep=EgoyMDI1MDUxMS4wIKXMDSoASAFQAw%3D%3D" TargetMode="External"/><Relationship Id="rId165" Type="http://schemas.openxmlformats.org/officeDocument/2006/relationships/hyperlink" Target="https://www.google.com/maps/place/Terry's+Tables+Food+Pantry/@30.3404025,-95.3369883,17z/data=!3m1!4b1!4m6!3m5!1s0x86474157df0ab6ad:0x35df802e22c150bd!8m2!3d30.3403979!4d-95.3344134!16s%2Fg%2F11vdn6kvtc?entry=ttu&amp;g_ep=EgoyMDI1MTAwOC4wIKXMDSoASAFQAw%3D%3D" TargetMode="External"/><Relationship Id="rId164" Type="http://schemas.openxmlformats.org/officeDocument/2006/relationships/hyperlink" Target="https://compassionunited.us/programs/food-pantry" TargetMode="External"/><Relationship Id="rId163" Type="http://schemas.openxmlformats.org/officeDocument/2006/relationships/hyperlink" Target="https://cac-mctx.org/food-pantry/" TargetMode="External"/><Relationship Id="rId162" Type="http://schemas.openxmlformats.org/officeDocument/2006/relationships/hyperlink" Target="https://cac-mctx.org/food-pantry/" TargetMode="External"/><Relationship Id="rId169" Type="http://schemas.openxmlformats.org/officeDocument/2006/relationships/hyperlink" Target="https://rhf.org/cornerstone-gardens/" TargetMode="External"/><Relationship Id="rId168" Type="http://schemas.openxmlformats.org/officeDocument/2006/relationships/hyperlink" Target="https://www.google.com/maps/place/Coalition+for+the+Homeless+of+Houston%2FHarris+County/@29.7460168,-95.3712344,17z/data=!3m2!4b1!5s0x8640bf168aa71315:0x21872ff2ea0f1ffe!4m6!3m5!1s0x8640bf3be4e7bf41:0xe740d0842b94faaf!8m2!3d29.7460122!4d-95.3663581!16s%2Fg%2F1hc35nzp4?entry=ttu&amp;g_ep=EgoyMDI1MTIwOS4wIKXMDSoKLDEwMDc5MjA2OUgBUAM%3D" TargetMode="External"/><Relationship Id="rId167" Type="http://schemas.openxmlformats.org/officeDocument/2006/relationships/hyperlink" Target="https://www.google.com/maps/place/Compassion+United,+Inc./@30.2910199,-95.4515063,17z/data=!3m1!4b1!4m6!3m5!1s0x864739d53fc4c44b:0x5146b0c0cd21bbc9!8m2!3d30.2910153!4d-95.4489314!16s%2Fg%2F11kglyb270?entry=ttu&amp;g_ep=EgoyMDI1MTAwOC4wIKXMDSoASAFQAw%3D%3D" TargetMode="External"/><Relationship Id="rId166" Type="http://schemas.openxmlformats.org/officeDocument/2006/relationships/hyperlink" Target="https://compassionunited.us/programs/day-services" TargetMode="External"/><Relationship Id="rId161" Type="http://schemas.openxmlformats.org/officeDocument/2006/relationships/hyperlink" Target="https://www.google.com/maps/place/St.+Mary+of+the+Purification+Catholic+Church/@29.719239,-95.3709943,17z/data=!4m10!1m2!2m1!1sSt.+mary+of+the+purification+Catholic+School!3m6!1s0x8640bfa3e8caddc5:0xba774b73e5ab46f0!8m2!3d29.7192068!4d-95.3682173!15sCixTdC4gbWFyeSBvZiB0aGUgcHVyaWZpY2F0aW9uIENhdGhvbGljIFNjaG9vbFotIitzdCBtYXJ5IG9mIHRoZSBwdXJpZmljYXRpb24gY2F0aG9saWMgc2Nob29skgEPY2F0aG9saWNfY2h1cmNomgEkQ2hkRFNVaE5NRzluUzBWSlEwRm5UVVJ2YUdFeVZuQjNSUkFCqgFyCggvbS8wNnpkahABKhMiD2NhdGhvbGljIHNjaG9vbCgAMh4QASIaivpQatuuFByfF6rnR1qtCsAjZZbMX3t2fm0yLxACIitzdCBtYXJ5IG9mIHRoZSBwdXJpZmljYXRpb24gY2F0aG9saWMgc2Nob29s4AEA-gEECEUQIw!16s%2Fg%2F1w0h__72?entry=ttu&amp;g_ep=EgoyMDI1MDcwOS4wIKXMDSoASAFQAw%3D%3D" TargetMode="External"/><Relationship Id="rId160" Type="http://schemas.openxmlformats.org/officeDocument/2006/relationships/hyperlink" Target="https://www.google.com/maps/place/St.+Christopher+Catholic+School/@29.6870746,-95.2753515,17z/data=!4m15!1m8!3m7!1s0x8640bd87031223f5:0x9a47f52956c33225!2sSt.+Christopher+Catholic+School!8m2!3d29.6865913!4d-95.2748516!10e5!16s%2Fg%2F1tgdjck5!3m5!1s0x8640bd87031223f5:0x9a47f52956c33225!8m2!3d29.6865913!4d-95.2748516!16s%2Fg%2F1tgdjck5?entry=ttu&amp;g_ep=EgoyMDI1MDcwOS4wIKXMDSoASAFQAw%3D%3D" TargetMode="External"/><Relationship Id="rId159" Type="http://schemas.openxmlformats.org/officeDocument/2006/relationships/hyperlink" Target="https://www.google.com/maps/place/St+Augustine+Catholic+School/@29.6786822,-95.2399734,17z/data=!3m1!4b1!4m6!3m5!1s0x864097e4ba183421:0x97223d28ab01a41!8m2!3d29.6786822!4d-95.2373931!16s%2Fg%2F1tk6qpy_?entry=ttu&amp;g_ep=EgoyMDI1MDcwOS4wIKXMDSoASAFQAw%3D%3D" TargetMode="External"/><Relationship Id="rId154" Type="http://schemas.openxmlformats.org/officeDocument/2006/relationships/hyperlink" Target="https://www.google.com/maps/place/Holy+Ghost+Catholic+School/@29.7040289,-95.4790869,17z/data=!3m1!4b1!4m6!3m5!1s0x8640c18a3d8d6bef:0x92ee8fcd5bbd276e!8m2!3d29.7040289!4d-95.4765066!16s%2Fg%2F1vzqsn41?entry=ttu&amp;g_ep=EgoyMDI1MDcwOS4wIKXMDSoASAFQAw%3D%3D" TargetMode="External"/><Relationship Id="rId153" Type="http://schemas.openxmlformats.org/officeDocument/2006/relationships/hyperlink" Target="https://christclinickaty.org/home" TargetMode="External"/><Relationship Id="rId152" Type="http://schemas.openxmlformats.org/officeDocument/2006/relationships/hyperlink" Target="https://ccchouston.org/dahs/" TargetMode="External"/><Relationship Id="rId151" Type="http://schemas.openxmlformats.org/officeDocument/2006/relationships/hyperlink" Target="https://www.hhs.texas.gov/services/health/medicaid-chip/medicaid-chip-programs-services/medicaid-pregnant-women-chip-perinatal" TargetMode="External"/><Relationship Id="rId158" Type="http://schemas.openxmlformats.org/officeDocument/2006/relationships/hyperlink" Target="https://www.google.com/maps/place/Resurrection+Catholic+School/@29.7719345,-95.305051,17z/data=!3m1!4b1!4m6!3m5!1s0x8640bc0654dffbc7:0x7e693d00552be868!8m2!3d29.7719345!4d-95.3024707!16s%2Fg%2F1wj_tnc3?entry=ttu&amp;g_ep=EgoyMDI1MDcwOS4wIKXMDSoASAFQAw%3D%3D" TargetMode="External"/><Relationship Id="rId157" Type="http://schemas.openxmlformats.org/officeDocument/2006/relationships/hyperlink" Target="https://www.google.com/maps/place/Our+Lady+of+Guadalupe+Catholic+School/@29.7593589,-95.3489433,17z/data=!3m1!4b1!4m6!3m5!1s0x8640bedbaba8ed2b:0x7e510a6ea6154931!8m2!3d29.759359!4d-95.344067!16s%2Fm%2F0m0kym5?entry=ttu&amp;g_ep=EgoyMDI1MDcwOS4wIKXMDSoASAFQAw%3D%3D" TargetMode="External"/><Relationship Id="rId156" Type="http://schemas.openxmlformats.org/officeDocument/2006/relationships/hyperlink" Target="https://www.google.com/maps/place/Our+Lady+of+Fatima+School/@29.3940095,-94.919865,17z/data=!3m1!4b1!4m6!3m5!1s0x863f79be9b23ce77:0xf3caa6e91405187b!8m2!3d29.3940095!4d-94.9172847!16s%2Fg%2F1v2gf3zc?entry=ttu&amp;g_ep=EgoyMDI1MDcwOS4wIKXMDSoASAFQAw%3D%3D" TargetMode="External"/><Relationship Id="rId155" Type="http://schemas.openxmlformats.org/officeDocument/2006/relationships/hyperlink" Target="https://www.google.com/maps/place/Our+Lady+of+Fatima+Catholic+Church/@29.7389476,-95.2408493,17z/data=!4m10!1m2!2m1!1sour+lady+of+fatima+galena+park!3m6!1s0x8640bcda1a0f2a7b:0x6fe28e984c1dcd07!8m2!3d29.7386309!4d-95.2382359!15sCh5vdXIgbGFkeSBvZiBmYXRpbWEgZ2FsZW5hIHBhcmuSAQ9jYXRob2xpY19jaHVyY2iqAUcQATIfEAEiG0k0fNQERmCv2TL994M3Zd-yzQD_S4x1t716fjIiEAIiHm91ciBsYWR5IG9mIGZhdGltYSBnYWxlbmEgcGFya-ABAA!16s%2Fg%2F1tf7y2tb?entry=ttu&amp;g_ep=EgoyMDI1MDcwOS4wIKXMDSoASAFQAw%3D%3D" TargetMode="External"/><Relationship Id="rId107" Type="http://schemas.openxmlformats.org/officeDocument/2006/relationships/hyperlink" Target="https://bakerripley.org/programs-and-services/head-start/" TargetMode="External"/><Relationship Id="rId106" Type="http://schemas.openxmlformats.org/officeDocument/2006/relationships/hyperlink" Target="https://www.google.com/maps/place/1424+FM+1092+Rd,+Missouri+City,+TX+77459/@29.5989383,-95.5655302,19z/data=!4m6!3m5!1s0x8640e61ef253d823:0x321bca4a29430758!8m2!3d29.5989337!4d-95.5648865!16s%2Fg%2F11bw41rwrk?entry=ttu&amp;g_ep=EgoyMDI1MDcxNi4wIKXMDSoASAFQAw%3D%3D" TargetMode="External"/><Relationship Id="rId105" Type="http://schemas.openxmlformats.org/officeDocument/2006/relationships/hyperlink" Target="https://bakerripley.org/programs-and-services/head-start/" TargetMode="External"/><Relationship Id="rId104" Type="http://schemas.openxmlformats.org/officeDocument/2006/relationships/hyperlink" Target="https://www.google.com/maps/place/Klein+Early+Head+Start%2FHead+Start/@29.7173682,-95.4951888,21z/data=!4m15!1m8!3m7!1s0x8640c23441127843:0x92ee027a0a25da88!2s6447+Prestwood+Dr,+Houston,+TX+77081!3b1!8m2!3d29.7173636!4d-95.4950279!16s%2Fg%2F11b8v5k9by!3m5!1s0x8640c23441c06825:0x3e3cde99b3f97dc!8m2!3d29.7174035!4d-95.4950293!16s%2Fg%2F1tqcllqj?entry=ttu&amp;g_ep=EgoyMDI1MDcxNi4wIKXMDSoASAFQAw%3D%3D" TargetMode="External"/><Relationship Id="rId109" Type="http://schemas.openxmlformats.org/officeDocument/2006/relationships/hyperlink" Target="https://bakerripley.org/programs-and-services/head-start/" TargetMode="External"/><Relationship Id="rId108" Type="http://schemas.openxmlformats.org/officeDocument/2006/relationships/hyperlink" Target="https://www.google.com/maps/place/Neff+Early+Learning+Center/@29.6976527,-95.5317781,17z/data=!3m1!4b1!4m6!3m5!1s0x8640c2f2b75a3d07:0x74e590993aba83e4!8m2!3d29.6976481!4d-95.5292032!16s%2Fg%2F11g6nkgvdf?entry=ttu&amp;g_ep=EgoyMDI1MDcxNi4wIKXMDSoASAFQAw%3D%3D" TargetMode="External"/><Relationship Id="rId103" Type="http://schemas.openxmlformats.org/officeDocument/2006/relationships/hyperlink" Target="https://bakerripley.org/programs-and-services/head-start/" TargetMode="External"/><Relationship Id="rId102" Type="http://schemas.openxmlformats.org/officeDocument/2006/relationships/hyperlink" Target="https://www.google.com/maps/place/Head+Start-+Kingdom+Builders'+Center/@29.6155841,-95.5086264,15z/data=!4m10!1m2!2m1!1sbakerripley+head+start+kingdom!3m6!1s0x8640eb2b58ddca71:0x2a1436a05aecabb!8m2!3d29.625401!4d-95.4712093!15sCh5iYWtlcnJpcGxleSBoZWFkIHN0YXJ0IGtpbmdkb22SARFoZWFkX3N0YXJ0X2NlbnRlcqoBXxABKhYiEmhlYWQgc3RhcnQga2luZ2RvbSgAMh8QASIbAvUOoj5TeG5nv6UM0_j0lOt4kVoep-M3H2UbMiIQAiIeYmFrZXJyaXBsZXkgaGVhZCBzdGFydCBraW5nZG9t4AEA!16s%2Fg%2F11x6y0kbrp?entry=ttu&amp;g_ep=EgoyMDI1MDcxNi4wIKXMDSoASAFQAw%3D%3D" TargetMode="External"/><Relationship Id="rId101" Type="http://schemas.openxmlformats.org/officeDocument/2006/relationships/hyperlink" Target="https://bakerripley.org/programs-and-services/head-start/" TargetMode="External"/><Relationship Id="rId100" Type="http://schemas.openxmlformats.org/officeDocument/2006/relationships/hyperlink" Target="https://www.google.com/maps/place/BakerRipley+Head+Start+-+Kenforest/@29.6041536,-95.5285942,17z/data=!3m1!4b1!4m6!3m5!1s0x8640e9c4e38ffe19:0x75b36a42d92269a1!8m2!3d29.604149!4d-95.5260193!16s%2Fg%2F11x8m8ft8p?entry=ttu&amp;g_ep=EgoyMDI1MDcxNi4wIKXMDSoASAFQAw%3D%3D" TargetMode="External"/><Relationship Id="rId129" Type="http://schemas.openxmlformats.org/officeDocument/2006/relationships/hyperlink" Target="https://www.google.com/maps/place/1000+Lee+Dr,+Baytown,+TX+77520/@29.7265884,-94.9828089,17z/data=!4m15!1m8!3m7!1s0x863f5e7638779e7b:0xefc888dfd7a142ac!2s1000+Lee+Dr,+Baytown,+TX+77520!3b1!8m2!3d29.7265885!4d-94.9779326!16s%2Fg%2F11bw3y03hz!3m5!1s0x863f5e7638779e7b:0xefc888dfd7a142ac!8m2!3d29.7265885!4d-94.9779326!16s%2Fg%2F11bw3y03hz?entry=ttu&amp;g_ep=EgoyMDI2MDEyNS4wIKXMDSoKLDEwMDc5MjA2OUgBUAM%3D" TargetMode="External"/><Relationship Id="rId128" Type="http://schemas.openxmlformats.org/officeDocument/2006/relationships/hyperlink" Target="https://publichealth.harriscountytx.gov/Divisions-Offices/Divisions/Community-Health-Wellness-Division/Dental-Health-Prevention/Dental-Clinics" TargetMode="External"/><Relationship Id="rId127" Type="http://schemas.openxmlformats.org/officeDocument/2006/relationships/hyperlink" Target="https://www.google.com/maps/place/Bay+Area+Homeless+Services/@29.7294028,-95.0109756,17z/data=!3m1!4b1!4m6!3m5!1s0x863f5e500370e147:0x76860ff198a252a8!8m2!3d29.7293982!4d-95.0084007!16s%2Fg%2F1thx4fbd?entry=ttu&amp;g_ep=EgoyMDI1MTAwOC4wIKXMDSoASAFQAw%3D%3D" TargetMode="External"/><Relationship Id="rId126" Type="http://schemas.openxmlformats.org/officeDocument/2006/relationships/hyperlink" Target="https://www.google.com/maps/place/BARC+Adoption+Center/@29.7920619,-95.3472829,16z/data=!4m15!1m8!3m7!1s0x8640b9239b0f7fe7:0x59d2b7e00f2f5e59!2s3300+Carr+St,+Houston,+TX+77026!3b1!8m2!3d29.7920573!4d-95.344708!16s%2Fg%2F11c5jmk8gg!3m5!1s0x8640b9238e2ab50f:0x63f064148ef9dc9c!8m2!3d29.7920573!4d-95.344708!16s%2Fg%2F11fnnnmmgx?entry=ttu&amp;g_ep=EgoyMDI1MDkyMi4wIKXMDSoASAFQAw%3D%3D" TargetMode="External"/><Relationship Id="rId121" Type="http://schemas.openxmlformats.org/officeDocument/2006/relationships/hyperlink" Target="https://bakerripley.org/programs-and-services/tax-assistance/" TargetMode="External"/><Relationship Id="rId120" Type="http://schemas.openxmlformats.org/officeDocument/2006/relationships/hyperlink" Target="https://bakerripley.org/locations/pasadena-campus/" TargetMode="External"/><Relationship Id="rId125" Type="http://schemas.openxmlformats.org/officeDocument/2006/relationships/hyperlink" Target="https://www.houstontx.gov/barc/wellnesscenter.html" TargetMode="External"/><Relationship Id="rId124" Type="http://schemas.openxmlformats.org/officeDocument/2006/relationships/hyperlink" Target="https://bakerripley.org/locations/ripley-house/" TargetMode="External"/><Relationship Id="rId123" Type="http://schemas.openxmlformats.org/officeDocument/2006/relationships/hyperlink" Target="https://bakerripley.org/programs-and-services/tax-assistance/" TargetMode="External"/><Relationship Id="rId122" Type="http://schemas.openxmlformats.org/officeDocument/2006/relationships/hyperlink" Target="https://bakerripley.org/programs-and-services/immigration-and-citizenship-services/" TargetMode="External"/><Relationship Id="rId118" Type="http://schemas.openxmlformats.org/officeDocument/2006/relationships/hyperlink" Target="https://www.google.com/maps/place/Stafford+early+childhood+center/@29.6053812,-95.5434129,19z/data=!4m10!1m2!2m1!1sstafford+head+start!3m6!1s0x8640e95995dcac2d:0x84e0a518b33fff72!8m2!3d29.605063!4d-95.5436774!15sChNzdGFmZm9yZCBoZWFkIHN0YXJ0WhUiE3N0YWZmb3JkIGhlYWQgc3RhcnSSAQZzY2hvb2yaASRDaGREU1VoTk1HOW5TMFZKUTBGblNVUlNiMXAyUzNCM1JSQUKqAVUQASoXIhNzdGFmZm9yZCBoZWFkIHN0YXJ0KAAyHxABIhtFxnW10jTXhWNJabHYZAV3bLl_r3xLKjCU3JgyFxACIhNzdGFmZm9yZCBoZWFkIHN0YXJ04AEA-gEECAoQLA!16s%2Fg%2F11gtymnjqd?entry=ttu&amp;g_ep=EgoyMDI1MDcxNi4wIKXMDSoASAFQAw%3D%3D" TargetMode="External"/><Relationship Id="rId117" Type="http://schemas.openxmlformats.org/officeDocument/2006/relationships/hyperlink" Target="https://bakerripley.org/programs-and-services/head-start/" TargetMode="External"/><Relationship Id="rId116" Type="http://schemas.openxmlformats.org/officeDocument/2006/relationships/hyperlink" Target="https://www.google.com/maps/place/BakerRipley+Head+Start+-+Spring+Branch/@29.7959661,-95.5314128,17z/data=!3m1!4b1!4m6!3m5!1s0x8640c4f1ed305b2d:0x3700b398a0857bef!8m2!3d29.7959615!4d-95.5288379!16s%2Fg%2F1tdjrjds?entry=ttu&amp;g_ep=EgoyMDI1MDcxNi4wIKXMDSoASAFQAw%3D%3D" TargetMode="External"/><Relationship Id="rId115" Type="http://schemas.openxmlformats.org/officeDocument/2006/relationships/hyperlink" Target="https://bakerripley.org/programs-and-services/head-start/" TargetMode="External"/><Relationship Id="rId119" Type="http://schemas.openxmlformats.org/officeDocument/2006/relationships/hyperlink" Target="https://bakerripley.org/locations/pasadena-campus/" TargetMode="External"/><Relationship Id="rId110" Type="http://schemas.openxmlformats.org/officeDocument/2006/relationships/hyperlink" Target="https://www.google.com/maps/place/8575+Pitner+Rd,+Houston,+TX+77080/@29.8285851,-95.5013535,20z/data=!4m6!3m5!1s0x8640c5b8fb651835:0xb55fd1ecd9e6a24a!8m2!3d29.8285805!4d-95.5010316!16s%2Fg%2F11c43xxb8c?entry=ttu&amp;g_ep=EgoyMDI1MDcxNi4wIKXMDSoASAFQAw%3D%3D" TargetMode="External"/><Relationship Id="rId114" Type="http://schemas.openxmlformats.org/officeDocument/2006/relationships/hyperlink" Target="https://www.google.com/maps/place/Sharpview+Head+Start/@29.7002862,-95.5980687,16z/data=!3m1!4b1!4m6!3m5!1s0x8640dd0dd5645d1d:0xcce010319c5a7018!8m2!3d29.7002816!4d-95.5954938!16s%2Fg%2F1th57cky?entry=ttu&amp;g_ep=EgoyMDI1MDcxNi4wIKXMDSoASAFQAw%3D%3D" TargetMode="External"/><Relationship Id="rId113" Type="http://schemas.openxmlformats.org/officeDocument/2006/relationships/hyperlink" Target="https://bakerripley.org/programs-and-services/head-start/" TargetMode="External"/><Relationship Id="rId112" Type="http://schemas.openxmlformats.org/officeDocument/2006/relationships/hyperlink" Target="https://www.google.com/maps/place/Regency+Square+Early+Head+Start%2FHead+Start%2FHome+Based/@29.7151963,-95.5119039,17z/data=!3m2!4b1!5s0x8640c25200698aab:0x96e1b52a042a82d!4m6!3m5!1s0x8640c238316c3b35:0x3721a8c9292a221!8m2!3d29.7151917!4d-95.509329!16s%2Fm%2F076jbnn?entry=ttu&amp;g_ep=EgoyMDI1MDcxNi4wIKXMDSoASAFQAw%3D%3D" TargetMode="External"/><Relationship Id="rId111" Type="http://schemas.openxmlformats.org/officeDocument/2006/relationships/hyperlink" Target="https://bakerripley.org/programs-and-services/head-start/" TargetMode="External"/><Relationship Id="rId494" Type="http://schemas.openxmlformats.org/officeDocument/2006/relationships/drawing" Target="../drawings/drawing3.xml"/><Relationship Id="rId493" Type="http://schemas.openxmlformats.org/officeDocument/2006/relationships/hyperlink" Target="https://www.google.com/maps/place/WorkFaith/@29.659502,-95.394155,18z/data=!4m6!3m5!1s0x8640bf792ee92aff:0xadb423e2e11c744b!8m2!3d29.6594974!4d-95.3928675!16s%2Fg%2F1txnpvkg?entry=ttu&amp;g_ep=EgoyMDI1MDgxMy4wIKXMDSoASAFQAw%3D%3D" TargetMode="External"/><Relationship Id="rId492" Type="http://schemas.openxmlformats.org/officeDocument/2006/relationships/hyperlink" Target="https://www.google.com/maps/place/West+End+Multi-Service+Center/@29.7725472,-95.399352,17z/data=!3m1!4b1!4m6!3m5!1s0x8640c754d9f4837f:0x21762eef026d572!8m2!3d29.7725426!4d-95.3967771!16s%2Fg%2F11b70dhgp4?entry=ttu&amp;g_ep=EgoyMDI2MDIwMS4wIKXMDSoKLDEwMDc5MjA2OUgBUAM%3D" TargetMode="External"/><Relationship Id="rId409" Type="http://schemas.openxmlformats.org/officeDocument/2006/relationships/hyperlink" Target="https://pet-set.org/spay-neuter/" TargetMode="External"/><Relationship Id="rId404" Type="http://schemas.openxmlformats.org/officeDocument/2006/relationships/hyperlink" Target="https://www.google.com/maps/place/170+Heights+Blvd,+Houston,+TX+77007/@29.7725268,-95.4016586,17z/data=!3m1!4b1!4m6!3m5!1s0x8640c754d83428b3:0xaa4f65a9c8d458e9!8m2!3d29.7725222!4d-95.3967823!16s%2Fg%2F11bw4bzbp9?entry=ttu&amp;g_ep=EgoyMDI2MDIxMS4wIKXMDSoASAFQAw%3D%3D" TargetMode="External"/><Relationship Id="rId403" Type="http://schemas.openxmlformats.org/officeDocument/2006/relationships/hyperlink" Target="https://houstontx.gov/vetaffairs/" TargetMode="External"/><Relationship Id="rId402" Type="http://schemas.openxmlformats.org/officeDocument/2006/relationships/hyperlink" Target="https://rhf.org/northvale-village/" TargetMode="External"/><Relationship Id="rId401" Type="http://schemas.openxmlformats.org/officeDocument/2006/relationships/hyperlink" Target="https://www.google.com/maps/place/Houston+Health+Department+Northeast+Multi-Service+Center/@29.8494671,-95.3072852,17z/data=!3m1!4b1!4m6!3m5!1s0x8640ba1bec1d4d1d:0x916c1316cb5b15ba!8m2!3d29.8494625!4d-95.3047103!16s%2Fg%2F11bw5t6nzd?entry=ttu&amp;g_ep=EgoyMDI2MDIwMS4wIKXMDSoKLDEwMDc5MjA2OUgBUAM%3D" TargetMode="External"/><Relationship Id="rId408" Type="http://schemas.openxmlformats.org/officeDocument/2006/relationships/hyperlink" Target="https://www.google.com/maps/place/Patient+Advocate+Foundation/@37.0617733,-76.4118891,17z/data=!3m1!4b1!4m6!3m5!1s0x89ba83010a452603:0x5ebd3cb48ede74e4!8m2!3d37.0617734!4d-76.4070128!16s%2Fg%2F1vkxn4xs?entry=ttu&amp;g_ep=EgoyMDI2MDEyMC4wIKXMDSoKLDEwMDc5MjA2OUgBUAM%3D" TargetMode="External"/><Relationship Id="rId407" Type="http://schemas.openxmlformats.org/officeDocument/2006/relationships/hyperlink" Target="https://www.patientadvocate.org/connect-with-services/financial-aid-funds/" TargetMode="External"/><Relationship Id="rId406" Type="http://schemas.openxmlformats.org/officeDocument/2006/relationships/hyperlink" Target="https://www.google.com/maps/place/Patient+Advocate+Foundation/@37.0617733,-76.4118891,17z/data=!3m1!4b1!4m6!3m5!1s0x89ba83010a452603:0x5ebd3cb48ede74e4!8m2!3d37.0617734!4d-76.4070128!16s%2Fg%2F1vkxn4xs?entry=ttu&amp;g_ep=EgoyMDI2MDEyMC4wIKXMDSoKLDEwMDc5MjA2OUgBUAM%3D" TargetMode="External"/><Relationship Id="rId405" Type="http://schemas.openxmlformats.org/officeDocument/2006/relationships/hyperlink" Target="https://www.patientadvocate.org/connect-with-services/case-management-services-and-carelines/" TargetMode="External"/><Relationship Id="rId400" Type="http://schemas.openxmlformats.org/officeDocument/2006/relationships/hyperlink" Target="https://www.google.com/maps/place/Houston+Health+Department+Northeast+Multi-Service+Center/@29.8494671,-95.3072852,17z/data=!3m1!4b1!4m6!3m5!1s0x8640ba1bec1d4d1d:0x916c1316cb5b15ba!8m2!3d29.8494625!4d-95.3047103!16s%2Fg%2F11bw5t6nzd?entry=ttu&amp;g_ep=EgoyMDI2MDIwMS4wIKXMDSoKLDEwMDc5MjA2OUgBUAM%3D" TargetMode="External"/><Relationship Id="rId469" Type="http://schemas.openxmlformats.org/officeDocument/2006/relationships/hyperlink" Target="https://houstonlighthouse.org/" TargetMode="External"/><Relationship Id="rId468" Type="http://schemas.openxmlformats.org/officeDocument/2006/relationships/hyperlink" Target="https://www.google.com/maps/place/The+Landing+Drop-In+Center/@29.6771389,-95.5578151,16z/data=!3m1!4b1!4m6!3m5!1s0x8640c2a8e9e9b749:0xeb138e54bcc8caa9!8m2!3d29.6771343!4d-95.5529442!16s%2Fg%2F11d_yph8l8?entry=ttu&amp;g_ep=EgoyMDI2MDIwMS4wIKXMDSoKLDEwMDc5MjA2OUgBUAM%3D" TargetMode="External"/><Relationship Id="rId467" Type="http://schemas.openxmlformats.org/officeDocument/2006/relationships/hyperlink" Target="https://thelanding.org/our-work/" TargetMode="External"/><Relationship Id="rId462" Type="http://schemas.openxmlformats.org/officeDocument/2006/relationships/hyperlink" Target="https://www.google.com/maps/place/People+Who+Make+A+Difference+Foundation/@28.4598594,-81.4580731,17z/data=!3m2!4b1!5s0x88e77ef17f6df0ff:0xc9b545a2e348cf29!4m6!3m5!1s0x88e77e78e4fa3c8d:0x5e24cac5ad0dbe0e!8m2!3d28.4598594!4d-81.4554928!16s%2Fg%2F11f3wb6p64?entry=ttu&amp;g_ep=EgoyMDI2MDEyMC4wIKXMDSoKLDEwMDc5MjA2OUgBUAM%3D" TargetMode="External"/><Relationship Id="rId461" Type="http://schemas.openxmlformats.org/officeDocument/2006/relationships/hyperlink" Target="https://tafcares.org/patients/eligibility/" TargetMode="External"/><Relationship Id="rId460" Type="http://schemas.openxmlformats.org/officeDocument/2006/relationships/hyperlink" Target="https://www.google.com/maps/place/3880+North+Fwy,+Houston,+TX+77022/@29.8211947,-95.3767647,18z/data=!4m6!3m5!1s0x8640b86181256a6d:0x49bcc30ecbc43268!8m2!3d29.8211901!4d-95.3780468!16s%2Fg%2F11b8yd7_qp?entry=ttu&amp;g_ep=EgoyMDI1MDcwOS4wIKXMDSoASAFQAw%3D%3D" TargetMode="External"/><Relationship Id="rId466" Type="http://schemas.openxmlformats.org/officeDocument/2006/relationships/hyperlink" Target="https://www.google.com/maps/place/The+HAY+Center/@29.7395132,-95.3546847,16z/data=!3m1!4b1!4m6!3m5!1s0x8640bf007b5b1ef1:0x267fda7572e7beb0!8m2!3d29.7395086!4d-95.3521098!16s%2Fg%2F11x68ys328?entry=ttu&amp;g_ep=EgoyMDI1MDUxMS4wIKXMDSoASAFQAw%3D%3D" TargetMode="External"/><Relationship Id="rId465" Type="http://schemas.openxmlformats.org/officeDocument/2006/relationships/hyperlink" Target="https://www.haycenter.org/" TargetMode="External"/><Relationship Id="rId464" Type="http://schemas.openxmlformats.org/officeDocument/2006/relationships/hyperlink" Target="https://www.google.com/maps/place/The+Ballard+House/@29.7136892,-95.7460074,17z/data=!3m1!4b1!4m6!3m5!1s0x86412089127e1c87:0x82dacf783bd31977!8m2!3d29.7136892!4d-95.7434271!16s%2Fg%2F1pzy0ynh2?entry=ttu&amp;g_ep=EgoyMDI2MDExMS4wIKXMDSoKLDEwMDc5MjA2OUgBUAM%3D" TargetMode="External"/><Relationship Id="rId463" Type="http://schemas.openxmlformats.org/officeDocument/2006/relationships/hyperlink" Target="https://www.theballardhouse.org/application" TargetMode="External"/><Relationship Id="rId459" Type="http://schemas.openxmlformats.org/officeDocument/2006/relationships/hyperlink" Target="https://www.google.com/maps/place/2008+Th+Jones+Ml+Wy,+Salado,+TX+76571/@30.959497,-97.5129199,17z/data=!3m1!4b1!4m6!3m5!1s0x86453ea43a452dd1:0x8c8aa755ba98b679!8m2!3d30.9594924!4d-97.510345!16s%2Fg%2F11p_82zj3p?entry=ttu&amp;g_ep=EgoyMDI2MDIxMS4wIKXMDSoASAFQAw%3D%3D" TargetMode="External"/><Relationship Id="rId458" Type="http://schemas.openxmlformats.org/officeDocument/2006/relationships/hyperlink" Target="https://www.txngfsf.org/emergency-assistance" TargetMode="External"/><Relationship Id="rId457" Type="http://schemas.openxmlformats.org/officeDocument/2006/relationships/hyperlink" Target="https://www.google.com/maps/place/3880+North+Fwy,+Houston,+TX+77022/@29.8211947,-95.3767647,18z/data=!4m6!3m5!1s0x8640b86181256a6d:0x49bcc30ecbc43268!8m2!3d29.8211901!4d-95.3780468!16s%2Fg%2F11b8yd7_qp?entry=ttu&amp;g_ep=EgoyMDI1MDcwOS4wIKXMDSoASAFQAw%3D%3D" TargetMode="External"/><Relationship Id="rId456" Type="http://schemas.openxmlformats.org/officeDocument/2006/relationships/hyperlink" Target="https://www.google.com/maps/place/1927+Blodgett+St,+Houston,+TX+77004/@29.7274268,-95.3785029,16z/data=!3m1!4b1!4m6!3m5!1s0x8640bf759c02f9f9:0x3b910e3e61beb73e!8m2!3d29.7274268!4d-95.3759226!16s%2Fg%2F11b8v7zcpr?entry=ttu&amp;g_ep=EgoyMDI2MDExMy4wIKXMDSoKLDEwMDc5MjA2OUgBUAM%3D" TargetMode="External"/><Relationship Id="rId451"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450"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455" Type="http://schemas.openxmlformats.org/officeDocument/2006/relationships/hyperlink" Target="https://www.google.com/maps/place/Target+Hunger/@29.7645666,-95.3143802,16z/data=!3m1!4b1!4m6!3m5!1s0x8640b92fd90d19f1:0x7b5bcf36f2190529!8m2!3d29.764562!4d-95.3118053!16s%2Fg%2F1tdp9_j5?entry=ttu&amp;g_ep=EgoyMDI1MTAwMS4wIKXMDSoASAFQAw%3D%3D" TargetMode="External"/><Relationship Id="rId454" Type="http://schemas.openxmlformats.org/officeDocument/2006/relationships/hyperlink" Target="https://www.targethunger.org/navigation-services/" TargetMode="External"/><Relationship Id="rId453" Type="http://schemas.openxmlformats.org/officeDocument/2006/relationships/hyperlink" Target="https://www.google.com/maps/place/Target+Hunger/@29.7645666,-95.3143802,16z/data=!3m1!4b1!4m6!3m5!1s0x8640b92fd90d19f1:0x7b5bcf36f2190529!8m2!3d29.764562!4d-95.3118053!16s%2Fg%2F1tdp9_j5?entry=ttu&amp;g_ep=EgoyMDI1MTAwMS4wIKXMDSoASAFQAw%3D%3D" TargetMode="External"/><Relationship Id="rId452" Type="http://schemas.openxmlformats.org/officeDocument/2006/relationships/hyperlink" Target="https://www.targethunger.org/monthly-groceries/" TargetMode="External"/><Relationship Id="rId491" Type="http://schemas.openxmlformats.org/officeDocument/2006/relationships/hyperlink" Target="https://wesleyhousehouston.org/senior-services/" TargetMode="External"/><Relationship Id="rId490"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489"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484"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483" Type="http://schemas.openxmlformats.org/officeDocument/2006/relationships/hyperlink" Target="https://www.google.com/maps/place/1700+Webster/@29.743953,-95.3707484,17z/data=!3m1!4b1!4m6!3m5!1s0x8640bfb987b4bccd:0x76968c0eab680d22!8m2!3d29.7439484!4d-95.3658775!16s%2Fg%2F11rwqwfn6_?entry=ttu&amp;g_ep=EgoyMDI1MTAwOC4wIKXMDSoASAFQAw%3D%3D" TargetMode="External"/><Relationship Id="rId482" Type="http://schemas.openxmlformats.org/officeDocument/2006/relationships/hyperlink" Target="https://www.va.gov/houston-health-care/stories/new-resource-center-open-for-houston-veterans/" TargetMode="External"/><Relationship Id="rId481" Type="http://schemas.openxmlformats.org/officeDocument/2006/relationships/hyperlink" Target="https://www.google.com/maps/place/1122+Colorado+St,+Austin,+TX+78701/@30.274112,-97.7454547,16z/data=!3m1!4b1!4m6!3m5!1s0x8644b50a937e418f:0x2373b644bc39391d!8m2!3d30.2741074!4d-97.7428798!16s%2Fg%2F11bw3x7nbc?entry=ttu&amp;g_ep=EgoyMDI2MDIxMS4wIKXMDSoASAFQAw%3D%3D" TargetMode="External"/><Relationship Id="rId488" Type="http://schemas.openxmlformats.org/officeDocument/2006/relationships/hyperlink" Target="https://warmwaller.org/comunity-assistance-program" TargetMode="External"/><Relationship Id="rId487"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486"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485" Type="http://schemas.openxmlformats.org/officeDocument/2006/relationships/hyperlink" Target="https://www.google.com/maps/place/Waller+Assistance+and+Restoration+Ministries/@30.0552234,-95.9193817,17z/data=!3m1!4b1!4m6!3m5!1s0x8646cd6ea2864dd7:0xab48b14b384c1ebb!8m2!3d30.0552234!4d-95.9168014!16s%2Fg%2F11c55w1jw9?entry=ttu&amp;g_ep=EgoyMDI1MDcyNy4wIKXMDSoASAFQAw%3D%3D" TargetMode="External"/><Relationship Id="rId480" Type="http://schemas.openxmlformats.org/officeDocument/2006/relationships/hyperlink" Target="https://usacares.org/state-assistance/" TargetMode="External"/><Relationship Id="rId479" Type="http://schemas.openxmlformats.org/officeDocument/2006/relationships/hyperlink" Target="https://www.google.com/maps/place/UH+Health+Family+Care+Center/@29.7168875,-95.3415555,17z/data=!3m1!4b1!4m6!3m5!1s0x8640bf931e325ab3:0x448818b0ba957e16!8m2!3d29.7168875!4d-95.3389752!16s%2Fg%2F11vcsstzgh?entry=ttu&amp;g_ep=EgoyMDI1MDYyNi4wIKXMDSoASAFQAw%3D%3D" TargetMode="External"/><Relationship Id="rId478" Type="http://schemas.openxmlformats.org/officeDocument/2006/relationships/hyperlink" Target="https://www.uh.edu/medicine/sites/family-care-center/sliding-fee-eligibility/" TargetMode="External"/><Relationship Id="rId473" Type="http://schemas.openxmlformats.org/officeDocument/2006/relationships/hyperlink" Target="https://houstonlighthouse.org/" TargetMode="External"/><Relationship Id="rId472" Type="http://schemas.openxmlformats.org/officeDocument/2006/relationships/hyperlink" Target="https://www.google.com/maps/place/The+Lighthouse+of+Houston/@29.7573938,-95.411741,17z/data=!3m1!4b1!4m6!3m5!1s0x8640c0ba55ff04f7:0x2804864348e60b5!8m2!3d29.7573892!4d-95.4068701!16s%2Fg%2F1trxf24y?entry=ttu&amp;g_ep=EgoyMDI1MDUxMS4wIKXMDSoASAFQAw%3D%3D" TargetMode="External"/><Relationship Id="rId471" Type="http://schemas.openxmlformats.org/officeDocument/2006/relationships/hyperlink" Target="https://houstonlighthouse.org/" TargetMode="External"/><Relationship Id="rId470" Type="http://schemas.openxmlformats.org/officeDocument/2006/relationships/hyperlink" Target="https://www.google.com/maps/place/The+Lighthouse+of+Houston/@29.7573938,-95.411741,17z/data=!3m1!4b1!4m6!3m5!1s0x8640c0ba55ff04f7:0x2804864348e60b5!8m2!3d29.7573892!4d-95.4068701!16s%2Fg%2F1trxf24y?entry=ttu&amp;g_ep=EgoyMDI1MDUxMS4wIKXMDSoASAFQAw%3D%3D" TargetMode="External"/><Relationship Id="rId477" Type="http://schemas.openxmlformats.org/officeDocument/2006/relationships/hyperlink" Target="https://www.google.com/maps/place/Third+Ward+Multi-Service+Center/@29.728313,-95.3641706,17z/data=!3m1!4b1!4m6!3m5!1s0x8640bf07dcc6d557:0xdb0dea1035885c15!8m2!3d29.7283084!4d-95.3615957!16s%2Fg%2F1tdz568q?entry=ttu&amp;g_ep=EgoyMDI2MDIwMS4wIKXMDSoKLDEwMDc5MjA2OUgBUAM%3D" TargetMode="External"/><Relationship Id="rId476" Type="http://schemas.openxmlformats.org/officeDocument/2006/relationships/hyperlink" Target="https://www.google.com/maps/place/Women's+Home/@29.7442602,-95.3918399,17z/data=!3m1!4b1!4m6!3m5!1s0x8640bf6141ce535d:0x8e346ab704245bf5!8m2!3d29.7442556!4d-95.389265!16s%2Fg%2F1tf3p8k0?entry=ttu&amp;g_ep=EgoyMDI1MDUxMS4wIKXMDSoASAFQAw%3D%3D" TargetMode="External"/><Relationship Id="rId475" Type="http://schemas.openxmlformats.org/officeDocument/2006/relationships/hyperlink" Target="https://www.thewomenshome.org/what-we-do/" TargetMode="External"/><Relationship Id="rId474" Type="http://schemas.openxmlformats.org/officeDocument/2006/relationships/hyperlink" Target="https://www.google.com/maps/place/The+Lighthouse+of+Houston/@29.7573938,-95.411741,17z/data=!3m1!4b1!4m6!3m5!1s0x8640c0ba55ff04f7:0x2804864348e60b5!8m2!3d29.7573892!4d-95.4068701!16s%2Fg%2F1trxf24y?entry=ttu&amp;g_ep=EgoyMDI1MDUxMS4wIKXMDSoASAFQAw%3D%3D" TargetMode="External"/><Relationship Id="rId426" Type="http://schemas.openxmlformats.org/officeDocument/2006/relationships/hyperlink" Target="https://www.google.com/maps/place/The+Salvation+Army+Jones+Residence/@29.7422291,-95.3711227,17z/data=!3m1!4b1!4m6!3m5!1s0x8640bf13c357bf79:0xf13cf6213aa637b0!8m2!3d29.7422245!4d-95.3685478!16s%2Fg%2F1tg_gfg1?entry=ttu&amp;g_ep=EgoyMDI1MTAwOC4wIKXMDSoASAFQAw%3D%3D" TargetMode="External"/><Relationship Id="rId425" Type="http://schemas.openxmlformats.org/officeDocument/2006/relationships/hyperlink" Target="https://salvationarmyhouston.org/houston/sns/" TargetMode="External"/><Relationship Id="rId424" Type="http://schemas.openxmlformats.org/officeDocument/2006/relationships/hyperlink" Target="https://www.saluteinc.org/get-assistance/" TargetMode="External"/><Relationship Id="rId423" Type="http://schemas.openxmlformats.org/officeDocument/2006/relationships/hyperlink" Target="https://www.saluteinc.org/get-assistance/" TargetMode="External"/><Relationship Id="rId429" Type="http://schemas.openxmlformats.org/officeDocument/2006/relationships/hyperlink" Target="https://www.google.com/maps/place/Sarah's+House/@29.6737146,-95.2043369,17z/data=!3m1!4b1!4m6!3m5!1s0x8640998f60adb379:0x6f41c69f62f1964b!8m2!3d29.67371!4d-95.201762!16s%2Fg%2F11v5j79v1k?entry=ttu&amp;g_ep=EgoyMDI1MTAwOC4wIKXMDSoASAFQAw%3D%3D" TargetMode="External"/><Relationship Id="rId428" Type="http://schemas.openxmlformats.org/officeDocument/2006/relationships/hyperlink" Target="https://www.google.com/maps/place/The+Salvation+Army+Young+Adult+Resource+Center+(YARC)/@29.7423419,-95.3710994,17z/data=!3m1!4b1!4m6!3m5!1s0x8640bf1482fc5e7d:0xb671a23d50703073!8m2!3d29.7423373!4d-95.3685245!16s%2Fg%2F1hc27yfkd?entry=ttu&amp;g_ep=EgoyMDI1MTAwOC4wIKXMDSoASAFQAw%3D%3D" TargetMode="External"/><Relationship Id="rId427" Type="http://schemas.openxmlformats.org/officeDocument/2006/relationships/hyperlink" Target="https://salvationarmyhouston.org/houston/YARC" TargetMode="External"/><Relationship Id="rId422" Type="http://schemas.openxmlformats.org/officeDocument/2006/relationships/hyperlink" Target="https://www.saluteinc.org/get-assistance/" TargetMode="External"/><Relationship Id="rId421" Type="http://schemas.openxmlformats.org/officeDocument/2006/relationships/hyperlink" Target="https://rhf.org/sagetree-terrace/" TargetMode="External"/><Relationship Id="rId420" Type="http://schemas.openxmlformats.org/officeDocument/2006/relationships/hyperlink" Target="https://www.google.com/maps/place/Texas+Children's+Hospital+Abercrombie+Building/@29.7078157,-95.4039381,17z/data=!3m1!4b1!4m6!3m5!1s0x8640c0722a0df095:0x53e2a64bf0938dda!8m2!3d29.7078111!4d-95.4013632!16s%2Fg%2F1tdkmm3t?entry=ttu&amp;g_ep=EgoyMDI1MTIwOS4wIKXMDSoKLDEwMDc5MjA2OUgBUAM%3D" TargetMode="External"/><Relationship Id="rId415" Type="http://schemas.openxmlformats.org/officeDocument/2006/relationships/hyperlink" Target="https://rmhchouston.org/what-we-do/houses-lounges/holcombe-house/" TargetMode="External"/><Relationship Id="rId414" Type="http://schemas.openxmlformats.org/officeDocument/2006/relationships/hyperlink" Target="https://www.google.com/maps/place/Memorial+Hermann+Texas+Medical+Center+Emergency+Room/@29.7143704,-95.3969611,17z/data=!3m1!5s0x886040a97ba498c5:0x94ed68fd3d58385b!4m15!1m8!3m7!1s0x8640c079c8c00001:0x4ebe811552550c3!2s6411+Fannin+St,+Houston,+TX+77030!3b1!8m2!3d29.7143658!4d-95.3969611!16s%2Fg%2F11t_sy4341!3m5!1s0x8640c079d176858f:0x1bbe1c69b7d95949!8m2!3d29.7135985!4d-95.3944754!16s%2Fm%2F04g3lkg?entry=ttu&amp;g_ep=EgoyMDI1MTIwOS4wIKXMDSoKLDEwMDc5MjA2OUgBUAM%3D" TargetMode="External"/><Relationship Id="rId413" Type="http://schemas.openxmlformats.org/officeDocument/2006/relationships/hyperlink" Target="https://rmhchouston.org/what-we-do/houses-lounges/childrens-memorial-hospital/" TargetMode="External"/><Relationship Id="rId412" Type="http://schemas.openxmlformats.org/officeDocument/2006/relationships/hyperlink" Target="https://www.google.com/maps/place/4115+Drake+St,+Houston,+TX+77005/@29.7252966,-95.443885,17z/data=!4m16!1m9!3m8!1s0x8640c107a028ad13:0x753df1f9d6823d75!2s4115+Drake+St,+Houston,+TX+77005!3b1!8m2!3d29.725034!4d-95.4438632!10e5!16s%2Fg%2F11c4sr0fdz!3m5!1s0x8640c107a028ad13:0x753df1f9d6823d75!8m2!3d29.725034!4d-95.4438632!16s%2Fg%2F11c4sr0fdz?entry=ttu&amp;g_ep=EgoyMDI1MTIwOS4wIKXMDSoKLDEwMDc5MjA2OUgBUAM%3D" TargetMode="External"/><Relationship Id="rId419" Type="http://schemas.openxmlformats.org/officeDocument/2006/relationships/hyperlink" Target="https://rmhchouston.org/what-we-do/houses-lounges/texas-childrens-hospital/" TargetMode="External"/><Relationship Id="rId418" Type="http://schemas.openxmlformats.org/officeDocument/2006/relationships/hyperlink" Target="https://www.google.com/maps/place/MD+Anderson+Children's+Cancer+Hospital/@29.7078668,-95.3984437,19z/data=!3m1!4b1!4m6!3m5!1s0x8640c1e9a82f276f:0xf1c0e306b9288982!8m2!3d29.7078656!4d-95.3978!16s%2Fg%2F11f5vby375?entry=ttu&amp;g_ep=EgoyMDI1MTIwOS4wIKXMDSoKLDEwMDc5MjA2OUgBUAM%3D" TargetMode="External"/><Relationship Id="rId417" Type="http://schemas.openxmlformats.org/officeDocument/2006/relationships/hyperlink" Target="https://rmhchouston.org/what-we-do/houses-lounges/md-anderson/" TargetMode="External"/><Relationship Id="rId416" Type="http://schemas.openxmlformats.org/officeDocument/2006/relationships/hyperlink" Target="https://www.google.com/maps/place/Ronald+McDonald+House+Charities+Greater+Houston/@29.7064704,-95.3932544,17z/data=!3m2!4b1!5s0x8640bf8bba7617ed:0xc87ca6b75c305f37!4m6!3m5!1s0x8640bf8bb092c82b:0xa9d0cf1b95465439!8m2!3d29.7064658!4d-95.3906795!16s%2Fg%2F1ts1n01b?entry=ttu&amp;g_ep=EgoyMDI1MTIwOS4wIKXMDSoKLDEwMDc5MjA2OUgBUAM%3D" TargetMode="External"/><Relationship Id="rId411" Type="http://schemas.openxmlformats.org/officeDocument/2006/relationships/hyperlink" Target="https://www.google.com/maps/place/Southfield,+MI+48037/@42.4869961,-83.2687969,16z/data=!3m1!4b1!4m6!3m5!1s0x8824b7dd5fdd06a9:0xbbe824566e584419!8m2!3d42.4869968!4d-83.2636363!16s%2Fm%2F07nqt03?entry=ttu&amp;g_ep=EgoyMDI2MDEyMC4wIKXMDSoKLDEwMDc5MjA2OUgBUAM%3D" TargetMode="External"/><Relationship Id="rId410" Type="http://schemas.openxmlformats.org/officeDocument/2006/relationships/hyperlink" Target="https://www.google.com/maps/place/4265+San+Felipe+St,+Houston,+TX+77027/@29.746345,-95.4528293,17z/data=!3m1!4b1!4m6!3m5!1s0x8640c11602426951:0x668c344ef44f68ee!8m2!3d29.746345!4d-95.450249!16s%2Fg%2F11nnkxcf4j?entry=ttu&amp;g_ep=EgoyMDI2MDIyNS4wIKXMDSoASAFQAw%3D%3D" TargetMode="External"/><Relationship Id="rId448"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447"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446" Type="http://schemas.openxmlformats.org/officeDocument/2006/relationships/hyperlink" Target="https://www.sohmission.org/how-we-help/for-men/" TargetMode="External"/><Relationship Id="rId445" Type="http://schemas.openxmlformats.org/officeDocument/2006/relationships/hyperlink" Target="https://www.google.com/maps/place/Southwest+Multi-Service+Center/@29.7111474,-95.4988017,17z/data=!3m1!4b1!4m6!3m5!1s0x8640c2377687510d:0xd3c02798ea401cfc!8m2!3d29.7111428!4d-95.4962268!16s%2Fg%2F11b5wpkljq?entry=ttu&amp;g_ep=EgoyMDI2MDIwMS4wIKXMDSoKLDEwMDc5MjA2OUgBUAM%3D" TargetMode="External"/><Relationship Id="rId449" Type="http://schemas.openxmlformats.org/officeDocument/2006/relationships/hyperlink" Target="https://www.google.com/maps/place/Sunnyside+Health+and+Multi-Service+Center/@29.6577165,-95.3634323,17z/data=!3m1!4b1!4m6!3m5!1s0x864095bcff003253:0x601727849f44c3c6!8m2!3d29.6577119!4d-95.3608574!16s%2Fg%2F1v4ptcnf?entry=ttu&amp;g_ep=EgoyMDI2MDIwMS4wIKXMDSoKLDEwMDc5MjA2OUgBUAM%3D" TargetMode="External"/><Relationship Id="rId440" Type="http://schemas.openxmlformats.org/officeDocument/2006/relationships/hyperlink" Target="https://publichealth.harriscountytx.gov/Divisions-Offices/Divisions/Community-Health-Wellness-Division/Behavioral-Health-Services" TargetMode="External"/><Relationship Id="rId444" Type="http://schemas.openxmlformats.org/officeDocument/2006/relationships/hyperlink" Target="https://www.google.com/maps/place/Southwest+Multi-Service+Center/@29.7111474,-95.4988017,17z/data=!3m1!4b1!4m6!3m5!1s0x8640c2377687510d:0xd3c02798ea401cfc!8m2!3d29.7111428!4d-95.4962268!16s%2Fg%2F11b5wpkljq?entry=ttu&amp;g_ep=EgoyMDI2MDIwMS4wIKXMDSoKLDEwMDc5MjA2OUgBUAM%3D" TargetMode="External"/><Relationship Id="rId443"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442" Type="http://schemas.openxmlformats.org/officeDocument/2006/relationships/hyperlink" Target="https://publichealth.harriscountytx.gov/Divisions-Offices/Divisions/Community-Health-Wellness-Division/Refugee-Health-Services" TargetMode="External"/><Relationship Id="rId441"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437"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436" Type="http://schemas.openxmlformats.org/officeDocument/2006/relationships/hyperlink" Target="https://publichealth.harriscountytx.gov/Divisions-Offices/Divisions/Community-Health-Wellness-Division/Dental-Health-Prevention/Dental-Clinics" TargetMode="External"/><Relationship Id="rId435" Type="http://schemas.openxmlformats.org/officeDocument/2006/relationships/hyperlink" Target="https://www.google.com/maps/place/Sheldon+Health+Hub/@29.8484311,-95.2163474,17z/data=!3m1!4b1!4m6!3m5!1s0x8640a5006bf10a5f:0x25d8b2446202eb3b!8m2!3d29.8484312!4d-95.2114711!16s%2Fg%2F11xtkk2zg_?entry=ttu&amp;g_ep=EgoyMDI2MDEyNi4wIKXMDSoKLDEwMDc5MjA2OUgBUAM%3D" TargetMode="External"/><Relationship Id="rId434" Type="http://schemas.openxmlformats.org/officeDocument/2006/relationships/hyperlink" Target="https://publichealth.harriscountytx.gov/Divisions-Offices/Divisions/Community-Health-Wellness-Division/Refugee-Health-Services" TargetMode="External"/><Relationship Id="rId439" Type="http://schemas.openxmlformats.org/officeDocument/2006/relationships/hyperlink" Target="https://www.google.com/maps/place/Harris+County+Public+Health+Southeast+WIC/@29.6854876,-95.1608821,17z/data=!3m1!4b1!4m6!3m5!1s0x864098160bc4268d:0x1cd5b02fc06569c4!8m2!3d29.6854877!4d-95.1560058!16s%2Fg%2F1thn5x2x?entry=ttu&amp;g_ep=EgoyMDI2MDEyNS4wIKXMDSoKLDEwMDc5MjA2OUgBUAM%3D" TargetMode="External"/><Relationship Id="rId438" Type="http://schemas.openxmlformats.org/officeDocument/2006/relationships/hyperlink" Target="https://publichealth.harriscountytx.gov/Divisions-Offices/Divisions/Community-Health-Wellness-Division/Dental-Health-Prevention/Dental-Clinics" TargetMode="External"/><Relationship Id="rId433" Type="http://schemas.openxmlformats.org/officeDocument/2006/relationships/hyperlink" Target="https://www.google.com/maps/place/Sheldon+Health+Hub/@29.8484311,-95.2163474,17z/data=!3m1!4b1!4m6!3m5!1s0x8640a5006bf10a5f:0x25d8b2446202eb3b!8m2!3d29.8484312!4d-95.2114711!16s%2Fg%2F11xtkk2zg_?entry=ttu&amp;g_ep=EgoyMDI2MDEyNi4wIKXMDSoKLDEwMDc5MjA2OUgBUAM%3D" TargetMode="External"/><Relationship Id="rId432" Type="http://schemas.openxmlformats.org/officeDocument/2006/relationships/hyperlink" Target="https://publichealth.harriscountytx.gov/Divisions-Offices/Divisions/Community-Health-Wellness-Division/Behavioral-Health-Services" TargetMode="External"/><Relationship Id="rId431" Type="http://schemas.openxmlformats.org/officeDocument/2006/relationships/hyperlink" Target="https://www.google.com/maps/place/Sheldon+Health+Hub/@29.8484311,-95.2163474,17z/data=!3m1!4b1!4m6!3m5!1s0x8640a5006bf10a5f:0x25d8b2446202eb3b!8m2!3d29.8484312!4d-95.2114711!16s%2Fg%2F11xtkk2zg_?entry=ttu&amp;g_ep=EgoyMDI2MDEyNi4wIKXMDSoKLDEwMDc5MjA2OUgBUAM%3D" TargetMode="External"/><Relationship Id="rId430" Type="http://schemas.openxmlformats.org/officeDocument/2006/relationships/hyperlink" Target="https://publichealth.harriscountytx.gov/Divisions-Offices/Divisions/Community-Health-Wellness-Division/Health-Servic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unitedstateszipcodes.org/10022/" TargetMode="External"/><Relationship Id="rId2" Type="http://schemas.openxmlformats.org/officeDocument/2006/relationships/hyperlink" Target="https://www.unitedstateszipcodes.org/10022/" TargetMode="External"/><Relationship Id="rId3" Type="http://schemas.openxmlformats.org/officeDocument/2006/relationships/hyperlink" Target="https://www.unitedstateszipcodes.org/10022/" TargetMode="External"/><Relationship Id="rId4" Type="http://schemas.openxmlformats.org/officeDocument/2006/relationships/hyperlink" Target="https://www.unitedstateszipcodes.org/20005/" TargetMode="External"/><Relationship Id="rId9" Type="http://schemas.openxmlformats.org/officeDocument/2006/relationships/hyperlink" Target="https://www.unitedstateszipcodes.org/23666/" TargetMode="External"/><Relationship Id="rId5" Type="http://schemas.openxmlformats.org/officeDocument/2006/relationships/hyperlink" Target="https://www.unitedstateszipcodes.org/20005/" TargetMode="External"/><Relationship Id="rId6" Type="http://schemas.openxmlformats.org/officeDocument/2006/relationships/hyperlink" Target="https://www.unitedstateszipcodes.org/20005/" TargetMode="External"/><Relationship Id="rId7" Type="http://schemas.openxmlformats.org/officeDocument/2006/relationships/hyperlink" Target="https://www.unitedstateszipcodes.org/20005/" TargetMode="External"/><Relationship Id="rId8" Type="http://schemas.openxmlformats.org/officeDocument/2006/relationships/hyperlink" Target="https://www.unitedstateszipcodes.org/23666/" TargetMode="External"/><Relationship Id="rId11" Type="http://schemas.openxmlformats.org/officeDocument/2006/relationships/hyperlink" Target="https://www.unitedstateszipcodes.org/33913/" TargetMode="External"/><Relationship Id="rId10" Type="http://schemas.openxmlformats.org/officeDocument/2006/relationships/hyperlink" Target="https://www.unitedstateszipcodes.org/33913/" TargetMode="External"/><Relationship Id="rId13" Type="http://schemas.openxmlformats.org/officeDocument/2006/relationships/hyperlink" Target="https://www.unitedstateszipcodes.org/75061/" TargetMode="External"/><Relationship Id="rId12" Type="http://schemas.openxmlformats.org/officeDocument/2006/relationships/hyperlink" Target="https://www.unitedstateszipcodes.org/75034/" TargetMode="External"/><Relationship Id="rId15" Type="http://schemas.openxmlformats.org/officeDocument/2006/relationships/hyperlink" Target="https://www.unitedstateszipcodes.org/77210/" TargetMode="External"/><Relationship Id="rId14" Type="http://schemas.openxmlformats.org/officeDocument/2006/relationships/hyperlink" Target="https://www.unitedstateszipcodes.org/76571/" TargetMode="External"/><Relationship Id="rId17" Type="http://schemas.openxmlformats.org/officeDocument/2006/relationships/hyperlink" Target="https://www.unitedstateszipcodes.org/98660/" TargetMode="External"/><Relationship Id="rId16" Type="http://schemas.openxmlformats.org/officeDocument/2006/relationships/hyperlink" Target="https://www.unitedstateszipcodes.org/77231/" TargetMode="External"/><Relationship Id="rId1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4.63"/>
    <col customWidth="1" min="3" max="3" width="26.63"/>
    <col customWidth="1" min="4" max="4" width="20.88"/>
    <col customWidth="1" min="5" max="5" width="16.13"/>
    <col customWidth="1" min="6" max="6" width="10.13"/>
    <col customWidth="1" min="7" max="7" width="10.25"/>
    <col customWidth="1" min="8" max="8" width="13.13"/>
    <col customWidth="1" min="9" max="9" width="15.38"/>
    <col customWidth="1" min="10" max="10" width="38.38"/>
    <col customWidth="1" min="11" max="11" width="23.88"/>
    <col customWidth="1" min="12" max="12" width="14.63"/>
    <col customWidth="1" min="13" max="13" width="21.88"/>
    <col customWidth="1" min="14" max="14" width="20.5"/>
    <col customWidth="1" min="15" max="15" width="7.38"/>
    <col customWidth="1" min="16" max="16" width="9.38"/>
    <col customWidth="1" min="17" max="17" width="15.88"/>
    <col customWidth="1" min="18" max="18" width="18.0"/>
    <col customWidth="1" min="19" max="20" width="6.13"/>
    <col customWidth="1" min="21" max="21" width="18.75"/>
    <col customWidth="1" min="22" max="23" width="12.25"/>
    <col customWidth="1" min="24" max="24" width="39.38"/>
    <col customWidth="1" min="25" max="25" width="14.75"/>
    <col customWidth="1" min="26" max="28" width="32.25"/>
  </cols>
  <sheetData>
    <row r="1">
      <c r="A1" s="1" t="s">
        <v>0</v>
      </c>
      <c r="B1" s="2" t="str">
        <f>IFERROR(__xludf.DUMMYFUNCTION("query(Data!A:AD,""Select U, B, C, D, E, F, G, H, AB, AC, J, K, L, M, N, O, P, R, S, T, V, W, X, Y, Z, AA, AD Order by B, K"")"),"client_zip_codes")</f>
        <v>client_zip_codes</v>
      </c>
      <c r="C1" s="3" t="str">
        <f>IFERROR(__xludf.DUMMYFUNCTION("""COMPUTED_VALUE"""),"organization")</f>
        <v>organization</v>
      </c>
      <c r="D1" s="3" t="str">
        <f>IFERROR(__xludf.DUMMYFUNCTION("""COMPUTED_VALUE"""),"org_address1")</f>
        <v>org_address1</v>
      </c>
      <c r="E1" s="3" t="str">
        <f>IFERROR(__xludf.DUMMYFUNCTION("""COMPUTED_VALUE"""),"org_address2")</f>
        <v>org_address2</v>
      </c>
      <c r="F1" s="3" t="str">
        <f>IFERROR(__xludf.DUMMYFUNCTION("""COMPUTED_VALUE"""),"org_city")</f>
        <v>org_city</v>
      </c>
      <c r="G1" s="3" t="str">
        <f>IFERROR(__xludf.DUMMYFUNCTION("""COMPUTED_VALUE"""),"org_state")</f>
        <v>org_state</v>
      </c>
      <c r="H1" s="3" t="str">
        <f>IFERROR(__xludf.DUMMYFUNCTION("""COMPUTED_VALUE"""),"org_zip_code")</f>
        <v>org_zip_code</v>
      </c>
      <c r="I1" s="3" t="str">
        <f>IFERROR(__xludf.DUMMYFUNCTION("""COMPUTED_VALUE"""),"org_telephone")</f>
        <v>org_telephone</v>
      </c>
      <c r="J1" s="3" t="str">
        <f>IFERROR(__xludf.DUMMYFUNCTION("""COMPUTED_VALUE"""),"org_coordinates")</f>
        <v>org_coordinates</v>
      </c>
      <c r="K1" s="3" t="str">
        <f>IFERROR(__xludf.DUMMYFUNCTION("""COMPUTED_VALUE"""),"org_hours")</f>
        <v>org_hours</v>
      </c>
      <c r="L1" s="3" t="str">
        <f>IFERROR(__xludf.DUMMYFUNCTION("""COMPUTED_VALUE"""),"hours_notes")</f>
        <v>hours_notes</v>
      </c>
      <c r="M1" s="4" t="str">
        <f>IFERROR(__xludf.DUMMYFUNCTION("""COMPUTED_VALUE"""),"assist_id")</f>
        <v>assist_id</v>
      </c>
      <c r="N1" s="4" t="str">
        <f>IFERROR(__xludf.DUMMYFUNCTION("""COMPUTED_VALUE"""),"assistance")</f>
        <v>assistance</v>
      </c>
      <c r="O1" s="5" t="str">
        <f>IFERROR(__xludf.DUMMYFUNCTION("""COMPUTED_VALUE"""),"status_id")</f>
        <v>status_id</v>
      </c>
      <c r="P1" s="4" t="str">
        <f>IFERROR(__xludf.DUMMYFUNCTION("""COMPUTED_VALUE"""),"status")</f>
        <v>status</v>
      </c>
      <c r="Q1" s="4" t="str">
        <f>IFERROR(__xludf.DUMMYFUNCTION("""COMPUTED_VALUE"""),"status_date")</f>
        <v>status_date</v>
      </c>
      <c r="R1" s="3" t="str">
        <f>IFERROR(__xludf.DUMMYFUNCTION("""COMPUTED_VALUE"""),"status_text")</f>
        <v>status_text</v>
      </c>
      <c r="S1" s="3" t="str">
        <f>IFERROR(__xludf.DUMMYFUNCTION("""COMPUTED_VALUE"""),"requirements")</f>
        <v>requirements</v>
      </c>
      <c r="T1" s="6" t="str">
        <f>IFERROR(__xludf.DUMMYFUNCTION("""COMPUTED_VALUE"""),"is_first_bold")</f>
        <v>is_first_bold</v>
      </c>
      <c r="U1" s="6" t="str">
        <f>IFERROR(__xludf.DUMMYFUNCTION("""COMPUTED_VALUE"""),"is_first_red")</f>
        <v>is_first_red</v>
      </c>
      <c r="V1" s="6" t="str">
        <f>IFERROR(__xludf.DUMMYFUNCTION("""COMPUTED_VALUE"""),"webpage")</f>
        <v>webpage</v>
      </c>
      <c r="W1" s="4" t="str">
        <f>IFERROR(__xludf.DUMMYFUNCTION("""COMPUTED_VALUE"""),"googlemaps")</f>
        <v>googlemaps</v>
      </c>
      <c r="X1" s="4" t="str">
        <f>IFERROR(__xludf.DUMMYFUNCTION("""COMPUTED_VALUE"""),"org_email")</f>
        <v>org_email</v>
      </c>
      <c r="Y1" s="3" t="str">
        <f>IFERROR(__xludf.DUMMYFUNCTION("""COMPUTED_VALUE"""),"org_county")</f>
        <v>org_county</v>
      </c>
      <c r="Z1" s="3" t="str">
        <f>IFERROR(__xludf.DUMMYFUNCTION("""COMPUTED_VALUE"""),"zip_neighborhoods")</f>
        <v>zip_neighborhoods</v>
      </c>
      <c r="AA1" s="3" t="str">
        <f>IFERROR(__xludf.DUMMYFUNCTION("""COMPUTED_VALUE"""),"org_parent")</f>
        <v>org_parent</v>
      </c>
      <c r="AB1" s="3" t="str">
        <f>IFERROR(__xludf.DUMMYFUNCTION("""COMPUTED_VALUE"""),"org_neighborhood")</f>
        <v>org_neighborhood</v>
      </c>
    </row>
    <row r="2" ht="30.0" customHeight="1">
      <c r="A2" s="7">
        <f t="array" ref="A2:A1999">IF(ISBLANK(B2:B1999), "", ROW(B2:B1999)-1)
</f>
        <v>1</v>
      </c>
      <c r="B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C2" s="9" t="str">
        <f>IFERROR(__xludf.DUMMYFUNCTION("""COMPUTED_VALUE"""),"3 ""A"" Bereavement Foundation (3ABF)")</f>
        <v>3 "A" Bereavement Foundation (3ABF)</v>
      </c>
      <c r="D2" s="9" t="str">
        <f>IFERROR(__xludf.DUMMYFUNCTION("""COMPUTED_VALUE"""),"5330 Griggs Road")</f>
        <v>5330 Griggs Road</v>
      </c>
      <c r="E2" s="9" t="str">
        <f>IFERROR(__xludf.DUMMYFUNCTION("""COMPUTED_VALUE"""),"Suite A108")</f>
        <v>Suite A108</v>
      </c>
      <c r="F2" s="9" t="str">
        <f>IFERROR(__xludf.DUMMYFUNCTION("""COMPUTED_VALUE"""),"Houston")</f>
        <v>Houston</v>
      </c>
      <c r="G2" s="9" t="str">
        <f>IFERROR(__xludf.DUMMYFUNCTION("""COMPUTED_VALUE"""),"TX")</f>
        <v>TX</v>
      </c>
      <c r="H2" s="9" t="str">
        <f>IFERROR(__xludf.DUMMYFUNCTION("""COMPUTED_VALUE"""),"77021")</f>
        <v>77021</v>
      </c>
      <c r="I2" s="9" t="str">
        <f>IFERROR(__xludf.DUMMYFUNCTION("""COMPUTED_VALUE"""),"713-649-3232")</f>
        <v>713-649-3232</v>
      </c>
      <c r="J2" s="9" t="str">
        <f>IFERROR(__xludf.DUMMYFUNCTION("""COMPUTED_VALUE"""),"29.6967871212121, -95.3336860909091")</f>
        <v>29.6967871212121, -95.3336860909091</v>
      </c>
      <c r="K2" s="9" t="str">
        <f>IFERROR(__xludf.DUMMYFUNCTION("""COMPUTED_VALUE"""),"{""regular"":[{""days"":[""Mo"",""Tu"",""We"",""Th"",""Fr""],""open"":""09:00"",""close"":""17:00""}]}")</f>
        <v>{"regular":[{"days":["Mo","Tu","We","Th","Fr"],"open":"09:00","close":"17:00"}]}</v>
      </c>
      <c r="L2" s="9"/>
      <c r="M2" s="10">
        <f>IFERROR(__xludf.DUMMYFUNCTION("""COMPUTED_VALUE"""),65.0)</f>
        <v>65</v>
      </c>
      <c r="N2" s="10" t="str">
        <f>IFERROR(__xludf.DUMMYFUNCTION("""COMPUTED_VALUE"""),"Other")</f>
        <v>Other</v>
      </c>
      <c r="O2" s="10">
        <f>IFERROR(__xludf.DUMMYFUNCTION("""COMPUTED_VALUE"""),1.0)</f>
        <v>1</v>
      </c>
      <c r="P2" s="10" t="str">
        <f>IFERROR(__xludf.DUMMYFUNCTION("""COMPUTED_VALUE"""),"ACTIVE")</f>
        <v>ACTIVE</v>
      </c>
      <c r="Q2" s="11">
        <f>IFERROR(__xludf.DUMMYFUNCTION("""COMPUTED_VALUE"""),45789.0)</f>
        <v>45789</v>
      </c>
      <c r="R2" s="9" t="str">
        <f>IFERROR(__xludf.DUMMYFUNCTION("""COMPUTED_VALUE"""),"Verified online")</f>
        <v>Verified online</v>
      </c>
      <c r="S2" s="9" t="str">
        <f>IFERROR(__xludf.DUMMYFUNCTION("""COMPUTED_VALUE"""),"Financial assistance for funeral services.  Needs based.  Financial verification required.
Funeral consultations.
Grief counseling.
Aftercare services")</f>
        <v>Financial assistance for funeral services.  Needs based.  Financial verification required.
Funeral consultations.
Grief counseling.
Aftercare services</v>
      </c>
      <c r="T2" s="12" t="b">
        <f>IFERROR(__xludf.DUMMYFUNCTION("""COMPUTED_VALUE"""),FALSE)</f>
        <v>0</v>
      </c>
      <c r="U2" s="12" t="b">
        <f>IFERROR(__xludf.DUMMYFUNCTION("""COMPUTED_VALUE"""),FALSE)</f>
        <v>0</v>
      </c>
      <c r="V2" s="13" t="str">
        <f>IFERROR(__xludf.DUMMYFUNCTION("""COMPUTED_VALUE"""),"https://3abereavement.weebly.com/")</f>
        <v>https://3abereavement.weebly.com/</v>
      </c>
      <c r="W2" s="14" t="str">
        <f>IFERROR(__xludf.DUMMYFUNCTION("""COMPUTED_VALUE"""),"https://www.google.com/maps/place/Three+A+Bereavement/@29.6962313,-95.3378945,16z/data=!3m1!4b1!4m6!3m5!1s0x8640be3dadb801b5:0x44b0b287f8f22ef6!8m2!3d29.6962267!4d-95.3353142!16s%2Fg%2F1tlqqcg1?entry=ttu&amp;g_ep=EgoyMDI1MDUwNy4wIKXMDSoASAFQAw%3D%3D")</f>
        <v>https://www.google.com/maps/place/Three+A+Bereavement/@29.6962313,-95.3378945,16z/data=!3m1!4b1!4m6!3m5!1s0x8640be3dadb801b5:0x44b0b287f8f22ef6!8m2!3d29.6962267!4d-95.3353142!16s%2Fg%2F1tlqqcg1?entry=ttu&amp;g_ep=EgoyMDI1MDUwNy4wIKXMDSoASAFQAw%3D%3D</v>
      </c>
      <c r="X2" s="10"/>
      <c r="Y2" s="9" t="str">
        <f>IFERROR(__xludf.DUMMYFUNCTION("""COMPUTED_VALUE"""),"Houston")</f>
        <v>Houston</v>
      </c>
      <c r="Z2" s="9" t="str">
        <f>IFERROR(__xludf.DUMMYFUNCTION("""COMPUTED_VALUE"""),"MacGregor, Riverside Terrace, South Side")</f>
        <v>MacGregor, Riverside Terrace, South Side</v>
      </c>
      <c r="AA2" s="9" t="str">
        <f>IFERROR(__xludf.DUMMYFUNCTION("""COMPUTED_VALUE"""),"3 ""A"" Bereavement Foundation (3ABF)")</f>
        <v>3 "A" Bereavement Foundation (3ABF)</v>
      </c>
      <c r="AB2" s="9" t="str">
        <f>IFERROR(__xludf.DUMMYFUNCTION("""COMPUTED_VALUE"""),"South Side")</f>
        <v>South Side</v>
      </c>
    </row>
    <row r="3" ht="30.0" customHeight="1">
      <c r="A3" s="15">
        <v>2.0</v>
      </c>
      <c r="B3" s="16" t="str">
        <f>IFERROR(__xludf.DUMMYFUNCTION("""COMPUTED_VALUE"""),"[""99999""]")</f>
        <v>["99999"]</v>
      </c>
      <c r="C3" s="9" t="str">
        <f>IFERROR(__xludf.DUMMYFUNCTION("""COMPUTED_VALUE"""),"A Touch of God's Love Outreach")</f>
        <v>A Touch of God's Love Outreach</v>
      </c>
      <c r="D3" s="9" t="str">
        <f>IFERROR(__xludf.DUMMYFUNCTION("""COMPUTED_VALUE"""),"10103 Fondren Road")</f>
        <v>10103 Fondren Road</v>
      </c>
      <c r="E3" s="9" t="str">
        <f>IFERROR(__xludf.DUMMYFUNCTION("""COMPUTED_VALUE"""),"Suit 420")</f>
        <v>Suit 420</v>
      </c>
      <c r="F3" s="9" t="str">
        <f>IFERROR(__xludf.DUMMYFUNCTION("""COMPUTED_VALUE"""),"Houston")</f>
        <v>Houston</v>
      </c>
      <c r="G3" s="9" t="str">
        <f>IFERROR(__xludf.DUMMYFUNCTION("""COMPUTED_VALUE"""),"TX")</f>
        <v>TX</v>
      </c>
      <c r="H3" s="9" t="str">
        <f>IFERROR(__xludf.DUMMYFUNCTION("""COMPUTED_VALUE"""),"77096")</f>
        <v>77096</v>
      </c>
      <c r="I3" s="9" t="str">
        <f>IFERROR(__xludf.DUMMYFUNCTION("""COMPUTED_VALUE"""),"346-701-8094")</f>
        <v>346-701-8094</v>
      </c>
      <c r="J3" s="9" t="str">
        <f>IFERROR(__xludf.DUMMYFUNCTION("""COMPUTED_VALUE"""),"29.669937, -95.508457")</f>
        <v>29.669937, -95.508457</v>
      </c>
      <c r="K3" s="9"/>
      <c r="L3" s="9"/>
      <c r="M3" s="10">
        <f>IFERROR(__xludf.DUMMYFUNCTION("""COMPUTED_VALUE"""),56.0)</f>
        <v>56</v>
      </c>
      <c r="N3" s="10" t="str">
        <f>IFERROR(__xludf.DUMMYFUNCTION("""COMPUTED_VALUE"""),"Veterans")</f>
        <v>Veterans</v>
      </c>
      <c r="O3" s="10">
        <f>IFERROR(__xludf.DUMMYFUNCTION("""COMPUTED_VALUE"""),4.0)</f>
        <v>4</v>
      </c>
      <c r="P3" s="10" t="str">
        <f>IFERROR(__xludf.DUMMYFUNCTION("""COMPUTED_VALUE"""),"CLOSED")</f>
        <v>CLOSED</v>
      </c>
      <c r="Q3" s="11">
        <f>IFERROR(__xludf.DUMMYFUNCTION("""COMPUTED_VALUE"""),45670.0)</f>
        <v>45670</v>
      </c>
      <c r="R3" s="9" t="str">
        <f>IFERROR(__xludf.DUMMYFUNCTION("""COMPUTED_VALUE"""),"Phone disconnected")</f>
        <v>Phone disconnected</v>
      </c>
      <c r="S3" s="9" t="str">
        <f>IFERROR(__xludf.DUMMYFUNCTION("""COMPUTED_VALUE"""),"Financial assistance with utilities, food, Medical - Primary Care and Handyman for Veterans, Senior Citizens and Disabled")</f>
        <v>Financial assistance with utilities, food, Medical - Primary Care and Handyman for Veterans, Senior Citizens and Disabled</v>
      </c>
      <c r="T3" s="12" t="b">
        <f>IFERROR(__xludf.DUMMYFUNCTION("""COMPUTED_VALUE"""),FALSE)</f>
        <v>0</v>
      </c>
      <c r="U3" s="12" t="b">
        <f>IFERROR(__xludf.DUMMYFUNCTION("""COMPUTED_VALUE"""),FALSE)</f>
        <v>0</v>
      </c>
      <c r="V3" s="12"/>
      <c r="W3" s="14" t="str">
        <f>IFERROR(__xludf.DUMMYFUNCTION("""COMPUTED_VALUE"""),"https://maps.google.com/?q=A%20Touch%20of%20God's%20Love%20Outreach%2010103%20Fondren%20Suite%20420%20Houston%20TX%2077096")</f>
        <v>https://maps.google.com/?q=A%20Touch%20of%20God's%20Love%20Outreach%2010103%20Fondren%20Suite%20420%20Houston%20TX%2077096</v>
      </c>
      <c r="X3" s="10"/>
      <c r="Y3" s="9" t="str">
        <f>IFERROR(__xludf.DUMMYFUNCTION("""COMPUTED_VALUE"""),"Houston")</f>
        <v>Houston</v>
      </c>
      <c r="Z3" s="9" t="str">
        <f>IFERROR(__xludf.DUMMYFUNCTION("""COMPUTED_VALUE"""),"Brays Oaks, Meyerland, Westbury, Willow Meadows")</f>
        <v>Brays Oaks, Meyerland, Westbury, Willow Meadows</v>
      </c>
      <c r="AA3" s="9" t="str">
        <f>IFERROR(__xludf.DUMMYFUNCTION("""COMPUTED_VALUE"""),"A Touch of God's Love Outreach")</f>
        <v>A Touch of God's Love Outreach</v>
      </c>
      <c r="AB3" s="9" t="str">
        <f>IFERROR(__xludf.DUMMYFUNCTION("""COMPUTED_VALUE"""),"Brays Oaks")</f>
        <v>Brays Oaks</v>
      </c>
    </row>
    <row r="4" ht="30.0" customHeight="1">
      <c r="A4" s="17">
        <v>3.0</v>
      </c>
      <c r="B4" s="8" t="str">
        <f>IFERROR(__xludf.DUMMYFUNCTION("""COMPUTED_VALUE"""),"[""99999""]")</f>
        <v>["99999"]</v>
      </c>
      <c r="C4" s="9" t="str">
        <f>IFERROR(__xludf.DUMMYFUNCTION("""COMPUTED_VALUE"""),"AAMA George L Sanchez Charter School North")</f>
        <v>AAMA George L Sanchez Charter School North</v>
      </c>
      <c r="D4" s="9" t="str">
        <f>IFERROR(__xludf.DUMMYFUNCTION("""COMPUTED_VALUE"""),"170 Rittenhouse Street")</f>
        <v>170 Rittenhouse Street</v>
      </c>
      <c r="E4" s="9"/>
      <c r="F4" s="9" t="str">
        <f>IFERROR(__xludf.DUMMYFUNCTION("""COMPUTED_VALUE"""),"Houston")</f>
        <v>Houston</v>
      </c>
      <c r="G4" s="9" t="str">
        <f>IFERROR(__xludf.DUMMYFUNCTION("""COMPUTED_VALUE"""),"TX")</f>
        <v>TX</v>
      </c>
      <c r="H4" s="9" t="str">
        <f>IFERROR(__xludf.DUMMYFUNCTION("""COMPUTED_VALUE"""),"77076")</f>
        <v>77076</v>
      </c>
      <c r="I4" s="9" t="str">
        <f>IFERROR(__xludf.DUMMYFUNCTION("""COMPUTED_VALUE"""),"832-622-0685")</f>
        <v>832-622-0685</v>
      </c>
      <c r="J4" s="9" t="str">
        <f>IFERROR(__xludf.DUMMYFUNCTION("""COMPUTED_VALUE"""),"29.863906955714647, -95.37843356123234")</f>
        <v>29.863906955714647, -95.37843356123234</v>
      </c>
      <c r="K4" s="9" t="str">
        <f>IFERROR(__xludf.DUMMYFUNCTION("""COMPUTED_VALUE"""),"{""regular"":[{""days"":[""Mo"",""Tu"",""We"",""Th"",""Fr""],""open"":null,""close"":null}]}")</f>
        <v>{"regular":[{"days":["Mo","Tu","We","Th","Fr"],"open":null,"close":null}]}</v>
      </c>
      <c r="L4" s="9"/>
      <c r="M4" s="10">
        <f>IFERROR(__xludf.DUMMYFUNCTION("""COMPUTED_VALUE"""),43.0)</f>
        <v>43</v>
      </c>
      <c r="N4" s="10" t="str">
        <f>IFERROR(__xludf.DUMMYFUNCTION("""COMPUTED_VALUE"""),"Education - Children")</f>
        <v>Education - Children</v>
      </c>
      <c r="O4" s="10">
        <f>IFERROR(__xludf.DUMMYFUNCTION("""COMPUTED_VALUE"""),1.0)</f>
        <v>1</v>
      </c>
      <c r="P4" s="10" t="str">
        <f>IFERROR(__xludf.DUMMYFUNCTION("""COMPUTED_VALUE"""),"ACTIVE")</f>
        <v>ACTIVE</v>
      </c>
      <c r="Q4" s="11">
        <f>IFERROR(__xludf.DUMMYFUNCTION("""COMPUTED_VALUE"""),45893.0)</f>
        <v>45893</v>
      </c>
      <c r="R4" s="9"/>
      <c r="S4" s="9" t="str">
        <f>IFERROR(__xludf.DUMMYFUNCTION("""COMPUTED_VALUE"""),"Middle thru High School.
Free Tuition which includes free breakfast and lunch.
Apply online")</f>
        <v>Middle thru High School.
Free Tuition which includes free breakfast and lunch.
Apply online</v>
      </c>
      <c r="T4" s="12" t="b">
        <f>IFERROR(__xludf.DUMMYFUNCTION("""COMPUTED_VALUE"""),FALSE)</f>
        <v>0</v>
      </c>
      <c r="U4" s="12" t="b">
        <f>IFERROR(__xludf.DUMMYFUNCTION("""COMPUTED_VALUE"""),FALSE)</f>
        <v>0</v>
      </c>
      <c r="V4" s="13" t="str">
        <f>IFERROR(__xludf.DUMMYFUNCTION("""COMPUTED_VALUE"""),"https://www.aama.org/apps/pages/george-i-sanchez-charter-schools")</f>
        <v>https://www.aama.org/apps/pages/george-i-sanchez-charter-schools</v>
      </c>
      <c r="W4" s="14" t="str">
        <f>IFERROR(__xludf.DUMMYFUNCTION("""COMPUTED_VALUE"""),"https://www.google.com/maps/place/Sanchez+Charter+Middle+and+High+School/@29.8635627,-95.3810943,16z/data=!3m1!4b1!4m6!3m5!1s0x8640b80004692007:0x8f00566854f63014!8m2!3d29.8635581!4d-95.3785194!16s%2Fg%2F11c600mkxz?entry=ttu&amp;g_ep=EgoyMDI1MDgxOS4wIKXMDSoAS"&amp;"AFQAw%3D%3D")</f>
        <v>https://www.google.com/maps/place/Sanchez+Charter+Middle+and+High+School/@29.8635627,-95.3810943,16z/data=!3m1!4b1!4m6!3m5!1s0x8640b80004692007:0x8f00566854f63014!8m2!3d29.8635581!4d-95.3785194!16s%2Fg%2F11c600mkxz?entry=ttu&amp;g_ep=EgoyMDI1MDgxOS4wIKXMDSoASAFQAw%3D%3D</v>
      </c>
      <c r="X4" s="10"/>
      <c r="Y4" s="9" t="str">
        <f>IFERROR(__xludf.DUMMYFUNCTION("""COMPUTED_VALUE"""),"Houston")</f>
        <v>Houston</v>
      </c>
      <c r="Z4" s="9" t="str">
        <f>IFERROR(__xludf.DUMMYFUNCTION("""COMPUTED_VALUE"""),"Independence Heights, Northline, Northside / Northline")</f>
        <v>Independence Heights, Northline, Northside / Northline</v>
      </c>
      <c r="AA4" s="9" t="str">
        <f>IFERROR(__xludf.DUMMYFUNCTION("""COMPUTED_VALUE"""),"Association for Advancement of Mexican Americans (AAMA)")</f>
        <v>Association for Advancement of Mexican Americans (AAMA)</v>
      </c>
      <c r="AB4" s="9" t="str">
        <f>IFERROR(__xludf.DUMMYFUNCTION("""COMPUTED_VALUE"""),"Northside / Northline")</f>
        <v>Northside / Northline</v>
      </c>
    </row>
    <row r="5" ht="30.0" customHeight="1">
      <c r="A5" s="17">
        <v>4.0</v>
      </c>
      <c r="B5" s="8" t="str">
        <f>IFERROR(__xludf.DUMMYFUNCTION("""COMPUTED_VALUE"""),"[""99999""]")</f>
        <v>["99999"]</v>
      </c>
      <c r="C5" s="9" t="str">
        <f>IFERROR(__xludf.DUMMYFUNCTION("""COMPUTED_VALUE"""),"AAMA George L Sanchez Charter School South")</f>
        <v>AAMA George L Sanchez Charter School South</v>
      </c>
      <c r="D5" s="9" t="str">
        <f>IFERROR(__xludf.DUMMYFUNCTION("""COMPUTED_VALUE"""),"6001 Gulf Fwy")</f>
        <v>6001 Gulf Fwy</v>
      </c>
      <c r="E5" s="9"/>
      <c r="F5" s="9" t="str">
        <f>IFERROR(__xludf.DUMMYFUNCTION("""COMPUTED_VALUE"""),"Houston")</f>
        <v>Houston</v>
      </c>
      <c r="G5" s="9" t="str">
        <f>IFERROR(__xludf.DUMMYFUNCTION("""COMPUTED_VALUE"""),"TX")</f>
        <v>TX</v>
      </c>
      <c r="H5" s="9" t="str">
        <f>IFERROR(__xludf.DUMMYFUNCTION("""COMPUTED_VALUE"""),"77023")</f>
        <v>77023</v>
      </c>
      <c r="I5" s="9" t="str">
        <f>IFERROR(__xludf.DUMMYFUNCTION("""COMPUTED_VALUE"""),"832-622-0685")</f>
        <v>832-622-0685</v>
      </c>
      <c r="J5" s="9" t="str">
        <f>IFERROR(__xludf.DUMMYFUNCTION("""COMPUTED_VALUE"""),"29.714369469154935, -95.3121463531626")</f>
        <v>29.714369469154935, -95.3121463531626</v>
      </c>
      <c r="K5" s="9" t="str">
        <f>IFERROR(__xludf.DUMMYFUNCTION("""COMPUTED_VALUE"""),"{""regular"":[{""days"":[""Mo"",""Tu"",""We"",""Th"",""Fr""],""open"":null,""close"":null}]}")</f>
        <v>{"regular":[{"days":["Mo","Tu","We","Th","Fr"],"open":null,"close":null}]}</v>
      </c>
      <c r="L5" s="9"/>
      <c r="M5" s="10">
        <f>IFERROR(__xludf.DUMMYFUNCTION("""COMPUTED_VALUE"""),43.0)</f>
        <v>43</v>
      </c>
      <c r="N5" s="10" t="str">
        <f>IFERROR(__xludf.DUMMYFUNCTION("""COMPUTED_VALUE"""),"Education - Children")</f>
        <v>Education - Children</v>
      </c>
      <c r="O5" s="10">
        <f>IFERROR(__xludf.DUMMYFUNCTION("""COMPUTED_VALUE"""),1.0)</f>
        <v>1</v>
      </c>
      <c r="P5" s="10" t="str">
        <f>IFERROR(__xludf.DUMMYFUNCTION("""COMPUTED_VALUE"""),"ACTIVE")</f>
        <v>ACTIVE</v>
      </c>
      <c r="Q5" s="11">
        <f>IFERROR(__xludf.DUMMYFUNCTION("""COMPUTED_VALUE"""),45893.0)</f>
        <v>45893</v>
      </c>
      <c r="R5" s="9"/>
      <c r="S5" s="9" t="str">
        <f>IFERROR(__xludf.DUMMYFUNCTION("""COMPUTED_VALUE"""),"Elementary thru High School.
Free Tuition which includes free breakfast and lunch.
Apply online")</f>
        <v>Elementary thru High School.
Free Tuition which includes free breakfast and lunch.
Apply online</v>
      </c>
      <c r="T5" s="12" t="b">
        <f>IFERROR(__xludf.DUMMYFUNCTION("""COMPUTED_VALUE"""),FALSE)</f>
        <v>0</v>
      </c>
      <c r="U5" s="12" t="b">
        <f>IFERROR(__xludf.DUMMYFUNCTION("""COMPUTED_VALUE"""),FALSE)</f>
        <v>0</v>
      </c>
      <c r="V5" s="13" t="str">
        <f>IFERROR(__xludf.DUMMYFUNCTION("""COMPUTED_VALUE"""),"https://www.aama.org/apps/pages/george-i-sanchez-charter-schools")</f>
        <v>https://www.aama.org/apps/pages/george-i-sanchez-charter-schools</v>
      </c>
      <c r="W5" s="14" t="str">
        <f>IFERROR(__xludf.DUMMYFUNCTION("""COMPUTED_VALUE"""),"https://www.google.com/maps/place/AAMA/@29.7143334,-95.3127981,19z/data=!3m1!4b1!4m6!3m5!1s0x8640bfd5e8dcfca9:0x894a10d39493d560!8m2!3d29.7143322!4d-95.3121544!16s%2Fg%2F11sszckmnd?entry=ttu&amp;g_ep=EgoyMDI1MDgxOS4wIKXMDSoASAFQAw%3D%3D")</f>
        <v>https://www.google.com/maps/place/AAMA/@29.7143334,-95.3127981,19z/data=!3m1!4b1!4m6!3m5!1s0x8640bfd5e8dcfca9:0x894a10d39493d560!8m2!3d29.7143322!4d-95.3121544!16s%2Fg%2F11sszckmnd?entry=ttu&amp;g_ep=EgoyMDI1MDgxOS4wIKXMDSoASAFQAw%3D%3D</v>
      </c>
      <c r="X5" s="10"/>
      <c r="Y5" s="9" t="str">
        <f>IFERROR(__xludf.DUMMYFUNCTION("""COMPUTED_VALUE"""),"Houston")</f>
        <v>Houston</v>
      </c>
      <c r="Z5" s="9" t="str">
        <f>IFERROR(__xludf.DUMMYFUNCTION("""COMPUTED_VALUE"""),"Eastwood, Gulfgate Riverview / Pine Valley, Idylwood, Lawndale / Wayside, Magnolia Park, South Central Houston")</f>
        <v>Eastwood, Gulfgate Riverview / Pine Valley, Idylwood, Lawndale / Wayside, Magnolia Park, South Central Houston</v>
      </c>
      <c r="AA5" s="9" t="str">
        <f>IFERROR(__xludf.DUMMYFUNCTION("""COMPUTED_VALUE"""),"Association for Advancement of Mexican Americans (AAMA)")</f>
        <v>Association for Advancement of Mexican Americans (AAMA)</v>
      </c>
      <c r="AB5" s="9" t="str">
        <f>IFERROR(__xludf.DUMMYFUNCTION("""COMPUTED_VALUE"""),"Lawndale / Wayside")</f>
        <v>Lawndale / Wayside</v>
      </c>
    </row>
    <row r="6" ht="30.0" customHeight="1">
      <c r="A6" s="17">
        <v>5.0</v>
      </c>
      <c r="B6" s="8" t="str">
        <f>IFERROR(__xludf.DUMMYFUNCTION("""COMPUTED_VALUE"""),"[""99999""]")</f>
        <v>["99999"]</v>
      </c>
      <c r="C6" s="9" t="str">
        <f>IFERROR(__xludf.DUMMYFUNCTION("""COMPUTED_VALUE"""),"Ability Found")</f>
        <v>Ability Found</v>
      </c>
      <c r="D6" s="9" t="str">
        <f>IFERROR(__xludf.DUMMYFUNCTION("""COMPUTED_VALUE"""),"2324 S Constitution Blvd")</f>
        <v>2324 S Constitution Blvd</v>
      </c>
      <c r="E6" s="9"/>
      <c r="F6" s="9" t="str">
        <f>IFERROR(__xludf.DUMMYFUNCTION("""COMPUTED_VALUE"""),"West Valley City")</f>
        <v>West Valley City</v>
      </c>
      <c r="G6" s="9" t="str">
        <f>IFERROR(__xludf.DUMMYFUNCTION("""COMPUTED_VALUE"""),"UT")</f>
        <v>UT</v>
      </c>
      <c r="H6" s="9" t="str">
        <f>IFERROR(__xludf.DUMMYFUNCTION("""COMPUTED_VALUE"""),"84119")</f>
        <v>84119</v>
      </c>
      <c r="I6" s="9" t="str">
        <f>IFERROR(__xludf.DUMMYFUNCTION("""COMPUTED_VALUE"""),"801-505-0529")</f>
        <v>801-505-0529</v>
      </c>
      <c r="J6" s="9" t="str">
        <f>IFERROR(__xludf.DUMMYFUNCTION("""COMPUTED_VALUE"""),"40.72037806604348, -111.95827946249824")</f>
        <v>40.72037806604348, -111.95827946249824</v>
      </c>
      <c r="K6" s="9" t="str">
        <f>IFERROR(__xludf.DUMMYFUNCTION("""COMPUTED_VALUE"""),"{""regular"":[{""days"":[""Mo"",""Tu"",""We"",""Th"",""Fr""],""open"":null,""close"":null}]}")</f>
        <v>{"regular":[{"days":["Mo","Tu","We","Th","Fr"],"open":null,"close":null}]}</v>
      </c>
      <c r="L6" s="9" t="str">
        <f>IFERROR(__xludf.DUMMYFUNCTION("""COMPUTED_VALUE"""),"Apply online")</f>
        <v>Apply online</v>
      </c>
      <c r="M6" s="10">
        <f>IFERROR(__xludf.DUMMYFUNCTION("""COMPUTED_VALUE"""),31.0)</f>
        <v>31</v>
      </c>
      <c r="N6" s="10" t="str">
        <f>IFERROR(__xludf.DUMMYFUNCTION("""COMPUTED_VALUE"""),"Medical - Primary Care")</f>
        <v>Medical - Primary Care</v>
      </c>
      <c r="O6" s="10">
        <f>IFERROR(__xludf.DUMMYFUNCTION("""COMPUTED_VALUE"""),1.0)</f>
        <v>1</v>
      </c>
      <c r="P6" s="10" t="str">
        <f>IFERROR(__xludf.DUMMYFUNCTION("""COMPUTED_VALUE"""),"ACTIVE")</f>
        <v>ACTIVE</v>
      </c>
      <c r="Q6" s="11">
        <f>IFERROR(__xludf.DUMMYFUNCTION("""COMPUTED_VALUE"""),46045.0)</f>
        <v>46045</v>
      </c>
      <c r="R6" s="9" t="str">
        <f>IFERROR(__xludf.DUMMYFUNCTION("""COMPUTED_VALUE"""),"Verified online")</f>
        <v>Verified online</v>
      </c>
      <c r="S6" s="9" t="str">
        <f>IFERROR(__xludf.DUMMYFUNCTION("""COMPUTED_VALUE"""),"Provides mobility equipment at a low cost fee.
Equipment is customized for the needs of the individual.
They do not provide medical supplies or financial assistance.
Requests should be submitted online by a physical therapist if you have one, otherwise co"&amp;"ntact the organization directly thru their website.
")</f>
        <v>Provides mobility equipment at a low cost fee.
Equipment is customized for the needs of the individual.
They do not provide medical supplies or financial assistance.
Requests should be submitted online by a physical therapist if you have one, otherwise contact the organization directly thru their website.
</v>
      </c>
      <c r="T6" s="12" t="b">
        <f>IFERROR(__xludf.DUMMYFUNCTION("""COMPUTED_VALUE"""),FALSE)</f>
        <v>0</v>
      </c>
      <c r="U6" s="12" t="b">
        <f>IFERROR(__xludf.DUMMYFUNCTION("""COMPUTED_VALUE"""),FALSE)</f>
        <v>0</v>
      </c>
      <c r="V6" s="13" t="str">
        <f>IFERROR(__xludf.DUMMYFUNCTION("""COMPUTED_VALUE"""),"https://abilityfound.org/pages/need-help")</f>
        <v>https://abilityfound.org/pages/need-help</v>
      </c>
      <c r="W6" s="14" t="str">
        <f>IFERROR(__xludf.DUMMYFUNCTION("""COMPUTED_VALUE"""),"https://www.google.com/maps/place/Ability+Found+Charity/@40.7202562,-111.9631665,17z/data=!3m1!4b1!4m6!3m5!1s0x87528a2b55962c8f:0x4d686ad30de1f05d!8m2!3d40.7202563!4d-111.9582902!16s%2Fg%2F1vzv443n?entry=ttu&amp;g_ep=EgoyMDI2MDEyMC4wIKXMDSoKLDEwMDc5MjA2OUgBUA"&amp;"M%3D")</f>
        <v>https://www.google.com/maps/place/Ability+Found+Charity/@40.7202562,-111.9631665,17z/data=!3m1!4b1!4m6!3m5!1s0x87528a2b55962c8f:0x4d686ad30de1f05d!8m2!3d40.7202563!4d-111.9582902!16s%2Fg%2F1vzv443n?entry=ttu&amp;g_ep=EgoyMDI2MDEyMC4wIKXMDSoKLDEwMDc5MjA2OUgBUAM%3D</v>
      </c>
      <c r="X6" s="10"/>
      <c r="Y6" s="9" t="str">
        <f>IFERROR(__xludf.DUMMYFUNCTION("""COMPUTED_VALUE"""),"West Valley City")</f>
        <v>West Valley City</v>
      </c>
      <c r="Z6" s="9" t="str">
        <f>IFERROR(__xludf.DUMMYFUNCTION("""COMPUTED_VALUE"""),"West Valley City")</f>
        <v>West Valley City</v>
      </c>
      <c r="AA6" s="9" t="str">
        <f>IFERROR(__xludf.DUMMYFUNCTION("""COMPUTED_VALUE"""),"Ability Found")</f>
        <v>Ability Found</v>
      </c>
      <c r="AB6" s="9" t="str">
        <f>IFERROR(__xludf.DUMMYFUNCTION("""COMPUTED_VALUE"""),"West Valley City")</f>
        <v>West Valley City</v>
      </c>
    </row>
    <row r="7" ht="30.0" customHeight="1">
      <c r="A7" s="17">
        <v>6.0</v>
      </c>
      <c r="B7" s="8" t="str">
        <f>IFERROR(__xludf.DUMMYFUNCTION("""COMPUTED_VALUE"""),"[""77418"", ""77452"", ""77474""]")</f>
        <v>["77418", "77452", "77474"]</v>
      </c>
      <c r="C7" s="9" t="str">
        <f>IFERROR(__xludf.DUMMYFUNCTION("""COMPUTED_VALUE"""),"AccessHealth Bellville WIC Center")</f>
        <v>AccessHealth Bellville WIC Center</v>
      </c>
      <c r="D7" s="9" t="str">
        <f>IFERROR(__xludf.DUMMYFUNCTION("""COMPUTED_VALUE"""),"800 E Wendt Street")</f>
        <v>800 E Wendt Street</v>
      </c>
      <c r="E7" s="9"/>
      <c r="F7" s="9" t="str">
        <f>IFERROR(__xludf.DUMMYFUNCTION("""COMPUTED_VALUE"""),"Bellville")</f>
        <v>Bellville</v>
      </c>
      <c r="G7" s="9" t="str">
        <f>IFERROR(__xludf.DUMMYFUNCTION("""COMPUTED_VALUE"""),"TX")</f>
        <v>TX</v>
      </c>
      <c r="H7" s="9" t="str">
        <f>IFERROR(__xludf.DUMMYFUNCTION("""COMPUTED_VALUE"""),"77418")</f>
        <v>77418</v>
      </c>
      <c r="I7" s="9" t="str">
        <f>IFERROR(__xludf.DUMMYFUNCTION("""COMPUTED_VALUE"""),"979-865-9140")</f>
        <v>979-865-9140</v>
      </c>
      <c r="J7" s="9" t="str">
        <f>IFERROR(__xludf.DUMMYFUNCTION("""COMPUTED_VALUE"""),"29.9396576157338, -96.2537193375798")</f>
        <v>29.9396576157338, -96.2537193375798</v>
      </c>
      <c r="K7" s="9" t="str">
        <f>IFERROR(__xludf.DUMMYFUNCTION("""COMPUTED_VALUE"""),"{""regular"":[{""days"":[""Mo"",""Tu"",""Th""],""open"":""08:00"",""close"":""17:30""}]}")</f>
        <v>{"regular":[{"days":["Mo","Tu","Th"],"open":"08:00","close":"17:30"}]}</v>
      </c>
      <c r="L7" s="9"/>
      <c r="M7" s="10">
        <f>IFERROR(__xludf.DUMMYFUNCTION("""COMPUTED_VALUE"""),44.0)</f>
        <v>44</v>
      </c>
      <c r="N7" s="10" t="str">
        <f>IFERROR(__xludf.DUMMYFUNCTION("""COMPUTED_VALUE"""),"Mother &amp; Child")</f>
        <v>Mother &amp; Child</v>
      </c>
      <c r="O7" s="10">
        <f>IFERROR(__xludf.DUMMYFUNCTION("""COMPUTED_VALUE"""),1.0)</f>
        <v>1</v>
      </c>
      <c r="P7" s="10" t="str">
        <f>IFERROR(__xludf.DUMMYFUNCTION("""COMPUTED_VALUE"""),"ACTIVE")</f>
        <v>ACTIVE</v>
      </c>
      <c r="Q7" s="11">
        <f>IFERROR(__xludf.DUMMYFUNCTION("""COMPUTED_VALUE"""),45831.0)</f>
        <v>45831</v>
      </c>
      <c r="R7" s="9" t="str">
        <f>IFERROR(__xludf.DUMMYFUNCTION("""COMPUTED_VALUE"""),"Verified online")</f>
        <v>Verified online</v>
      </c>
      <c r="S7"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Fee based group sessions for Family Violence Intervention and Prevention and Anger Management Programs.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Fee based group sessions for Family Violence Intervention and Prevention and Anger Management Programs.
</v>
      </c>
      <c r="T7" s="12" t="b">
        <f>IFERROR(__xludf.DUMMYFUNCTION("""COMPUTED_VALUE"""),FALSE)</f>
        <v>0</v>
      </c>
      <c r="U7" s="18" t="b">
        <f>IFERROR(__xludf.DUMMYFUNCTION("""COMPUTED_VALUE"""),FALSE)</f>
        <v>0</v>
      </c>
      <c r="V7" s="13" t="str">
        <f>IFERROR(__xludf.DUMMYFUNCTION("""COMPUTED_VALUE"""),"https://www.myaccesshealth.org/")</f>
        <v>https://www.myaccesshealth.org/</v>
      </c>
      <c r="W7" s="14" t="str">
        <f>IFERROR(__xludf.DUMMYFUNCTION("""COMPUTED_VALUE"""),"https://www.google.com/maps/place/Access+Health+Bellville+WIC+Clinic/@29.9400956,-96.2564832,16z/data=!3m1!4b1!4m6!3m5!1s0x86415214a20f7165:0x9a29241743df954d!8m2!3d29.940091!4d-96.2539029!16s%2Fg%2F11bzsdntr2?entry=ttu&amp;g_ep=EgoyMDI1MDYxNy4wIKXMDSoASAFQAw"&amp;"%3D%3D")</f>
        <v>https://www.google.com/maps/place/Access+Health+Bellville+WIC+Clinic/@29.9400956,-96.2564832,16z/data=!3m1!4b1!4m6!3m5!1s0x86415214a20f7165:0x9a29241743df954d!8m2!3d29.940091!4d-96.2539029!16s%2Fg%2F11bzsdntr2?entry=ttu&amp;g_ep=EgoyMDI1MDYxNy4wIKXMDSoASAFQAw%3D%3D</v>
      </c>
      <c r="X7" s="10"/>
      <c r="Y7" s="9" t="str">
        <f>IFERROR(__xludf.DUMMYFUNCTION("""COMPUTED_VALUE"""),"Bellville")</f>
        <v>Bellville</v>
      </c>
      <c r="Z7" s="9" t="str">
        <f>IFERROR(__xludf.DUMMYFUNCTION("""COMPUTED_VALUE"""),"Bellville")</f>
        <v>Bellville</v>
      </c>
      <c r="AA7" s="9" t="str">
        <f>IFERROR(__xludf.DUMMYFUNCTION("""COMPUTED_VALUE"""),"AccessHealth")</f>
        <v>AccessHealth</v>
      </c>
      <c r="AB7" s="9" t="str">
        <f>IFERROR(__xludf.DUMMYFUNCTION("""COMPUTED_VALUE"""),"Bellville")</f>
        <v>Bellville</v>
      </c>
    </row>
    <row r="8" ht="30.0" customHeight="1">
      <c r="A8" s="17">
        <v>7.0</v>
      </c>
      <c r="B8"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8" s="9" t="str">
        <f>IFERROR(__xludf.DUMMYFUNCTION("""COMPUTED_VALUE"""),"AccessHealth Brookshire Clinic")</f>
        <v>AccessHealth Brookshire Clinic</v>
      </c>
      <c r="D8" s="9" t="str">
        <f>IFERROR(__xludf.DUMMYFUNCTION("""COMPUTED_VALUE"""),"533 FM 359 S")</f>
        <v>533 FM 359 S</v>
      </c>
      <c r="E8" s="19"/>
      <c r="F8" s="9" t="str">
        <f>IFERROR(__xludf.DUMMYFUNCTION("""COMPUTED_VALUE"""),"Brookshire")</f>
        <v>Brookshire</v>
      </c>
      <c r="G8" s="9" t="str">
        <f>IFERROR(__xludf.DUMMYFUNCTION("""COMPUTED_VALUE"""),"TX")</f>
        <v>TX</v>
      </c>
      <c r="H8" s="9" t="str">
        <f>IFERROR(__xludf.DUMMYFUNCTION("""COMPUTED_VALUE"""),"77423")</f>
        <v>77423</v>
      </c>
      <c r="I8" s="9" t="str">
        <f>IFERROR(__xludf.DUMMYFUNCTION("""COMPUTED_VALUE"""),"281-342-4530")</f>
        <v>281-342-4530</v>
      </c>
      <c r="J8" s="9" t="str">
        <f>IFERROR(__xludf.DUMMYFUNCTION("""COMPUTED_VALUE"""),"29.77434, -95.950801")</f>
        <v>29.77434, -95.950801</v>
      </c>
      <c r="K8" s="9" t="str">
        <f>IFERROR(__xludf.DUMMYFUNCTION("""COMPUTED_VALUE"""),"{""regular"":[{""days"":[""Mo"",""Tu"",""We""],""open"":""07:00"",""close"":""17:30""},{""days"":[""Th"",""Fr""],""open"":""08:00"",""close"":""17:00""}]}")</f>
        <v>{"regular":[{"days":["Mo","Tu","We"],"open":"07:00","close":"17:30"},{"days":["Th","Fr"],"open":"08:00","close":"17:00"}]}</v>
      </c>
      <c r="L8" s="9"/>
      <c r="M8" s="10">
        <f>IFERROR(__xludf.DUMMYFUNCTION("""COMPUTED_VALUE"""),31.0)</f>
        <v>31</v>
      </c>
      <c r="N8" s="10" t="str">
        <f>IFERROR(__xludf.DUMMYFUNCTION("""COMPUTED_VALUE"""),"Medical - Primary Care")</f>
        <v>Medical - Primary Care</v>
      </c>
      <c r="O8" s="10">
        <f>IFERROR(__xludf.DUMMYFUNCTION("""COMPUTED_VALUE"""),1.0)</f>
        <v>1</v>
      </c>
      <c r="P8" s="10" t="str">
        <f>IFERROR(__xludf.DUMMYFUNCTION("""COMPUTED_VALUE"""),"ACTIVE")</f>
        <v>ACTIVE</v>
      </c>
      <c r="Q8" s="11">
        <f>IFERROR(__xludf.DUMMYFUNCTION("""COMPUTED_VALUE"""),45831.0)</f>
        <v>45831</v>
      </c>
      <c r="R8" s="9" t="str">
        <f>IFERROR(__xludf.DUMMYFUNCTION("""COMPUTED_VALUE"""),"Verified online")</f>
        <v>Verified online</v>
      </c>
      <c r="S8" s="9" t="str">
        <f>IFERROR(__xludf.DUMMYFUNCTION("""COMPUTED_VALUE"""),"Family medicine, primary care, adults, women's health, pediatric, counseling and mental health, pharmacy, immunizations, Lab, OB.GYN, Hepatitis testing and treatment, substance abuse and addiction.
AccessHealth is a private, not-for-profit organization an"&amp;"d a Federally Qualified Health Center.  It's primary focus is the low-income population of Fort Bend and Waller counties but will not turn anyone away, regardless of income or circumstance.
Sliding scale of fee based on income.")</f>
        <v>Family medicine, primary care, adults, women's health, pediatric,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8" s="12" t="b">
        <f>IFERROR(__xludf.DUMMYFUNCTION("""COMPUTED_VALUE"""),FALSE)</f>
        <v>0</v>
      </c>
      <c r="U8" s="12" t="b">
        <f>IFERROR(__xludf.DUMMYFUNCTION("""COMPUTED_VALUE"""),FALSE)</f>
        <v>0</v>
      </c>
      <c r="V8" s="13" t="str">
        <f>IFERROR(__xludf.DUMMYFUNCTION("""COMPUTED_VALUE"""),"https://www.myaccesshealth.org/")</f>
        <v>https://www.myaccesshealth.org/</v>
      </c>
      <c r="W8" s="14" t="str">
        <f>IFERROR(__xludf.DUMMYFUNCTION("""COMPUTED_VALUE"""),"https://www.google.com/maps/place/AccessHealth+Brookshire+Clinic/@29.774261,-95.9528807,17z/data=!3m1!4b1!4m6!3m5!1s0x86413ba32ec6aa43:0xecb591ea00b3e4b5!8m2!3d29.7742564!4d-95.9503004!16s%2Fg%2F11hc_k0k4f?entry=ttu&amp;g_ep=EgoyMDI1MDYxNy4wIKXMDSoASAFQAw%3D%"&amp;"3D")</f>
        <v>https://www.google.com/maps/place/AccessHealth+Brookshire+Clinic/@29.774261,-95.9528807,17z/data=!3m1!4b1!4m6!3m5!1s0x86413ba32ec6aa43:0xecb591ea00b3e4b5!8m2!3d29.7742564!4d-95.9503004!16s%2Fg%2F11hc_k0k4f?entry=ttu&amp;g_ep=EgoyMDI1MDYxNy4wIKXMDSoASAFQAw%3D%3D</v>
      </c>
      <c r="X8" s="10"/>
      <c r="Y8" s="9" t="str">
        <f>IFERROR(__xludf.DUMMYFUNCTION("""COMPUTED_VALUE"""),"Brookshire")</f>
        <v>Brookshire</v>
      </c>
      <c r="Z8" s="9" t="str">
        <f>IFERROR(__xludf.DUMMYFUNCTION("""COMPUTED_VALUE"""),"Brookshire")</f>
        <v>Brookshire</v>
      </c>
      <c r="AA8" s="9" t="str">
        <f>IFERROR(__xludf.DUMMYFUNCTION("""COMPUTED_VALUE"""),"AccessHealth")</f>
        <v>AccessHealth</v>
      </c>
      <c r="AB8" s="9" t="str">
        <f>IFERROR(__xludf.DUMMYFUNCTION("""COMPUTED_VALUE"""),"Brookshire")</f>
        <v>Brookshire</v>
      </c>
    </row>
    <row r="9" ht="30.0" customHeight="1">
      <c r="A9" s="17">
        <v>8.0</v>
      </c>
      <c r="B9"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9" s="9" t="str">
        <f>IFERROR(__xludf.DUMMYFUNCTION("""COMPUTED_VALUE"""),"AccessHealth Brookshire WIC Center")</f>
        <v>AccessHealth Brookshire WIC Center</v>
      </c>
      <c r="D9" s="9" t="str">
        <f>IFERROR(__xludf.DUMMYFUNCTION("""COMPUTED_VALUE"""),"531 FM 359 S")</f>
        <v>531 FM 359 S</v>
      </c>
      <c r="E9" s="9"/>
      <c r="F9" s="9" t="str">
        <f>IFERROR(__xludf.DUMMYFUNCTION("""COMPUTED_VALUE"""),"Brookshire")</f>
        <v>Brookshire</v>
      </c>
      <c r="G9" s="9" t="str">
        <f>IFERROR(__xludf.DUMMYFUNCTION("""COMPUTED_VALUE"""),"TX")</f>
        <v>TX</v>
      </c>
      <c r="H9" s="9" t="str">
        <f>IFERROR(__xludf.DUMMYFUNCTION("""COMPUTED_VALUE"""),"77423")</f>
        <v>77423</v>
      </c>
      <c r="I9" s="9" t="str">
        <f>IFERROR(__xludf.DUMMYFUNCTION("""COMPUTED_VALUE"""),"281-822-4242")</f>
        <v>281-822-4242</v>
      </c>
      <c r="J9" s="9" t="str">
        <f>IFERROR(__xludf.DUMMYFUNCTION("""COMPUTED_VALUE"""),"29.774335, -95.951041")</f>
        <v>29.774335, -95.951041</v>
      </c>
      <c r="K9" s="9" t="str">
        <f>IFERROR(__xludf.DUMMYFUNCTION("""COMPUTED_VALUE"""),"{""regular"":[{""days"":[""Mo"",""We"",""Th""],""open"":""08:00"",""close"":""17:30""},{""days"":[""Tu""],""open"":""08:00"",""close"":""18:00""},{""days"":[""Fr""],""open"":""08:00"",""close"":""13:30""}]}")</f>
        <v>{"regular":[{"days":["Mo","We","Th"],"open":"08:00","close":"17:30"},{"days":["Tu"],"open":"08:00","close":"18:00"},{"days":["Fr"],"open":"08:00","close":"13:30"}]}</v>
      </c>
      <c r="L9" s="9"/>
      <c r="M9" s="10">
        <f>IFERROR(__xludf.DUMMYFUNCTION("""COMPUTED_VALUE"""),44.0)</f>
        <v>44</v>
      </c>
      <c r="N9" s="10" t="str">
        <f>IFERROR(__xludf.DUMMYFUNCTION("""COMPUTED_VALUE"""),"Mother &amp; Child")</f>
        <v>Mother &amp; Child</v>
      </c>
      <c r="O9" s="10">
        <f>IFERROR(__xludf.DUMMYFUNCTION("""COMPUTED_VALUE"""),1.0)</f>
        <v>1</v>
      </c>
      <c r="P9" s="10" t="str">
        <f>IFERROR(__xludf.DUMMYFUNCTION("""COMPUTED_VALUE"""),"ACTIVE")</f>
        <v>ACTIVE</v>
      </c>
      <c r="Q9" s="11">
        <f>IFERROR(__xludf.DUMMYFUNCTION("""COMPUTED_VALUE"""),45831.0)</f>
        <v>45831</v>
      </c>
      <c r="R9" s="9" t="str">
        <f>IFERROR(__xludf.DUMMYFUNCTION("""COMPUTED_VALUE"""),"Verified online")</f>
        <v>Verified online</v>
      </c>
      <c r="S9"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9" s="12" t="b">
        <f>IFERROR(__xludf.DUMMYFUNCTION("""COMPUTED_VALUE"""),FALSE)</f>
        <v>0</v>
      </c>
      <c r="U9" s="12" t="b">
        <f>IFERROR(__xludf.DUMMYFUNCTION("""COMPUTED_VALUE"""),FALSE)</f>
        <v>0</v>
      </c>
      <c r="V9" s="13" t="str">
        <f>IFERROR(__xludf.DUMMYFUNCTION("""COMPUTED_VALUE"""),"https://www.myaccesshealth.org/")</f>
        <v>https://www.myaccesshealth.org/</v>
      </c>
      <c r="W9" s="14" t="str">
        <f>IFERROR(__xludf.DUMMYFUNCTION("""COMPUTED_VALUE"""),"https://www.google.com/maps/place/Access+Health+Brookshire+WIC+Clinic/@29.7743128,-95.9532197,17z/data=!3m1!4b1!4m6!3m5!1s0x86413ba32420529b:0x5798dda56f02582e!8m2!3d29.7743082!4d-95.9506394!16s%2Fg%2F11hcd_dmqz?entry=ttu&amp;g_ep=EgoyMDI1MDYxNy4wIKXMDSoASAFQ"&amp;"Aw%3D%3D")</f>
        <v>https://www.google.com/maps/place/Access+Health+Brookshire+WIC+Clinic/@29.7743128,-95.9532197,17z/data=!3m1!4b1!4m6!3m5!1s0x86413ba32420529b:0x5798dda56f02582e!8m2!3d29.7743082!4d-95.9506394!16s%2Fg%2F11hcd_dmqz?entry=ttu&amp;g_ep=EgoyMDI1MDYxNy4wIKXMDSoASAFQAw%3D%3D</v>
      </c>
      <c r="X9" s="10"/>
      <c r="Y9" s="9" t="str">
        <f>IFERROR(__xludf.DUMMYFUNCTION("""COMPUTED_VALUE"""),"Brookshire")</f>
        <v>Brookshire</v>
      </c>
      <c r="Z9" s="9" t="str">
        <f>IFERROR(__xludf.DUMMYFUNCTION("""COMPUTED_VALUE"""),"Brookshire")</f>
        <v>Brookshire</v>
      </c>
      <c r="AA9" s="9" t="str">
        <f>IFERROR(__xludf.DUMMYFUNCTION("""COMPUTED_VALUE"""),"AccessHealth")</f>
        <v>AccessHealth</v>
      </c>
      <c r="AB9" s="9" t="str">
        <f>IFERROR(__xludf.DUMMYFUNCTION("""COMPUTED_VALUE"""),"Brookshire")</f>
        <v>Brookshire</v>
      </c>
    </row>
    <row r="10" ht="30.0" customHeight="1">
      <c r="A10" s="17">
        <v>9.0</v>
      </c>
      <c r="B10"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0" s="9" t="str">
        <f>IFERROR(__xludf.DUMMYFUNCTION("""COMPUTED_VALUE"""),"AccessHealth East Fort Bend Clinic")</f>
        <v>AccessHealth East Fort Bend Clinic</v>
      </c>
      <c r="D10" s="9" t="str">
        <f>IFERROR(__xludf.DUMMYFUNCTION("""COMPUTED_VALUE"""),"7707 Highway 6 South")</f>
        <v>7707 Highway 6 South</v>
      </c>
      <c r="E10" s="9"/>
      <c r="F10" s="9" t="str">
        <f>IFERROR(__xludf.DUMMYFUNCTION("""COMPUTED_VALUE"""),"Missouri City")</f>
        <v>Missouri City</v>
      </c>
      <c r="G10" s="9" t="str">
        <f>IFERROR(__xludf.DUMMYFUNCTION("""COMPUTED_VALUE"""),"TX")</f>
        <v>TX</v>
      </c>
      <c r="H10" s="9" t="str">
        <f>IFERROR(__xludf.DUMMYFUNCTION("""COMPUTED_VALUE"""),"77459")</f>
        <v>77459</v>
      </c>
      <c r="I10" s="9" t="str">
        <f>IFERROR(__xludf.DUMMYFUNCTION("""COMPUTED_VALUE"""),"281-342-4530")</f>
        <v>281-342-4530</v>
      </c>
      <c r="J10" s="9" t="str">
        <f>IFERROR(__xludf.DUMMYFUNCTION("""COMPUTED_VALUE"""),"29.55004371572688, -95.54838500791375")</f>
        <v>29.55004371572688, -95.54838500791375</v>
      </c>
      <c r="K10" s="9" t="str">
        <f>IFERROR(__xludf.DUMMYFUNCTION("""COMPUTED_VALUE"""),"{""regular"":[{""days"":[""Mo"",""Tu"",""We"",""Th""],""open"":""08:00"",""close"":""17:00""}]}")</f>
        <v>{"regular":[{"days":["Mo","Tu","We","Th"],"open":"08:00","close":"17:00"}]}</v>
      </c>
      <c r="L10" s="9"/>
      <c r="M10" s="10">
        <f>IFERROR(__xludf.DUMMYFUNCTION("""COMPUTED_VALUE"""),31.0)</f>
        <v>31</v>
      </c>
      <c r="N10" s="10" t="str">
        <f>IFERROR(__xludf.DUMMYFUNCTION("""COMPUTED_VALUE"""),"Medical - Primary Care")</f>
        <v>Medical - Primary Care</v>
      </c>
      <c r="O10" s="10">
        <f>IFERROR(__xludf.DUMMYFUNCTION("""COMPUTED_VALUE"""),1.0)</f>
        <v>1</v>
      </c>
      <c r="P10" s="10" t="str">
        <f>IFERROR(__xludf.DUMMYFUNCTION("""COMPUTED_VALUE"""),"ACTIVE")</f>
        <v>ACTIVE</v>
      </c>
      <c r="Q10" s="11">
        <f>IFERROR(__xludf.DUMMYFUNCTION("""COMPUTED_VALUE"""),45831.0)</f>
        <v>45831</v>
      </c>
      <c r="R10" s="9" t="str">
        <f>IFERROR(__xludf.DUMMYFUNCTION("""COMPUTED_VALUE"""),"Verified online")</f>
        <v>Verified online</v>
      </c>
      <c r="S10" s="9" t="str">
        <f>IFERROR(__xludf.DUMMYFUNCTION("""COMPUTED_VALUE"""),"Family medicine, primary care, adults, women's health, pediatric, counseling and mental health, pharmacy, immunizations, Lab, OB.GYN, Hepatitis testing and treatment, substance abuse and addiction.
AccessHealth is a private, not-for-profit organization an"&amp;"d a Federally Qualified Health Center.  It's primary focus is the low-income population of Fort Bend and Waller counties but will not turn anyone away, regardless of income or circumstance.
Sliding scale of fee based on income.")</f>
        <v>Family medicine, primary care, adults, women's health, pediatric,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10" s="12" t="b">
        <f>IFERROR(__xludf.DUMMYFUNCTION("""COMPUTED_VALUE"""),FALSE)</f>
        <v>0</v>
      </c>
      <c r="U10" s="12" t="b">
        <f>IFERROR(__xludf.DUMMYFUNCTION("""COMPUTED_VALUE"""),FALSE)</f>
        <v>0</v>
      </c>
      <c r="V10" s="13" t="str">
        <f>IFERROR(__xludf.DUMMYFUNCTION("""COMPUTED_VALUE"""),"https://www.myaccesshealth.org/")</f>
        <v>https://www.myaccesshealth.org/</v>
      </c>
      <c r="W10" s="14" t="str">
        <f>IFERROR(__xludf.DUMMYFUNCTION("""COMPUTED_VALUE"""),"https://www.google.com/maps/place/AccessHealth+East+Fort+Bend/@29.5498337,-95.5509975,17z/data=!3m1!4b1!4m6!3m5!1s0x8640ef623897ab5b:0x45df221a3b363090!8m2!3d29.5498291!4d-95.5484172!16s%2Fg%2F11g3zk_tqr?entry=ttu&amp;g_ep=EgoyMDI1MDYxNy4wIKXMDSoASAFQAw%3D%3D")</f>
        <v>https://www.google.com/maps/place/AccessHealth+East+Fort+Bend/@29.5498337,-95.5509975,17z/data=!3m1!4b1!4m6!3m5!1s0x8640ef623897ab5b:0x45df221a3b363090!8m2!3d29.5498291!4d-95.5484172!16s%2Fg%2F11g3zk_tqr?entry=ttu&amp;g_ep=EgoyMDI1MDYxNy4wIKXMDSoASAFQAw%3D%3D</v>
      </c>
      <c r="X10" s="10"/>
      <c r="Y10" s="9" t="str">
        <f>IFERROR(__xludf.DUMMYFUNCTION("""COMPUTED_VALUE"""),"Missouri City")</f>
        <v>Missouri City</v>
      </c>
      <c r="Z10" s="9" t="str">
        <f>IFERROR(__xludf.DUMMYFUNCTION("""COMPUTED_VALUE"""),"Missouri City, Plantation Park, Sienna")</f>
        <v>Missouri City, Plantation Park, Sienna</v>
      </c>
      <c r="AA10" s="9" t="str">
        <f>IFERROR(__xludf.DUMMYFUNCTION("""COMPUTED_VALUE"""),"AccessHealth")</f>
        <v>AccessHealth</v>
      </c>
      <c r="AB10" s="9" t="str">
        <f>IFERROR(__xludf.DUMMYFUNCTION("""COMPUTED_VALUE"""),"Missouri City")</f>
        <v>Missouri City</v>
      </c>
    </row>
    <row r="11" ht="30.0" customHeight="1">
      <c r="A11" s="17">
        <v>10.0</v>
      </c>
      <c r="B11" s="8" t="str">
        <f>IFERROR(__xludf.DUMMYFUNCTION("""COMPUTED_VALUE"""),"[""77445"", ""77446"", ""77466"", ""77492""]")</f>
        <v>["77445", "77446", "77466", "77492"]</v>
      </c>
      <c r="C11" s="9" t="str">
        <f>IFERROR(__xludf.DUMMYFUNCTION("""COMPUTED_VALUE"""),"AccessHealth Hempstead WIC Center")</f>
        <v>AccessHealth Hempstead WIC Center</v>
      </c>
      <c r="D11" s="9" t="str">
        <f>IFERROR(__xludf.DUMMYFUNCTION("""COMPUTED_VALUE"""),"1737 13th Street")</f>
        <v>1737 13th Street</v>
      </c>
      <c r="E11" s="9"/>
      <c r="F11" s="9" t="str">
        <f>IFERROR(__xludf.DUMMYFUNCTION("""COMPUTED_VALUE"""),"Hempstead")</f>
        <v>Hempstead</v>
      </c>
      <c r="G11" s="9" t="str">
        <f>IFERROR(__xludf.DUMMYFUNCTION("""COMPUTED_VALUE"""),"TX")</f>
        <v>TX</v>
      </c>
      <c r="H11" s="9" t="str">
        <f>IFERROR(__xludf.DUMMYFUNCTION("""COMPUTED_VALUE"""),"77445")</f>
        <v>77445</v>
      </c>
      <c r="I11" s="9" t="str">
        <f>IFERROR(__xludf.DUMMYFUNCTION("""COMPUTED_VALUE"""),"979-557-2860")</f>
        <v>979-557-2860</v>
      </c>
      <c r="J11" s="9" t="str">
        <f>IFERROR(__xludf.DUMMYFUNCTION("""COMPUTED_VALUE"""),"30.0888023601738, -96.0826334225169")</f>
        <v>30.0888023601738, -96.0826334225169</v>
      </c>
      <c r="K11" s="9" t="str">
        <f>IFERROR(__xludf.DUMMYFUNCTION("""COMPUTED_VALUE"""),"{""regular"":[{""days"":[""Mo"",""Tu""],""open"":""08:00"",""close"":""18:00""},{""days"":[""We"",""Th""],""open"":""08:00"",""close"":""17:30""},{""days"":[""Fr""],""open"":""08:00"",""close"":""13:00""}]}")</f>
        <v>{"regular":[{"days":["Mo","Tu"],"open":"08:00","close":"18:00"},{"days":["We","Th"],"open":"08:00","close":"17:30"},{"days":["Fr"],"open":"08:00","close":"13:00"}]}</v>
      </c>
      <c r="L11" s="9"/>
      <c r="M11" s="10">
        <f>IFERROR(__xludf.DUMMYFUNCTION("""COMPUTED_VALUE"""),44.0)</f>
        <v>44</v>
      </c>
      <c r="N11" s="10" t="str">
        <f>IFERROR(__xludf.DUMMYFUNCTION("""COMPUTED_VALUE"""),"Mother &amp; Child")</f>
        <v>Mother &amp; Child</v>
      </c>
      <c r="O11" s="10">
        <f>IFERROR(__xludf.DUMMYFUNCTION("""COMPUTED_VALUE"""),1.0)</f>
        <v>1</v>
      </c>
      <c r="P11" s="10" t="str">
        <f>IFERROR(__xludf.DUMMYFUNCTION("""COMPUTED_VALUE"""),"ACTIVE")</f>
        <v>ACTIVE</v>
      </c>
      <c r="Q11" s="11">
        <f>IFERROR(__xludf.DUMMYFUNCTION("""COMPUTED_VALUE"""),45831.0)</f>
        <v>45831</v>
      </c>
      <c r="R11" s="9" t="str">
        <f>IFERROR(__xludf.DUMMYFUNCTION("""COMPUTED_VALUE"""),"Verified online")</f>
        <v>Verified online</v>
      </c>
      <c r="S11"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11" s="12" t="b">
        <f>IFERROR(__xludf.DUMMYFUNCTION("""COMPUTED_VALUE"""),FALSE)</f>
        <v>0</v>
      </c>
      <c r="U11" s="12" t="b">
        <f>IFERROR(__xludf.DUMMYFUNCTION("""COMPUTED_VALUE"""),FALSE)</f>
        <v>0</v>
      </c>
      <c r="V11" s="13" t="str">
        <f>IFERROR(__xludf.DUMMYFUNCTION("""COMPUTED_VALUE"""),"https://www.myaccesshealth.org/")</f>
        <v>https://www.myaccesshealth.org/</v>
      </c>
      <c r="W11" s="14" t="str">
        <f>IFERROR(__xludf.DUMMYFUNCTION("""COMPUTED_VALUE"""),"https://www.google.com/maps/place/Access+Health+Hempstead+WIC+Clinic/@30.0885994,-96.0854671,17z/data=!3m1!4b1!4m6!3m5!1s0x8646cbf2bdd604ed:0x3871c5dc9c88752f!8m2!3d30.0885948!4d-96.0828868!16s%2Fg%2F11c80c5pwh?entry=ttu&amp;g_ep=EgoyMDI1MDYxNy4wIKXMDSoASAFQA"&amp;"w%3D%3D")</f>
        <v>https://www.google.com/maps/place/Access+Health+Hempstead+WIC+Clinic/@30.0885994,-96.0854671,17z/data=!3m1!4b1!4m6!3m5!1s0x8646cbf2bdd604ed:0x3871c5dc9c88752f!8m2!3d30.0885948!4d-96.0828868!16s%2Fg%2F11c80c5pwh?entry=ttu&amp;g_ep=EgoyMDI1MDYxNy4wIKXMDSoASAFQAw%3D%3D</v>
      </c>
      <c r="X11" s="10"/>
      <c r="Y11" s="9" t="str">
        <f>IFERROR(__xludf.DUMMYFUNCTION("""COMPUTED_VALUE"""),"Hempstead")</f>
        <v>Hempstead</v>
      </c>
      <c r="Z11" s="9" t="str">
        <f>IFERROR(__xludf.DUMMYFUNCTION("""COMPUTED_VALUE"""),"Hempstead, Northside")</f>
        <v>Hempstead, Northside</v>
      </c>
      <c r="AA11" s="9" t="str">
        <f>IFERROR(__xludf.DUMMYFUNCTION("""COMPUTED_VALUE"""),"AccessHealth")</f>
        <v>AccessHealth</v>
      </c>
      <c r="AB11" s="9" t="str">
        <f>IFERROR(__xludf.DUMMYFUNCTION("""COMPUTED_VALUE"""),"Hempstead")</f>
        <v>Hempstead</v>
      </c>
    </row>
    <row r="12" ht="30.0" customHeight="1">
      <c r="A12" s="17">
        <v>11.0</v>
      </c>
      <c r="B12"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2" s="9" t="str">
        <f>IFERROR(__xludf.DUMMYFUNCTION("""COMPUTED_VALUE"""),"AccessHealth Katy WIC Center")</f>
        <v>AccessHealth Katy WIC Center</v>
      </c>
      <c r="D12" s="9" t="str">
        <f>IFERROR(__xludf.DUMMYFUNCTION("""COMPUTED_VALUE"""),"1260 Pin Oak Road")</f>
        <v>1260 Pin Oak Road</v>
      </c>
      <c r="E12" s="9" t="str">
        <f>IFERROR(__xludf.DUMMYFUNCTION("""COMPUTED_VALUE"""),"Suite 110")</f>
        <v>Suite 110</v>
      </c>
      <c r="F12" s="9" t="str">
        <f>IFERROR(__xludf.DUMMYFUNCTION("""COMPUTED_VALUE"""),"Katy")</f>
        <v>Katy</v>
      </c>
      <c r="G12" s="9" t="str">
        <f>IFERROR(__xludf.DUMMYFUNCTION("""COMPUTED_VALUE"""),"TX")</f>
        <v>TX</v>
      </c>
      <c r="H12" s="9" t="str">
        <f>IFERROR(__xludf.DUMMYFUNCTION("""COMPUTED_VALUE"""),"77494")</f>
        <v>77494</v>
      </c>
      <c r="I12" s="9" t="str">
        <f>IFERROR(__xludf.DUMMYFUNCTION("""COMPUTED_VALUE"""),"281-391-4168")</f>
        <v>281-391-4168</v>
      </c>
      <c r="J12" s="9" t="str">
        <f>IFERROR(__xludf.DUMMYFUNCTION("""COMPUTED_VALUE"""),"29.7721292, -95.8181261")</f>
        <v>29.7721292, -95.8181261</v>
      </c>
      <c r="K12" s="9" t="str">
        <f>IFERROR(__xludf.DUMMYFUNCTION("""COMPUTED_VALUE"""),"{""regular"":[{""days"":[""Mo""],""open"":""08:00"",""close"":""19:00""},{""days"":[""Tu"",""We"",""Th""],""open"":""08:00"",""close"":""17:00""},{""days"":[""Fr""],""open"":""08:00"",""close"":""12:00""}]}")</f>
        <v>{"regular":[{"days":["Mo"],"open":"08:00","close":"19:00"},{"days":["Tu","We","Th"],"open":"08:00","close":"17:00"},{"days":["Fr"],"open":"08:00","close":"12:00"}]}</v>
      </c>
      <c r="L12" s="9"/>
      <c r="M12" s="10">
        <f>IFERROR(__xludf.DUMMYFUNCTION("""COMPUTED_VALUE"""),44.0)</f>
        <v>44</v>
      </c>
      <c r="N12" s="10" t="str">
        <f>IFERROR(__xludf.DUMMYFUNCTION("""COMPUTED_VALUE"""),"Mother &amp; Child")</f>
        <v>Mother &amp; Child</v>
      </c>
      <c r="O12" s="10">
        <f>IFERROR(__xludf.DUMMYFUNCTION("""COMPUTED_VALUE"""),1.0)</f>
        <v>1</v>
      </c>
      <c r="P12" s="10" t="str">
        <f>IFERROR(__xludf.DUMMYFUNCTION("""COMPUTED_VALUE"""),"ACTIVE")</f>
        <v>ACTIVE</v>
      </c>
      <c r="Q12" s="11">
        <f>IFERROR(__xludf.DUMMYFUNCTION("""COMPUTED_VALUE"""),45831.0)</f>
        <v>45831</v>
      </c>
      <c r="R12" s="9" t="str">
        <f>IFERROR(__xludf.DUMMYFUNCTION("""COMPUTED_VALUE"""),"Verified online")</f>
        <v>Verified online</v>
      </c>
      <c r="S12"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12" s="12" t="b">
        <f>IFERROR(__xludf.DUMMYFUNCTION("""COMPUTED_VALUE"""),FALSE)</f>
        <v>0</v>
      </c>
      <c r="U12" s="12" t="b">
        <f>IFERROR(__xludf.DUMMYFUNCTION("""COMPUTED_VALUE"""),FALSE)</f>
        <v>0</v>
      </c>
      <c r="V12" s="13" t="str">
        <f>IFERROR(__xludf.DUMMYFUNCTION("""COMPUTED_VALUE"""),"https://www.myaccesshealth.org/")</f>
        <v>https://www.myaccesshealth.org/</v>
      </c>
      <c r="W12" s="14" t="str">
        <f>IFERROR(__xludf.DUMMYFUNCTION("""COMPUTED_VALUE"""),"https://www.google.com/maps/place/Access+Health+Katy+WIC+Clinic/@29.7715667,-95.8211363,17z/data=!3m2!4b1!5s0x8641241ea38f160d:0x1f5667d0be90dcb3!4m6!3m5!1s0x8641241ea41aa14b:0xbfb6bd3112b944c4!8m2!3d29.7715621!4d-95.818556!16s%2Fg%2F1tkb5hd8?entry=ttu&amp;g_"&amp;"ep=EgoyMDI1MDYxNy4wIKXMDSoASAFQAw%3D%3D")</f>
        <v>https://www.google.com/maps/place/Access+Health+Katy+WIC+Clinic/@29.7715667,-95.8211363,17z/data=!3m2!4b1!5s0x8641241ea38f160d:0x1f5667d0be90dcb3!4m6!3m5!1s0x8641241ea41aa14b:0xbfb6bd3112b944c4!8m2!3d29.7715621!4d-95.818556!16s%2Fg%2F1tkb5hd8?entry=ttu&amp;g_ep=EgoyMDI1MDYxNy4wIKXMDSoASAFQAw%3D%3D</v>
      </c>
      <c r="X12" s="10"/>
      <c r="Y12" s="9" t="str">
        <f>IFERROR(__xludf.DUMMYFUNCTION("""COMPUTED_VALUE"""),"Katy")</f>
        <v>Katy</v>
      </c>
      <c r="Z12" s="9" t="str">
        <f>IFERROR(__xludf.DUMMYFUNCTION("""COMPUTED_VALUE"""),"Cinco Ranch West, Firethorne, Katy, Seven Meadows")</f>
        <v>Cinco Ranch West, Firethorne, Katy, Seven Meadows</v>
      </c>
      <c r="AA12" s="9" t="str">
        <f>IFERROR(__xludf.DUMMYFUNCTION("""COMPUTED_VALUE"""),"AccessHealth")</f>
        <v>AccessHealth</v>
      </c>
      <c r="AB12" s="9" t="str">
        <f>IFERROR(__xludf.DUMMYFUNCTION("""COMPUTED_VALUE"""),"Katy")</f>
        <v>Katy</v>
      </c>
    </row>
    <row r="13" ht="30.0" customHeight="1">
      <c r="A13" s="17">
        <v>12.0</v>
      </c>
      <c r="B13"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3" s="9" t="str">
        <f>IFERROR(__xludf.DUMMYFUNCTION("""COMPUTED_VALUE"""),"AccessHealth Missouri City Clinic")</f>
        <v>AccessHealth Missouri City Clinic</v>
      </c>
      <c r="D13" s="9" t="str">
        <f>IFERROR(__xludf.DUMMYFUNCTION("""COMPUTED_VALUE"""),"307 Texas Parkway")</f>
        <v>307 Texas Parkway</v>
      </c>
      <c r="E13" s="9" t="str">
        <f>IFERROR(__xludf.DUMMYFUNCTION("""COMPUTED_VALUE"""),"Suite 100")</f>
        <v>Suite 100</v>
      </c>
      <c r="F13" s="9" t="str">
        <f>IFERROR(__xludf.DUMMYFUNCTION("""COMPUTED_VALUE"""),"Missouri City")</f>
        <v>Missouri City</v>
      </c>
      <c r="G13" s="9" t="str">
        <f>IFERROR(__xludf.DUMMYFUNCTION("""COMPUTED_VALUE"""),"TX")</f>
        <v>TX</v>
      </c>
      <c r="H13" s="9" t="str">
        <f>IFERROR(__xludf.DUMMYFUNCTION("""COMPUTED_VALUE"""),"77489")</f>
        <v>77489</v>
      </c>
      <c r="I13" s="9" t="str">
        <f>IFERROR(__xludf.DUMMYFUNCTION("""COMPUTED_VALUE"""),"281-342-4530")</f>
        <v>281-342-4530</v>
      </c>
      <c r="J13" s="9" t="str">
        <f>IFERROR(__xludf.DUMMYFUNCTION("""COMPUTED_VALUE"""),"29.6178774285714, -95.537035")</f>
        <v>29.6178774285714, -95.537035</v>
      </c>
      <c r="K13" s="9" t="str">
        <f>IFERROR(__xludf.DUMMYFUNCTION("""COMPUTED_VALUE"""),"{""regular"":[{""days"":[""Mo"",""We"",""Th"",""Fr""],""open"":""07:00"",""close"":""17:00""},{""days"":[""Tu""],""open"":""07:00"",""close"":""18:00""}]}")</f>
        <v>{"regular":[{"days":["Mo","We","Th","Fr"],"open":"07:00","close":"17:00"},{"days":["Tu"],"open":"07:00","close":"18:00"}]}</v>
      </c>
      <c r="L13" s="9"/>
      <c r="M13" s="10">
        <f>IFERROR(__xludf.DUMMYFUNCTION("""COMPUTED_VALUE"""),31.0)</f>
        <v>31</v>
      </c>
      <c r="N13" s="10" t="str">
        <f>IFERROR(__xludf.DUMMYFUNCTION("""COMPUTED_VALUE"""),"Medical - Primary Care")</f>
        <v>Medical - Primary Care</v>
      </c>
      <c r="O13" s="10">
        <f>IFERROR(__xludf.DUMMYFUNCTION("""COMPUTED_VALUE"""),1.0)</f>
        <v>1</v>
      </c>
      <c r="P13" s="10" t="str">
        <f>IFERROR(__xludf.DUMMYFUNCTION("""COMPUTED_VALUE"""),"ACTIVE")</f>
        <v>ACTIVE</v>
      </c>
      <c r="Q13" s="11">
        <f>IFERROR(__xludf.DUMMYFUNCTION("""COMPUTED_VALUE"""),45831.0)</f>
        <v>45831</v>
      </c>
      <c r="R13" s="9" t="str">
        <f>IFERROR(__xludf.DUMMYFUNCTION("""COMPUTED_VALUE"""),"Verified online")</f>
        <v>Verified online</v>
      </c>
      <c r="S13" s="9" t="str">
        <f>IFERROR(__xludf.DUMMYFUNCTION("""COMPUTED_VALUE"""),"Family medicine, primary care, adults, women's health, pediatric, counseling and mental health, pharmacy, immunizations, Lab, OB.GYN, Hepatitis testing and treatment, substance abuse and addiction.
AccessHealth is a private, not-for-profit organization an"&amp;"d a Federally Qualified Health Center.  It's primary focus is the low-income population of Fort Bend and Waller counties but will not turn anyone away, regardless of income or circumstance.
Sliding scale of fee based on income.")</f>
        <v>Family medicine, primary care, adults, women's health, pediatric,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13" s="12" t="b">
        <f>IFERROR(__xludf.DUMMYFUNCTION("""COMPUTED_VALUE"""),FALSE)</f>
        <v>0</v>
      </c>
      <c r="U13" s="12" t="b">
        <f>IFERROR(__xludf.DUMMYFUNCTION("""COMPUTED_VALUE"""),FALSE)</f>
        <v>0</v>
      </c>
      <c r="V13" s="13" t="str">
        <f>IFERROR(__xludf.DUMMYFUNCTION("""COMPUTED_VALUE"""),"https://www.myaccesshealth.org/")</f>
        <v>https://www.myaccesshealth.org/</v>
      </c>
      <c r="W13" s="14" t="str">
        <f>IFERROR(__xludf.DUMMYFUNCTION("""COMPUTED_VALUE"""),"https://www.google.com/maps/place/AccessHealth+Missouri+City+Clinic/@29.6175145,-95.5386005,17z/data=!3m1!4b1!4m6!3m5!1s0x8640e8f2465c6023:0xf54e0d695a0a28f2!8m2!3d29.6175099!4d-95.5360202!16s%2Fg%2F1v3lqbd7?entry=ttu&amp;g_ep=EgoyMDI1MDYxNy4wIKXMDSoASAFQAw%3"&amp;"D%3D")</f>
        <v>https://www.google.com/maps/place/AccessHealth+Missouri+City+Clinic/@29.6175145,-95.5386005,17z/data=!3m1!4b1!4m6!3m5!1s0x8640e8f2465c6023:0xf54e0d695a0a28f2!8m2!3d29.6175099!4d-95.5360202!16s%2Fg%2F1v3lqbd7?entry=ttu&amp;g_ep=EgoyMDI1MDYxNy4wIKXMDSoASAFQAw%3D%3D</v>
      </c>
      <c r="X13" s="10"/>
      <c r="Y13" s="9" t="str">
        <f>IFERROR(__xludf.DUMMYFUNCTION("""COMPUTED_VALUE"""),"Missouri City")</f>
        <v>Missouri City</v>
      </c>
      <c r="Z13" s="9" t="str">
        <f>IFERROR(__xludf.DUMMYFUNCTION("""COMPUTED_VALUE"""),"Missouri City, Olde Missouri City Market Place, Quail Green South, Quail Valley, Sta-mo Annex")</f>
        <v>Missouri City, Olde Missouri City Market Place, Quail Green South, Quail Valley, Sta-mo Annex</v>
      </c>
      <c r="AA13" s="9" t="str">
        <f>IFERROR(__xludf.DUMMYFUNCTION("""COMPUTED_VALUE"""),"AccessHealth")</f>
        <v>AccessHealth</v>
      </c>
      <c r="AB13" s="9" t="str">
        <f>IFERROR(__xludf.DUMMYFUNCTION("""COMPUTED_VALUE"""),"Olde Missouri City Market Place")</f>
        <v>Olde Missouri City Market Place</v>
      </c>
    </row>
    <row r="14" ht="30.0" customHeight="1">
      <c r="A14" s="17">
        <v>13.0</v>
      </c>
      <c r="B14"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4" s="9" t="str">
        <f>IFERROR(__xludf.DUMMYFUNCTION("""COMPUTED_VALUE"""),"AccessHealth Richmond Clinic")</f>
        <v>AccessHealth Richmond Clinic</v>
      </c>
      <c r="D14" s="9" t="str">
        <f>IFERROR(__xludf.DUMMYFUNCTION("""COMPUTED_VALUE"""),"400 Austin Street")</f>
        <v>400 Austin Street</v>
      </c>
      <c r="E14" s="9"/>
      <c r="F14" s="9" t="str">
        <f>IFERROR(__xludf.DUMMYFUNCTION("""COMPUTED_VALUE"""),"Richmond")</f>
        <v>Richmond</v>
      </c>
      <c r="G14" s="9" t="str">
        <f>IFERROR(__xludf.DUMMYFUNCTION("""COMPUTED_VALUE"""),"TX")</f>
        <v>TX</v>
      </c>
      <c r="H14" s="9" t="str">
        <f>IFERROR(__xludf.DUMMYFUNCTION("""COMPUTED_VALUE"""),"77469")</f>
        <v>77469</v>
      </c>
      <c r="I14" s="9" t="str">
        <f>IFERROR(__xludf.DUMMYFUNCTION("""COMPUTED_VALUE"""),"281-342-4530")</f>
        <v>281-342-4530</v>
      </c>
      <c r="J14" s="9" t="str">
        <f>IFERROR(__xludf.DUMMYFUNCTION("""COMPUTED_VALUE"""),"29.578459, -95.759783")</f>
        <v>29.578459, -95.759783</v>
      </c>
      <c r="K14" s="9" t="str">
        <f>IFERROR(__xludf.DUMMYFUNCTION("""COMPUTED_VALUE"""),"{""regular"":[{""days"":[""Mo"",""Tu"",""We"",""Th"",""Fr""],""open"":""07:00"",""close"":""17:00""},{""days"":[""Sa""],""open"":""08:00"",""close"":""12:00""}]}")</f>
        <v>{"regular":[{"days":["Mo","Tu","We","Th","Fr"],"open":"07:00","close":"17:00"},{"days":["Sa"],"open":"08:00","close":"12:00"}]}</v>
      </c>
      <c r="L14" s="9"/>
      <c r="M14" s="10">
        <f>IFERROR(__xludf.DUMMYFUNCTION("""COMPUTED_VALUE"""),31.0)</f>
        <v>31</v>
      </c>
      <c r="N14" s="10" t="str">
        <f>IFERROR(__xludf.DUMMYFUNCTION("""COMPUTED_VALUE"""),"Medical - Primary Care")</f>
        <v>Medical - Primary Care</v>
      </c>
      <c r="O14" s="10">
        <f>IFERROR(__xludf.DUMMYFUNCTION("""COMPUTED_VALUE"""),1.0)</f>
        <v>1</v>
      </c>
      <c r="P14" s="10" t="str">
        <f>IFERROR(__xludf.DUMMYFUNCTION("""COMPUTED_VALUE"""),"ACTIVE")</f>
        <v>ACTIVE</v>
      </c>
      <c r="Q14" s="11">
        <f>IFERROR(__xludf.DUMMYFUNCTION("""COMPUTED_VALUE"""),45831.0)</f>
        <v>45831</v>
      </c>
      <c r="R14" s="9" t="str">
        <f>IFERROR(__xludf.DUMMYFUNCTION("""COMPUTED_VALUE"""),"Verified online")</f>
        <v>Verified online</v>
      </c>
      <c r="S14" s="9" t="str">
        <f>IFERROR(__xludf.DUMMYFUNCTION("""COMPUTED_VALUE"""),"Family medicine, primary care, adults, women's health, pediatric, counseling and mental health, pharmacy, immunizations, Lab, OB.GYN, Hepatitis testing and treatment, substance abuse and addiction.
AccessHealth is a private, not-for-profit organization an"&amp;"d a Federally Qualified Health Center.  It's primary focus is the low-income population of Fort Bend and Waller counties but will not turn anyone away, regardless of income or circumstance.
Sliding scale of fee based on income.")</f>
        <v>Family medicine, primary care, adults, women's health, pediatric,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14" s="12" t="b">
        <f>IFERROR(__xludf.DUMMYFUNCTION("""COMPUTED_VALUE"""),FALSE)</f>
        <v>0</v>
      </c>
      <c r="U14" s="12" t="b">
        <f>IFERROR(__xludf.DUMMYFUNCTION("""COMPUTED_VALUE"""),FALSE)</f>
        <v>0</v>
      </c>
      <c r="V14" s="13" t="str">
        <f>IFERROR(__xludf.DUMMYFUNCTION("""COMPUTED_VALUE"""),"https://www.myaccesshealth.org/")</f>
        <v>https://www.myaccesshealth.org/</v>
      </c>
      <c r="W14" s="14" t="str">
        <f>IFERROR(__xludf.DUMMYFUNCTION("""COMPUTED_VALUE"""),"https://www.google.com/maps/place/AccessHealth+Richmond+Clinic/@29.5786882,-95.7628537,17z/data=!3m1!4b1!4m6!3m5!1s0x86411e70c080105b:0x621ea27cba35c1c3!8m2!3d29.5786836!4d-95.7602734!16s%2Fg%2F1td72cvn?entry=ttu&amp;g_ep=EgoyMDI1MDYxNy4wIKXMDSoASAFQAw%3D%3D")</f>
        <v>https://www.google.com/maps/place/AccessHealth+Richmond+Clinic/@29.5786882,-95.7628537,17z/data=!3m1!4b1!4m6!3m5!1s0x86411e70c080105b:0x621ea27cba35c1c3!8m2!3d29.5786836!4d-95.7602734!16s%2Fg%2F1td72cvn?entry=ttu&amp;g_ep=EgoyMDI1MDYxNy4wIKXMDSoASAFQAw%3D%3D</v>
      </c>
      <c r="X14" s="10"/>
      <c r="Y14" s="9" t="str">
        <f>IFERROR(__xludf.DUMMYFUNCTION("""COMPUTED_VALUE"""),"Richmond")</f>
        <v>Richmond</v>
      </c>
      <c r="Z14" s="9" t="str">
        <f>IFERROR(__xludf.DUMMYFUNCTION("""COMPUTED_VALUE"""),"Greatwood, Richmond")</f>
        <v>Greatwood, Richmond</v>
      </c>
      <c r="AA14" s="9" t="str">
        <f>IFERROR(__xludf.DUMMYFUNCTION("""COMPUTED_VALUE"""),"AccessHealth")</f>
        <v>AccessHealth</v>
      </c>
      <c r="AB14" s="9" t="str">
        <f>IFERROR(__xludf.DUMMYFUNCTION("""COMPUTED_VALUE"""),"Richmond")</f>
        <v>Richmond</v>
      </c>
    </row>
    <row r="15" ht="30.0" customHeight="1">
      <c r="A15" s="17">
        <v>14.0</v>
      </c>
      <c r="B15"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5" s="9" t="str">
        <f>IFERROR(__xludf.DUMMYFUNCTION("""COMPUTED_VALUE"""),"AccessHealth Rosenberg WIC Center")</f>
        <v>AccessHealth Rosenberg WIC Center</v>
      </c>
      <c r="D15" s="9" t="str">
        <f>IFERROR(__xludf.DUMMYFUNCTION("""COMPUTED_VALUE"""),"1720 BF Terry Blvd")</f>
        <v>1720 BF Terry Blvd</v>
      </c>
      <c r="E15" s="9" t="str">
        <f>IFERROR(__xludf.DUMMYFUNCTION("""COMPUTED_VALUE"""),"Suite A")</f>
        <v>Suite A</v>
      </c>
      <c r="F15" s="9" t="str">
        <f>IFERROR(__xludf.DUMMYFUNCTION("""COMPUTED_VALUE"""),"Rosenberg")</f>
        <v>Rosenberg</v>
      </c>
      <c r="G15" s="9" t="str">
        <f>IFERROR(__xludf.DUMMYFUNCTION("""COMPUTED_VALUE"""),"TX")</f>
        <v>TX</v>
      </c>
      <c r="H15" s="9" t="str">
        <f>IFERROR(__xludf.DUMMYFUNCTION("""COMPUTED_VALUE"""),"77471")</f>
        <v>77471</v>
      </c>
      <c r="I15" s="9" t="str">
        <f>IFERROR(__xludf.DUMMYFUNCTION("""COMPUTED_VALUE"""),"281-238-2316")</f>
        <v>281-238-2316</v>
      </c>
      <c r="J15" s="9" t="str">
        <f>IFERROR(__xludf.DUMMYFUNCTION("""COMPUTED_VALUE"""),"29.537481773188, -95.7748140958404")</f>
        <v>29.537481773188, -95.7748140958404</v>
      </c>
      <c r="K15" s="9" t="str">
        <f>IFERROR(__xludf.DUMMYFUNCTION("""COMPUTED_VALUE"""),"{""regular"":[{""days"":[""Mo"",""We""],""open"":""08:00"",""close"":""17:00""},{""days"":[""Tu""],""open"":""08:00"",""close"":""19:00""},{""days"":[""Th""],""open"":""07:00"",""close"":""18:00""},{""days"":[""Fr""],""open"":""08:00"",""close"":""13:00"""&amp;"}]}")</f>
        <v>{"regular":[{"days":["Mo","We"],"open":"08:00","close":"17:00"},{"days":["Tu"],"open":"08:00","close":"19:00"},{"days":["Th"],"open":"07:00","close":"18:00"},{"days":["Fr"],"open":"08:00","close":"13:00"}]}</v>
      </c>
      <c r="L15" s="9"/>
      <c r="M15" s="10">
        <f>IFERROR(__xludf.DUMMYFUNCTION("""COMPUTED_VALUE"""),44.0)</f>
        <v>44</v>
      </c>
      <c r="N15" s="10" t="str">
        <f>IFERROR(__xludf.DUMMYFUNCTION("""COMPUTED_VALUE"""),"Mother &amp; Child")</f>
        <v>Mother &amp; Child</v>
      </c>
      <c r="O15" s="10">
        <f>IFERROR(__xludf.DUMMYFUNCTION("""COMPUTED_VALUE"""),1.0)</f>
        <v>1</v>
      </c>
      <c r="P15" s="10" t="str">
        <f>IFERROR(__xludf.DUMMYFUNCTION("""COMPUTED_VALUE"""),"ACTIVE")</f>
        <v>ACTIVE</v>
      </c>
      <c r="Q15" s="11">
        <f>IFERROR(__xludf.DUMMYFUNCTION("""COMPUTED_VALUE"""),45831.0)</f>
        <v>45831</v>
      </c>
      <c r="R15" s="9" t="str">
        <f>IFERROR(__xludf.DUMMYFUNCTION("""COMPUTED_VALUE"""),"Verified online")</f>
        <v>Verified online</v>
      </c>
      <c r="S15"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15" s="12" t="b">
        <f>IFERROR(__xludf.DUMMYFUNCTION("""COMPUTED_VALUE"""),FALSE)</f>
        <v>0</v>
      </c>
      <c r="U15" s="12" t="b">
        <f>IFERROR(__xludf.DUMMYFUNCTION("""COMPUTED_VALUE"""),FALSE)</f>
        <v>0</v>
      </c>
      <c r="V15" s="13" t="str">
        <f>IFERROR(__xludf.DUMMYFUNCTION("""COMPUTED_VALUE"""),"https://www.myaccesshealth.org/")</f>
        <v>https://www.myaccesshealth.org/</v>
      </c>
      <c r="W15" s="14" t="str">
        <f>IFERROR(__xludf.DUMMYFUNCTION("""COMPUTED_VALUE"""),"https://www.google.com/maps/place/Access+Health+Rosenberg+WIC+Clinic/@29.5538011,-95.769961,17z/data=!3m1!4b1!4m6!3m5!1s0x86411dcbe3b6a681:0x3c791560e4e234fd!8m2!3d29.5537965!4d-95.7673807!16s%2Fg%2F11bc73s7j8?entry=ttu&amp;g_ep=EgoyMDI1MDYxNy4wIKXMDSoASAFQAw"&amp;"%3D%3D")</f>
        <v>https://www.google.com/maps/place/Access+Health+Rosenberg+WIC+Clinic/@29.5538011,-95.769961,17z/data=!3m1!4b1!4m6!3m5!1s0x86411dcbe3b6a681:0x3c791560e4e234fd!8m2!3d29.5537965!4d-95.7673807!16s%2Fg%2F11bc73s7j8?entry=ttu&amp;g_ep=EgoyMDI1MDYxNy4wIKXMDSoASAFQAw%3D%3D</v>
      </c>
      <c r="X15" s="10"/>
      <c r="Y15" s="9" t="str">
        <f>IFERROR(__xludf.DUMMYFUNCTION("""COMPUTED_VALUE"""),"Rosenberg")</f>
        <v>Rosenberg</v>
      </c>
      <c r="Z15" s="9" t="str">
        <f>IFERROR(__xludf.DUMMYFUNCTION("""COMPUTED_VALUE"""),"Allendale Manor, Rosenberg, Timberlane Addition")</f>
        <v>Allendale Manor, Rosenberg, Timberlane Addition</v>
      </c>
      <c r="AA15" s="9" t="str">
        <f>IFERROR(__xludf.DUMMYFUNCTION("""COMPUTED_VALUE"""),"AccessHealth")</f>
        <v>AccessHealth</v>
      </c>
      <c r="AB15" s="9" t="str">
        <f>IFERROR(__xludf.DUMMYFUNCTION("""COMPUTED_VALUE"""),"Rosenberg")</f>
        <v>Rosenberg</v>
      </c>
    </row>
    <row r="16" ht="30.0" customHeight="1">
      <c r="A16" s="17">
        <v>15.0</v>
      </c>
      <c r="B16" s="8" t="str">
        <f>IFERROR(__xludf.DUMMYFUNCTION("""COMPUTED_VALUE"""),"[""77418"", ""77452"", ""77474""]")</f>
        <v>["77418", "77452", "77474"]</v>
      </c>
      <c r="C16" s="9" t="str">
        <f>IFERROR(__xludf.DUMMYFUNCTION("""COMPUTED_VALUE"""),"AccessHealth Sealy WIC Center")</f>
        <v>AccessHealth Sealy WIC Center</v>
      </c>
      <c r="D16" s="9" t="str">
        <f>IFERROR(__xludf.DUMMYFUNCTION("""COMPUTED_VALUE"""),"526 Ward Street")</f>
        <v>526 Ward Street</v>
      </c>
      <c r="E16" s="9"/>
      <c r="F16" s="9" t="str">
        <f>IFERROR(__xludf.DUMMYFUNCTION("""COMPUTED_VALUE"""),"Sealy")</f>
        <v>Sealy</v>
      </c>
      <c r="G16" s="9" t="str">
        <f>IFERROR(__xludf.DUMMYFUNCTION("""COMPUTED_VALUE"""),"TX")</f>
        <v>TX</v>
      </c>
      <c r="H16" s="9" t="str">
        <f>IFERROR(__xludf.DUMMYFUNCTION("""COMPUTED_VALUE"""),"77474")</f>
        <v>77474</v>
      </c>
      <c r="I16" s="9" t="str">
        <f>IFERROR(__xludf.DUMMYFUNCTION("""COMPUTED_VALUE"""),"979-885-0517")</f>
        <v>979-885-0517</v>
      </c>
      <c r="J16" s="9" t="str">
        <f>IFERROR(__xludf.DUMMYFUNCTION("""COMPUTED_VALUE"""),"29.7778938979592, -96.1603012857143")</f>
        <v>29.7778938979592, -96.1603012857143</v>
      </c>
      <c r="K16" s="9" t="str">
        <f>IFERROR(__xludf.DUMMYFUNCTION("""COMPUTED_VALUE"""),"{""regular"":[{""days"":[""Mo""],""open"":""08:00"",""close"":""17:30""},{""days"":[""We""],""open"":""08:00"",""close"":""18:00""},{""days"":[""Fr"",""Sa""],""open"":""08:00"",""close"":""13:30""}]}")</f>
        <v>{"regular":[{"days":["Mo"],"open":"08:00","close":"17:30"},{"days":["We"],"open":"08:00","close":"18:00"},{"days":["Fr","Sa"],"open":"08:00","close":"13:30"}]}</v>
      </c>
      <c r="L16" s="9"/>
      <c r="M16" s="10">
        <f>IFERROR(__xludf.DUMMYFUNCTION("""COMPUTED_VALUE"""),44.0)</f>
        <v>44</v>
      </c>
      <c r="N16" s="10" t="str">
        <f>IFERROR(__xludf.DUMMYFUNCTION("""COMPUTED_VALUE"""),"Mother &amp; Child")</f>
        <v>Mother &amp; Child</v>
      </c>
      <c r="O16" s="10">
        <f>IFERROR(__xludf.DUMMYFUNCTION("""COMPUTED_VALUE"""),1.0)</f>
        <v>1</v>
      </c>
      <c r="P16" s="10" t="str">
        <f>IFERROR(__xludf.DUMMYFUNCTION("""COMPUTED_VALUE"""),"ACTIVE")</f>
        <v>ACTIVE</v>
      </c>
      <c r="Q16" s="11">
        <f>IFERROR(__xludf.DUMMYFUNCTION("""COMPUTED_VALUE"""),45831.0)</f>
        <v>45831</v>
      </c>
      <c r="R16" s="9" t="str">
        <f>IFERROR(__xludf.DUMMYFUNCTION("""COMPUTED_VALUE"""),"Verified online")</f>
        <v>Verified online</v>
      </c>
      <c r="S16"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16" s="12" t="b">
        <f>IFERROR(__xludf.DUMMYFUNCTION("""COMPUTED_VALUE"""),FALSE)</f>
        <v>0</v>
      </c>
      <c r="U16" s="12" t="b">
        <f>IFERROR(__xludf.DUMMYFUNCTION("""COMPUTED_VALUE"""),FALSE)</f>
        <v>0</v>
      </c>
      <c r="V16" s="13" t="str">
        <f>IFERROR(__xludf.DUMMYFUNCTION("""COMPUTED_VALUE"""),"https://www.myaccesshealth.org/")</f>
        <v>https://www.myaccesshealth.org/</v>
      </c>
      <c r="W16" s="14" t="str">
        <f>IFERROR(__xludf.DUMMYFUNCTION("""COMPUTED_VALUE"""),"https://www.google.com/maps/place/Access+Health+Sealy+WIC+Clinic/@29.7775694,-96.1626114,17z/data=!3m1!4b1!4m6!3m5!1s0x864145c2ee89398d:0xf4a9afa58d7d4bb2!8m2!3d29.7775648!4d-96.1600311!16s%2Fg%2F11ql_575sd?entry=ttu&amp;g_ep=EgoyMDI1MDYxNy4wIKXMDSoASAFQAw%3D"&amp;"%3D")</f>
        <v>https://www.google.com/maps/place/Access+Health+Sealy+WIC+Clinic/@29.7775694,-96.1626114,17z/data=!3m1!4b1!4m6!3m5!1s0x864145c2ee89398d:0xf4a9afa58d7d4bb2!8m2!3d29.7775648!4d-96.1600311!16s%2Fg%2F11ql_575sd?entry=ttu&amp;g_ep=EgoyMDI1MDYxNy4wIKXMDSoASAFQAw%3D%3D</v>
      </c>
      <c r="X16" s="10"/>
      <c r="Y16" s="9" t="str">
        <f>IFERROR(__xludf.DUMMYFUNCTION("""COMPUTED_VALUE"""),"Sealy")</f>
        <v>Sealy</v>
      </c>
      <c r="Z16" s="9" t="str">
        <f>IFERROR(__xludf.DUMMYFUNCTION("""COMPUTED_VALUE"""),"Brazos Country, San Felipe, Sealy")</f>
        <v>Brazos Country, San Felipe, Sealy</v>
      </c>
      <c r="AA16" s="9" t="str">
        <f>IFERROR(__xludf.DUMMYFUNCTION("""COMPUTED_VALUE"""),"AccessHealth")</f>
        <v>AccessHealth</v>
      </c>
      <c r="AB16" s="9" t="str">
        <f>IFERROR(__xludf.DUMMYFUNCTION("""COMPUTED_VALUE"""),"Sealy")</f>
        <v>Sealy</v>
      </c>
    </row>
    <row r="17" ht="30.0" customHeight="1">
      <c r="A17" s="17">
        <v>16.0</v>
      </c>
      <c r="B17"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7" s="9" t="str">
        <f>IFERROR(__xludf.DUMMYFUNCTION("""COMPUTED_VALUE"""),"AccessHealth Second Mile Clinic")</f>
        <v>AccessHealth Second Mile Clinic</v>
      </c>
      <c r="D17" s="9" t="str">
        <f>IFERROR(__xludf.DUMMYFUNCTION("""COMPUTED_VALUE"""),"1135 Hwy 90 Alt")</f>
        <v>1135 Hwy 90 Alt</v>
      </c>
      <c r="E17" s="9"/>
      <c r="F17" s="9" t="str">
        <f>IFERROR(__xludf.DUMMYFUNCTION("""COMPUTED_VALUE"""),"Missouri City")</f>
        <v>Missouri City</v>
      </c>
      <c r="G17" s="9" t="str">
        <f>IFERROR(__xludf.DUMMYFUNCTION("""COMPUTED_VALUE"""),"TX")</f>
        <v>TX</v>
      </c>
      <c r="H17" s="9" t="str">
        <f>IFERROR(__xludf.DUMMYFUNCTION("""COMPUTED_VALUE"""),"77489")</f>
        <v>77489</v>
      </c>
      <c r="I17" s="9" t="str">
        <f>IFERROR(__xludf.DUMMYFUNCTION("""COMPUTED_VALUE"""),"281-342-4530")</f>
        <v>281-342-4530</v>
      </c>
      <c r="J17" s="9" t="str">
        <f>IFERROR(__xludf.DUMMYFUNCTION("""COMPUTED_VALUE"""),"29.620701912018554, -95.52988893726626")</f>
        <v>29.620701912018554, -95.52988893726626</v>
      </c>
      <c r="K17" s="9" t="str">
        <f>IFERROR(__xludf.DUMMYFUNCTION("""COMPUTED_VALUE"""),"{""regular"":[{""days"":[""Mo"",""Tu"",""Th"",""Fr""],""open"":""07:00"",""close"":""17:00""},{""days"":[""We""],""open"":""07:00"",""close"":""18:00""}]}")</f>
        <v>{"regular":[{"days":["Mo","Tu","Th","Fr"],"open":"07:00","close":"17:00"},{"days":["We"],"open":"07:00","close":"18:00"}]}</v>
      </c>
      <c r="L17" s="9"/>
      <c r="M17" s="10">
        <f>IFERROR(__xludf.DUMMYFUNCTION("""COMPUTED_VALUE"""),31.0)</f>
        <v>31</v>
      </c>
      <c r="N17" s="10" t="str">
        <f>IFERROR(__xludf.DUMMYFUNCTION("""COMPUTED_VALUE"""),"Medical - Primary Care")</f>
        <v>Medical - Primary Care</v>
      </c>
      <c r="O17" s="10">
        <f>IFERROR(__xludf.DUMMYFUNCTION("""COMPUTED_VALUE"""),1.0)</f>
        <v>1</v>
      </c>
      <c r="P17" s="10" t="str">
        <f>IFERROR(__xludf.DUMMYFUNCTION("""COMPUTED_VALUE"""),"ACTIVE")</f>
        <v>ACTIVE</v>
      </c>
      <c r="Q17" s="11">
        <f>IFERROR(__xludf.DUMMYFUNCTION("""COMPUTED_VALUE"""),45831.0)</f>
        <v>45831</v>
      </c>
      <c r="R17" s="9" t="str">
        <f>IFERROR(__xludf.DUMMYFUNCTION("""COMPUTED_VALUE"""),"Verified online")</f>
        <v>Verified online</v>
      </c>
      <c r="S17" s="9" t="str">
        <f>IFERROR(__xludf.DUMMYFUNCTION("""COMPUTED_VALUE"""),"Family medicine, primary care, adults, women's health, pediatric, counseling and mental health, pharmacy, immunizations, Lab, OB.GYN, Hepatitis testing and treatment, substance abuse and addiction.
AccessHealth is a private, not-for-profit organization an"&amp;"d a Federally Qualified Health Center.  It's primary focus is the low-income population of Fort Bend and Waller counties but will not turn anyone away, regardless of income or circumstance.
Sliding scale of fee based on income.")</f>
        <v>Family medicine, primary care, adults, women's health, pediatric,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17" s="12" t="b">
        <f>IFERROR(__xludf.DUMMYFUNCTION("""COMPUTED_VALUE"""),FALSE)</f>
        <v>0</v>
      </c>
      <c r="U17" s="12" t="b">
        <f>IFERROR(__xludf.DUMMYFUNCTION("""COMPUTED_VALUE"""),FALSE)</f>
        <v>0</v>
      </c>
      <c r="V17" s="13" t="str">
        <f>IFERROR(__xludf.DUMMYFUNCTION("""COMPUTED_VALUE"""),"https://www.myaccesshealth.org/")</f>
        <v>https://www.myaccesshealth.org/</v>
      </c>
      <c r="W17" s="14" t="str">
        <f>IFERROR(__xludf.DUMMYFUNCTION("""COMPUTED_VALUE"""),"https://www.google.com/maps/place/AccessHealth+Second+Mile+Clinic/@29.6205168,-95.5324576,17z/data=!3m1!4b1!4m6!3m5!1s0x8640e9ffb088e7c1:0x9b6babdfeeae07e7!8m2!3d29.6205122!4d-95.5298773!16s%2Fg%2F11l2x99fkq?entry=ttu&amp;g_ep=EgoyMDI1MDYxNy4wIKXMDSoASAFQAw%3"&amp;"D%3D")</f>
        <v>https://www.google.com/maps/place/AccessHealth+Second+Mile+Clinic/@29.6205168,-95.5324576,17z/data=!3m1!4b1!4m6!3m5!1s0x8640e9ffb088e7c1:0x9b6babdfeeae07e7!8m2!3d29.6205122!4d-95.5298773!16s%2Fg%2F11l2x99fkq?entry=ttu&amp;g_ep=EgoyMDI1MDYxNy4wIKXMDSoASAFQAw%3D%3D</v>
      </c>
      <c r="X17" s="10"/>
      <c r="Y17" s="9" t="str">
        <f>IFERROR(__xludf.DUMMYFUNCTION("""COMPUTED_VALUE"""),"Missouri City")</f>
        <v>Missouri City</v>
      </c>
      <c r="Z17" s="9" t="str">
        <f>IFERROR(__xludf.DUMMYFUNCTION("""COMPUTED_VALUE"""),"Missouri City, Olde Missouri City Market Place, Quail Green South, Quail Valley, Sta-mo Annex")</f>
        <v>Missouri City, Olde Missouri City Market Place, Quail Green South, Quail Valley, Sta-mo Annex</v>
      </c>
      <c r="AA17" s="9" t="str">
        <f>IFERROR(__xludf.DUMMYFUNCTION("""COMPUTED_VALUE"""),"AccessHealth")</f>
        <v>AccessHealth</v>
      </c>
      <c r="AB17" s="9" t="str">
        <f>IFERROR(__xludf.DUMMYFUNCTION("""COMPUTED_VALUE"""),"Missouri City")</f>
        <v>Missouri City</v>
      </c>
    </row>
    <row r="18" ht="30.0" customHeight="1">
      <c r="A18" s="17">
        <v>17.0</v>
      </c>
      <c r="B18"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8" s="9" t="str">
        <f>IFERROR(__xludf.DUMMYFUNCTION("""COMPUTED_VALUE"""),"AccessHealth Stafford Clinic")</f>
        <v>AccessHealth Stafford Clinic</v>
      </c>
      <c r="D18" s="9" t="str">
        <f>IFERROR(__xludf.DUMMYFUNCTION("""COMPUTED_VALUE"""),"10435 Greenbough Drive")</f>
        <v>10435 Greenbough Drive</v>
      </c>
      <c r="E18" s="9" t="str">
        <f>IFERROR(__xludf.DUMMYFUNCTION("""COMPUTED_VALUE"""),"Suite 300")</f>
        <v>Suite 300</v>
      </c>
      <c r="F18" s="9" t="str">
        <f>IFERROR(__xludf.DUMMYFUNCTION("""COMPUTED_VALUE"""),"Stafford")</f>
        <v>Stafford</v>
      </c>
      <c r="G18" s="9" t="str">
        <f>IFERROR(__xludf.DUMMYFUNCTION("""COMPUTED_VALUE"""),"TX")</f>
        <v>TX</v>
      </c>
      <c r="H18" s="9" t="str">
        <f>IFERROR(__xludf.DUMMYFUNCTION("""COMPUTED_VALUE"""),"77477")</f>
        <v>77477</v>
      </c>
      <c r="I18" s="9" t="str">
        <f>IFERROR(__xludf.DUMMYFUNCTION("""COMPUTED_VALUE"""),"281-342-4530")</f>
        <v>281-342-4530</v>
      </c>
      <c r="J18" s="9" t="str">
        <f>IFERROR(__xludf.DUMMYFUNCTION("""COMPUTED_VALUE"""),"29.6210934081633, -95.5623412653061")</f>
        <v>29.6210934081633, -95.5623412653061</v>
      </c>
      <c r="K18" s="9" t="str">
        <f>IFERROR(__xludf.DUMMYFUNCTION("""COMPUTED_VALUE"""),"{""regular"":[{""days"":[""Mo"",""Tu"",""We"",""Th"",""Fr""],""open"":""07:00"",""close"":""17:00""}]}")</f>
        <v>{"regular":[{"days":["Mo","Tu","We","Th","Fr"],"open":"07:00","close":"17:00"}]}</v>
      </c>
      <c r="L18" s="9"/>
      <c r="M18" s="10">
        <f>IFERROR(__xludf.DUMMYFUNCTION("""COMPUTED_VALUE"""),31.0)</f>
        <v>31</v>
      </c>
      <c r="N18" s="10" t="str">
        <f>IFERROR(__xludf.DUMMYFUNCTION("""COMPUTED_VALUE"""),"Medical - Primary Care")</f>
        <v>Medical - Primary Care</v>
      </c>
      <c r="O18" s="10">
        <f>IFERROR(__xludf.DUMMYFUNCTION("""COMPUTED_VALUE"""),1.0)</f>
        <v>1</v>
      </c>
      <c r="P18" s="10" t="str">
        <f>IFERROR(__xludf.DUMMYFUNCTION("""COMPUTED_VALUE"""),"ACTIVE")</f>
        <v>ACTIVE</v>
      </c>
      <c r="Q18" s="11">
        <f>IFERROR(__xludf.DUMMYFUNCTION("""COMPUTED_VALUE"""),45831.0)</f>
        <v>45831</v>
      </c>
      <c r="R18" s="9" t="str">
        <f>IFERROR(__xludf.DUMMYFUNCTION("""COMPUTED_VALUE"""),"Verified online")</f>
        <v>Verified online</v>
      </c>
      <c r="S18" s="9" t="str">
        <f>IFERROR(__xludf.DUMMYFUNCTION("""COMPUTED_VALUE"""),"Family medicine, primary care, adults, women's health, pediatric, dental care, counseling and mental health, pharmacy, immunizations, Lab, OB.GYN, Hepatitis testing and treatment, substance abuse and addiction.
AccessHealth is a private, not-for-profit or"&amp;"ganization and a Federally Qualified Health Center.  It's primary focus is the low-income population of Fort Bend and Waller counties but will not turn anyone away, regardless of income or circumstance.
Sliding scale of fee based on income.")</f>
        <v>Family medicine, primary care, adults, women's health, pediatric, dental care, counseling and mental health, pharmacy, immunizations, Lab, OB.GYN, Hepatitis testing and treatment, substance abuse and addiction.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18" s="12" t="b">
        <f>IFERROR(__xludf.DUMMYFUNCTION("""COMPUTED_VALUE"""),FALSE)</f>
        <v>0</v>
      </c>
      <c r="U18" s="12" t="b">
        <f>IFERROR(__xludf.DUMMYFUNCTION("""COMPUTED_VALUE"""),FALSE)</f>
        <v>0</v>
      </c>
      <c r="V18" s="13" t="str">
        <f>IFERROR(__xludf.DUMMYFUNCTION("""COMPUTED_VALUE"""),"https://www.myaccesshealth.org/")</f>
        <v>https://www.myaccesshealth.org/</v>
      </c>
      <c r="W18" s="14" t="str">
        <f>IFERROR(__xludf.DUMMYFUNCTION("""COMPUTED_VALUE"""),"https://www.google.com/maps/place/AccessHealth+Stafford+Clinic/@29.6205769,-95.5674255,16z/data=!3m1!4b1!4m6!3m5!1s0x8640e62a1e55c92b:0xaffc49351a84756c!8m2!3d29.6205723!4d-95.5625492!16s%2Fg%2F11hd9qz3ct?entry=ttu&amp;g_ep=EgoyMDI1MDYxNy4wIKXMDSoASAFQAw%3D%3"&amp;"D")</f>
        <v>https://www.google.com/maps/place/AccessHealth+Stafford+Clinic/@29.6205769,-95.5674255,16z/data=!3m1!4b1!4m6!3m5!1s0x8640e62a1e55c92b:0xaffc49351a84756c!8m2!3d29.6205723!4d-95.5625492!16s%2Fg%2F11hd9qz3ct?entry=ttu&amp;g_ep=EgoyMDI1MDYxNy4wIKXMDSoASAFQAw%3D%3D</v>
      </c>
      <c r="X18" s="10"/>
      <c r="Y18" s="9" t="str">
        <f>IFERROR(__xludf.DUMMYFUNCTION("""COMPUTED_VALUE"""),"Stafford")</f>
        <v>Stafford</v>
      </c>
      <c r="Z18" s="9" t="str">
        <f>IFERROR(__xludf.DUMMYFUNCTION("""COMPUTED_VALUE"""),"Clark Plaza One, Corporate Bus Park, Greenbriar Southwest, Stafford, The Fountains")</f>
        <v>Clark Plaza One, Corporate Bus Park, Greenbriar Southwest, Stafford, The Fountains</v>
      </c>
      <c r="AA18" s="9" t="str">
        <f>IFERROR(__xludf.DUMMYFUNCTION("""COMPUTED_VALUE"""),"AccessHealth")</f>
        <v>AccessHealth</v>
      </c>
      <c r="AB18" s="9" t="str">
        <f>IFERROR(__xludf.DUMMYFUNCTION("""COMPUTED_VALUE"""),"Greenbriar Southwest")</f>
        <v>Greenbriar Southwest</v>
      </c>
    </row>
    <row r="19" ht="30.0" customHeight="1">
      <c r="A19" s="17">
        <v>18.0</v>
      </c>
      <c r="B19"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19" s="9" t="str">
        <f>IFERROR(__xludf.DUMMYFUNCTION("""COMPUTED_VALUE"""),"AccessHealth Stafford Clinic")</f>
        <v>AccessHealth Stafford Clinic</v>
      </c>
      <c r="D19" s="9" t="str">
        <f>IFERROR(__xludf.DUMMYFUNCTION("""COMPUTED_VALUE"""),"10435 Greenbough Drive")</f>
        <v>10435 Greenbough Drive</v>
      </c>
      <c r="E19" s="9" t="str">
        <f>IFERROR(__xludf.DUMMYFUNCTION("""COMPUTED_VALUE"""),"Suite 300")</f>
        <v>Suite 300</v>
      </c>
      <c r="F19" s="9" t="str">
        <f>IFERROR(__xludf.DUMMYFUNCTION("""COMPUTED_VALUE"""),"Stafford")</f>
        <v>Stafford</v>
      </c>
      <c r="G19" s="9" t="str">
        <f>IFERROR(__xludf.DUMMYFUNCTION("""COMPUTED_VALUE"""),"TX")</f>
        <v>TX</v>
      </c>
      <c r="H19" s="9" t="str">
        <f>IFERROR(__xludf.DUMMYFUNCTION("""COMPUTED_VALUE"""),"77477")</f>
        <v>77477</v>
      </c>
      <c r="I19" s="9" t="str">
        <f>IFERROR(__xludf.DUMMYFUNCTION("""COMPUTED_VALUE"""),"281-342-4530")</f>
        <v>281-342-4530</v>
      </c>
      <c r="J19" s="9" t="str">
        <f>IFERROR(__xludf.DUMMYFUNCTION("""COMPUTED_VALUE"""),"29.6210934081633, -95.5623412653061")</f>
        <v>29.6210934081633, -95.5623412653061</v>
      </c>
      <c r="K19" s="9" t="str">
        <f>IFERROR(__xludf.DUMMYFUNCTION("""COMPUTED_VALUE"""),"{""regular"":[{""days"":[""Mo"",""Tu"",""We"",""Th"",""Fr""],""open"":""07:00"",""close"":""17:00""}]}")</f>
        <v>{"regular":[{"days":["Mo","Tu","We","Th","Fr"],"open":"07:00","close":"17:00"}]}</v>
      </c>
      <c r="L19" s="9"/>
      <c r="M19" s="10">
        <f>IFERROR(__xludf.DUMMYFUNCTION("""COMPUTED_VALUE"""),32.0)</f>
        <v>32</v>
      </c>
      <c r="N19" s="10" t="str">
        <f>IFERROR(__xludf.DUMMYFUNCTION("""COMPUTED_VALUE"""),"Medical - Dental &amp; Vision")</f>
        <v>Medical - Dental &amp; Vision</v>
      </c>
      <c r="O19" s="10">
        <f>IFERROR(__xludf.DUMMYFUNCTION("""COMPUTED_VALUE"""),1.0)</f>
        <v>1</v>
      </c>
      <c r="P19" s="10" t="str">
        <f>IFERROR(__xludf.DUMMYFUNCTION("""COMPUTED_VALUE"""),"ACTIVE")</f>
        <v>ACTIVE</v>
      </c>
      <c r="Q19" s="11">
        <f>IFERROR(__xludf.DUMMYFUNCTION("""COMPUTED_VALUE"""),46048.0)</f>
        <v>46048</v>
      </c>
      <c r="R19" s="9" t="str">
        <f>IFERROR(__xludf.DUMMYFUNCTION("""COMPUTED_VALUE"""),"Verified online")</f>
        <v>Verified online</v>
      </c>
      <c r="S19" s="9" t="str">
        <f>IFERROR(__xludf.DUMMYFUNCTION("""COMPUTED_VALUE"""),"Dental
Includes cleanings, exams, x-rays, sealants, fillings, extractions, bridges, partials and dental emergencies
AccessHealth is a private, not-for-profit organization and a Federally Qualified Health Center.  It's primary focus is the low-income popul"&amp;"ation of Fort Bend and Waller counties but will not turn anyone away, regardless of income or circumstance.
Sliding scale of fee based on income.")</f>
        <v>Dental
Includes cleanings, exams, x-rays, sealants, fillings, extractions, bridges, partials and dental emergencies
AccessHealth is a private, not-for-profit organization and a Federally Qualified Health Center.  It's primary focus is the low-income population of Fort Bend and Waller counties but will not turn anyone away, regardless of income or circumstance.
Sliding scale of fee based on income.</v>
      </c>
      <c r="T19" s="12" t="b">
        <f>IFERROR(__xludf.DUMMYFUNCTION("""COMPUTED_VALUE"""),TRUE)</f>
        <v>1</v>
      </c>
      <c r="U19" s="12" t="b">
        <f>IFERROR(__xludf.DUMMYFUNCTION("""COMPUTED_VALUE"""),FALSE)</f>
        <v>0</v>
      </c>
      <c r="V19" s="13" t="str">
        <f>IFERROR(__xludf.DUMMYFUNCTION("""COMPUTED_VALUE"""),"https://www.myaccesshealth.org/")</f>
        <v>https://www.myaccesshealth.org/</v>
      </c>
      <c r="W19" s="14" t="str">
        <f>IFERROR(__xludf.DUMMYFUNCTION("""COMPUTED_VALUE"""),"https://www.google.com/maps/place/AccessHealth+Stafford+Clinic/@29.6205769,-95.5674255,16z/data=!3m1!4b1!4m6!3m5!1s0x8640e62a1e55c92b:0xaffc49351a84756c!8m2!3d29.6205723!4d-95.5625492!16s%2Fg%2F11hd9qz3ct?entry=ttu&amp;g_ep=EgoyMDI1MDYxNy4wIKXMDSoASAFQAw%3D%3"&amp;"D")</f>
        <v>https://www.google.com/maps/place/AccessHealth+Stafford+Clinic/@29.6205769,-95.5674255,16z/data=!3m1!4b1!4m6!3m5!1s0x8640e62a1e55c92b:0xaffc49351a84756c!8m2!3d29.6205723!4d-95.5625492!16s%2Fg%2F11hd9qz3ct?entry=ttu&amp;g_ep=EgoyMDI1MDYxNy4wIKXMDSoASAFQAw%3D%3D</v>
      </c>
      <c r="X19" s="10"/>
      <c r="Y19" s="9" t="str">
        <f>IFERROR(__xludf.DUMMYFUNCTION("""COMPUTED_VALUE"""),"Stafford")</f>
        <v>Stafford</v>
      </c>
      <c r="Z19" s="9" t="str">
        <f>IFERROR(__xludf.DUMMYFUNCTION("""COMPUTED_VALUE"""),"Clark Plaza One, Corporate Bus Park, Greenbriar Southwest, Stafford, The Fountains")</f>
        <v>Clark Plaza One, Corporate Bus Park, Greenbriar Southwest, Stafford, The Fountains</v>
      </c>
      <c r="AA19" s="9" t="str">
        <f>IFERROR(__xludf.DUMMYFUNCTION("""COMPUTED_VALUE"""),"AccessHealth")</f>
        <v>AccessHealth</v>
      </c>
      <c r="AB19" s="9" t="str">
        <f>IFERROR(__xludf.DUMMYFUNCTION("""COMPUTED_VALUE"""),"Greenbriar Southwest")</f>
        <v>Greenbriar Southwest</v>
      </c>
    </row>
    <row r="20" ht="30.0" customHeight="1">
      <c r="A20" s="17">
        <v>19.0</v>
      </c>
      <c r="B20" s="8" t="str">
        <f>IFERROR(__xludf.DUMMYFUNCTION("""COMPUTED_VALUE"""),"[""77053"",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C20" s="9" t="str">
        <f>IFERROR(__xludf.DUMMYFUNCTION("""COMPUTED_VALUE"""),"AccessHealth Stafford WIC Center")</f>
        <v>AccessHealth Stafford WIC Center</v>
      </c>
      <c r="D20" s="9" t="str">
        <f>IFERROR(__xludf.DUMMYFUNCTION("""COMPUTED_VALUE"""),"10435 Greenbough Drive")</f>
        <v>10435 Greenbough Drive</v>
      </c>
      <c r="E20" s="9" t="str">
        <f>IFERROR(__xludf.DUMMYFUNCTION("""COMPUTED_VALUE"""),"Suite 300")</f>
        <v>Suite 300</v>
      </c>
      <c r="F20" s="9" t="str">
        <f>IFERROR(__xludf.DUMMYFUNCTION("""COMPUTED_VALUE"""),"Stafford")</f>
        <v>Stafford</v>
      </c>
      <c r="G20" s="9" t="str">
        <f>IFERROR(__xludf.DUMMYFUNCTION("""COMPUTED_VALUE"""),"TX")</f>
        <v>TX</v>
      </c>
      <c r="H20" s="9" t="str">
        <f>IFERROR(__xludf.DUMMYFUNCTION("""COMPUTED_VALUE"""),"77477")</f>
        <v>77477</v>
      </c>
      <c r="I20" s="9" t="str">
        <f>IFERROR(__xludf.DUMMYFUNCTION("""COMPUTED_VALUE"""),"281-969-1835")</f>
        <v>281-969-1835</v>
      </c>
      <c r="J20" s="9" t="str">
        <f>IFERROR(__xludf.DUMMYFUNCTION("""COMPUTED_VALUE"""),"29.6210934081633, -95.5623412653061")</f>
        <v>29.6210934081633, -95.5623412653061</v>
      </c>
      <c r="K20" s="9" t="str">
        <f>IFERROR(__xludf.DUMMYFUNCTION("""COMPUTED_VALUE"""),"{""regular"":[{""days"":[""Mo"",""We""],""open"":""08:00"",""close"":""17:00""},{""days"":[""Tu""],""open"":""08:00"",""close"":""19:00""},{""days"":[""Th""],""open"":""07:00"",""close"":""18:00""},{""days"":[""Fr""],""open"":""08:00"",""close"":""13:00"""&amp;"}]}")</f>
        <v>{"regular":[{"days":["Mo","We"],"open":"08:00","close":"17:00"},{"days":["Tu"],"open":"08:00","close":"19:00"},{"days":["Th"],"open":"07:00","close":"18:00"},{"days":["Fr"],"open":"08:00","close":"13:00"}]}</v>
      </c>
      <c r="L20" s="9"/>
      <c r="M20" s="10">
        <f>IFERROR(__xludf.DUMMYFUNCTION("""COMPUTED_VALUE"""),44.0)</f>
        <v>44</v>
      </c>
      <c r="N20" s="10" t="str">
        <f>IFERROR(__xludf.DUMMYFUNCTION("""COMPUTED_VALUE"""),"Mother &amp; Child")</f>
        <v>Mother &amp; Child</v>
      </c>
      <c r="O20" s="10">
        <f>IFERROR(__xludf.DUMMYFUNCTION("""COMPUTED_VALUE"""),1.0)</f>
        <v>1</v>
      </c>
      <c r="P20" s="10" t="str">
        <f>IFERROR(__xludf.DUMMYFUNCTION("""COMPUTED_VALUE"""),"ACTIVE")</f>
        <v>ACTIVE</v>
      </c>
      <c r="Q20" s="11">
        <f>IFERROR(__xludf.DUMMYFUNCTION("""COMPUTED_VALUE"""),45831.0)</f>
        <v>45831</v>
      </c>
      <c r="R20" s="9" t="str">
        <f>IFERROR(__xludf.DUMMYFUNCTION("""COMPUTED_VALUE"""),"Verified online")</f>
        <v>Verified online</v>
      </c>
      <c r="S20"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20" s="12" t="b">
        <f>IFERROR(__xludf.DUMMYFUNCTION("""COMPUTED_VALUE"""),FALSE)</f>
        <v>0</v>
      </c>
      <c r="U20" s="12" t="b">
        <f>IFERROR(__xludf.DUMMYFUNCTION("""COMPUTED_VALUE"""),FALSE)</f>
        <v>0</v>
      </c>
      <c r="V20" s="13" t="str">
        <f>IFERROR(__xludf.DUMMYFUNCTION("""COMPUTED_VALUE"""),"https://www.myaccesshealth.org/")</f>
        <v>https://www.myaccesshealth.org/</v>
      </c>
      <c r="W20" s="14" t="str">
        <f>IFERROR(__xludf.DUMMYFUNCTION("""COMPUTED_VALUE"""),"https://www.google.com/maps/place/Access+Health+Stafford+WIC+Clinic/@29.6206841,-95.5651997,17z/data=!3m1!4b1!4m6!3m5!1s0x8640e62a1dd7f35d:0xc95ea2dcf95c8f93!8m2!3d29.6206795!4d-95.5626194!16s%2Fg%2F1v_w2r9z?entry=ttu&amp;g_ep=EgoyMDI1MDYxNy4wIKXMDSoASAFQAw%3"&amp;"D%3D")</f>
        <v>https://www.google.com/maps/place/Access+Health+Stafford+WIC+Clinic/@29.6206841,-95.5651997,17z/data=!3m1!4b1!4m6!3m5!1s0x8640e62a1dd7f35d:0xc95ea2dcf95c8f93!8m2!3d29.6206795!4d-95.5626194!16s%2Fg%2F1v_w2r9z?entry=ttu&amp;g_ep=EgoyMDI1MDYxNy4wIKXMDSoASAFQAw%3D%3D</v>
      </c>
      <c r="X20" s="10"/>
      <c r="Y20" s="9" t="str">
        <f>IFERROR(__xludf.DUMMYFUNCTION("""COMPUTED_VALUE"""),"Stafford")</f>
        <v>Stafford</v>
      </c>
      <c r="Z20" s="9" t="str">
        <f>IFERROR(__xludf.DUMMYFUNCTION("""COMPUTED_VALUE"""),"Clark Plaza One, Corporate Bus Park, Greenbriar Southwest, Stafford, The Fountains")</f>
        <v>Clark Plaza One, Corporate Bus Park, Greenbriar Southwest, Stafford, The Fountains</v>
      </c>
      <c r="AA20" s="9" t="str">
        <f>IFERROR(__xludf.DUMMYFUNCTION("""COMPUTED_VALUE"""),"AccessHealth")</f>
        <v>AccessHealth</v>
      </c>
      <c r="AB20" s="9" t="str">
        <f>IFERROR(__xludf.DUMMYFUNCTION("""COMPUTED_VALUE"""),"Greenbriar Southwest")</f>
        <v>Greenbriar Southwest</v>
      </c>
    </row>
    <row r="21" ht="30.0" customHeight="1">
      <c r="A21" s="17">
        <v>20.0</v>
      </c>
      <c r="B21" s="8" t="str">
        <f>IFERROR(__xludf.DUMMYFUNCTION("""COMPUTED_VALUE"""),"[""77488""]")</f>
        <v>["77488"]</v>
      </c>
      <c r="C21" s="9" t="str">
        <f>IFERROR(__xludf.DUMMYFUNCTION("""COMPUTED_VALUE"""),"AccessHealth Wharton WIC Center")</f>
        <v>AccessHealth Wharton WIC Center</v>
      </c>
      <c r="D21" s="9" t="str">
        <f>IFERROR(__xludf.DUMMYFUNCTION("""COMPUTED_VALUE"""),"20115 N Fulton Street")</f>
        <v>20115 N Fulton Street</v>
      </c>
      <c r="E21" s="9"/>
      <c r="F21" s="9" t="str">
        <f>IFERROR(__xludf.DUMMYFUNCTION("""COMPUTED_VALUE"""),"Wharton")</f>
        <v>Wharton</v>
      </c>
      <c r="G21" s="9" t="str">
        <f>IFERROR(__xludf.DUMMYFUNCTION("""COMPUTED_VALUE"""),"TX")</f>
        <v>TX</v>
      </c>
      <c r="H21" s="9" t="str">
        <f>IFERROR(__xludf.DUMMYFUNCTION("""COMPUTED_VALUE"""),"77488")</f>
        <v>77488</v>
      </c>
      <c r="I21" s="9" t="str">
        <f>IFERROR(__xludf.DUMMYFUNCTION("""COMPUTED_VALUE"""),"979-532-8755")</f>
        <v>979-532-8755</v>
      </c>
      <c r="J21" s="9" t="str">
        <f>IFERROR(__xludf.DUMMYFUNCTION("""COMPUTED_VALUE"""),"29.329366007624188, -96.09311470962987")</f>
        <v>29.329366007624188, -96.09311470962987</v>
      </c>
      <c r="K21" s="9" t="str">
        <f>IFERROR(__xludf.DUMMYFUNCTION("""COMPUTED_VALUE"""),"{""regular"":[{""days"":[""Mo"",""We""],""open"":""08:00"",""close"":""17:00""},{""days"":[""Tu""],""open"":""08:00"",""close"":""19:00""},{""days"":[""Th""],""open"":""07:00"",""close"":""18:00""},{""days"":[""Fr""],""open"":""08:00"",""close"":""13:00"""&amp;"}]}")</f>
        <v>{"regular":[{"days":["Mo","We"],"open":"08:00","close":"17:00"},{"days":["Tu"],"open":"08:00","close":"19:00"},{"days":["Th"],"open":"07:00","close":"18:00"},{"days":["Fr"],"open":"08:00","close":"13:00"}]}</v>
      </c>
      <c r="L21" s="9"/>
      <c r="M21" s="10">
        <f>IFERROR(__xludf.DUMMYFUNCTION("""COMPUTED_VALUE"""),44.0)</f>
        <v>44</v>
      </c>
      <c r="N21" s="10" t="str">
        <f>IFERROR(__xludf.DUMMYFUNCTION("""COMPUTED_VALUE"""),"Mother &amp; Child")</f>
        <v>Mother &amp; Child</v>
      </c>
      <c r="O21" s="10">
        <f>IFERROR(__xludf.DUMMYFUNCTION("""COMPUTED_VALUE"""),1.0)</f>
        <v>1</v>
      </c>
      <c r="P21" s="10" t="str">
        <f>IFERROR(__xludf.DUMMYFUNCTION("""COMPUTED_VALUE"""),"ACTIVE")</f>
        <v>ACTIVE</v>
      </c>
      <c r="Q21" s="11">
        <f>IFERROR(__xludf.DUMMYFUNCTION("""COMPUTED_VALUE"""),45831.0)</f>
        <v>45831</v>
      </c>
      <c r="R21" s="9" t="str">
        <f>IFERROR(__xludf.DUMMYFUNCTION("""COMPUTED_VALUE"""),"Verified online")</f>
        <v>Verified online</v>
      </c>
      <c r="S21" s="9" t="str">
        <f>IFERROR(__xludf.DUMMYFUNCTION("""COMPUTED_VALUE"""),"WIC is a special supplemental nutrition program for women, infants and children.  It is a nutrition program for pregnant, breastfeeding women and families with children younger than 5 years old.
To qualify you must meet income guidelines but if you receiv"&amp;"e Medicaid, SNAP or TANF, then you already meet the income eligibility guidelines for WIC.
AccessHealth is a private, not-for-profit organization and a Federally Qualified Health Center.  It's primary focus is the low-income population of Fort Bend and Wa"&amp;"ller counties but will not turn anyone away, regardless of income or circumstance.
")</f>
        <v>WIC is a special supplemental nutrition program for women, infants and children.  It is a nutrition program for pregnant, breastfeeding women and families with children younger than 5 years old.
To qualify you must meet income guidelines but if you receive Medicaid, SNAP or TANF, then you already meet the income eligibility guidelines for WIC.
AccessHealth is a private, not-for-profit organization and a Federally Qualified Health Center.  It's primary focus is the low-income population of Fort Bend and Waller counties but will not turn anyone away, regardless of income or circumstance.
</v>
      </c>
      <c r="T21" s="12" t="b">
        <f>IFERROR(__xludf.DUMMYFUNCTION("""COMPUTED_VALUE"""),FALSE)</f>
        <v>0</v>
      </c>
      <c r="U21" s="12" t="b">
        <f>IFERROR(__xludf.DUMMYFUNCTION("""COMPUTED_VALUE"""),FALSE)</f>
        <v>0</v>
      </c>
      <c r="V21" s="13" t="str">
        <f>IFERROR(__xludf.DUMMYFUNCTION("""COMPUTED_VALUE"""),"https://www.myaccesshealth.org/")</f>
        <v>https://www.myaccesshealth.org/</v>
      </c>
      <c r="W21" s="14" t="str">
        <f>IFERROR(__xludf.DUMMYFUNCTION("""COMPUTED_VALUE"""),"https://www.google.com/maps/place/Access+Health+Wharton+WIC+Clinic/@29.3292211,-96.0957272,16z/data=!3m1!4b1!4m6!3m5!1s0x864174e69c244ca1:0x19aa48ea44b3deee!8m2!3d29.3292164!4d-96.0931469!16s%2Fg%2F1td6b80l?entry=ttu&amp;g_ep=EgoyMDI1MDYxNy4wIKXMDSoASAFQAw%3D"&amp;"%3D")</f>
        <v>https://www.google.com/maps/place/Access+Health+Wharton+WIC+Clinic/@29.3292211,-96.0957272,16z/data=!3m1!4b1!4m6!3m5!1s0x864174e69c244ca1:0x19aa48ea44b3deee!8m2!3d29.3292164!4d-96.0931469!16s%2Fg%2F1td6b80l?entry=ttu&amp;g_ep=EgoyMDI1MDYxNy4wIKXMDSoASAFQAw%3D%3D</v>
      </c>
      <c r="X21" s="10"/>
      <c r="Y21" s="9" t="str">
        <f>IFERROR(__xludf.DUMMYFUNCTION("""COMPUTED_VALUE"""),"Wharton")</f>
        <v>Wharton</v>
      </c>
      <c r="Z21" s="9" t="str">
        <f>IFERROR(__xludf.DUMMYFUNCTION("""COMPUTED_VALUE"""),"Wharton")</f>
        <v>Wharton</v>
      </c>
      <c r="AA21" s="9" t="str">
        <f>IFERROR(__xludf.DUMMYFUNCTION("""COMPUTED_VALUE"""),"AccessHealth")</f>
        <v>AccessHealth</v>
      </c>
      <c r="AB21" s="9" t="str">
        <f>IFERROR(__xludf.DUMMYFUNCTION("""COMPUTED_VALUE"""),"Wharton")</f>
        <v>Wharton</v>
      </c>
    </row>
    <row r="22" ht="30.0" customHeight="1">
      <c r="A22" s="17">
        <v>21.0</v>
      </c>
      <c r="B22" s="8" t="str">
        <f>IFERROR(__xludf.DUMMYFUNCTION("""COMPUTED_VALUE"""),"[""99999""]")</f>
        <v>["99999"]</v>
      </c>
      <c r="C22" s="9" t="str">
        <f>IFERROR(__xludf.DUMMYFUNCTION("""COMPUTED_VALUE"""),"Accessia Health")</f>
        <v>Accessia Health</v>
      </c>
      <c r="D22" s="9" t="str">
        <f>IFERROR(__xludf.DUMMYFUNCTION("""COMPUTED_VALUE"""),"3104 E Boundary Court")</f>
        <v>3104 E Boundary Court</v>
      </c>
      <c r="E22" s="9"/>
      <c r="F22" s="9" t="str">
        <f>IFERROR(__xludf.DUMMYFUNCTION("""COMPUTED_VALUE"""),"Midlothian")</f>
        <v>Midlothian</v>
      </c>
      <c r="G22" s="9" t="str">
        <f>IFERROR(__xludf.DUMMYFUNCTION("""COMPUTED_VALUE"""),"VA")</f>
        <v>VA</v>
      </c>
      <c r="H22" s="9" t="str">
        <f>IFERROR(__xludf.DUMMYFUNCTION("""COMPUTED_VALUE"""),"23112")</f>
        <v>23112</v>
      </c>
      <c r="I22" s="9" t="str">
        <f>IFERROR(__xludf.DUMMYFUNCTION("""COMPUTED_VALUE"""),"800-366-7741")</f>
        <v>800-366-7741</v>
      </c>
      <c r="J22" s="9" t="str">
        <f>IFERROR(__xludf.DUMMYFUNCTION("""COMPUTED_VALUE"""),"37.44735944105023, -77.64545707622406")</f>
        <v>37.44735944105023, -77.64545707622406</v>
      </c>
      <c r="K22" s="9" t="str">
        <f>IFERROR(__xludf.DUMMYFUNCTION("""COMPUTED_VALUE"""),"{""regular"":[{""days"":[""Mo"",""Tu"",""Th"",""Fr""],""open"":""08:30"",""close"":""17:00""},{""days"":[""We""],""open"":""09:30"",""close"":""17:00""}]}")</f>
        <v>{"regular":[{"days":["Mo","Tu","Th","Fr"],"open":"08:30","close":"17:00"},{"days":["We"],"open":"09:30","close":"17:00"}]}</v>
      </c>
      <c r="L22" s="9" t="str">
        <f>IFERROR(__xludf.DUMMYFUNCTION("""COMPUTED_VALUE"""),"Apply online")</f>
        <v>Apply online</v>
      </c>
      <c r="M22" s="10">
        <f>IFERROR(__xludf.DUMMYFUNCTION("""COMPUTED_VALUE"""),36.0)</f>
        <v>36</v>
      </c>
      <c r="N22" s="10" t="str">
        <f>IFERROR(__xludf.DUMMYFUNCTION("""COMPUTED_VALUE"""),"Medical - Bill Payment")</f>
        <v>Medical - Bill Payment</v>
      </c>
      <c r="O22" s="10">
        <f>IFERROR(__xludf.DUMMYFUNCTION("""COMPUTED_VALUE"""),1.0)</f>
        <v>1</v>
      </c>
      <c r="P22" s="10" t="str">
        <f>IFERROR(__xludf.DUMMYFUNCTION("""COMPUTED_VALUE"""),"ACTIVE")</f>
        <v>ACTIVE</v>
      </c>
      <c r="Q22" s="11"/>
      <c r="R22" s="9" t="str">
        <f>IFERROR(__xludf.DUMMYFUNCTION("""COMPUTED_VALUE"""),"Verified online")</f>
        <v>Verified online</v>
      </c>
      <c r="S22" s="9" t="str">
        <f>IFERROR(__xludf.DUMMYFUNCTION("""COMPUTED_VALUE"""),"Offers financial assistance to eligible individuals to pay for health insurance premiums, medication copayments, travel and other essential medical expenses.
Must meet income guidelines  and a diagnosed, covered medication condition.
Check eligibility and"&amp;" apply online.
A charitable patient assistance foundation.")</f>
        <v>Offers financial assistance to eligible individuals to pay for health insurance premiums, medication copayments, travel and other essential medical expenses.
Must meet income guidelines  and a diagnosed, covered medication condition.
Check eligibility and apply online.
A charitable patient assistance foundation.</v>
      </c>
      <c r="T22" s="12" t="b">
        <f>IFERROR(__xludf.DUMMYFUNCTION("""COMPUTED_VALUE"""),FALSE)</f>
        <v>0</v>
      </c>
      <c r="U22" s="12" t="b">
        <f>IFERROR(__xludf.DUMMYFUNCTION("""COMPUTED_VALUE"""),FALSE)</f>
        <v>0</v>
      </c>
      <c r="V22" s="13" t="str">
        <f>IFERROR(__xludf.DUMMYFUNCTION("""COMPUTED_VALUE"""),"https://accessiahealth.org")</f>
        <v>https://accessiahealth.org</v>
      </c>
      <c r="W22" s="14" t="str">
        <f>IFERROR(__xludf.DUMMYFUNCTION("""COMPUTED_VALUE"""),"https://www.google.com/maps/place/Accessia+Health/@37.447121,-77.6480803,17z/data=!3m1!4b1!4m6!3m5!1s0x89b173d0fbba5d41:0x4ec81be8dbc6a9e5!8m2!3d37.447121!4d-77.6455!16s%2Fg%2F113g6sbc5?entry=ttu&amp;g_ep=EgoyMDI2MDEyMC4wIKXMDSoKLDEwMDc5MjA2OUgBUAM%3D")</f>
        <v>https://www.google.com/maps/place/Accessia+Health/@37.447121,-77.6480803,17z/data=!3m1!4b1!4m6!3m5!1s0x89b173d0fbba5d41:0x4ec81be8dbc6a9e5!8m2!3d37.447121!4d-77.6455!16s%2Fg%2F113g6sbc5?entry=ttu&amp;g_ep=EgoyMDI2MDEyMC4wIKXMDSoKLDEwMDc5MjA2OUgBUAM%3D</v>
      </c>
      <c r="X22" s="10"/>
      <c r="Y22" s="9" t="str">
        <f>IFERROR(__xludf.DUMMYFUNCTION("""COMPUTED_VALUE"""),"Midlothian")</f>
        <v>Midlothian</v>
      </c>
      <c r="Z22" s="9" t="str">
        <f>IFERROR(__xludf.DUMMYFUNCTION("""COMPUTED_VALUE"""),"Brandermill")</f>
        <v>Brandermill</v>
      </c>
      <c r="AA22" s="9" t="str">
        <f>IFERROR(__xludf.DUMMYFUNCTION("""COMPUTED_VALUE"""),"Accessia Health")</f>
        <v>Accessia Health</v>
      </c>
      <c r="AB22" s="9" t="str">
        <f>IFERROR(__xludf.DUMMYFUNCTION("""COMPUTED_VALUE"""),"Brandermill")</f>
        <v>Brandermill</v>
      </c>
    </row>
    <row r="23" ht="30.0" customHeight="1">
      <c r="A23" s="17">
        <v>22.0</v>
      </c>
      <c r="B2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23" s="9" t="str">
        <f>IFERROR(__xludf.DUMMYFUNCTION("""COMPUTED_VALUE"""),"Acres Homes Multi-Service Center")</f>
        <v>Acres Homes Multi-Service Center</v>
      </c>
      <c r="D23" s="9" t="str">
        <f>IFERROR(__xludf.DUMMYFUNCTION("""COMPUTED_VALUE"""),"6719 W Montgomery Road")</f>
        <v>6719 W Montgomery Road</v>
      </c>
      <c r="E23" s="9"/>
      <c r="F23" s="10" t="str">
        <f>IFERROR(__xludf.DUMMYFUNCTION("""COMPUTED_VALUE"""),"Houston")</f>
        <v>Houston</v>
      </c>
      <c r="G23" s="9" t="str">
        <f>IFERROR(__xludf.DUMMYFUNCTION("""COMPUTED_VALUE"""),"TX")</f>
        <v>TX</v>
      </c>
      <c r="H23" s="9" t="str">
        <f>IFERROR(__xludf.DUMMYFUNCTION("""COMPUTED_VALUE"""),"77091")</f>
        <v>77091</v>
      </c>
      <c r="I23" s="9" t="str">
        <f>IFERROR(__xludf.DUMMYFUNCTION("""COMPUTED_VALUE"""),"832-393-4145")</f>
        <v>832-393-4145</v>
      </c>
      <c r="J23" s="9" t="str">
        <f>IFERROR(__xludf.DUMMYFUNCTION("""COMPUTED_VALUE"""),"29.857681948841, -95.42211162195217")</f>
        <v>29.857681948841, -95.42211162195217</v>
      </c>
      <c r="K23" s="9" t="str">
        <f>IFERROR(__xludf.DUMMYFUNCTION("""COMPUTED_VALUE"""),"{""special"":[{""pattern"":""2nd Tu"",""open"":""08:00"",""close"":""11:00""}]}")</f>
        <v>{"special":[{"pattern":"2nd Tu","open":"08:00","close":"11:00"}]}</v>
      </c>
      <c r="L23" s="9"/>
      <c r="M23" s="10">
        <f>IFERROR(__xludf.DUMMYFUNCTION("""COMPUTED_VALUE"""),13.0)</f>
        <v>13</v>
      </c>
      <c r="N23" s="10" t="str">
        <f>IFERROR(__xludf.DUMMYFUNCTION("""COMPUTED_VALUE"""),"Food")</f>
        <v>Food</v>
      </c>
      <c r="O23" s="10">
        <f>IFERROR(__xludf.DUMMYFUNCTION("""COMPUTED_VALUE"""),1.0)</f>
        <v>1</v>
      </c>
      <c r="P23" s="10" t="str">
        <f>IFERROR(__xludf.DUMMYFUNCTION("""COMPUTED_VALUE"""),"ACTIVE")</f>
        <v>ACTIVE</v>
      </c>
      <c r="Q23" s="11">
        <f>IFERROR(__xludf.DUMMYFUNCTION("""COMPUTED_VALUE"""),46057.0)</f>
        <v>46057</v>
      </c>
      <c r="R23" s="9" t="str">
        <f>IFERROR(__xludf.DUMMYFUNCTION("""COMPUTED_VALUE"""),"Verified online")</f>
        <v>Verified online</v>
      </c>
      <c r="S23" s="9" t="str">
        <f>IFERROR(__xludf.DUMMYFUNCTION("""COMPUTED_VALUE"""),"Food Distribution
by the Houston Food Bank for seniors over the age of 60 and families with children under five years.")</f>
        <v>Food Distribution
by the Houston Food Bank for seniors over the age of 60 and families with children under five years.</v>
      </c>
      <c r="T23" s="12" t="b">
        <f>IFERROR(__xludf.DUMMYFUNCTION("""COMPUTED_VALUE"""),TRUE)</f>
        <v>1</v>
      </c>
      <c r="U23" s="12" t="b">
        <f>IFERROR(__xludf.DUMMYFUNCTION("""COMPUTED_VALUE"""),FALSE)</f>
        <v>0</v>
      </c>
      <c r="V23" s="13" t="str">
        <f>IFERROR(__xludf.DUMMYFUNCTION("""COMPUTED_VALUE"""),"https://www.houstonhealth.org/services/multi-service-centers/acres-homes-multi-service-center")</f>
        <v>https://www.houstonhealth.org/services/multi-service-centers/acres-homes-multi-service-center</v>
      </c>
      <c r="W23" s="14" t="str">
        <f>IFERROR(__xludf.DUMMYFUNCTION("""COMPUTED_VALUE"""),"https://www.google.com/maps/place/Acres+Homes+Multi-Service+Center/@29.8574912,-95.4247509,17z/data=!3m1!4b1!4m6!3m5!1s0x8640c7d963488d53:0x6044d3466dc08305!8m2!3d29.8574866!4d-95.422176!16s%2Fg%2F11g7z0pwk3?entry=ttu&amp;g_ep=EgoyMDI2MDIwMS4wIKXMDSoKLDEwMDc5"&amp;"MjA2OUgBUAM%3D")</f>
        <v>https://www.google.com/maps/place/Acres+Homes+Multi-Service+Center/@29.8574912,-95.4247509,17z/data=!3m1!4b1!4m6!3m5!1s0x8640c7d963488d53:0x6044d3466dc08305!8m2!3d29.8574866!4d-95.422176!16s%2Fg%2F11g7z0pwk3?entry=ttu&amp;g_ep=EgoyMDI2MDIwMS4wIKXMDSoKLDEwMDc5MjA2OUgBUAM%3D</v>
      </c>
      <c r="X23" s="10"/>
      <c r="Y23" s="9" t="str">
        <f>IFERROR(__xludf.DUMMYFUNCTION("""COMPUTED_VALUE"""),"Houston")</f>
        <v>Houston</v>
      </c>
      <c r="Z23" s="9" t="str">
        <f>IFERROR(__xludf.DUMMYFUNCTION("""COMPUTED_VALUE"""),"Acres Home, Garden Oaks North, Northside / Northline")</f>
        <v>Acres Home, Garden Oaks North, Northside / Northline</v>
      </c>
      <c r="AA23" s="9" t="str">
        <f>IFERROR(__xludf.DUMMYFUNCTION("""COMPUTED_VALUE"""),"City of Houston")</f>
        <v>City of Houston</v>
      </c>
      <c r="AB23" s="9" t="str">
        <f>IFERROR(__xludf.DUMMYFUNCTION("""COMPUTED_VALUE"""),"Northside / Northline")</f>
        <v>Northside / Northline</v>
      </c>
    </row>
    <row r="24" ht="30.0" customHeight="1">
      <c r="A24" s="17">
        <v>23.0</v>
      </c>
      <c r="B2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24" s="9" t="str">
        <f>IFERROR(__xludf.DUMMYFUNCTION("""COMPUTED_VALUE"""),"Acres Homes Multi-Service Center")</f>
        <v>Acres Homes Multi-Service Center</v>
      </c>
      <c r="D24" s="9" t="str">
        <f>IFERROR(__xludf.DUMMYFUNCTION("""COMPUTED_VALUE"""),"6719 W Montgomery Road")</f>
        <v>6719 W Montgomery Road</v>
      </c>
      <c r="E24" s="9"/>
      <c r="F24" s="10" t="str">
        <f>IFERROR(__xludf.DUMMYFUNCTION("""COMPUTED_VALUE"""),"Houston")</f>
        <v>Houston</v>
      </c>
      <c r="G24" s="9" t="str">
        <f>IFERROR(__xludf.DUMMYFUNCTION("""COMPUTED_VALUE"""),"TX")</f>
        <v>TX</v>
      </c>
      <c r="H24" s="9" t="str">
        <f>IFERROR(__xludf.DUMMYFUNCTION("""COMPUTED_VALUE"""),"77091")</f>
        <v>77091</v>
      </c>
      <c r="I24" s="9" t="str">
        <f>IFERROR(__xludf.DUMMYFUNCTION("""COMPUTED_VALUE"""),"832-393-4150")</f>
        <v>832-393-4150</v>
      </c>
      <c r="J24" s="9" t="str">
        <f>IFERROR(__xludf.DUMMYFUNCTION("""COMPUTED_VALUE"""),"29.857681948841, -95.42211162195217")</f>
        <v>29.857681948841, -95.42211162195217</v>
      </c>
      <c r="K24" s="9" t="str">
        <f>IFERROR(__xludf.DUMMYFUNCTION("""COMPUTED_VALUE"""),"{""regular"":[{""days"":[""Mo"",""Tu"",""We"",""Th""],""open"":""08:00"",""close"":""17:00""}]}")</f>
        <v>{"regular":[{"days":["Mo","Tu","We","Th"],"open":"08:00","close":"17:00"}]}</v>
      </c>
      <c r="L24" s="9"/>
      <c r="M24" s="10">
        <f>IFERROR(__xludf.DUMMYFUNCTION("""COMPUTED_VALUE"""),44.0)</f>
        <v>44</v>
      </c>
      <c r="N24" s="10" t="str">
        <f>IFERROR(__xludf.DUMMYFUNCTION("""COMPUTED_VALUE"""),"Mother &amp; Child")</f>
        <v>Mother &amp; Child</v>
      </c>
      <c r="O24" s="10">
        <f>IFERROR(__xludf.DUMMYFUNCTION("""COMPUTED_VALUE"""),1.0)</f>
        <v>1</v>
      </c>
      <c r="P24" s="10" t="str">
        <f>IFERROR(__xludf.DUMMYFUNCTION("""COMPUTED_VALUE"""),"ACTIVE")</f>
        <v>ACTIVE</v>
      </c>
      <c r="Q24" s="11">
        <f>IFERROR(__xludf.DUMMYFUNCTION("""COMPUTED_VALUE"""),46057.0)</f>
        <v>46057</v>
      </c>
      <c r="R24" s="9" t="str">
        <f>IFERROR(__xludf.DUMMYFUNCTION("""COMPUTED_VALUE"""),"Verified online")</f>
        <v>Verified online</v>
      </c>
      <c r="S24"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24" s="12" t="b">
        <f>IFERROR(__xludf.DUMMYFUNCTION("""COMPUTED_VALUE"""),TRUE)</f>
        <v>1</v>
      </c>
      <c r="U24" s="12" t="b">
        <f>IFERROR(__xludf.DUMMYFUNCTION("""COMPUTED_VALUE"""),FALSE)</f>
        <v>0</v>
      </c>
      <c r="V24" s="13" t="str">
        <f>IFERROR(__xludf.DUMMYFUNCTION("""COMPUTED_VALUE"""),"https://www.houstonhealth.org/services/multi-service-centers/acres-homes-multi-service-center")</f>
        <v>https://www.houstonhealth.org/services/multi-service-centers/acres-homes-multi-service-center</v>
      </c>
      <c r="W24" s="14" t="str">
        <f>IFERROR(__xludf.DUMMYFUNCTION("""COMPUTED_VALUE"""),"https://www.google.com/maps/place/Acres+Homes+Multi-Service+Center/@29.8574912,-95.4247509,17z/data=!3m1!4b1!4m6!3m5!1s0x8640c7d963488d53:0x6044d3466dc08305!8m2!3d29.8574866!4d-95.422176!16s%2Fg%2F11g7z0pwk3?entry=ttu&amp;g_ep=EgoyMDI2MDIwMS4wIKXMDSoKLDEwMDc5"&amp;"MjA2OUgBUAM%3D")</f>
        <v>https://www.google.com/maps/place/Acres+Homes+Multi-Service+Center/@29.8574912,-95.4247509,17z/data=!3m1!4b1!4m6!3m5!1s0x8640c7d963488d53:0x6044d3466dc08305!8m2!3d29.8574866!4d-95.422176!16s%2Fg%2F11g7z0pwk3?entry=ttu&amp;g_ep=EgoyMDI2MDIwMS4wIKXMDSoKLDEwMDc5MjA2OUgBUAM%3D</v>
      </c>
      <c r="X24" s="10"/>
      <c r="Y24" s="9" t="str">
        <f>IFERROR(__xludf.DUMMYFUNCTION("""COMPUTED_VALUE"""),"Houston")</f>
        <v>Houston</v>
      </c>
      <c r="Z24" s="9" t="str">
        <f>IFERROR(__xludf.DUMMYFUNCTION("""COMPUTED_VALUE"""),"Acres Home, Garden Oaks North, Northside / Northline")</f>
        <v>Acres Home, Garden Oaks North, Northside / Northline</v>
      </c>
      <c r="AA24" s="9" t="str">
        <f>IFERROR(__xludf.DUMMYFUNCTION("""COMPUTED_VALUE"""),"City of Houston")</f>
        <v>City of Houston</v>
      </c>
      <c r="AB24" s="9" t="str">
        <f>IFERROR(__xludf.DUMMYFUNCTION("""COMPUTED_VALUE"""),"Northside / Northline")</f>
        <v>Northside / Northline</v>
      </c>
    </row>
    <row r="25" ht="30.0" customHeight="1">
      <c r="A25" s="17">
        <v>24.0</v>
      </c>
      <c r="B2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25" s="9" t="str">
        <f>IFERROR(__xludf.DUMMYFUNCTION("""COMPUTED_VALUE"""),"Acres Homes Multi-Service Center")</f>
        <v>Acres Homes Multi-Service Center</v>
      </c>
      <c r="D25" s="9" t="str">
        <f>IFERROR(__xludf.DUMMYFUNCTION("""COMPUTED_VALUE"""),"6719 W Montgomery Road")</f>
        <v>6719 W Montgomery Road</v>
      </c>
      <c r="E25" s="9"/>
      <c r="F25" s="10" t="str">
        <f>IFERROR(__xludf.DUMMYFUNCTION("""COMPUTED_VALUE"""),"Houston")</f>
        <v>Houston</v>
      </c>
      <c r="G25" s="9" t="str">
        <f>IFERROR(__xludf.DUMMYFUNCTION("""COMPUTED_VALUE"""),"TX")</f>
        <v>TX</v>
      </c>
      <c r="H25" s="9" t="str">
        <f>IFERROR(__xludf.DUMMYFUNCTION("""COMPUTED_VALUE"""),"77091")</f>
        <v>77091</v>
      </c>
      <c r="I25" s="9" t="str">
        <f>IFERROR(__xludf.DUMMYFUNCTION("""COMPUTED_VALUE"""),"713-694-1619")</f>
        <v>713-694-1619</v>
      </c>
      <c r="J25" s="9" t="str">
        <f>IFERROR(__xludf.DUMMYFUNCTION("""COMPUTED_VALUE"""),"29.857681948841, -95.42211162195217")</f>
        <v>29.857681948841, -95.42211162195217</v>
      </c>
      <c r="K25" s="9" t="str">
        <f>IFERROR(__xludf.DUMMYFUNCTION("""COMPUTED_VALUE"""),"{""regular"":[{""days"":[""Mo"",""Tu"",""We"",""Th""],""open"":""08:00"",""close"":""17:00""}]}")</f>
        <v>{"regular":[{"days":["Mo","Tu","We","Th"],"open":"08:00","close":"17:00"}]}</v>
      </c>
      <c r="L25" s="9"/>
      <c r="M25" s="10">
        <f>IFERROR(__xludf.DUMMYFUNCTION("""COMPUTED_VALUE"""),44.0)</f>
        <v>44</v>
      </c>
      <c r="N25" s="10" t="str">
        <f>IFERROR(__xludf.DUMMYFUNCTION("""COMPUTED_VALUE"""),"Mother &amp; Child")</f>
        <v>Mother &amp; Child</v>
      </c>
      <c r="O25" s="10">
        <f>IFERROR(__xludf.DUMMYFUNCTION("""COMPUTED_VALUE"""),1.0)</f>
        <v>1</v>
      </c>
      <c r="P25" s="10" t="str">
        <f>IFERROR(__xludf.DUMMYFUNCTION("""COMPUTED_VALUE"""),"ACTIVE")</f>
        <v>ACTIVE</v>
      </c>
      <c r="Q25" s="11">
        <f>IFERROR(__xludf.DUMMYFUNCTION("""COMPUTED_VALUE"""),46057.0)</f>
        <v>46057</v>
      </c>
      <c r="R25" s="9" t="str">
        <f>IFERROR(__xludf.DUMMYFUNCTION("""COMPUTED_VALUE"""),"Verified online")</f>
        <v>Verified online</v>
      </c>
      <c r="S25" s="9" t="str">
        <f>IFERROR(__xludf.DUMMYFUNCTION("""COMPUTED_VALUE"""),"Head Start
For children upto 5 years old")</f>
        <v>Head Start
For children upto 5 years old</v>
      </c>
      <c r="T25" s="12" t="b">
        <f>IFERROR(__xludf.DUMMYFUNCTION("""COMPUTED_VALUE"""),TRUE)</f>
        <v>1</v>
      </c>
      <c r="U25" s="12" t="b">
        <f>IFERROR(__xludf.DUMMYFUNCTION("""COMPUTED_VALUE"""),FALSE)</f>
        <v>0</v>
      </c>
      <c r="V25" s="13" t="str">
        <f>IFERROR(__xludf.DUMMYFUNCTION("""COMPUTED_VALUE"""),"https://www.houstonhealth.org/services/multi-service-centers/acres-homes-multi-service-center")</f>
        <v>https://www.houstonhealth.org/services/multi-service-centers/acres-homes-multi-service-center</v>
      </c>
      <c r="W25" s="14" t="str">
        <f>IFERROR(__xludf.DUMMYFUNCTION("""COMPUTED_VALUE"""),"https://www.google.com/maps/place/Acres+Homes+Multi-Service+Center/@29.8574912,-95.4247509,17z/data=!3m1!4b1!4m6!3m5!1s0x8640c7d963488d53:0x6044d3466dc08305!8m2!3d29.8574866!4d-95.422176!16s%2Fg%2F11g7z0pwk3?entry=ttu&amp;g_ep=EgoyMDI2MDIwMS4wIKXMDSoKLDEwMDc5"&amp;"MjA2OUgBUAM%3D")</f>
        <v>https://www.google.com/maps/place/Acres+Homes+Multi-Service+Center/@29.8574912,-95.4247509,17z/data=!3m1!4b1!4m6!3m5!1s0x8640c7d963488d53:0x6044d3466dc08305!8m2!3d29.8574866!4d-95.422176!16s%2Fg%2F11g7z0pwk3?entry=ttu&amp;g_ep=EgoyMDI2MDIwMS4wIKXMDSoKLDEwMDc5MjA2OUgBUAM%3D</v>
      </c>
      <c r="X25" s="10"/>
      <c r="Y25" s="9" t="str">
        <f>IFERROR(__xludf.DUMMYFUNCTION("""COMPUTED_VALUE"""),"Harris")</f>
        <v>Harris</v>
      </c>
      <c r="Z25" s="9" t="str">
        <f>IFERROR(__xludf.DUMMYFUNCTION("""COMPUTED_VALUE"""),"Acres Home, Garden Oaks North, Northside / Northline")</f>
        <v>Acres Home, Garden Oaks North, Northside / Northline</v>
      </c>
      <c r="AA25" s="9" t="str">
        <f>IFERROR(__xludf.DUMMYFUNCTION("""COMPUTED_VALUE"""),"City of Houston")</f>
        <v>City of Houston</v>
      </c>
      <c r="AB25" s="9" t="str">
        <f>IFERROR(__xludf.DUMMYFUNCTION("""COMPUTED_VALUE"""),"Northside / Northline")</f>
        <v>Northside / Northline</v>
      </c>
    </row>
    <row r="26" ht="30.0" customHeight="1">
      <c r="A26" s="17">
        <v>25.0</v>
      </c>
      <c r="B26" s="8" t="str">
        <f>IFERROR(__xludf.DUMMYFUNCTION("""COMPUTED_VALUE"""),"[""99999""]")</f>
        <v>["99999"]</v>
      </c>
      <c r="C26" s="9" t="str">
        <f>IFERROR(__xludf.DUMMYFUNCTION("""COMPUTED_VALUE"""),"Adult &amp; Teen Challenge")</f>
        <v>Adult &amp; Teen Challenge</v>
      </c>
      <c r="D26" s="9" t="str">
        <f>IFERROR(__xludf.DUMMYFUNCTION("""COMPUTED_VALUE"""),"30310 Misty Meadow Drive")</f>
        <v>30310 Misty Meadow Drive</v>
      </c>
      <c r="E26" s="9"/>
      <c r="F26" s="10" t="str">
        <f>IFERROR(__xludf.DUMMYFUNCTION("""COMPUTED_VALUE"""),"Magnolia")</f>
        <v>Magnolia</v>
      </c>
      <c r="G26" s="9" t="str">
        <f>IFERROR(__xludf.DUMMYFUNCTION("""COMPUTED_VALUE"""),"TX")</f>
        <v>TX</v>
      </c>
      <c r="H26" s="9" t="str">
        <f>IFERROR(__xludf.DUMMYFUNCTION("""COMPUTED_VALUE"""),"77355")</f>
        <v>77355</v>
      </c>
      <c r="I26" s="9" t="str">
        <f>IFERROR(__xludf.DUMMYFUNCTION("""COMPUTED_VALUE"""),"281-259-5600")</f>
        <v>281-259-5600</v>
      </c>
      <c r="J26" s="9" t="str">
        <f>IFERROR(__xludf.DUMMYFUNCTION("""COMPUTED_VALUE"""),"30.1844886166487, -95.7100498405959")</f>
        <v>30.1844886166487, -95.7100498405959</v>
      </c>
      <c r="K26" s="9" t="str">
        <f>IFERROR(__xludf.DUMMYFUNCTION("""COMPUTED_VALUE"""),"{""regular"":[{""days"":[""Mo"",""Tu"",""We"",""Th"",""Fr"",""Sa""],""open"":null,""close"":null}]}")</f>
        <v>{"regular":[{"days":["Mo","Tu","We","Th","Fr","Sa"],"open":null,"close":null}]}</v>
      </c>
      <c r="L26" s="9"/>
      <c r="M26" s="10">
        <f>IFERROR(__xludf.DUMMYFUNCTION("""COMPUTED_VALUE"""),34.0)</f>
        <v>34</v>
      </c>
      <c r="N26" s="10" t="str">
        <f>IFERROR(__xludf.DUMMYFUNCTION("""COMPUTED_VALUE"""),"Medical - Addiction Recovery")</f>
        <v>Medical - Addiction Recovery</v>
      </c>
      <c r="O26" s="10">
        <f>IFERROR(__xludf.DUMMYFUNCTION("""COMPUTED_VALUE"""),1.0)</f>
        <v>1</v>
      </c>
      <c r="P26" s="10" t="str">
        <f>IFERROR(__xludf.DUMMYFUNCTION("""COMPUTED_VALUE"""),"ACTIVE")</f>
        <v>ACTIVE</v>
      </c>
      <c r="Q26" s="11">
        <f>IFERROR(__xludf.DUMMYFUNCTION("""COMPUTED_VALUE"""),45765.0)</f>
        <v>45765</v>
      </c>
      <c r="R26" s="9"/>
      <c r="S26" s="9" t="str">
        <f>IFERROR(__xludf.DUMMYFUNCTION("""COMPUTED_VALUE"""),"Residential recovery program for adults and teens.
Committed to working for a full year.
Not free, limited cost.")</f>
        <v>Residential recovery program for adults and teens.
Committed to working for a full year.
Not free, limited cost.</v>
      </c>
      <c r="T26" s="12" t="b">
        <f>IFERROR(__xludf.DUMMYFUNCTION("""COMPUTED_VALUE"""),FALSE)</f>
        <v>0</v>
      </c>
      <c r="U26" s="12" t="b">
        <f>IFERROR(__xludf.DUMMYFUNCTION("""COMPUTED_VALUE"""),FALSE)</f>
        <v>0</v>
      </c>
      <c r="V26" s="13" t="str">
        <f>IFERROR(__xludf.DUMMYFUNCTION("""COMPUTED_VALUE"""),"https://houstonmensrehab.com/")</f>
        <v>https://houstonmensrehab.com/</v>
      </c>
      <c r="W26" s="14" t="str">
        <f>IFERROR(__xludf.DUMMYFUNCTION("""COMPUTED_VALUE"""),"https://www.google.com/maps/place/Adult+%26+Teen+Challenge+Houston+Men's/@30.1843018,-95.7124219,17z/data=!3m1!4b1!4m6!3m5!1s0x86472837f10aa7eb:0x7533c718c1171d3b!8m2!3d30.1842972!4d-95.7098416!16s%2Fg%2F1tczf8yf?entry=ttu&amp;g_ep=EgoyMDI1MDQxNi4xIKXMDSoASAF"&amp;"QAw%3D%3D")</f>
        <v>https://www.google.com/maps/place/Adult+%26+Teen+Challenge+Houston+Men's/@30.1843018,-95.7124219,17z/data=!3m1!4b1!4m6!3m5!1s0x86472837f10aa7eb:0x7533c718c1171d3b!8m2!3d30.1842972!4d-95.7098416!16s%2Fg%2F1tczf8yf?entry=ttu&amp;g_ep=EgoyMDI1MDQxNi4xIKXMDSoASAFQAw%3D%3D</v>
      </c>
      <c r="X26" s="10"/>
      <c r="Y26" s="9" t="str">
        <f>IFERROR(__xludf.DUMMYFUNCTION("""COMPUTED_VALUE"""),"Magnolia")</f>
        <v>Magnolia</v>
      </c>
      <c r="Z26" s="9" t="str">
        <f>IFERROR(__xludf.DUMMYFUNCTION("""COMPUTED_VALUE"""),"Magnolia")</f>
        <v>Magnolia</v>
      </c>
      <c r="AA26" s="9" t="str">
        <f>IFERROR(__xludf.DUMMYFUNCTION("""COMPUTED_VALUE"""),"Adult &amp; Teen Challenge")</f>
        <v>Adult &amp; Teen Challenge</v>
      </c>
      <c r="AB26" s="9" t="str">
        <f>IFERROR(__xludf.DUMMYFUNCTION("""COMPUTED_VALUE"""),"Magnolia")</f>
        <v>Magnolia</v>
      </c>
    </row>
    <row r="27" ht="30.0" customHeight="1">
      <c r="A27" s="17">
        <v>26.0</v>
      </c>
      <c r="B2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27" s="9" t="str">
        <f>IFERROR(__xludf.DUMMYFUNCTION("""COMPUTED_VALUE"""),"Aid to Victims of Domestic Abuse (AVDA)")</f>
        <v>Aid to Victims of Domestic Abuse (AVDA)</v>
      </c>
      <c r="D27" s="9" t="str">
        <f>IFERROR(__xludf.DUMMYFUNCTION("""COMPUTED_VALUE"""),"1001 Texas Avenue")</f>
        <v>1001 Texas Avenue</v>
      </c>
      <c r="E27" s="9" t="str">
        <f>IFERROR(__xludf.DUMMYFUNCTION("""COMPUTED_VALUE"""),"Suite 600")</f>
        <v>Suite 600</v>
      </c>
      <c r="F27" s="9" t="str">
        <f>IFERROR(__xludf.DUMMYFUNCTION("""COMPUTED_VALUE"""),"Houston")</f>
        <v>Houston</v>
      </c>
      <c r="G27" s="9" t="str">
        <f>IFERROR(__xludf.DUMMYFUNCTION("""COMPUTED_VALUE"""),"TX")</f>
        <v>TX</v>
      </c>
      <c r="H27" s="9" t="str">
        <f>IFERROR(__xludf.DUMMYFUNCTION("""COMPUTED_VALUE"""),"77002")</f>
        <v>77002</v>
      </c>
      <c r="I27" s="9" t="str">
        <f>IFERROR(__xludf.DUMMYFUNCTION("""COMPUTED_VALUE"""),"713-224-9911")</f>
        <v>713-224-9911</v>
      </c>
      <c r="J27" s="9" t="str">
        <f>IFERROR(__xludf.DUMMYFUNCTION("""COMPUTED_VALUE"""),"29.75987665, -95.3617820466487")</f>
        <v>29.75987665, -95.3617820466487</v>
      </c>
      <c r="K27" s="9" t="str">
        <f>IFERROR(__xludf.DUMMYFUNCTION("""COMPUTED_VALUE"""),"{""regular"":[{""days"":[""Mo"",""Tu"",""We"",""Th"",""Fr""],""open"":""08:00"",""close"":""17:00""}]}")</f>
        <v>{"regular":[{"days":["Mo","Tu","We","Th","Fr"],"open":"08:00","close":"17:00"}]}</v>
      </c>
      <c r="L27" s="9"/>
      <c r="M27" s="10">
        <f>IFERROR(__xludf.DUMMYFUNCTION("""COMPUTED_VALUE"""),42.0)</f>
        <v>42</v>
      </c>
      <c r="N27" s="10" t="str">
        <f>IFERROR(__xludf.DUMMYFUNCTION("""COMPUTED_VALUE"""),"Domestic Abuse - Other")</f>
        <v>Domestic Abuse - Other</v>
      </c>
      <c r="O27" s="10">
        <f>IFERROR(__xludf.DUMMYFUNCTION("""COMPUTED_VALUE"""),1.0)</f>
        <v>1</v>
      </c>
      <c r="P27" s="10" t="str">
        <f>IFERROR(__xludf.DUMMYFUNCTION("""COMPUTED_VALUE"""),"ACTIVE")</f>
        <v>ACTIVE</v>
      </c>
      <c r="Q27" s="11">
        <f>IFERROR(__xludf.DUMMYFUNCTION("""COMPUTED_VALUE"""),46040.0)</f>
        <v>46040</v>
      </c>
      <c r="R27" s="9" t="str">
        <f>IFERROR(__xludf.DUMMYFUNCTION("""COMPUTED_VALUE"""),"Verified online")</f>
        <v>Verified online</v>
      </c>
      <c r="S27" s="9" t="str">
        <f>IFERROR(__xludf.DUMMYFUNCTION("""COMPUTED_VALUE"""),"Fee based Battering Intervention and Prevention Program (BIPP) provides tools to end physical, verbal or emotional abuse.  These are weekly sessions  available in both English and Spanish.
Free counseling services for adult survivors and children (3 years"&amp;" and older) of abusive relationships.  Available in English and Spanish")</f>
        <v>Fee based Battering Intervention and Prevention Program (BIPP) provides tools to end physical, verbal or emotional abuse.  These are weekly sessions  available in both English and Spanish.
Free counseling services for adult survivors and children (3 years and older) of abusive relationships.  Available in English and Spanish</v>
      </c>
      <c r="T27" s="12" t="b">
        <f>IFERROR(__xludf.DUMMYFUNCTION("""COMPUTED_VALUE"""),FALSE)</f>
        <v>0</v>
      </c>
      <c r="U27" s="12" t="b">
        <f>IFERROR(__xludf.DUMMYFUNCTION("""COMPUTED_VALUE"""),FALSE)</f>
        <v>0</v>
      </c>
      <c r="V27" s="13" t="str">
        <f>IFERROR(__xludf.DUMMYFUNCTION("""COMPUTED_VALUE"""),"https://avda.org/")</f>
        <v>https://avda.org/</v>
      </c>
      <c r="W27" s="14" t="str">
        <f>IFERROR(__xludf.DUMMYFUNCTION("""COMPUTED_VALUE"""),"https://www.google.com/maps/place/AVDA+(Aid+to+Victims+of+Domestic+Abuse)/@29.7600419,-95.3669883,17z/data=!3m2!4b1!5s0x8640c6aa65c8eea5:0x1dd626e1f5b80a6!4m6!3m5!1s0x8640bf13bd360545:0x6f740c2de58717e4!8m2!3d29.760042!4d-95.362112!16s%2Fg%2F1tdww1xs?entr"&amp;"y=ttu&amp;g_ep=EgoyMDI2MDExMy4wIKXMDSoKLDEwMDc5MjA2OUgBUAM%3D")</f>
        <v>https://www.google.com/maps/place/AVDA+(Aid+to+Victims+of+Domestic+Abuse)/@29.7600419,-95.3669883,17z/data=!3m2!4b1!5s0x8640c6aa65c8eea5:0x1dd626e1f5b80a6!4m6!3m5!1s0x8640bf13bd360545:0x6f740c2de58717e4!8m2!3d29.760042!4d-95.362112!16s%2Fg%2F1tdww1xs?entry=ttu&amp;g_ep=EgoyMDI2MDExMy4wIKXMDSoKLDEwMDc5MjA2OUgBUAM%3D</v>
      </c>
      <c r="X27" s="10"/>
      <c r="Y27" s="9" t="str">
        <f>IFERROR(__xludf.DUMMYFUNCTION("""COMPUTED_VALUE"""),"Houston")</f>
        <v>Houston</v>
      </c>
      <c r="Z27"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27" s="9" t="str">
        <f>IFERROR(__xludf.DUMMYFUNCTION("""COMPUTED_VALUE"""),"Aid to Victims of Domestic Abuse (AVDA)")</f>
        <v>Aid to Victims of Domestic Abuse (AVDA)</v>
      </c>
      <c r="AB27" s="9" t="str">
        <f>IFERROR(__xludf.DUMMYFUNCTION("""COMPUTED_VALUE"""),"Downtown Houston")</f>
        <v>Downtown Houston</v>
      </c>
    </row>
    <row r="28" ht="30.0" customHeight="1">
      <c r="A28" s="17">
        <v>27.0</v>
      </c>
      <c r="B28"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28" s="9" t="str">
        <f>IFERROR(__xludf.DUMMYFUNCTION("""COMPUTED_VALUE"""),"Aid to Victims of Domestic Abuse (AVDA)")</f>
        <v>Aid to Victims of Domestic Abuse (AVDA)</v>
      </c>
      <c r="D28" s="9" t="str">
        <f>IFERROR(__xludf.DUMMYFUNCTION("""COMPUTED_VALUE"""),"12300 Parc Crest Drive")</f>
        <v>12300 Parc Crest Drive</v>
      </c>
      <c r="E28" s="9" t="str">
        <f>IFERROR(__xludf.DUMMYFUNCTION("""COMPUTED_VALUE"""),"Suite 140")</f>
        <v>Suite 140</v>
      </c>
      <c r="F28" s="9" t="str">
        <f>IFERROR(__xludf.DUMMYFUNCTION("""COMPUTED_VALUE"""),"Stafford")</f>
        <v>Stafford</v>
      </c>
      <c r="G28" s="9" t="str">
        <f>IFERROR(__xludf.DUMMYFUNCTION("""COMPUTED_VALUE"""),"TX")</f>
        <v>TX</v>
      </c>
      <c r="H28" s="9" t="str">
        <f>IFERROR(__xludf.DUMMYFUNCTION("""COMPUTED_VALUE"""),"77477")</f>
        <v>77477</v>
      </c>
      <c r="I28" s="9" t="str">
        <f>IFERROR(__xludf.DUMMYFUNCTION("""COMPUTED_VALUE"""),"281-207-2312")</f>
        <v>281-207-2312</v>
      </c>
      <c r="J28" s="9" t="str">
        <f>IFERROR(__xludf.DUMMYFUNCTION("""COMPUTED_VALUE"""),"29.64299514221335, -95.5686900498753")</f>
        <v>29.64299514221335, -95.5686900498753</v>
      </c>
      <c r="K28" s="9" t="str">
        <f>IFERROR(__xludf.DUMMYFUNCTION("""COMPUTED_VALUE"""),"{""regular"":[{""days"":[""Mo"",""Tu"",""We"",""Th"",""Fr""],""open"":""08:00"",""close"":""17:00""}]}")</f>
        <v>{"regular":[{"days":["Mo","Tu","We","Th","Fr"],"open":"08:00","close":"17:00"}]}</v>
      </c>
      <c r="L28" s="9"/>
      <c r="M28" s="10">
        <f>IFERROR(__xludf.DUMMYFUNCTION("""COMPUTED_VALUE"""),42.0)</f>
        <v>42</v>
      </c>
      <c r="N28" s="10" t="str">
        <f>IFERROR(__xludf.DUMMYFUNCTION("""COMPUTED_VALUE"""),"Domestic Abuse - Other")</f>
        <v>Domestic Abuse - Other</v>
      </c>
      <c r="O28" s="10">
        <f>IFERROR(__xludf.DUMMYFUNCTION("""COMPUTED_VALUE"""),1.0)</f>
        <v>1</v>
      </c>
      <c r="P28" s="10" t="str">
        <f>IFERROR(__xludf.DUMMYFUNCTION("""COMPUTED_VALUE"""),"ACTIVE")</f>
        <v>ACTIVE</v>
      </c>
      <c r="Q28" s="11">
        <f>IFERROR(__xludf.DUMMYFUNCTION("""COMPUTED_VALUE"""),46040.0)</f>
        <v>46040</v>
      </c>
      <c r="R28" s="9" t="str">
        <f>IFERROR(__xludf.DUMMYFUNCTION("""COMPUTED_VALUE"""),"Verified online")</f>
        <v>Verified online</v>
      </c>
      <c r="S28" s="9" t="str">
        <f>IFERROR(__xludf.DUMMYFUNCTION("""COMPUTED_VALUE"""),"Fee based Battering Intervention and Prevention Program (BIPP) provides tools to end physical, verbal or emotional abuse.  These are weekly sessions  available in both English and Spanish.
Free counseling services for adult survivors and children (3 years"&amp;" and older) of abusive relationships.  Available in English and Spanish")</f>
        <v>Fee based Battering Intervention and Prevention Program (BIPP) provides tools to end physical, verbal or emotional abuse.  These are weekly sessions  available in both English and Spanish.
Free counseling services for adult survivors and children (3 years and older) of abusive relationships.  Available in English and Spanish</v>
      </c>
      <c r="T28" s="12" t="b">
        <f>IFERROR(__xludf.DUMMYFUNCTION("""COMPUTED_VALUE"""),FALSE)</f>
        <v>0</v>
      </c>
      <c r="U28" s="12" t="b">
        <f>IFERROR(__xludf.DUMMYFUNCTION("""COMPUTED_VALUE"""),FALSE)</f>
        <v>0</v>
      </c>
      <c r="V28" s="13" t="str">
        <f>IFERROR(__xludf.DUMMYFUNCTION("""COMPUTED_VALUE"""),"https://avda.org/")</f>
        <v>https://avda.org/</v>
      </c>
      <c r="W28" s="14" t="str">
        <f>IFERROR(__xludf.DUMMYFUNCTION("""COMPUTED_VALUE"""),"https://www.google.com/maps/place/12300+Parc+Crest+Dr,+Stafford,+TX+77477/@29.6427714,-95.571324,17z/data=!3m1!4b1!4m6!3m5!1s0x8640e7db8e5876c1:0xe77e74e1dbfaf7a8!8m2!3d29.6427714!4d-95.5687437!16s%2Fg%2F11bw4ptrpn?entry=ttu&amp;g_ep=EgoyMDI2MDExMy4wIKXMDSoKL"&amp;"DEwMDc5MjA2OUgBUAM%3D")</f>
        <v>https://www.google.com/maps/place/12300+Parc+Crest+Dr,+Stafford,+TX+77477/@29.6427714,-95.571324,17z/data=!3m1!4b1!4m6!3m5!1s0x8640e7db8e5876c1:0xe77e74e1dbfaf7a8!8m2!3d29.6427714!4d-95.5687437!16s%2Fg%2F11bw4ptrpn?entry=ttu&amp;g_ep=EgoyMDI2MDExMy4wIKXMDSoKLDEwMDc5MjA2OUgBUAM%3D</v>
      </c>
      <c r="X28" s="10"/>
      <c r="Y28" s="9" t="str">
        <f>IFERROR(__xludf.DUMMYFUNCTION("""COMPUTED_VALUE"""),"Stafford")</f>
        <v>Stafford</v>
      </c>
      <c r="Z28" s="9" t="str">
        <f>IFERROR(__xludf.DUMMYFUNCTION("""COMPUTED_VALUE"""),"Clark Plaza One, Corporate Bus Park, Greenbriar Southwest, Stafford, The Fountains")</f>
        <v>Clark Plaza One, Corporate Bus Park, Greenbriar Southwest, Stafford, The Fountains</v>
      </c>
      <c r="AA28" s="9" t="str">
        <f>IFERROR(__xludf.DUMMYFUNCTION("""COMPUTED_VALUE"""),"Aid to Victims of Domestic Abuse (AVDA)")</f>
        <v>Aid to Victims of Domestic Abuse (AVDA)</v>
      </c>
      <c r="AB28" s="9" t="str">
        <f>IFERROR(__xludf.DUMMYFUNCTION("""COMPUTED_VALUE"""),"Stafford")</f>
        <v>Stafford</v>
      </c>
    </row>
    <row r="29" ht="30.0" customHeight="1">
      <c r="A29" s="17">
        <v>28.0</v>
      </c>
      <c r="B29" s="8" t="str">
        <f>IFERROR(__xludf.DUMMYFUNCTION("""COMPUTED_VALUE"""),"[""77363"", ""77418"", ""77423"", ""77426"", ""77445"", ""77446"", ""77452"", ""77466"", ""77474"", ""77484"", ""77492"", ""77833"", ""77835"", ""77868"", ""77880"", ""78932"", ""78946""]")</f>
        <v>["77363", "77418", "77423", "77426", "77445", "77446", "77452", "77466", "77474", "77484", "77492", "77833", "77835", "77868", "77880", "78932", "78946"]</v>
      </c>
      <c r="C29" s="9" t="str">
        <f>IFERROR(__xludf.DUMMYFUNCTION("""COMPUTED_VALUE"""),"Aid to Victims of Domestic Abuse (AVDA)")</f>
        <v>Aid to Victims of Domestic Abuse (AVDA)</v>
      </c>
      <c r="D29" s="9" t="str">
        <f>IFERROR(__xludf.DUMMYFUNCTION("""COMPUTED_VALUE"""),"910 Ninth Street")</f>
        <v>910 Ninth Street</v>
      </c>
      <c r="E29" s="9"/>
      <c r="F29" s="9" t="str">
        <f>IFERROR(__xludf.DUMMYFUNCTION("""COMPUTED_VALUE"""),"Hempstead")</f>
        <v>Hempstead</v>
      </c>
      <c r="G29" s="9" t="str">
        <f>IFERROR(__xludf.DUMMYFUNCTION("""COMPUTED_VALUE"""),"TX")</f>
        <v>TX</v>
      </c>
      <c r="H29" s="9" t="str">
        <f>IFERROR(__xludf.DUMMYFUNCTION("""COMPUTED_VALUE"""),"77445")</f>
        <v>77445</v>
      </c>
      <c r="I29" s="9" t="str">
        <f>IFERROR(__xludf.DUMMYFUNCTION("""COMPUTED_VALUE"""),"979-826-3290")</f>
        <v>979-826-3290</v>
      </c>
      <c r="J29" s="9" t="str">
        <f>IFERROR(__xludf.DUMMYFUNCTION("""COMPUTED_VALUE"""),"30.09638046314288, -96.0769752947155")</f>
        <v>30.09638046314288, -96.0769752947155</v>
      </c>
      <c r="K29" s="9" t="str">
        <f>IFERROR(__xludf.DUMMYFUNCTION("""COMPUTED_VALUE"""),"{""regular"":[{""days"":[""Mo"",""Tu"",""We"",""Th"",""Fr""],""open"":""08:00"",""close"":""17:00""}]}")</f>
        <v>{"regular":[{"days":["Mo","Tu","We","Th","Fr"],"open":"08:00","close":"17:00"}]}</v>
      </c>
      <c r="L29" s="9"/>
      <c r="M29" s="10">
        <f>IFERROR(__xludf.DUMMYFUNCTION("""COMPUTED_VALUE"""),42.0)</f>
        <v>42</v>
      </c>
      <c r="N29" s="10" t="str">
        <f>IFERROR(__xludf.DUMMYFUNCTION("""COMPUTED_VALUE"""),"Domestic Abuse - Other")</f>
        <v>Domestic Abuse - Other</v>
      </c>
      <c r="O29" s="10">
        <f>IFERROR(__xludf.DUMMYFUNCTION("""COMPUTED_VALUE"""),1.0)</f>
        <v>1</v>
      </c>
      <c r="P29" s="10" t="str">
        <f>IFERROR(__xludf.DUMMYFUNCTION("""COMPUTED_VALUE"""),"ACTIVE")</f>
        <v>ACTIVE</v>
      </c>
      <c r="Q29" s="11">
        <f>IFERROR(__xludf.DUMMYFUNCTION("""COMPUTED_VALUE"""),46040.0)</f>
        <v>46040</v>
      </c>
      <c r="R29" s="9" t="str">
        <f>IFERROR(__xludf.DUMMYFUNCTION("""COMPUTED_VALUE"""),"Verified online")</f>
        <v>Verified online</v>
      </c>
      <c r="S29" s="9" t="str">
        <f>IFERROR(__xludf.DUMMYFUNCTION("""COMPUTED_VALUE"""),"Fee based Battering Intervention and Prevention Program (BIPP) provides tools to end physical, verbal or emotional abuse.  These are weekly sessions  available in both English and Spanish.
Free counseling services for adult survivors and children (3 years"&amp;" and older) of abusive relationships.  Available in English and Spanish")</f>
        <v>Fee based Battering Intervention and Prevention Program (BIPP) provides tools to end physical, verbal or emotional abuse.  These are weekly sessions  available in both English and Spanish.
Free counseling services for adult survivors and children (3 years and older) of abusive relationships.  Available in English and Spanish</v>
      </c>
      <c r="T29" s="12" t="b">
        <f>IFERROR(__xludf.DUMMYFUNCTION("""COMPUTED_VALUE"""),FALSE)</f>
        <v>0</v>
      </c>
      <c r="U29" s="12" t="b">
        <f>IFERROR(__xludf.DUMMYFUNCTION("""COMPUTED_VALUE"""),FALSE)</f>
        <v>0</v>
      </c>
      <c r="V29" s="13" t="str">
        <f>IFERROR(__xludf.DUMMYFUNCTION("""COMPUTED_VALUE"""),"https://avda.org/")</f>
        <v>https://avda.org/</v>
      </c>
      <c r="W29" s="14" t="str">
        <f>IFERROR(__xludf.DUMMYFUNCTION("""COMPUTED_VALUE"""),"https://www.google.com/maps/place/910+9th+St,+Hempstead,+TX+77445/@30.0961763,-96.0795556,17z/data=!3m1!4b1!4m6!3m5!1s0x8646b5f1b69d9005:0x358dea5554b4780d!8m2!3d30.0961763!4d-96.0769753!16s%2Fg%2F11c4jtyf3r?entry=ttu&amp;g_ep=EgoyMDI2MDExMy4wIKXMDSoKLDEwMDc5"&amp;"MjA2OUgBUAM%3D")</f>
        <v>https://www.google.com/maps/place/910+9th+St,+Hempstead,+TX+77445/@30.0961763,-96.0795556,17z/data=!3m1!4b1!4m6!3m5!1s0x8646b5f1b69d9005:0x358dea5554b4780d!8m2!3d30.0961763!4d-96.0769753!16s%2Fg%2F11c4jtyf3r?entry=ttu&amp;g_ep=EgoyMDI2MDExMy4wIKXMDSoKLDEwMDc5MjA2OUgBUAM%3D</v>
      </c>
      <c r="X29" s="10"/>
      <c r="Y29" s="9" t="str">
        <f>IFERROR(__xludf.DUMMYFUNCTION("""COMPUTED_VALUE"""),"Hempstead")</f>
        <v>Hempstead</v>
      </c>
      <c r="Z29" s="9" t="str">
        <f>IFERROR(__xludf.DUMMYFUNCTION("""COMPUTED_VALUE"""),"Hempstead, Northside")</f>
        <v>Hempstead, Northside</v>
      </c>
      <c r="AA29" s="9" t="str">
        <f>IFERROR(__xludf.DUMMYFUNCTION("""COMPUTED_VALUE"""),"Aid to Victims of Domestic Abuse (AVDA)")</f>
        <v>Aid to Victims of Domestic Abuse (AVDA)</v>
      </c>
      <c r="AB29" s="9" t="str">
        <f>IFERROR(__xludf.DUMMYFUNCTION("""COMPUTED_VALUE"""),"Hempstead")</f>
        <v>Hempstead</v>
      </c>
    </row>
    <row r="30" ht="30.0" customHeight="1">
      <c r="A30" s="17">
        <v>29.0</v>
      </c>
      <c r="B3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30" s="9" t="str">
        <f>IFERROR(__xludf.DUMMYFUNCTION("""COMPUTED_VALUE"""),"Aid to Victims of Domestic Abuse (AVDA)")</f>
        <v>Aid to Victims of Domestic Abuse (AVDA)</v>
      </c>
      <c r="D30" s="9" t="str">
        <f>IFERROR(__xludf.DUMMYFUNCTION("""COMPUTED_VALUE"""),"1001 Texas Avenue")</f>
        <v>1001 Texas Avenue</v>
      </c>
      <c r="E30" s="9" t="str">
        <f>IFERROR(__xludf.DUMMYFUNCTION("""COMPUTED_VALUE"""),"Suite 600")</f>
        <v>Suite 600</v>
      </c>
      <c r="F30" s="9" t="str">
        <f>IFERROR(__xludf.DUMMYFUNCTION("""COMPUTED_VALUE"""),"Houston")</f>
        <v>Houston</v>
      </c>
      <c r="G30" s="9" t="str">
        <f>IFERROR(__xludf.DUMMYFUNCTION("""COMPUTED_VALUE"""),"TX")</f>
        <v>TX</v>
      </c>
      <c r="H30" s="9" t="str">
        <f>IFERROR(__xludf.DUMMYFUNCTION("""COMPUTED_VALUE"""),"77002")</f>
        <v>77002</v>
      </c>
      <c r="I30" s="9" t="str">
        <f>IFERROR(__xludf.DUMMYFUNCTION("""COMPUTED_VALUE"""),"713-224-9911")</f>
        <v>713-224-9911</v>
      </c>
      <c r="J30" s="9" t="str">
        <f>IFERROR(__xludf.DUMMYFUNCTION("""COMPUTED_VALUE"""),"29.75987665, -95.3617820466487")</f>
        <v>29.75987665, -95.3617820466487</v>
      </c>
      <c r="K30" s="9" t="str">
        <f>IFERROR(__xludf.DUMMYFUNCTION("""COMPUTED_VALUE"""),"{""regular"":[{""days"":[""Mo"",""Tu"",""We"",""Th"",""Fr""],""open"":""08:00"",""close"":""17:00""}]}")</f>
        <v>{"regular":[{"days":["Mo","Tu","We","Th","Fr"],"open":"08:00","close":"17:00"}]}</v>
      </c>
      <c r="L30" s="9"/>
      <c r="M30" s="10">
        <f>IFERROR(__xludf.DUMMYFUNCTION("""COMPUTED_VALUE"""),54.0)</f>
        <v>54</v>
      </c>
      <c r="N30" s="10" t="str">
        <f>IFERROR(__xludf.DUMMYFUNCTION("""COMPUTED_VALUE"""),"Legal")</f>
        <v>Legal</v>
      </c>
      <c r="O30" s="10">
        <f>IFERROR(__xludf.DUMMYFUNCTION("""COMPUTED_VALUE"""),1.0)</f>
        <v>1</v>
      </c>
      <c r="P30" s="10" t="str">
        <f>IFERROR(__xludf.DUMMYFUNCTION("""COMPUTED_VALUE"""),"ACTIVE")</f>
        <v>ACTIVE</v>
      </c>
      <c r="Q30" s="11">
        <f>IFERROR(__xludf.DUMMYFUNCTION("""COMPUTED_VALUE"""),46040.0)</f>
        <v>46040</v>
      </c>
      <c r="R30" s="9" t="str">
        <f>IFERROR(__xludf.DUMMYFUNCTION("""COMPUTED_VALUE"""),"Verified online")</f>
        <v>Verified online</v>
      </c>
      <c r="S30" s="9" t="str">
        <f>IFERROR(__xludf.DUMMYFUNCTION("""COMPUTED_VALUE"""),"Free legal advice and representation for individuals who have experienced a pattern of physical, sexual or emotional abuse by partner in the past few year or has minor children who have been abused by partner.
Must have been a Texas resident for six month"&amp;"s and for the preceding three months in Austin, Grimes, Harris, Fort Bend Waller or Washington counties.
Immigration status or citizenship is not an eligibility criteria.")</f>
        <v>Free legal advice and representation for individuals who have experienced a pattern of physical, sexual or emotional abuse by partner in the past few year or has minor children who have been abused by partner.
Must have been a Texas resident for six months and for the preceding three months in Austin, Grimes, Harris, Fort Bend Waller or Washington counties.
Immigration status or citizenship is not an eligibility criteria.</v>
      </c>
      <c r="T30" s="12" t="b">
        <f>IFERROR(__xludf.DUMMYFUNCTION("""COMPUTED_VALUE"""),FALSE)</f>
        <v>0</v>
      </c>
      <c r="U30" s="12" t="b">
        <f>IFERROR(__xludf.DUMMYFUNCTION("""COMPUTED_VALUE"""),FALSE)</f>
        <v>0</v>
      </c>
      <c r="V30" s="13" t="str">
        <f>IFERROR(__xludf.DUMMYFUNCTION("""COMPUTED_VALUE"""),"https://avda.org/get-help/legal-aid/")</f>
        <v>https://avda.org/get-help/legal-aid/</v>
      </c>
      <c r="W30" s="14" t="str">
        <f>IFERROR(__xludf.DUMMYFUNCTION("""COMPUTED_VALUE"""),"https://www.google.com/maps/place/AVDA+(Aid+to+Victims+of+Domestic+Abuse)/@29.7600419,-95.3669883,17z/data=!3m2!4b1!5s0x8640c6aa65c8eea5:0x1dd626e1f5b80a6!4m6!3m5!1s0x8640bf13bd360545:0x6f740c2de58717e4!8m2!3d29.760042!4d-95.362112!16s%2Fg%2F1tdww1xs?entr"&amp;"y=ttu&amp;g_ep=EgoyMDI2MDExMy4wIKXMDSoKLDEwMDc5MjA2OUgBUAM%3D")</f>
        <v>https://www.google.com/maps/place/AVDA+(Aid+to+Victims+of+Domestic+Abuse)/@29.7600419,-95.3669883,17z/data=!3m2!4b1!5s0x8640c6aa65c8eea5:0x1dd626e1f5b80a6!4m6!3m5!1s0x8640bf13bd360545:0x6f740c2de58717e4!8m2!3d29.760042!4d-95.362112!16s%2Fg%2F1tdww1xs?entry=ttu&amp;g_ep=EgoyMDI2MDExMy4wIKXMDSoKLDEwMDc5MjA2OUgBUAM%3D</v>
      </c>
      <c r="X30" s="10"/>
      <c r="Y30" s="9" t="str">
        <f>IFERROR(__xludf.DUMMYFUNCTION("""COMPUTED_VALUE"""),"Houston")</f>
        <v>Houston</v>
      </c>
      <c r="Z30"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30" s="9" t="str">
        <f>IFERROR(__xludf.DUMMYFUNCTION("""COMPUTED_VALUE"""),"Aid to Victims of Domestic Abuse (AVDA)")</f>
        <v>Aid to Victims of Domestic Abuse (AVDA)</v>
      </c>
      <c r="AB30" s="9" t="str">
        <f>IFERROR(__xludf.DUMMYFUNCTION("""COMPUTED_VALUE"""),"Downtown Houston")</f>
        <v>Downtown Houston</v>
      </c>
    </row>
    <row r="31" ht="30.0" customHeight="1">
      <c r="A31" s="17">
        <v>30.0</v>
      </c>
      <c r="B31"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1" s="9" t="str">
        <f>IFERROR(__xludf.DUMMYFUNCTION("""COMPUTED_VALUE"""),"Aid to Victims of Domestic Abuse (AVDA)")</f>
        <v>Aid to Victims of Domestic Abuse (AVDA)</v>
      </c>
      <c r="D31" s="9" t="str">
        <f>IFERROR(__xludf.DUMMYFUNCTION("""COMPUTED_VALUE"""),"12300 Parc Crest Drive")</f>
        <v>12300 Parc Crest Drive</v>
      </c>
      <c r="E31" s="9" t="str">
        <f>IFERROR(__xludf.DUMMYFUNCTION("""COMPUTED_VALUE"""),"Suite 140")</f>
        <v>Suite 140</v>
      </c>
      <c r="F31" s="9" t="str">
        <f>IFERROR(__xludf.DUMMYFUNCTION("""COMPUTED_VALUE"""),"Stafford")</f>
        <v>Stafford</v>
      </c>
      <c r="G31" s="9" t="str">
        <f>IFERROR(__xludf.DUMMYFUNCTION("""COMPUTED_VALUE"""),"TX")</f>
        <v>TX</v>
      </c>
      <c r="H31" s="9" t="str">
        <f>IFERROR(__xludf.DUMMYFUNCTION("""COMPUTED_VALUE"""),"77477")</f>
        <v>77477</v>
      </c>
      <c r="I31" s="9" t="str">
        <f>IFERROR(__xludf.DUMMYFUNCTION("""COMPUTED_VALUE"""),"281-207-2312")</f>
        <v>281-207-2312</v>
      </c>
      <c r="J31" s="9" t="str">
        <f>IFERROR(__xludf.DUMMYFUNCTION("""COMPUTED_VALUE"""),"29.64299514221335, -95.5686900498753")</f>
        <v>29.64299514221335, -95.5686900498753</v>
      </c>
      <c r="K31" s="9" t="str">
        <f>IFERROR(__xludf.DUMMYFUNCTION("""COMPUTED_VALUE"""),"{""regular"":[{""days"":[""Mo"",""Tu"",""We"",""Th"",""Fr""],""open"":""08:00"",""close"":""17:00""}]}")</f>
        <v>{"regular":[{"days":["Mo","Tu","We","Th","Fr"],"open":"08:00","close":"17:00"}]}</v>
      </c>
      <c r="L31" s="9"/>
      <c r="M31" s="10">
        <f>IFERROR(__xludf.DUMMYFUNCTION("""COMPUTED_VALUE"""),54.0)</f>
        <v>54</v>
      </c>
      <c r="N31" s="10" t="str">
        <f>IFERROR(__xludf.DUMMYFUNCTION("""COMPUTED_VALUE"""),"Legal")</f>
        <v>Legal</v>
      </c>
      <c r="O31" s="10">
        <f>IFERROR(__xludf.DUMMYFUNCTION("""COMPUTED_VALUE"""),1.0)</f>
        <v>1</v>
      </c>
      <c r="P31" s="10" t="str">
        <f>IFERROR(__xludf.DUMMYFUNCTION("""COMPUTED_VALUE"""),"ACTIVE")</f>
        <v>ACTIVE</v>
      </c>
      <c r="Q31" s="11">
        <f>IFERROR(__xludf.DUMMYFUNCTION("""COMPUTED_VALUE"""),46040.0)</f>
        <v>46040</v>
      </c>
      <c r="R31" s="9" t="str">
        <f>IFERROR(__xludf.DUMMYFUNCTION("""COMPUTED_VALUE"""),"Verified online")</f>
        <v>Verified online</v>
      </c>
      <c r="S31" s="9" t="str">
        <f>IFERROR(__xludf.DUMMYFUNCTION("""COMPUTED_VALUE"""),"Free legal advice and representation for individuals who have experienced a pattern of physical, sexual or emotional abuse by partner in the past few year or has minor children who have been abused by partner.
Must have been a Texas resident for six month"&amp;"s and for the preceding three months in Austin, Grimes, Harris, Fort Bend Waller or Washington counties.
Immigration status or citizenship is not an eligibility criteria.")</f>
        <v>Free legal advice and representation for individuals who have experienced a pattern of physical, sexual or emotional abuse by partner in the past few year or has minor children who have been abused by partner.
Must have been a Texas resident for six months and for the preceding three months in Austin, Grimes, Harris, Fort Bend Waller or Washington counties.
Immigration status or citizenship is not an eligibility criteria.</v>
      </c>
      <c r="T31" s="12" t="b">
        <f>IFERROR(__xludf.DUMMYFUNCTION("""COMPUTED_VALUE"""),FALSE)</f>
        <v>0</v>
      </c>
      <c r="U31" s="12" t="b">
        <f>IFERROR(__xludf.DUMMYFUNCTION("""COMPUTED_VALUE"""),FALSE)</f>
        <v>0</v>
      </c>
      <c r="V31" s="13" t="str">
        <f>IFERROR(__xludf.DUMMYFUNCTION("""COMPUTED_VALUE"""),"https://avda.org/get-help/legal-aid/")</f>
        <v>https://avda.org/get-help/legal-aid/</v>
      </c>
      <c r="W31" s="14" t="str">
        <f>IFERROR(__xludf.DUMMYFUNCTION("""COMPUTED_VALUE"""),"https://www.google.com/maps/place/12300+Parc+Crest+Dr,+Stafford,+TX+77477/@29.6427714,-95.571324,17z/data=!3m1!4b1!4m6!3m5!1s0x8640e7db8e5876c1:0xe77e74e1dbfaf7a8!8m2!3d29.6427714!4d-95.5687437!16s%2Fg%2F11bw4ptrpn?entry=ttu&amp;g_ep=EgoyMDI2MDExMy4wIKXMDSoKL"&amp;"DEwMDc5MjA2OUgBUAM%3D")</f>
        <v>https://www.google.com/maps/place/12300+Parc+Crest+Dr,+Stafford,+TX+77477/@29.6427714,-95.571324,17z/data=!3m1!4b1!4m6!3m5!1s0x8640e7db8e5876c1:0xe77e74e1dbfaf7a8!8m2!3d29.6427714!4d-95.5687437!16s%2Fg%2F11bw4ptrpn?entry=ttu&amp;g_ep=EgoyMDI2MDExMy4wIKXMDSoKLDEwMDc5MjA2OUgBUAM%3D</v>
      </c>
      <c r="X31" s="10"/>
      <c r="Y31" s="9" t="str">
        <f>IFERROR(__xludf.DUMMYFUNCTION("""COMPUTED_VALUE"""),"Stafford")</f>
        <v>Stafford</v>
      </c>
      <c r="Z31" s="9" t="str">
        <f>IFERROR(__xludf.DUMMYFUNCTION("""COMPUTED_VALUE"""),"Clark Plaza One, Corporate Bus Park, Greenbriar Southwest, Stafford, The Fountains")</f>
        <v>Clark Plaza One, Corporate Bus Park, Greenbriar Southwest, Stafford, The Fountains</v>
      </c>
      <c r="AA31" s="9" t="str">
        <f>IFERROR(__xludf.DUMMYFUNCTION("""COMPUTED_VALUE"""),"Aid to Victims of Domestic Abuse (AVDA)")</f>
        <v>Aid to Victims of Domestic Abuse (AVDA)</v>
      </c>
      <c r="AB31" s="9" t="str">
        <f>IFERROR(__xludf.DUMMYFUNCTION("""COMPUTED_VALUE"""),"Stafford")</f>
        <v>Stafford</v>
      </c>
    </row>
    <row r="32" ht="30.0" customHeight="1">
      <c r="A32" s="17">
        <v>31.0</v>
      </c>
      <c r="B32" s="8" t="str">
        <f>IFERROR(__xludf.DUMMYFUNCTION("""COMPUTED_VALUE"""),"[""77363"", ""77418"", ""77423"", ""77426"", ""77445"", ""77446"", ""77452"", ""77466"", ""77474"", ""77484"", ""77492"", ""77833"", ""77835"", ""77868"", ""77880"", ""78932"", ""78946""]")</f>
        <v>["77363", "77418", "77423", "77426", "77445", "77446", "77452", "77466", "77474", "77484", "77492", "77833", "77835", "77868", "77880", "78932", "78946"]</v>
      </c>
      <c r="C32" s="9" t="str">
        <f>IFERROR(__xludf.DUMMYFUNCTION("""COMPUTED_VALUE"""),"Aid to Victims of Domestic Abuse (AVDA)")</f>
        <v>Aid to Victims of Domestic Abuse (AVDA)</v>
      </c>
      <c r="D32" s="9" t="str">
        <f>IFERROR(__xludf.DUMMYFUNCTION("""COMPUTED_VALUE"""),"910 Ninth Street")</f>
        <v>910 Ninth Street</v>
      </c>
      <c r="E32" s="9"/>
      <c r="F32" s="9" t="str">
        <f>IFERROR(__xludf.DUMMYFUNCTION("""COMPUTED_VALUE"""),"Hempstead")</f>
        <v>Hempstead</v>
      </c>
      <c r="G32" s="9" t="str">
        <f>IFERROR(__xludf.DUMMYFUNCTION("""COMPUTED_VALUE"""),"TX")</f>
        <v>TX</v>
      </c>
      <c r="H32" s="9" t="str">
        <f>IFERROR(__xludf.DUMMYFUNCTION("""COMPUTED_VALUE"""),"77445")</f>
        <v>77445</v>
      </c>
      <c r="I32" s="9" t="str">
        <f>IFERROR(__xludf.DUMMYFUNCTION("""COMPUTED_VALUE"""),"979-826-3290")</f>
        <v>979-826-3290</v>
      </c>
      <c r="J32" s="9" t="str">
        <f>IFERROR(__xludf.DUMMYFUNCTION("""COMPUTED_VALUE"""),"30.09638046314288, -96.0769752947155")</f>
        <v>30.09638046314288, -96.0769752947155</v>
      </c>
      <c r="K32" s="9" t="str">
        <f>IFERROR(__xludf.DUMMYFUNCTION("""COMPUTED_VALUE"""),"{""regular"":[{""days"":[""Mo"",""Tu"",""We"",""Th"",""Fr""],""open"":""08:00"",""close"":""17:00""}]}")</f>
        <v>{"regular":[{"days":["Mo","Tu","We","Th","Fr"],"open":"08:00","close":"17:00"}]}</v>
      </c>
      <c r="L32" s="9"/>
      <c r="M32" s="10">
        <f>IFERROR(__xludf.DUMMYFUNCTION("""COMPUTED_VALUE"""),54.0)</f>
        <v>54</v>
      </c>
      <c r="N32" s="10" t="str">
        <f>IFERROR(__xludf.DUMMYFUNCTION("""COMPUTED_VALUE"""),"Legal")</f>
        <v>Legal</v>
      </c>
      <c r="O32" s="10">
        <f>IFERROR(__xludf.DUMMYFUNCTION("""COMPUTED_VALUE"""),1.0)</f>
        <v>1</v>
      </c>
      <c r="P32" s="10" t="str">
        <f>IFERROR(__xludf.DUMMYFUNCTION("""COMPUTED_VALUE"""),"ACTIVE")</f>
        <v>ACTIVE</v>
      </c>
      <c r="Q32" s="11">
        <f>IFERROR(__xludf.DUMMYFUNCTION("""COMPUTED_VALUE"""),46040.0)</f>
        <v>46040</v>
      </c>
      <c r="R32" s="9" t="str">
        <f>IFERROR(__xludf.DUMMYFUNCTION("""COMPUTED_VALUE"""),"Verified online")</f>
        <v>Verified online</v>
      </c>
      <c r="S32" s="9" t="str">
        <f>IFERROR(__xludf.DUMMYFUNCTION("""COMPUTED_VALUE"""),"Free legal advice and representation for individuals who have experienced a pattern of physical, sexual or emotional abuse by partner in the past few year or has minor children who have been abused by partner.
Must have been a Texas resident for six month"&amp;"s and for the preceding three months in Austin, Grimes, Harris, Fort Bend Waller or Washington counties.
Immigration status or citizenship is not an eligibility criteria.")</f>
        <v>Free legal advice and representation for individuals who have experienced a pattern of physical, sexual or emotional abuse by partner in the past few year or has minor children who have been abused by partner.
Must have been a Texas resident for six months and for the preceding three months in Austin, Grimes, Harris, Fort Bend Waller or Washington counties.
Immigration status or citizenship is not an eligibility criteria.</v>
      </c>
      <c r="T32" s="12" t="b">
        <f>IFERROR(__xludf.DUMMYFUNCTION("""COMPUTED_VALUE"""),FALSE)</f>
        <v>0</v>
      </c>
      <c r="U32" s="12" t="b">
        <f>IFERROR(__xludf.DUMMYFUNCTION("""COMPUTED_VALUE"""),FALSE)</f>
        <v>0</v>
      </c>
      <c r="V32" s="13" t="str">
        <f>IFERROR(__xludf.DUMMYFUNCTION("""COMPUTED_VALUE"""),"https://avda.org/get-help/legal-aid/")</f>
        <v>https://avda.org/get-help/legal-aid/</v>
      </c>
      <c r="W32" s="14" t="str">
        <f>IFERROR(__xludf.DUMMYFUNCTION("""COMPUTED_VALUE"""),"https://www.google.com/maps/place/910+9th+St,+Hempstead,+TX+77445/@30.0961763,-96.0795556,17z/data=!3m1!4b1!4m6!3m5!1s0x8646b5f1b69d9005:0x358dea5554b4780d!8m2!3d30.0961763!4d-96.0769753!16s%2Fg%2F11c4jtyf3r?entry=ttu&amp;g_ep=EgoyMDI2MDExMy4wIKXMDSoKLDEwMDc5"&amp;"MjA2OUgBUAM%3D")</f>
        <v>https://www.google.com/maps/place/910+9th+St,+Hempstead,+TX+77445/@30.0961763,-96.0795556,17z/data=!3m1!4b1!4m6!3m5!1s0x8646b5f1b69d9005:0x358dea5554b4780d!8m2!3d30.0961763!4d-96.0769753!16s%2Fg%2F11c4jtyf3r?entry=ttu&amp;g_ep=EgoyMDI2MDExMy4wIKXMDSoKLDEwMDc5MjA2OUgBUAM%3D</v>
      </c>
      <c r="X32" s="10"/>
      <c r="Y32" s="9" t="str">
        <f>IFERROR(__xludf.DUMMYFUNCTION("""COMPUTED_VALUE"""),"Hempstead")</f>
        <v>Hempstead</v>
      </c>
      <c r="Z32" s="9" t="str">
        <f>IFERROR(__xludf.DUMMYFUNCTION("""COMPUTED_VALUE"""),"Hempstead, Northside")</f>
        <v>Hempstead, Northside</v>
      </c>
      <c r="AA32" s="9" t="str">
        <f>IFERROR(__xludf.DUMMYFUNCTION("""COMPUTED_VALUE"""),"Aid to Victims of Domestic Abuse (AVDA)")</f>
        <v>Aid to Victims of Domestic Abuse (AVDA)</v>
      </c>
      <c r="AB32" s="9" t="str">
        <f>IFERROR(__xludf.DUMMYFUNCTION("""COMPUTED_VALUE"""),"Hempstead")</f>
        <v>Hempstead</v>
      </c>
    </row>
    <row r="33" ht="30.0" customHeight="1">
      <c r="A33" s="17">
        <v>32.0</v>
      </c>
      <c r="B33" s="8" t="str">
        <f>IFERROR(__xludf.DUMMYFUNCTION("""COMPUTED_VALUE"""),"[""99999""]")</f>
        <v>["99999"]</v>
      </c>
      <c r="C33" s="9" t="str">
        <f>IFERROR(__xludf.DUMMYFUNCTION("""COMPUTED_VALUE"""),"Airline Children &amp; Women's Center")</f>
        <v>Airline Children &amp; Women's Center</v>
      </c>
      <c r="D33" s="9" t="str">
        <f>IFERROR(__xludf.DUMMYFUNCTION("""COMPUTED_VALUE"""),"5808 Airline Drive")</f>
        <v>5808 Airline Drive</v>
      </c>
      <c r="E33" s="9"/>
      <c r="F33" s="9" t="str">
        <f>IFERROR(__xludf.DUMMYFUNCTION("""COMPUTED_VALUE"""),"Houston")</f>
        <v>Houston</v>
      </c>
      <c r="G33" s="9" t="str">
        <f>IFERROR(__xludf.DUMMYFUNCTION("""COMPUTED_VALUE"""),"TX")</f>
        <v>TX</v>
      </c>
      <c r="H33" s="9" t="str">
        <f>IFERROR(__xludf.DUMMYFUNCTION("""COMPUTED_VALUE"""),"77076")</f>
        <v>77076</v>
      </c>
      <c r="I33" s="9" t="str">
        <f>IFERROR(__xludf.DUMMYFUNCTION("""COMPUTED_VALUE"""),"713-695-4013")</f>
        <v>713-695-4013</v>
      </c>
      <c r="J33" s="9" t="str">
        <f>IFERROR(__xludf.DUMMYFUNCTION("""COMPUTED_VALUE"""),"29.7803014, -95.3098685")</f>
        <v>29.7803014, -95.3098685</v>
      </c>
      <c r="K33" s="9" t="str">
        <f>IFERROR(__xludf.DUMMYFUNCTION("""COMPUTED_VALUE"""),"{""regular"":[{""days"":[""Mo"",""Tu"",""We"",""Th""],""open"":""07:30"",""close"":""20:00""},{""days"":[""Fr""],""open"":""07:30"",""close"":""17:00""}]}")</f>
        <v>{"regular":[{"days":["Mo","Tu","We","Th"],"open":"07:30","close":"20:00"},{"days":["Fr"],"open":"07:30","close":"17:00"}]}</v>
      </c>
      <c r="L33" s="9" t="str">
        <f>IFERROR(__xludf.DUMMYFUNCTION("""COMPUTED_VALUE"""),"Appointment required")</f>
        <v>Appointment required</v>
      </c>
      <c r="M33" s="10">
        <f>IFERROR(__xludf.DUMMYFUNCTION("""COMPUTED_VALUE"""),31.0)</f>
        <v>31</v>
      </c>
      <c r="N33" s="10" t="str">
        <f>IFERROR(__xludf.DUMMYFUNCTION("""COMPUTED_VALUE"""),"Medical - Primary Care")</f>
        <v>Medical - Primary Care</v>
      </c>
      <c r="O33" s="10">
        <f>IFERROR(__xludf.DUMMYFUNCTION("""COMPUTED_VALUE"""),1.0)</f>
        <v>1</v>
      </c>
      <c r="P33" s="10" t="str">
        <f>IFERROR(__xludf.DUMMYFUNCTION("""COMPUTED_VALUE"""),"ACTIVE")</f>
        <v>ACTIVE</v>
      </c>
      <c r="Q33" s="11">
        <f>IFERROR(__xludf.DUMMYFUNCTION("""COMPUTED_VALUE"""),46049.0)</f>
        <v>46049</v>
      </c>
      <c r="R33" s="9" t="str">
        <f>IFERROR(__xludf.DUMMYFUNCTION("""COMPUTED_VALUE"""),"Verified online")</f>
        <v>Verified online</v>
      </c>
      <c r="S33" s="9" t="str">
        <f>IFERROR(__xludf.DUMMYFUNCTION("""COMPUTED_VALUE"""),"Pediatrics, women's health and maternity care.
Women's health including pre and postnatal care for mother and baby
Uninsured patients pay what is affordable based on income and family size.
Will help determine if you qualify for medical assistance program"&amp;"s and help enroll, if you are.
Limited number of same day appointments.")</f>
        <v>Pediatrics, women's health and maternity care.
Women's health including pre and postnatal care for mother and baby
Uninsured patients pay what is affordable based on income and family size.
Will help determine if you qualify for medical assistance programs and help enroll, if you are.
Limited number of same day appointments.</v>
      </c>
      <c r="T33" s="12" t="b">
        <f>IFERROR(__xludf.DUMMYFUNCTION("""COMPUTED_VALUE"""),FALSE)</f>
        <v>0</v>
      </c>
      <c r="U33" s="12" t="b">
        <f>IFERROR(__xludf.DUMMYFUNCTION("""COMPUTED_VALUE"""),FALSE)</f>
        <v>0</v>
      </c>
      <c r="V33" s="13" t="str">
        <f>IFERROR(__xludf.DUMMYFUNCTION("""COMPUTED_VALUE"""),"https://www.denverharborhealthcenter.org")</f>
        <v>https://www.denverharborhealthcenter.org</v>
      </c>
      <c r="W33" s="14" t="str">
        <f>IFERROR(__xludf.DUMMYFUNCTION("""COMPUTED_VALUE"""),"https://www.google.com/maps/place/Vecino's+Denver+Harbor+Family+Health+Center/@29.7804606,-95.3124257,16z/data=!3m1!4b1!4m6!3m5!1s0x8640bbfe0493ec21:0xa8baa6b440546cf3!8m2!3d29.780456!4d-95.3098454!16s%2Fg%2F1td9whln?entry=ttu&amp;g_ep=EgoyMDI0MDkwNC4wIKXMDSo"&amp;"ASAFQAw%3D%3D")</f>
        <v>https://www.google.com/maps/place/Vecino's+Denver+Harbor+Family+Health+Center/@29.7804606,-95.3124257,16z/data=!3m1!4b1!4m6!3m5!1s0x8640bbfe0493ec21:0xa8baa6b440546cf3!8m2!3d29.780456!4d-95.3098454!16s%2Fg%2F1td9whln?entry=ttu&amp;g_ep=EgoyMDI0MDkwNC4wIKXMDSoASAFQAw%3D%3D</v>
      </c>
      <c r="X33" s="10"/>
      <c r="Y33" s="9" t="str">
        <f>IFERROR(__xludf.DUMMYFUNCTION("""COMPUTED_VALUE"""),"Houston")</f>
        <v>Houston</v>
      </c>
      <c r="Z33" s="9" t="str">
        <f>IFERROR(__xludf.DUMMYFUNCTION("""COMPUTED_VALUE"""),"Independence Heights, Northline, Northside / Northline")</f>
        <v>Independence Heights, Northline, Northside / Northline</v>
      </c>
      <c r="AA33" s="9" t="str">
        <f>IFERROR(__xludf.DUMMYFUNCTION("""COMPUTED_VALUE"""),"Vecino Health Centers")</f>
        <v>Vecino Health Centers</v>
      </c>
      <c r="AB33" s="9" t="str">
        <f>IFERROR(__xludf.DUMMYFUNCTION("""COMPUTED_VALUE"""),"Denver Harbor / Port Houston")</f>
        <v>Denver Harbor / Port Houston</v>
      </c>
    </row>
    <row r="34" ht="30.0" customHeight="1">
      <c r="A34" s="17">
        <v>33.0</v>
      </c>
      <c r="B34" s="8" t="str">
        <f>IFERROR(__xludf.DUMMYFUNCTION("""COMPUTED_VALUE"""),"[""99999""]")</f>
        <v>["99999"]</v>
      </c>
      <c r="C34" s="9" t="str">
        <f>IFERROR(__xludf.DUMMYFUNCTION("""COMPUTED_VALUE"""),"Aishel House")</f>
        <v>Aishel House</v>
      </c>
      <c r="D34" s="9" t="str">
        <f>IFERROR(__xludf.DUMMYFUNCTION("""COMPUTED_VALUE"""),"1955 University Blvd")</f>
        <v>1955 University Blvd</v>
      </c>
      <c r="E34" s="9"/>
      <c r="F34" s="9" t="str">
        <f>IFERROR(__xludf.DUMMYFUNCTION("""COMPUTED_VALUE"""),"Houston")</f>
        <v>Houston</v>
      </c>
      <c r="G34" s="9" t="str">
        <f>IFERROR(__xludf.DUMMYFUNCTION("""COMPUTED_VALUE"""),"TX")</f>
        <v>TX</v>
      </c>
      <c r="H34" s="9" t="str">
        <f>IFERROR(__xludf.DUMMYFUNCTION("""COMPUTED_VALUE"""),"77030")</f>
        <v>77030</v>
      </c>
      <c r="I34" s="9" t="str">
        <f>IFERROR(__xludf.DUMMYFUNCTION("""COMPUTED_VALUE"""),"713-522-2004")</f>
        <v>713-522-2004</v>
      </c>
      <c r="J34" s="9" t="str">
        <f>IFERROR(__xludf.DUMMYFUNCTION("""COMPUTED_VALUE"""),"29.712198982313293, -95.40376502706353")</f>
        <v>29.712198982313293, -95.40376502706353</v>
      </c>
      <c r="K34" s="9" t="str">
        <f>IFERROR(__xludf.DUMMYFUNCTION("""COMPUTED_VALUE"""),"{""regular"":[{""days"":[""Mo"",""Tu"",""We"",""Th"",""Fr""],""open"":""09:00"",""close"":""17:00""}]}")</f>
        <v>{"regular":[{"days":["Mo","Tu","We","Th","Fr"],"open":"09:00","close":"17:00"}]}</v>
      </c>
      <c r="L34" s="9" t="str">
        <f>IFERROR(__xludf.DUMMYFUNCTION("""COMPUTED_VALUE"""),"Apply online")</f>
        <v>Apply online</v>
      </c>
      <c r="M34" s="10">
        <f>IFERROR(__xludf.DUMMYFUNCTION("""COMPUTED_VALUE"""),37.0)</f>
        <v>37</v>
      </c>
      <c r="N34" s="10" t="str">
        <f>IFERROR(__xludf.DUMMYFUNCTION("""COMPUTED_VALUE"""),"Medical - Housing")</f>
        <v>Medical - Housing</v>
      </c>
      <c r="O34" s="10">
        <f>IFERROR(__xludf.DUMMYFUNCTION("""COMPUTED_VALUE"""),1.0)</f>
        <v>1</v>
      </c>
      <c r="P34" s="10" t="str">
        <f>IFERROR(__xludf.DUMMYFUNCTION("""COMPUTED_VALUE"""),"ACTIVE")</f>
        <v>ACTIVE</v>
      </c>
      <c r="Q34" s="11">
        <f>IFERROR(__xludf.DUMMYFUNCTION("""COMPUTED_VALUE"""),46036.0)</f>
        <v>46036</v>
      </c>
      <c r="R34" s="9" t="str">
        <f>IFERROR(__xludf.DUMMYFUNCTION("""COMPUTED_VALUE"""),"Verified online")</f>
        <v>Verified online</v>
      </c>
      <c r="S34" s="9" t="str">
        <f>IFERROR(__xludf.DUMMYFUNCTION("""COMPUTED_VALUE"""),"Provides patients and families visiting the Texas Medical center with accommodations, transportation, meals, childcare and counseling.
Medical housing.")</f>
        <v>Provides patients and families visiting the Texas Medical center with accommodations, transportation, meals, childcare and counseling.
Medical housing.</v>
      </c>
      <c r="T34" s="12" t="b">
        <f>IFERROR(__xludf.DUMMYFUNCTION("""COMPUTED_VALUE"""),FALSE)</f>
        <v>0</v>
      </c>
      <c r="U34" s="12" t="b">
        <f>IFERROR(__xludf.DUMMYFUNCTION("""COMPUTED_VALUE"""),FALSE)</f>
        <v>0</v>
      </c>
      <c r="V34" s="13" t="str">
        <f>IFERROR(__xludf.DUMMYFUNCTION("""COMPUTED_VALUE"""),"https://www.aishelhouse.org/patients/stay-with-us/")</f>
        <v>https://www.aishelhouse.org/patients/stay-with-us/</v>
      </c>
      <c r="W34" s="14" t="str">
        <f>IFERROR(__xludf.DUMMYFUNCTION("""COMPUTED_VALUE"""),"https://www.google.com/maps/place/Aishel+House/@29.7118263,-95.4063507,16z/data=!3m1!4b1!4m6!3m5!1s0x8640c07016137dbf:0x16c023b2074d0f7a!8m2!3d29.7118263!4d-95.4037704!16s%2Fg%2F1tjt29qf?entry=ttu&amp;g_ep=EgoyMDI2MDExMS4wIKXMDSoKLDEwMDc5MjA2OUgBUAM%3D")</f>
        <v>https://www.google.com/maps/place/Aishel+House/@29.7118263,-95.4063507,16z/data=!3m1!4b1!4m6!3m5!1s0x8640c07016137dbf:0x16c023b2074d0f7a!8m2!3d29.7118263!4d-95.4037704!16s%2Fg%2F1tjt29qf?entry=ttu&amp;g_ep=EgoyMDI2MDExMS4wIKXMDSoKLDEwMDc5MjA2OUgBUAM%3D</v>
      </c>
      <c r="X34" s="10"/>
      <c r="Y34" s="9" t="str">
        <f>IFERROR(__xludf.DUMMYFUNCTION("""COMPUTED_VALUE"""),"Houston")</f>
        <v>Houston</v>
      </c>
      <c r="Z34" s="9" t="str">
        <f>IFERROR(__xludf.DUMMYFUNCTION("""COMPUTED_VALUE"""),"Central Southwest, Houston Museum District, South Central Houston, Southgate, Texas Medical Center")</f>
        <v>Central Southwest, Houston Museum District, South Central Houston, Southgate, Texas Medical Center</v>
      </c>
      <c r="AA34" s="9" t="str">
        <f>IFERROR(__xludf.DUMMYFUNCTION("""COMPUTED_VALUE"""),"Aishel House")</f>
        <v>Aishel House</v>
      </c>
      <c r="AB34" s="9" t="str">
        <f>IFERROR(__xludf.DUMMYFUNCTION("""COMPUTED_VALUE"""),"South Central Houston")</f>
        <v>South Central Houston</v>
      </c>
    </row>
    <row r="35" ht="30.0" customHeight="1">
      <c r="A35" s="17">
        <v>34.0</v>
      </c>
      <c r="B35" s="8" t="str">
        <f>IFERROR(__xludf.DUMMYFUNCTION("""COMPUTED_VALUE"""),"[""77025"", ""77030"", ""77031"", ""77035"", ""77036"", ""77045"", ""77046"", ""77054"", ""77071"", ""77072"", ""77074"", ""77081"", ""77083"", ""77085"", ""77096"", ""77099""]")</f>
        <v>["77025", "77030", "77031", "77035", "77036", "77045", "77046", "77054", "77071", "77072", "77074", "77081", "77083", "77085", "77096", "77099"]</v>
      </c>
      <c r="C35" s="9" t="str">
        <f>IFERROR(__xludf.DUMMYFUNCTION("""COMPUTED_VALUE"""),"Alexander Jewish Family Service")</f>
        <v>Alexander Jewish Family Service</v>
      </c>
      <c r="D35" s="9" t="str">
        <f>IFERROR(__xludf.DUMMYFUNCTION("""COMPUTED_VALUE"""),"4131 S. Braeswood Blvd")</f>
        <v>4131 S. Braeswood Blvd</v>
      </c>
      <c r="E35" s="9"/>
      <c r="F35" s="9" t="str">
        <f>IFERROR(__xludf.DUMMYFUNCTION("""COMPUTED_VALUE"""),"Houston")</f>
        <v>Houston</v>
      </c>
      <c r="G35" s="9" t="str">
        <f>IFERROR(__xludf.DUMMYFUNCTION("""COMPUTED_VALUE"""),"TX")</f>
        <v>TX</v>
      </c>
      <c r="H35" s="9" t="str">
        <f>IFERROR(__xludf.DUMMYFUNCTION("""COMPUTED_VALUE"""),"77025")</f>
        <v>77025</v>
      </c>
      <c r="I35" s="9" t="str">
        <f>IFERROR(__xludf.DUMMYFUNCTION("""COMPUTED_VALUE"""),"713-986-7837")</f>
        <v>713-986-7837</v>
      </c>
      <c r="J35" s="9" t="str">
        <f>IFERROR(__xludf.DUMMYFUNCTION("""COMPUTED_VALUE"""),"29.68805345, -95.4440327818119")</f>
        <v>29.68805345, -95.4440327818119</v>
      </c>
      <c r="K35" s="9" t="str">
        <f>IFERROR(__xludf.DUMMYFUNCTION("""COMPUTED_VALUE"""),"{""regular"":[{""days"":[""Tu"",""We"",""Th""],""open"":""10:00"",""close"":""12:00""}]}")</f>
        <v>{"regular":[{"days":["Tu","We","Th"],"open":"10:00","close":"12:00"}]}</v>
      </c>
      <c r="L35" s="9" t="str">
        <f>IFERROR(__xludf.DUMMYFUNCTION("""COMPUTED_VALUE"""),"2nd Week of Month Only")</f>
        <v>2nd Week of Month Only</v>
      </c>
      <c r="M35" s="10">
        <f>IFERROR(__xludf.DUMMYFUNCTION("""COMPUTED_VALUE"""),11.0)</f>
        <v>11</v>
      </c>
      <c r="N35" s="10" t="str">
        <f>IFERROR(__xludf.DUMMYFUNCTION("""COMPUTED_VALUE"""),"Rent")</f>
        <v>Rent</v>
      </c>
      <c r="O35" s="10">
        <f>IFERROR(__xludf.DUMMYFUNCTION("""COMPUTED_VALUE"""),1.0)</f>
        <v>1</v>
      </c>
      <c r="P35" s="10" t="str">
        <f>IFERROR(__xludf.DUMMYFUNCTION("""COMPUTED_VALUE"""),"ACTIVE")</f>
        <v>ACTIVE</v>
      </c>
      <c r="Q35" s="11">
        <f>IFERROR(__xludf.DUMMYFUNCTION("""COMPUTED_VALUE"""),45793.0)</f>
        <v>45793</v>
      </c>
      <c r="R35" s="9" t="str">
        <f>IFERROR(__xludf.DUMMYFUNCTION("""COMPUTED_VALUE"""),"Verified by phone")</f>
        <v>Verified by phone</v>
      </c>
      <c r="S35" s="9" t="str">
        <f>IFERROR(__xludf.DUMMYFUNCTION("""COMPUTED_VALUE"""),"Talk to case worker about requirements.")</f>
        <v>Talk to case worker about requirements.</v>
      </c>
      <c r="T35" s="12" t="b">
        <f>IFERROR(__xludf.DUMMYFUNCTION("""COMPUTED_VALUE"""),FALSE)</f>
        <v>0</v>
      </c>
      <c r="U35" s="12" t="b">
        <f>IFERROR(__xludf.DUMMYFUNCTION("""COMPUTED_VALUE"""),FALSE)</f>
        <v>0</v>
      </c>
      <c r="V35" s="13" t="str">
        <f>IFERROR(__xludf.DUMMYFUNCTION("""COMPUTED_VALUE"""),"https://www.alexanderjfs.org/")</f>
        <v>https://www.alexanderjfs.org/</v>
      </c>
      <c r="W35" s="14" t="str">
        <f>IFERROR(__xludf.DUMMYFUNCTION("""COMPUTED_VALUE"""),"https://maps.app.goo.gl/FEhdBRkjwU1f7Fgh9")</f>
        <v>https://maps.app.goo.gl/FEhdBRkjwU1f7Fgh9</v>
      </c>
      <c r="X35" s="10"/>
      <c r="Y35" s="9" t="str">
        <f>IFERROR(__xludf.DUMMYFUNCTION("""COMPUTED_VALUE"""),"Houston")</f>
        <v>Houston</v>
      </c>
      <c r="Z35" s="9" t="str">
        <f>IFERROR(__xludf.DUMMYFUNCTION("""COMPUTED_VALUE"""),"Braeswood, Braeswood Place, Knollwood Village")</f>
        <v>Braeswood, Braeswood Place, Knollwood Village</v>
      </c>
      <c r="AA35" s="9" t="str">
        <f>IFERROR(__xludf.DUMMYFUNCTION("""COMPUTED_VALUE"""),"Alexander Jewish Family Service")</f>
        <v>Alexander Jewish Family Service</v>
      </c>
      <c r="AB35" s="9" t="str">
        <f>IFERROR(__xludf.DUMMYFUNCTION("""COMPUTED_VALUE"""),"Braeswood")</f>
        <v>Braeswood</v>
      </c>
    </row>
    <row r="36" ht="30.0" customHeight="1">
      <c r="A36" s="17">
        <v>35.0</v>
      </c>
      <c r="B36" s="8" t="str">
        <f>IFERROR(__xludf.DUMMYFUNCTION("""COMPUTED_VALUE"""),"[""77025"", ""77030"", ""77031"", ""77035"", ""77036"", ""77045"", ""77046"", ""77054"", ""77071"", ""77072"", ""77074"", ""77081"", ""77083"", ""77085"", ""77096"", ""77099""]")</f>
        <v>["77025", "77030", "77031", "77035", "77036", "77045", "77046", "77054", "77071", "77072", "77074", "77081", "77083", "77085", "77096", "77099"]</v>
      </c>
      <c r="C36" s="9" t="str">
        <f>IFERROR(__xludf.DUMMYFUNCTION("""COMPUTED_VALUE"""),"Alexander Jewish Family Service")</f>
        <v>Alexander Jewish Family Service</v>
      </c>
      <c r="D36" s="9" t="str">
        <f>IFERROR(__xludf.DUMMYFUNCTION("""COMPUTED_VALUE"""),"4131 S. Braeswood Blvd")</f>
        <v>4131 S. Braeswood Blvd</v>
      </c>
      <c r="E36" s="9"/>
      <c r="F36" s="9" t="str">
        <f>IFERROR(__xludf.DUMMYFUNCTION("""COMPUTED_VALUE"""),"Houston")</f>
        <v>Houston</v>
      </c>
      <c r="G36" s="9" t="str">
        <f>IFERROR(__xludf.DUMMYFUNCTION("""COMPUTED_VALUE"""),"TX")</f>
        <v>TX</v>
      </c>
      <c r="H36" s="9" t="str">
        <f>IFERROR(__xludf.DUMMYFUNCTION("""COMPUTED_VALUE"""),"77025")</f>
        <v>77025</v>
      </c>
      <c r="I36" s="9" t="str">
        <f>IFERROR(__xludf.DUMMYFUNCTION("""COMPUTED_VALUE"""),"713-986-7837")</f>
        <v>713-986-7837</v>
      </c>
      <c r="J36" s="9" t="str">
        <f>IFERROR(__xludf.DUMMYFUNCTION("""COMPUTED_VALUE"""),"29.68805345, -95.4440327818119")</f>
        <v>29.68805345, -95.4440327818119</v>
      </c>
      <c r="K36" s="9" t="str">
        <f>IFERROR(__xludf.DUMMYFUNCTION("""COMPUTED_VALUE"""),"{""regular"":[{""days"":[""Tu"",""We"",""Th""],""open"":""10:00"",""close"":""12:00""}]}")</f>
        <v>{"regular":[{"days":["Tu","We","Th"],"open":"10:00","close":"12:00"}]}</v>
      </c>
      <c r="L36" s="9" t="str">
        <f>IFERROR(__xludf.DUMMYFUNCTION("""COMPUTED_VALUE"""),"2nd Week of Month Only")</f>
        <v>2nd Week of Month Only</v>
      </c>
      <c r="M36" s="10">
        <f>IFERROR(__xludf.DUMMYFUNCTION("""COMPUTED_VALUE"""),12.0)</f>
        <v>12</v>
      </c>
      <c r="N36" s="10" t="str">
        <f>IFERROR(__xludf.DUMMYFUNCTION("""COMPUTED_VALUE"""),"Utilities")</f>
        <v>Utilities</v>
      </c>
      <c r="O36" s="10">
        <f>IFERROR(__xludf.DUMMYFUNCTION("""COMPUTED_VALUE"""),1.0)</f>
        <v>1</v>
      </c>
      <c r="P36" s="10" t="str">
        <f>IFERROR(__xludf.DUMMYFUNCTION("""COMPUTED_VALUE"""),"ACTIVE")</f>
        <v>ACTIVE</v>
      </c>
      <c r="Q36" s="11">
        <f>IFERROR(__xludf.DUMMYFUNCTION("""COMPUTED_VALUE"""),45793.0)</f>
        <v>45793</v>
      </c>
      <c r="R36" s="9" t="str">
        <f>IFERROR(__xludf.DUMMYFUNCTION("""COMPUTED_VALUE"""),"Verified by phone")</f>
        <v>Verified by phone</v>
      </c>
      <c r="S36" s="9" t="str">
        <f>IFERROR(__xludf.DUMMYFUNCTION("""COMPUTED_VALUE"""),"Talk to case worker about requirements.")</f>
        <v>Talk to case worker about requirements.</v>
      </c>
      <c r="T36" s="12" t="b">
        <f>IFERROR(__xludf.DUMMYFUNCTION("""COMPUTED_VALUE"""),FALSE)</f>
        <v>0</v>
      </c>
      <c r="U36" s="12" t="b">
        <f>IFERROR(__xludf.DUMMYFUNCTION("""COMPUTED_VALUE"""),FALSE)</f>
        <v>0</v>
      </c>
      <c r="V36" s="13" t="str">
        <f>IFERROR(__xludf.DUMMYFUNCTION("""COMPUTED_VALUE"""),"https://www.alexanderjfs.org/")</f>
        <v>https://www.alexanderjfs.org/</v>
      </c>
      <c r="W36" s="14" t="str">
        <f>IFERROR(__xludf.DUMMYFUNCTION("""COMPUTED_VALUE"""),"https://maps.app.goo.gl/FEhdBRkjwU1f7Fgh9")</f>
        <v>https://maps.app.goo.gl/FEhdBRkjwU1f7Fgh9</v>
      </c>
      <c r="X36" s="10"/>
      <c r="Y36" s="9" t="str">
        <f>IFERROR(__xludf.DUMMYFUNCTION("""COMPUTED_VALUE"""),"Houston")</f>
        <v>Houston</v>
      </c>
      <c r="Z36" s="9" t="str">
        <f>IFERROR(__xludf.DUMMYFUNCTION("""COMPUTED_VALUE"""),"Braeswood, Braeswood Place, Knollwood Village")</f>
        <v>Braeswood, Braeswood Place, Knollwood Village</v>
      </c>
      <c r="AA36" s="9" t="str">
        <f>IFERROR(__xludf.DUMMYFUNCTION("""COMPUTED_VALUE"""),"Alexander Jewish Family Service")</f>
        <v>Alexander Jewish Family Service</v>
      </c>
      <c r="AB36" s="9" t="str">
        <f>IFERROR(__xludf.DUMMYFUNCTION("""COMPUTED_VALUE"""),"Braeswood")</f>
        <v>Braeswood</v>
      </c>
    </row>
    <row r="37" ht="30.0" customHeight="1">
      <c r="A37" s="17">
        <v>36.0</v>
      </c>
      <c r="B37" s="8" t="str">
        <f>IFERROR(__xludf.DUMMYFUNCTION("""COMPUTED_VALUE"""),"[""77025"", ""77030"", ""77031"", ""77035"", ""77036"", ""77045"", ""77046"", ""77054"", ""77071"", ""77072"", ""77074"", ""77081"", ""77083"", ""77085"", ""77096"", ""77099""]")</f>
        <v>["77025", "77030", "77031", "77035", "77036", "77045", "77046", "77054", "77071", "77072", "77074", "77081", "77083", "77085", "77096", "77099"]</v>
      </c>
      <c r="C37" s="9" t="str">
        <f>IFERROR(__xludf.DUMMYFUNCTION("""COMPUTED_VALUE"""),"Alexander Jewish Family Service")</f>
        <v>Alexander Jewish Family Service</v>
      </c>
      <c r="D37" s="9" t="str">
        <f>IFERROR(__xludf.DUMMYFUNCTION("""COMPUTED_VALUE"""),"4131 S. Braeswood Blvd")</f>
        <v>4131 S. Braeswood Blvd</v>
      </c>
      <c r="E37" s="9"/>
      <c r="F37" s="9" t="str">
        <f>IFERROR(__xludf.DUMMYFUNCTION("""COMPUTED_VALUE"""),"Houston")</f>
        <v>Houston</v>
      </c>
      <c r="G37" s="9" t="str">
        <f>IFERROR(__xludf.DUMMYFUNCTION("""COMPUTED_VALUE"""),"TX")</f>
        <v>TX</v>
      </c>
      <c r="H37" s="9" t="str">
        <f>IFERROR(__xludf.DUMMYFUNCTION("""COMPUTED_VALUE"""),"77025")</f>
        <v>77025</v>
      </c>
      <c r="I37" s="9" t="str">
        <f>IFERROR(__xludf.DUMMYFUNCTION("""COMPUTED_VALUE"""),"713-667-9336")</f>
        <v>713-667-9336</v>
      </c>
      <c r="J37" s="9" t="str">
        <f>IFERROR(__xludf.DUMMYFUNCTION("""COMPUTED_VALUE"""),"29.68805345, -95.4440327818119")</f>
        <v>29.68805345, -95.4440327818119</v>
      </c>
      <c r="K37" s="9" t="str">
        <f>IFERROR(__xludf.DUMMYFUNCTION("""COMPUTED_VALUE"""),"{""regular"":[{""days"":[""Mo"",""Tu"",""We"",""Th"",""Fr""],""open"":""08:00"",""close"":""16:00""}]}")</f>
        <v>{"regular":[{"days":["Mo","Tu","We","Th","Fr"],"open":"08:00","close":"16:00"}]}</v>
      </c>
      <c r="L37" s="9"/>
      <c r="M37" s="10">
        <f>IFERROR(__xludf.DUMMYFUNCTION("""COMPUTED_VALUE"""),33.0)</f>
        <v>33</v>
      </c>
      <c r="N37" s="10" t="str">
        <f>IFERROR(__xludf.DUMMYFUNCTION("""COMPUTED_VALUE"""),"Medical - Behavioral Health")</f>
        <v>Medical - Behavioral Health</v>
      </c>
      <c r="O37" s="10">
        <f>IFERROR(__xludf.DUMMYFUNCTION("""COMPUTED_VALUE"""),1.0)</f>
        <v>1</v>
      </c>
      <c r="P37" s="10" t="str">
        <f>IFERROR(__xludf.DUMMYFUNCTION("""COMPUTED_VALUE"""),"ACTIVE")</f>
        <v>ACTIVE</v>
      </c>
      <c r="Q37" s="11">
        <f>IFERROR(__xludf.DUMMYFUNCTION("""COMPUTED_VALUE"""),45674.0)</f>
        <v>45674</v>
      </c>
      <c r="R37" s="9" t="str">
        <f>IFERROR(__xludf.DUMMYFUNCTION("""COMPUTED_VALUE"""),"Verified by phone")</f>
        <v>Verified by phone</v>
      </c>
      <c r="S37" s="9" t="str">
        <f>IFERROR(__xludf.DUMMYFUNCTION("""COMPUTED_VALUE"""),"Licensed mental health professionals for adults and children.")</f>
        <v>Licensed mental health professionals for adults and children.</v>
      </c>
      <c r="T37" s="12" t="b">
        <f>IFERROR(__xludf.DUMMYFUNCTION("""COMPUTED_VALUE"""),FALSE)</f>
        <v>0</v>
      </c>
      <c r="U37" s="12" t="b">
        <f>IFERROR(__xludf.DUMMYFUNCTION("""COMPUTED_VALUE"""),FALSE)</f>
        <v>0</v>
      </c>
      <c r="V37" s="13" t="str">
        <f>IFERROR(__xludf.DUMMYFUNCTION("""COMPUTED_VALUE"""),"https://www.alexanderjfs.org/")</f>
        <v>https://www.alexanderjfs.org/</v>
      </c>
      <c r="W37" s="14" t="str">
        <f>IFERROR(__xludf.DUMMYFUNCTION("""COMPUTED_VALUE"""),"https://maps.app.goo.gl/FEhdBRkjwU1f7Fgh9")</f>
        <v>https://maps.app.goo.gl/FEhdBRkjwU1f7Fgh9</v>
      </c>
      <c r="X37" s="10"/>
      <c r="Y37" s="9" t="str">
        <f>IFERROR(__xludf.DUMMYFUNCTION("""COMPUTED_VALUE"""),"Houston")</f>
        <v>Houston</v>
      </c>
      <c r="Z37" s="9" t="str">
        <f>IFERROR(__xludf.DUMMYFUNCTION("""COMPUTED_VALUE"""),"Braeswood, Braeswood Place, Knollwood Village")</f>
        <v>Braeswood, Braeswood Place, Knollwood Village</v>
      </c>
      <c r="AA37" s="9" t="str">
        <f>IFERROR(__xludf.DUMMYFUNCTION("""COMPUTED_VALUE"""),"Alexander Jewish Family Service")</f>
        <v>Alexander Jewish Family Service</v>
      </c>
      <c r="AB37" s="9" t="str">
        <f>IFERROR(__xludf.DUMMYFUNCTION("""COMPUTED_VALUE"""),"Braeswood")</f>
        <v>Braeswood</v>
      </c>
    </row>
    <row r="38" ht="30.0" customHeight="1">
      <c r="A38" s="17">
        <v>37.0</v>
      </c>
      <c r="B38" s="8" t="str">
        <f>IFERROR(__xludf.DUMMYFUNCTION("""COMPUTED_VALUE"""),"[""77025"", ""77030"", ""77031"", ""77035"", ""77036"", ""77045"", ""77046"", ""77054"", ""77071"", ""77072"", ""77074"", ""77081"", ""77083"", ""77085"", ""77096"", ""77099""]")</f>
        <v>["77025", "77030", "77031", "77035", "77036", "77045", "77046", "77054", "77071", "77072", "77074", "77081", "77083", "77085", "77096", "77099"]</v>
      </c>
      <c r="C38" s="9" t="str">
        <f>IFERROR(__xludf.DUMMYFUNCTION("""COMPUTED_VALUE"""),"Alexander Jewish Family Service")</f>
        <v>Alexander Jewish Family Service</v>
      </c>
      <c r="D38" s="9" t="str">
        <f>IFERROR(__xludf.DUMMYFUNCTION("""COMPUTED_VALUE"""),"4131 S. Braeswood Blvd")</f>
        <v>4131 S. Braeswood Blvd</v>
      </c>
      <c r="E38" s="9"/>
      <c r="F38" s="9" t="str">
        <f>IFERROR(__xludf.DUMMYFUNCTION("""COMPUTED_VALUE"""),"Houston")</f>
        <v>Houston</v>
      </c>
      <c r="G38" s="9" t="str">
        <f>IFERROR(__xludf.DUMMYFUNCTION("""COMPUTED_VALUE"""),"TX")</f>
        <v>TX</v>
      </c>
      <c r="H38" s="9" t="str">
        <f>IFERROR(__xludf.DUMMYFUNCTION("""COMPUTED_VALUE"""),"77025")</f>
        <v>77025</v>
      </c>
      <c r="I38" s="9" t="str">
        <f>IFERROR(__xludf.DUMMYFUNCTION("""COMPUTED_VALUE"""),"713-667-9336")</f>
        <v>713-667-9336</v>
      </c>
      <c r="J38" s="9" t="str">
        <f>IFERROR(__xludf.DUMMYFUNCTION("""COMPUTED_VALUE"""),"29.68805345, -95.4440327818119")</f>
        <v>29.68805345, -95.4440327818119</v>
      </c>
      <c r="K38" s="9" t="str">
        <f>IFERROR(__xludf.DUMMYFUNCTION("""COMPUTED_VALUE"""),"{""regular"":[{""days"":[""Mo"",""Tu"",""We"",""Th"",""Fr""],""open"":""08:00"",""close"":""16:00""}]}")</f>
        <v>{"regular":[{"days":["Mo","Tu","We","Th","Fr"],"open":"08:00","close":"16:00"}]}</v>
      </c>
      <c r="L38" s="9"/>
      <c r="M38" s="10">
        <f>IFERROR(__xludf.DUMMYFUNCTION("""COMPUTED_VALUE"""),52.0)</f>
        <v>52</v>
      </c>
      <c r="N38" s="10" t="str">
        <f>IFERROR(__xludf.DUMMYFUNCTION("""COMPUTED_VALUE"""),"Jobs")</f>
        <v>Jobs</v>
      </c>
      <c r="O38" s="10">
        <f>IFERROR(__xludf.DUMMYFUNCTION("""COMPUTED_VALUE"""),1.0)</f>
        <v>1</v>
      </c>
      <c r="P38" s="10" t="str">
        <f>IFERROR(__xludf.DUMMYFUNCTION("""COMPUTED_VALUE"""),"ACTIVE")</f>
        <v>ACTIVE</v>
      </c>
      <c r="Q38" s="11">
        <f>IFERROR(__xludf.DUMMYFUNCTION("""COMPUTED_VALUE"""),45674.0)</f>
        <v>45674</v>
      </c>
      <c r="R38" s="9" t="str">
        <f>IFERROR(__xludf.DUMMYFUNCTION("""COMPUTED_VALUE"""),"Verified by phone")</f>
        <v>Verified by phone</v>
      </c>
      <c r="S38" s="9" t="str">
        <f>IFERROR(__xludf.DUMMYFUNCTION("""COMPUTED_VALUE"""),"Career coaching and employment training.
Career guidance for people with disabilities.")</f>
        <v>Career coaching and employment training.
Career guidance for people with disabilities.</v>
      </c>
      <c r="T38" s="12" t="b">
        <f>IFERROR(__xludf.DUMMYFUNCTION("""COMPUTED_VALUE"""),FALSE)</f>
        <v>0</v>
      </c>
      <c r="U38" s="12" t="b">
        <f>IFERROR(__xludf.DUMMYFUNCTION("""COMPUTED_VALUE"""),FALSE)</f>
        <v>0</v>
      </c>
      <c r="V38" s="13" t="str">
        <f>IFERROR(__xludf.DUMMYFUNCTION("""COMPUTED_VALUE"""),"https://www.alexanderjfs.org/")</f>
        <v>https://www.alexanderjfs.org/</v>
      </c>
      <c r="W38" s="14" t="str">
        <f>IFERROR(__xludf.DUMMYFUNCTION("""COMPUTED_VALUE"""),"https://maps.app.goo.gl/FEhdBRkjwU1f7Fgh9")</f>
        <v>https://maps.app.goo.gl/FEhdBRkjwU1f7Fgh9</v>
      </c>
      <c r="X38" s="10"/>
      <c r="Y38" s="9" t="str">
        <f>IFERROR(__xludf.DUMMYFUNCTION("""COMPUTED_VALUE"""),"Houston")</f>
        <v>Houston</v>
      </c>
      <c r="Z38" s="9" t="str">
        <f>IFERROR(__xludf.DUMMYFUNCTION("""COMPUTED_VALUE"""),"Braeswood, Braeswood Place, Knollwood Village")</f>
        <v>Braeswood, Braeswood Place, Knollwood Village</v>
      </c>
      <c r="AA38" s="9" t="str">
        <f>IFERROR(__xludf.DUMMYFUNCTION("""COMPUTED_VALUE"""),"Alexander Jewish Family Service")</f>
        <v>Alexander Jewish Family Service</v>
      </c>
      <c r="AB38" s="9" t="str">
        <f>IFERROR(__xludf.DUMMYFUNCTION("""COMPUTED_VALUE"""),"Braeswood")</f>
        <v>Braeswood</v>
      </c>
    </row>
    <row r="39" ht="30.0" customHeight="1">
      <c r="A39" s="17">
        <v>38.0</v>
      </c>
      <c r="B3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39" s="9" t="str">
        <f>IFERROR(__xludf.DUMMYFUNCTION("""COMPUTED_VALUE"""),"Alief Neighborhood Center")</f>
        <v>Alief Neighborhood Center</v>
      </c>
      <c r="D39" s="9" t="str">
        <f>IFERROR(__xludf.DUMMYFUNCTION("""COMPUTED_VALUE"""),"11903 Bellaire Blvd")</f>
        <v>11903 Bellaire Blvd</v>
      </c>
      <c r="E39" s="9"/>
      <c r="F39" s="9" t="str">
        <f>IFERROR(__xludf.DUMMYFUNCTION("""COMPUTED_VALUE"""),"Houston")</f>
        <v>Houston</v>
      </c>
      <c r="G39" s="9" t="str">
        <f>IFERROR(__xludf.DUMMYFUNCTION("""COMPUTED_VALUE"""),"TX")</f>
        <v>TX</v>
      </c>
      <c r="H39" s="9" t="str">
        <f>IFERROR(__xludf.DUMMYFUNCTION("""COMPUTED_VALUE"""),"77072")</f>
        <v>77072</v>
      </c>
      <c r="I39" s="9" t="str">
        <f>IFERROR(__xludf.DUMMYFUNCTION("""COMPUTED_VALUE"""),"832-393-5427")</f>
        <v>832-393-5427</v>
      </c>
      <c r="J39" s="9" t="str">
        <f>IFERROR(__xludf.DUMMYFUNCTION("""COMPUTED_VALUE"""),"29.70297345115537, -95.58882452197315")</f>
        <v>29.70297345115537, -95.58882452197315</v>
      </c>
      <c r="K39" s="9" t="str">
        <f>IFERROR(__xludf.DUMMYFUNCTION("""COMPUTED_VALUE"""),"{""regular"":[{""days"":[""Mo"",""Tu"",""We"",""Th""],""open"":""08:00"",""close"":""17:00""}]}")</f>
        <v>{"regular":[{"days":["Mo","Tu","We","Th"],"open":"08:00","close":"17:00"}]}</v>
      </c>
      <c r="L39" s="9"/>
      <c r="M39" s="10">
        <f>IFERROR(__xludf.DUMMYFUNCTION("""COMPUTED_VALUE"""),44.0)</f>
        <v>44</v>
      </c>
      <c r="N39" s="10" t="str">
        <f>IFERROR(__xludf.DUMMYFUNCTION("""COMPUTED_VALUE"""),"Mother &amp; Child")</f>
        <v>Mother &amp; Child</v>
      </c>
      <c r="O39" s="10">
        <f>IFERROR(__xludf.DUMMYFUNCTION("""COMPUTED_VALUE"""),1.0)</f>
        <v>1</v>
      </c>
      <c r="P39" s="10" t="str">
        <f>IFERROR(__xludf.DUMMYFUNCTION("""COMPUTED_VALUE"""),"ACTIVE")</f>
        <v>ACTIVE</v>
      </c>
      <c r="Q39" s="11">
        <f>IFERROR(__xludf.DUMMYFUNCTION("""COMPUTED_VALUE"""),46057.0)</f>
        <v>46057</v>
      </c>
      <c r="R39" s="9" t="str">
        <f>IFERROR(__xludf.DUMMYFUNCTION("""COMPUTED_VALUE"""),"Verified online")</f>
        <v>Verified online</v>
      </c>
      <c r="S39"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39" s="12" t="b">
        <f>IFERROR(__xludf.DUMMYFUNCTION("""COMPUTED_VALUE"""),FALSE)</f>
        <v>0</v>
      </c>
      <c r="U39" s="12" t="b">
        <f>IFERROR(__xludf.DUMMYFUNCTION("""COMPUTED_VALUE"""),FALSE)</f>
        <v>0</v>
      </c>
      <c r="V39" s="13" t="str">
        <f>IFERROR(__xludf.DUMMYFUNCTION("""COMPUTED_VALUE"""),"https://www.houstonhealth.org/services/multi-service-centers/alief-multi-service-center")</f>
        <v>https://www.houstonhealth.org/services/multi-service-centers/alief-multi-service-center</v>
      </c>
      <c r="W39" s="14" t="str">
        <f>IFERROR(__xludf.DUMMYFUNCTION("""COMPUTED_VALUE"""),"https://www.google.com/maps/place/Alief+Neighborhood+Center/@29.7027824,-95.5914638,17z/data=!3m1!4b1!4m6!3m5!1s0x8640dd1112820e8f:0x8168f3ce4f125463!8m2!3d29.7027778!4d-95.5888889!16s%2Fg%2F1vn18xzb?entry=ttu&amp;g_ep=EgoyMDI2MDIwMS4wIKXMDSoKLDEwMDc5MjA2OUgB"&amp;"UAM%3D")</f>
        <v>https://www.google.com/maps/place/Alief+Neighborhood+Center/@29.7027824,-95.5914638,17z/data=!3m1!4b1!4m6!3m5!1s0x8640dd1112820e8f:0x8168f3ce4f125463!8m2!3d29.7027778!4d-95.5888889!16s%2Fg%2F1vn18xzb?entry=ttu&amp;g_ep=EgoyMDI2MDIwMS4wIKXMDSoKLDEwMDc5MjA2OUgBUAM%3D</v>
      </c>
      <c r="X39" s="10"/>
      <c r="Y39" s="9" t="str">
        <f>IFERROR(__xludf.DUMMYFUNCTION("""COMPUTED_VALUE"""),"Houston")</f>
        <v>Houston</v>
      </c>
      <c r="Z39" s="9" t="str">
        <f>IFERROR(__xludf.DUMMYFUNCTION("""COMPUTED_VALUE"""),"Alief")</f>
        <v>Alief</v>
      </c>
      <c r="AA39" s="9" t="str">
        <f>IFERROR(__xludf.DUMMYFUNCTION("""COMPUTED_VALUE"""),"City of Houston")</f>
        <v>City of Houston</v>
      </c>
      <c r="AB39" s="9" t="str">
        <f>IFERROR(__xludf.DUMMYFUNCTION("""COMPUTED_VALUE"""),"Alief")</f>
        <v>Alief</v>
      </c>
    </row>
    <row r="40" ht="30.0" customHeight="1">
      <c r="A40" s="17">
        <v>39.0</v>
      </c>
      <c r="B40" s="8" t="str">
        <f>IFERROR(__xludf.DUMMYFUNCTION("""COMPUTED_VALUE"""),"[""77007"", ""77008"", ""77009""]")</f>
        <v>["77007", "77008", "77009"]</v>
      </c>
      <c r="C40" s="9" t="str">
        <f>IFERROR(__xludf.DUMMYFUNCTION("""COMPUTED_VALUE"""),"All Saints (SVdP D4)")</f>
        <v>All Saints (SVdP D4)</v>
      </c>
      <c r="D40" s="9" t="str">
        <f>IFERROR(__xludf.DUMMYFUNCTION("""COMPUTED_VALUE"""),"1035 Cortlandt Street")</f>
        <v>1035 Cortlandt Street</v>
      </c>
      <c r="E40" s="9"/>
      <c r="F40" s="10" t="str">
        <f>IFERROR(__xludf.DUMMYFUNCTION("""COMPUTED_VALUE"""),"Houston")</f>
        <v>Houston</v>
      </c>
      <c r="G40" s="9" t="str">
        <f>IFERROR(__xludf.DUMMYFUNCTION("""COMPUTED_VALUE"""),"TX")</f>
        <v>TX</v>
      </c>
      <c r="H40" s="9" t="str">
        <f>IFERROR(__xludf.DUMMYFUNCTION("""COMPUTED_VALUE"""),"77008")</f>
        <v>77008</v>
      </c>
      <c r="I40" s="9" t="str">
        <f>IFERROR(__xludf.DUMMYFUNCTION("""COMPUTED_VALUE"""),"713-864-8937")</f>
        <v>713-864-8937</v>
      </c>
      <c r="J40" s="9" t="str">
        <f>IFERROR(__xludf.DUMMYFUNCTION("""COMPUTED_VALUE"""),"29.7895703265306, -95.3953734489796")</f>
        <v>29.7895703265306, -95.3953734489796</v>
      </c>
      <c r="K40" s="9" t="str">
        <f>IFERROR(__xludf.DUMMYFUNCTION("""COMPUTED_VALUE"""),"{""regular"":[{""days"":[""Mo""],""open"":""09:00"",""close"":""10:30""}]}")</f>
        <v>{"regular":[{"days":["Mo"],"open":"09:00","close":"10:30"}]}</v>
      </c>
      <c r="L40" s="9"/>
      <c r="M40" s="10">
        <f>IFERROR(__xludf.DUMMYFUNCTION("""COMPUTED_VALUE"""),11.0)</f>
        <v>11</v>
      </c>
      <c r="N40" s="10" t="str">
        <f>IFERROR(__xludf.DUMMYFUNCTION("""COMPUTED_VALUE"""),"Rent")</f>
        <v>Rent</v>
      </c>
      <c r="O40" s="10">
        <f>IFERROR(__xludf.DUMMYFUNCTION("""COMPUTED_VALUE"""),1.0)</f>
        <v>1</v>
      </c>
      <c r="P40" s="10" t="str">
        <f>IFERROR(__xludf.DUMMYFUNCTION("""COMPUTED_VALUE"""),"ACTIVE")</f>
        <v>ACTIVE</v>
      </c>
      <c r="Q40" s="11">
        <f>IFERROR(__xludf.DUMMYFUNCTION("""COMPUTED_VALUE"""),45758.0)</f>
        <v>45758</v>
      </c>
      <c r="R40" s="9"/>
      <c r="S40" s="9"/>
      <c r="T40" s="12" t="b">
        <f>IFERROR(__xludf.DUMMYFUNCTION("""COMPUTED_VALUE"""),FALSE)</f>
        <v>0</v>
      </c>
      <c r="U40" s="12" t="b">
        <f>IFERROR(__xludf.DUMMYFUNCTION("""COMPUTED_VALUE"""),FALSE)</f>
        <v>0</v>
      </c>
      <c r="V40" s="13" t="str">
        <f>IFERROR(__xludf.DUMMYFUNCTION("""COMPUTED_VALUE"""),"https://allsaintsheights.com/svdp")</f>
        <v>https://allsaintsheights.com/svdp</v>
      </c>
      <c r="W40" s="14" t="str">
        <f>IFERROR(__xludf.DUMMYFUNCTION("""COMPUTED_VALUE"""),"https://www.google.com/maps/place/All+Saints+Saint+Vincent+de+Paul+Society%E2%80%99s+Food+Pantry/@29.7901633,-95.3980995,17z/data=!3m1!4b1!4m6!3m5!1s0x8640c75f3eb178f5:0xa4944b9b05cc0648!8m2!3d29.7901587!4d-95.3955246!16s%2Fg%2F11rt_jqfzc?entry=ttu&amp;g_ep=E"&amp;"goyMDI1MDEyOS4xIKXMDSoASAFQAw%3D%3D")</f>
        <v>https://www.google.com/maps/place/All+Saints+Saint+Vincent+de+Paul+Society%E2%80%99s+Food+Pantry/@29.7901633,-95.3980995,17z/data=!3m1!4b1!4m6!3m5!1s0x8640c75f3eb178f5:0xa4944b9b05cc0648!8m2!3d29.7901587!4d-95.3955246!16s%2Fg%2F11rt_jqfzc?entry=ttu&amp;g_ep=EgoyMDI1MDEyOS4xIKXMDSoASAFQAw%3D%3D</v>
      </c>
      <c r="X40" s="10"/>
      <c r="Y40" s="9" t="str">
        <f>IFERROR(__xludf.DUMMYFUNCTION("""COMPUTED_VALUE"""),"Houston")</f>
        <v>Houston</v>
      </c>
      <c r="Z40" s="9" t="str">
        <f>IFERROR(__xludf.DUMMYFUNCTION("""COMPUTED_VALUE"""),"Lazybrook / Timbergrove, Northside, Shady Acres, The Heights, Timbergrove")</f>
        <v>Lazybrook / Timbergrove, Northside, Shady Acres, The Heights, Timbergrove</v>
      </c>
      <c r="AA40" s="9" t="str">
        <f>IFERROR(__xludf.DUMMYFUNCTION("""COMPUTED_VALUE"""),"Society of St Vincent de Paul")</f>
        <v>Society of St Vincent de Paul</v>
      </c>
      <c r="AB40" s="9" t="str">
        <f>IFERROR(__xludf.DUMMYFUNCTION("""COMPUTED_VALUE"""),"Northside")</f>
        <v>Northside</v>
      </c>
    </row>
    <row r="41" ht="30.0" customHeight="1">
      <c r="A41" s="17">
        <v>40.0</v>
      </c>
      <c r="B41" s="8" t="str">
        <f>IFERROR(__xludf.DUMMYFUNCTION("""COMPUTED_VALUE"""),"[""77007"", ""77008"", ""77009""]")</f>
        <v>["77007", "77008", "77009"]</v>
      </c>
      <c r="C41" s="9" t="str">
        <f>IFERROR(__xludf.DUMMYFUNCTION("""COMPUTED_VALUE"""),"All Saints (SVdP D4)")</f>
        <v>All Saints (SVdP D4)</v>
      </c>
      <c r="D41" s="9" t="str">
        <f>IFERROR(__xludf.DUMMYFUNCTION("""COMPUTED_VALUE"""),"1035 Cortlandt Street")</f>
        <v>1035 Cortlandt Street</v>
      </c>
      <c r="E41" s="9"/>
      <c r="F41" s="9" t="str">
        <f>IFERROR(__xludf.DUMMYFUNCTION("""COMPUTED_VALUE"""),"Houston")</f>
        <v>Houston</v>
      </c>
      <c r="G41" s="9" t="str">
        <f>IFERROR(__xludf.DUMMYFUNCTION("""COMPUTED_VALUE"""),"TX")</f>
        <v>TX</v>
      </c>
      <c r="H41" s="9" t="str">
        <f>IFERROR(__xludf.DUMMYFUNCTION("""COMPUTED_VALUE"""),"77008")</f>
        <v>77008</v>
      </c>
      <c r="I41" s="9" t="str">
        <f>IFERROR(__xludf.DUMMYFUNCTION("""COMPUTED_VALUE"""),"713-864-8937")</f>
        <v>713-864-8937</v>
      </c>
      <c r="J41" s="9" t="str">
        <f>IFERROR(__xludf.DUMMYFUNCTION("""COMPUTED_VALUE"""),"29.7895703265306, -95.3953734489796")</f>
        <v>29.7895703265306, -95.3953734489796</v>
      </c>
      <c r="K41" s="9" t="str">
        <f>IFERROR(__xludf.DUMMYFUNCTION("""COMPUTED_VALUE"""),"{""regular"":[{""days"":[""Mo""],""open"":""09:00"",""close"":""10:30""}]}")</f>
        <v>{"regular":[{"days":["Mo"],"open":"09:00","close":"10:30"}]}</v>
      </c>
      <c r="L41" s="9"/>
      <c r="M41" s="10">
        <f>IFERROR(__xludf.DUMMYFUNCTION("""COMPUTED_VALUE"""),12.0)</f>
        <v>12</v>
      </c>
      <c r="N41" s="10" t="str">
        <f>IFERROR(__xludf.DUMMYFUNCTION("""COMPUTED_VALUE"""),"Utilities")</f>
        <v>Utilities</v>
      </c>
      <c r="O41" s="10">
        <f>IFERROR(__xludf.DUMMYFUNCTION("""COMPUTED_VALUE"""),1.0)</f>
        <v>1</v>
      </c>
      <c r="P41" s="10" t="str">
        <f>IFERROR(__xludf.DUMMYFUNCTION("""COMPUTED_VALUE"""),"ACTIVE")</f>
        <v>ACTIVE</v>
      </c>
      <c r="Q41" s="11">
        <f>IFERROR(__xludf.DUMMYFUNCTION("""COMPUTED_VALUE"""),45758.0)</f>
        <v>45758</v>
      </c>
      <c r="R41" s="9"/>
      <c r="S41" s="9"/>
      <c r="T41" s="12" t="b">
        <f>IFERROR(__xludf.DUMMYFUNCTION("""COMPUTED_VALUE"""),FALSE)</f>
        <v>0</v>
      </c>
      <c r="U41" s="12" t="b">
        <f>IFERROR(__xludf.DUMMYFUNCTION("""COMPUTED_VALUE"""),FALSE)</f>
        <v>0</v>
      </c>
      <c r="V41" s="13" t="str">
        <f>IFERROR(__xludf.DUMMYFUNCTION("""COMPUTED_VALUE"""),"https://allsaintsheights.com/svdp")</f>
        <v>https://allsaintsheights.com/svdp</v>
      </c>
      <c r="W41" s="14" t="str">
        <f>IFERROR(__xludf.DUMMYFUNCTION("""COMPUTED_VALUE"""),"https://www.google.com/maps/place/All+Saints+Saint+Vincent+de+Paul+Society%E2%80%99s+Food+Pantry/@29.7901633,-95.3980995,17z/data=!3m1!4b1!4m6!3m5!1s0x8640c75f3eb178f5:0xa4944b9b05cc0648!8m2!3d29.7901587!4d-95.3955246!16s%2Fg%2F11rt_jqfzc?entry=ttu&amp;g_ep=E"&amp;"goyMDI1MDEyOS4xIKXMDSoASAFQAw%3D%3D")</f>
        <v>https://www.google.com/maps/place/All+Saints+Saint+Vincent+de+Paul+Society%E2%80%99s+Food+Pantry/@29.7901633,-95.3980995,17z/data=!3m1!4b1!4m6!3m5!1s0x8640c75f3eb178f5:0xa4944b9b05cc0648!8m2!3d29.7901587!4d-95.3955246!16s%2Fg%2F11rt_jqfzc?entry=ttu&amp;g_ep=EgoyMDI1MDEyOS4xIKXMDSoASAFQAw%3D%3D</v>
      </c>
      <c r="X41" s="10"/>
      <c r="Y41" s="9" t="str">
        <f>IFERROR(__xludf.DUMMYFUNCTION("""COMPUTED_VALUE"""),"Houston")</f>
        <v>Houston</v>
      </c>
      <c r="Z41" s="9" t="str">
        <f>IFERROR(__xludf.DUMMYFUNCTION("""COMPUTED_VALUE"""),"Lazybrook / Timbergrove, Northside, Shady Acres, The Heights, Timbergrove")</f>
        <v>Lazybrook / Timbergrove, Northside, Shady Acres, The Heights, Timbergrove</v>
      </c>
      <c r="AA41" s="9" t="str">
        <f>IFERROR(__xludf.DUMMYFUNCTION("""COMPUTED_VALUE"""),"Society of St Vincent de Paul")</f>
        <v>Society of St Vincent de Paul</v>
      </c>
      <c r="AB41" s="9" t="str">
        <f>IFERROR(__xludf.DUMMYFUNCTION("""COMPUTED_VALUE"""),"Northside")</f>
        <v>Northside</v>
      </c>
    </row>
    <row r="42" ht="30.0" customHeight="1">
      <c r="A42" s="17">
        <v>41.0</v>
      </c>
      <c r="B42" s="8" t="str">
        <f>IFERROR(__xludf.DUMMYFUNCTION("""COMPUTED_VALUE"""),"[""77007"", ""77008"", ""77009""]")</f>
        <v>["77007", "77008", "77009"]</v>
      </c>
      <c r="C42" s="9" t="str">
        <f>IFERROR(__xludf.DUMMYFUNCTION("""COMPUTED_VALUE"""),"All Saints (SVdP D4)")</f>
        <v>All Saints (SVdP D4)</v>
      </c>
      <c r="D42" s="9" t="str">
        <f>IFERROR(__xludf.DUMMYFUNCTION("""COMPUTED_VALUE"""),"1035 Cortlandt Street")</f>
        <v>1035 Cortlandt Street</v>
      </c>
      <c r="E42" s="9"/>
      <c r="F42" s="9" t="str">
        <f>IFERROR(__xludf.DUMMYFUNCTION("""COMPUTED_VALUE"""),"Houston")</f>
        <v>Houston</v>
      </c>
      <c r="G42" s="9" t="str">
        <f>IFERROR(__xludf.DUMMYFUNCTION("""COMPUTED_VALUE"""),"TX")</f>
        <v>TX</v>
      </c>
      <c r="H42" s="9" t="str">
        <f>IFERROR(__xludf.DUMMYFUNCTION("""COMPUTED_VALUE"""),"77008")</f>
        <v>77008</v>
      </c>
      <c r="I42" s="9" t="str">
        <f>IFERROR(__xludf.DUMMYFUNCTION("""COMPUTED_VALUE"""),"713-864-8937")</f>
        <v>713-864-8937</v>
      </c>
      <c r="J42" s="9" t="str">
        <f>IFERROR(__xludf.DUMMYFUNCTION("""COMPUTED_VALUE"""),"29.7895703265306, -95.3953734489796")</f>
        <v>29.7895703265306, -95.3953734489796</v>
      </c>
      <c r="K42" s="9" t="str">
        <f>IFERROR(__xludf.DUMMYFUNCTION("""COMPUTED_VALUE"""),"{""regular"":[{""days"":[""Mo"",""Tu"",""We"",""Th""],""open"":""09:00"",""close"":""10:30""},{""days"":[""We""],""open"":""18:00"",""close"":""19:30""}]}")</f>
        <v>{"regular":[{"days":["Mo","Tu","We","Th"],"open":"09:00","close":"10:30"},{"days":["We"],"open":"18:00","close":"19:30"}]}</v>
      </c>
      <c r="L42" s="9"/>
      <c r="M42" s="10">
        <f>IFERROR(__xludf.DUMMYFUNCTION("""COMPUTED_VALUE"""),13.0)</f>
        <v>13</v>
      </c>
      <c r="N42" s="10" t="str">
        <f>IFERROR(__xludf.DUMMYFUNCTION("""COMPUTED_VALUE"""),"Food")</f>
        <v>Food</v>
      </c>
      <c r="O42" s="10">
        <f>IFERROR(__xludf.DUMMYFUNCTION("""COMPUTED_VALUE"""),1.0)</f>
        <v>1</v>
      </c>
      <c r="P42" s="10" t="str">
        <f>IFERROR(__xludf.DUMMYFUNCTION("""COMPUTED_VALUE"""),"ACTIVE")</f>
        <v>ACTIVE</v>
      </c>
      <c r="Q42" s="11">
        <f>IFERROR(__xludf.DUMMYFUNCTION("""COMPUTED_VALUE"""),45758.0)</f>
        <v>45758</v>
      </c>
      <c r="R42" s="9"/>
      <c r="S42" s="9" t="str">
        <f>IFERROR(__xludf.DUMMYFUNCTION("""COMPUTED_VALUE"""),"Food delivery available for those unable to physically make it to the pantry.")</f>
        <v>Food delivery available for those unable to physically make it to the pantry.</v>
      </c>
      <c r="T42" s="12" t="b">
        <f>IFERROR(__xludf.DUMMYFUNCTION("""COMPUTED_VALUE"""),FALSE)</f>
        <v>0</v>
      </c>
      <c r="U42" s="12" t="b">
        <f>IFERROR(__xludf.DUMMYFUNCTION("""COMPUTED_VALUE"""),FALSE)</f>
        <v>0</v>
      </c>
      <c r="V42" s="13" t="str">
        <f>IFERROR(__xludf.DUMMYFUNCTION("""COMPUTED_VALUE"""),"https://allsaintsheights.com/svdp")</f>
        <v>https://allsaintsheights.com/svdp</v>
      </c>
      <c r="W42" s="14" t="str">
        <f>IFERROR(__xludf.DUMMYFUNCTION("""COMPUTED_VALUE"""),"https://www.google.com/maps/place/All+Saints+Saint+Vincent+de+Paul+Society%E2%80%99s+Food+Pantry/@29.7901633,-95.3980995,17z/data=!3m1!4b1!4m6!3m5!1s0x8640c75f3eb178f5:0xa4944b9b05cc0648!8m2!3d29.7901587!4d-95.3955246!16s%2Fg%2F11rt_jqfzc?entry=ttu&amp;g_ep=E"&amp;"goyMDI1MDEyOS4xIKXMDSoASAFQAw%3D%3D")</f>
        <v>https://www.google.com/maps/place/All+Saints+Saint+Vincent+de+Paul+Society%E2%80%99s+Food+Pantry/@29.7901633,-95.3980995,17z/data=!3m1!4b1!4m6!3m5!1s0x8640c75f3eb178f5:0xa4944b9b05cc0648!8m2!3d29.7901587!4d-95.3955246!16s%2Fg%2F11rt_jqfzc?entry=ttu&amp;g_ep=EgoyMDI1MDEyOS4xIKXMDSoASAFQAw%3D%3D</v>
      </c>
      <c r="X42" s="10"/>
      <c r="Y42" s="9" t="str">
        <f>IFERROR(__xludf.DUMMYFUNCTION("""COMPUTED_VALUE"""),"Houston")</f>
        <v>Houston</v>
      </c>
      <c r="Z42" s="9" t="str">
        <f>IFERROR(__xludf.DUMMYFUNCTION("""COMPUTED_VALUE"""),"Lazybrook / Timbergrove, Northside, Shady Acres, The Heights, Timbergrove")</f>
        <v>Lazybrook / Timbergrove, Northside, Shady Acres, The Heights, Timbergrove</v>
      </c>
      <c r="AA42" s="9" t="str">
        <f>IFERROR(__xludf.DUMMYFUNCTION("""COMPUTED_VALUE"""),"Society of St Vincent de Paul")</f>
        <v>Society of St Vincent de Paul</v>
      </c>
      <c r="AB42" s="9" t="str">
        <f>IFERROR(__xludf.DUMMYFUNCTION("""COMPUTED_VALUE"""),"Northside")</f>
        <v>Northside</v>
      </c>
    </row>
    <row r="43" ht="30.0" customHeight="1">
      <c r="A43" s="17">
        <v>42.0</v>
      </c>
      <c r="B43" s="8" t="str">
        <f>IFERROR(__xludf.DUMMYFUNCTION("""COMPUTED_VALUE"""),"[""99999""]")</f>
        <v>["99999"]</v>
      </c>
      <c r="C43" s="9" t="str">
        <f>IFERROR(__xludf.DUMMYFUNCTION("""COMPUTED_VALUE"""),"Allyson Whitney Foundation")</f>
        <v>Allyson Whitney Foundation</v>
      </c>
      <c r="D43" s="9" t="str">
        <f>IFERROR(__xludf.DUMMYFUNCTION("""COMPUTED_VALUE"""),"12221 Towne Lake Drive")</f>
        <v>12221 Towne Lake Drive</v>
      </c>
      <c r="E43" s="9" t="str">
        <f>IFERROR(__xludf.DUMMYFUNCTION("""COMPUTED_VALUE"""),"Suite A158")</f>
        <v>Suite A158</v>
      </c>
      <c r="F43" s="9" t="str">
        <f>IFERROR(__xludf.DUMMYFUNCTION("""COMPUTED_VALUE"""),"Fort Myers")</f>
        <v>Fort Myers</v>
      </c>
      <c r="G43" s="9" t="str">
        <f>IFERROR(__xludf.DUMMYFUNCTION("""COMPUTED_VALUE"""),"FL")</f>
        <v>FL</v>
      </c>
      <c r="H43" s="9" t="str">
        <f>IFERROR(__xludf.DUMMYFUNCTION("""COMPUTED_VALUE"""),"33913")</f>
        <v>33913</v>
      </c>
      <c r="I43" s="9"/>
      <c r="J43" s="9" t="str">
        <f>IFERROR(__xludf.DUMMYFUNCTION("""COMPUTED_VALUE"""),"26.566374990656055, -81.74982919680966")</f>
        <v>26.566374990656055, -81.74982919680966</v>
      </c>
      <c r="K43" s="9"/>
      <c r="L43" s="9" t="str">
        <f>IFERROR(__xludf.DUMMYFUNCTION("""COMPUTED_VALUE"""),"Apply online")</f>
        <v>Apply online</v>
      </c>
      <c r="M43" s="10">
        <f>IFERROR(__xludf.DUMMYFUNCTION("""COMPUTED_VALUE"""),36.0)</f>
        <v>36</v>
      </c>
      <c r="N43" s="10" t="str">
        <f>IFERROR(__xludf.DUMMYFUNCTION("""COMPUTED_VALUE"""),"Medical - Bill Payment")</f>
        <v>Medical - Bill Payment</v>
      </c>
      <c r="O43" s="10">
        <f>IFERROR(__xludf.DUMMYFUNCTION("""COMPUTED_VALUE"""),1.0)</f>
        <v>1</v>
      </c>
      <c r="P43" s="10" t="str">
        <f>IFERROR(__xludf.DUMMYFUNCTION("""COMPUTED_VALUE"""),"ACTIVE")</f>
        <v>ACTIVE</v>
      </c>
      <c r="Q43" s="11">
        <f>IFERROR(__xludf.DUMMYFUNCTION("""COMPUTED_VALUE"""),45816.0)</f>
        <v>45816</v>
      </c>
      <c r="R43" s="9" t="str">
        <f>IFERROR(__xludf.DUMMYFUNCTION("""COMPUTED_VALUE"""),"Verified online")</f>
        <v>Verified online</v>
      </c>
      <c r="S43" s="9" t="str">
        <f>IFERROR(__xludf.DUMMYFUNCTION("""COMPUTED_VALUE"""),"Provides grants for young adults (between 16 and 36 years old) diagnosed with rare cancer.
US Citizens/Permanent Residents.
Applications are accepted online only are are open four times a year.  Please check website for key dates and deadlines.
Applicatio"&amp;"ns initiated by doctor's office or patient navigator.")</f>
        <v>Provides grants for young adults (between 16 and 36 years old) diagnosed with rare cancer.
US Citizens/Permanent Residents.
Applications are accepted online only are are open four times a year.  Please check website for key dates and deadlines.
Applications initiated by doctor's office or patient navigator.</v>
      </c>
      <c r="T43" s="12" t="b">
        <f>IFERROR(__xludf.DUMMYFUNCTION("""COMPUTED_VALUE"""),FALSE)</f>
        <v>0</v>
      </c>
      <c r="U43" s="12" t="b">
        <f>IFERROR(__xludf.DUMMYFUNCTION("""COMPUTED_VALUE"""),FALSE)</f>
        <v>0</v>
      </c>
      <c r="V43" s="13" t="str">
        <f>IFERROR(__xludf.DUMMYFUNCTION("""COMPUTED_VALUE"""),"https://allysonwhitney.org/")</f>
        <v>https://allysonwhitney.org/</v>
      </c>
      <c r="W43" s="10"/>
      <c r="X43" s="10"/>
      <c r="Y43" s="9" t="str">
        <f>IFERROR(__xludf.DUMMYFUNCTION("""COMPUTED_VALUE"""),"Fort Myers")</f>
        <v>Fort Myers</v>
      </c>
      <c r="Z43" s="9" t="str">
        <f>IFERROR(__xludf.DUMMYFUNCTION("""COMPUTED_VALUE"""),"Gateway")</f>
        <v>Gateway</v>
      </c>
      <c r="AA43" s="9" t="str">
        <f>IFERROR(__xludf.DUMMYFUNCTION("""COMPUTED_VALUE"""),"Allyson Whitney Foundation")</f>
        <v>Allyson Whitney Foundation</v>
      </c>
      <c r="AB43" s="9" t="str">
        <f>IFERROR(__xludf.DUMMYFUNCTION("""COMPUTED_VALUE"""),"Gateway")</f>
        <v>Gateway</v>
      </c>
    </row>
    <row r="44" ht="30.0" customHeight="1">
      <c r="A44" s="17">
        <v>43.0</v>
      </c>
      <c r="B44" s="8" t="str">
        <f>IFERROR(__xludf.DUMMYFUNCTION("""COMPUTED_VALUE"""),"[""99999""]")</f>
        <v>["99999"]</v>
      </c>
      <c r="C44" s="9" t="str">
        <f>IFERROR(__xludf.DUMMYFUNCTION("""COMPUTED_VALUE"""),"American Kidney Fund")</f>
        <v>American Kidney Fund</v>
      </c>
      <c r="D44" s="9" t="str">
        <f>IFERROR(__xludf.DUMMYFUNCTION("""COMPUTED_VALUE"""),"11921 Rockville Pike")</f>
        <v>11921 Rockville Pike</v>
      </c>
      <c r="E44" s="9" t="str">
        <f>IFERROR(__xludf.DUMMYFUNCTION("""COMPUTED_VALUE"""),"Suite 300")</f>
        <v>Suite 300</v>
      </c>
      <c r="F44" s="9" t="str">
        <f>IFERROR(__xludf.DUMMYFUNCTION("""COMPUTED_VALUE"""),"Rockville")</f>
        <v>Rockville</v>
      </c>
      <c r="G44" s="9" t="str">
        <f>IFERROR(__xludf.DUMMYFUNCTION("""COMPUTED_VALUE"""),"MD")</f>
        <v>MD</v>
      </c>
      <c r="H44" s="9" t="str">
        <f>IFERROR(__xludf.DUMMYFUNCTION("""COMPUTED_VALUE"""),"20852")</f>
        <v>20852</v>
      </c>
      <c r="I44" s="9" t="str">
        <f>IFERROR(__xludf.DUMMYFUNCTION("""COMPUTED_VALUE"""),"800-638-8299")</f>
        <v>800-638-8299</v>
      </c>
      <c r="J44" s="9" t="str">
        <f>IFERROR(__xludf.DUMMYFUNCTION("""COMPUTED_VALUE"""),"39.05221372094748, -77.11477665671595")</f>
        <v>39.05221372094748, -77.11477665671595</v>
      </c>
      <c r="K44" s="9" t="str">
        <f>IFERROR(__xludf.DUMMYFUNCTION("""COMPUTED_VALUE"""),"{""regular"":[{""days"":[""Mo"",""Tu"",""We"",""Th"",""Fr""],""open"":""09:00"",""close"":""17:00""}]}")</f>
        <v>{"regular":[{"days":["Mo","Tu","We","Th","Fr"],"open":"09:00","close":"17:00"}]}</v>
      </c>
      <c r="L44" s="9" t="str">
        <f>IFERROR(__xludf.DUMMYFUNCTION("""COMPUTED_VALUE"""),"Apply online")</f>
        <v>Apply online</v>
      </c>
      <c r="M44" s="10">
        <f>IFERROR(__xludf.DUMMYFUNCTION("""COMPUTED_VALUE"""),36.0)</f>
        <v>36</v>
      </c>
      <c r="N44" s="10" t="str">
        <f>IFERROR(__xludf.DUMMYFUNCTION("""COMPUTED_VALUE"""),"Medical - Bill Payment")</f>
        <v>Medical - Bill Payment</v>
      </c>
      <c r="O44" s="10">
        <f>IFERROR(__xludf.DUMMYFUNCTION("""COMPUTED_VALUE"""),1.0)</f>
        <v>1</v>
      </c>
      <c r="P44" s="10" t="str">
        <f>IFERROR(__xludf.DUMMYFUNCTION("""COMPUTED_VALUE"""),"ACTIVE")</f>
        <v>ACTIVE</v>
      </c>
      <c r="Q44" s="11"/>
      <c r="R44" s="9" t="str">
        <f>IFERROR(__xludf.DUMMYFUNCTION("""COMPUTED_VALUE"""),"Verified online")</f>
        <v>Verified online</v>
      </c>
      <c r="S44" s="9" t="str">
        <f>IFERROR(__xludf.DUMMYFUNCTION("""COMPUTED_VALUE"""),"Need-based financial assistance programs help U.S. kidney patients with health insurance premiums, transportation costs and prescription medications.
Check eligibility and apply online.
A charitable patient assistance foundation.")</f>
        <v>Need-based financial assistance programs help U.S. kidney patients with health insurance premiums, transportation costs and prescription medications.
Check eligibility and apply online.
A charitable patient assistance foundation.</v>
      </c>
      <c r="T44" s="12" t="b">
        <f>IFERROR(__xludf.DUMMYFUNCTION("""COMPUTED_VALUE"""),FALSE)</f>
        <v>0</v>
      </c>
      <c r="U44" s="12" t="b">
        <f>IFERROR(__xludf.DUMMYFUNCTION("""COMPUTED_VALUE"""),FALSE)</f>
        <v>0</v>
      </c>
      <c r="V44" s="13" t="str">
        <f>IFERROR(__xludf.DUMMYFUNCTION("""COMPUTED_VALUE"""),"https://www.kidneyfund.org/get-assistance")</f>
        <v>https://www.kidneyfund.org/get-assistance</v>
      </c>
      <c r="W44" s="14" t="str">
        <f>IFERROR(__xludf.DUMMYFUNCTION("""COMPUTED_VALUE"""),"https://www.google.com/maps/place/American+Kidney+Fund/@39.0518139,-77.1196798,16z/data=!3m2!4b1!5s0x89b7cc31c5ed337d:0x5a6d370d8c2bc86f!4m6!3m5!1s0x89b7cd246949ae89:0x563a057bb9f021d0!8m2!3d39.051814!4d-77.1148035!16s%2Fg%2F11vszk1mcb?entry=ttu&amp;g_ep=Egoy"&amp;"MDI2MDEyMC4wIKXMDSoKLDEwMDc5MjA2OUgBUAM%3D")</f>
        <v>https://www.google.com/maps/place/American+Kidney+Fund/@39.0518139,-77.1196798,16z/data=!3m2!4b1!5s0x89b7cc31c5ed337d:0x5a6d370d8c2bc86f!4m6!3m5!1s0x89b7cd246949ae89:0x563a057bb9f021d0!8m2!3d39.051814!4d-77.1148035!16s%2Fg%2F11vszk1mcb?entry=ttu&amp;g_ep=EgoyMDI2MDEyMC4wIKXMDSoKLDEwMDc5MjA2OUgBUAM%3D</v>
      </c>
      <c r="X44" s="10"/>
      <c r="Y44" s="9" t="str">
        <f>IFERROR(__xludf.DUMMYFUNCTION("""COMPUTED_VALUE"""),"Rockville")</f>
        <v>Rockville</v>
      </c>
      <c r="Z44" s="9" t="str">
        <f>IFERROR(__xludf.DUMMYFUNCTION("""COMPUTED_VALUE"""),"North Bethesda")</f>
        <v>North Bethesda</v>
      </c>
      <c r="AA44" s="9" t="str">
        <f>IFERROR(__xludf.DUMMYFUNCTION("""COMPUTED_VALUE"""),"American Kidney Fund")</f>
        <v>American Kidney Fund</v>
      </c>
      <c r="AB44" s="9" t="str">
        <f>IFERROR(__xludf.DUMMYFUNCTION("""COMPUTED_VALUE"""),"North Bethesda")</f>
        <v>North Bethesda</v>
      </c>
    </row>
    <row r="45" ht="30.0" customHeight="1">
      <c r="A45" s="17">
        <v>44.0</v>
      </c>
      <c r="B45" s="8" t="str">
        <f>IFERROR(__xludf.DUMMYFUNCTION("""COMPUTED_VALUE"""),"[""99999""]")</f>
        <v>["99999"]</v>
      </c>
      <c r="C45" s="9" t="str">
        <f>IFERROR(__xludf.DUMMYFUNCTION("""COMPUTED_VALUE"""),"American Red Cross")</f>
        <v>American Red Cross</v>
      </c>
      <c r="D45" s="9" t="str">
        <f>IFERROR(__xludf.DUMMYFUNCTION("""COMPUTED_VALUE"""),"2700 Southwest Fwy")</f>
        <v>2700 Southwest Fwy</v>
      </c>
      <c r="E45" s="9"/>
      <c r="F45" s="9" t="str">
        <f>IFERROR(__xludf.DUMMYFUNCTION("""COMPUTED_VALUE"""),"Houston")</f>
        <v>Houston</v>
      </c>
      <c r="G45" s="9" t="str">
        <f>IFERROR(__xludf.DUMMYFUNCTION("""COMPUTED_VALUE"""),"TX")</f>
        <v>TX</v>
      </c>
      <c r="H45" s="9" t="str">
        <f>IFERROR(__xludf.DUMMYFUNCTION("""COMPUTED_VALUE"""),"77098")</f>
        <v>77098</v>
      </c>
      <c r="I45" s="9" t="str">
        <f>IFERROR(__xludf.DUMMYFUNCTION("""COMPUTED_VALUE"""),"713-526-8300")</f>
        <v>713-526-8300</v>
      </c>
      <c r="J45" s="9" t="str">
        <f>IFERROR(__xludf.DUMMYFUNCTION("""COMPUTED_VALUE"""),"29.7301392368421, -95.4211873421053")</f>
        <v>29.7301392368421, -95.4211873421053</v>
      </c>
      <c r="K45" s="9"/>
      <c r="L45" s="9"/>
      <c r="M45" s="10">
        <f>IFERROR(__xludf.DUMMYFUNCTION("""COMPUTED_VALUE"""),12.0)</f>
        <v>12</v>
      </c>
      <c r="N45" s="10" t="str">
        <f>IFERROR(__xludf.DUMMYFUNCTION("""COMPUTED_VALUE"""),"Utilities")</f>
        <v>Utilities</v>
      </c>
      <c r="O45" s="10">
        <f>IFERROR(__xludf.DUMMYFUNCTION("""COMPUTED_VALUE"""),2.0)</f>
        <v>2</v>
      </c>
      <c r="P45" s="10" t="str">
        <f>IFERROR(__xludf.DUMMYFUNCTION("""COMPUTED_VALUE"""),"LIMITED")</f>
        <v>LIMITED</v>
      </c>
      <c r="Q45" s="11"/>
      <c r="R45" s="9" t="str">
        <f>IFERROR(__xludf.DUMMYFUNCTION("""COMPUTED_VALUE"""),"For disaster victims and military families only.")</f>
        <v>For disaster victims and military families only.</v>
      </c>
      <c r="S45" s="9"/>
      <c r="T45" s="12" t="b">
        <f>IFERROR(__xludf.DUMMYFUNCTION("""COMPUTED_VALUE"""),FALSE)</f>
        <v>0</v>
      </c>
      <c r="U45" s="12" t="b">
        <f>IFERROR(__xludf.DUMMYFUNCTION("""COMPUTED_VALUE"""),FALSE)</f>
        <v>0</v>
      </c>
      <c r="V45" s="13" t="str">
        <f>IFERROR(__xludf.DUMMYFUNCTION("""COMPUTED_VALUE"""),"https://www.redcross.org/local/texas/gulf-coast/about-us/locations/houston.html?CID=organic_gmb_listings")</f>
        <v>https://www.redcross.org/local/texas/gulf-coast/about-us/locations/houston.html?CID=organic_gmb_listings</v>
      </c>
      <c r="W45" s="14" t="str">
        <f>IFERROR(__xludf.DUMMYFUNCTION("""COMPUTED_VALUE"""),"https://maps.google.com/?q=American%20Red%20Cross%202700%20Southwest%20Fwy%20Houston%20TX%2077098")</f>
        <v>https://maps.google.com/?q=American%20Red%20Cross%202700%20Southwest%20Fwy%20Houston%20TX%2077098</v>
      </c>
      <c r="X45" s="10"/>
      <c r="Y45" s="9" t="str">
        <f>IFERROR(__xludf.DUMMYFUNCTION("""COMPUTED_VALUE"""),"Houston")</f>
        <v>Houston</v>
      </c>
      <c r="Z45" s="9" t="str">
        <f>IFERROR(__xludf.DUMMYFUNCTION("""COMPUTED_VALUE"""),"Greenway / Upper Kirby Area, River Oaks, Upper Kirby")</f>
        <v>Greenway / Upper Kirby Area, River Oaks, Upper Kirby</v>
      </c>
      <c r="AA45" s="9" t="str">
        <f>IFERROR(__xludf.DUMMYFUNCTION("""COMPUTED_VALUE"""),"American Red Cross")</f>
        <v>American Red Cross</v>
      </c>
      <c r="AB45" s="9" t="str">
        <f>IFERROR(__xludf.DUMMYFUNCTION("""COMPUTED_VALUE"""),"Greenway / Upper Kirby Area")</f>
        <v>Greenway / Upper Kirby Area</v>
      </c>
    </row>
    <row r="46" ht="30.0" customHeight="1">
      <c r="A46" s="17">
        <v>45.0</v>
      </c>
      <c r="B46" s="8" t="str">
        <f>IFERROR(__xludf.DUMMYFUNCTION("""COMPUTED_VALUE"""),"[""99999""]")</f>
        <v>["99999"]</v>
      </c>
      <c r="C46" s="9" t="str">
        <f>IFERROR(__xludf.DUMMYFUNCTION("""COMPUTED_VALUE"""),"American Red Cross")</f>
        <v>American Red Cross</v>
      </c>
      <c r="D46" s="9" t="str">
        <f>IFERROR(__xludf.DUMMYFUNCTION("""COMPUTED_VALUE"""),"2700 Southwest Fwy")</f>
        <v>2700 Southwest Fwy</v>
      </c>
      <c r="E46" s="9"/>
      <c r="F46" s="10" t="str">
        <f>IFERROR(__xludf.DUMMYFUNCTION("""COMPUTED_VALUE"""),"Houston")</f>
        <v>Houston</v>
      </c>
      <c r="G46" s="9" t="str">
        <f>IFERROR(__xludf.DUMMYFUNCTION("""COMPUTED_VALUE"""),"TX")</f>
        <v>TX</v>
      </c>
      <c r="H46" s="9" t="str">
        <f>IFERROR(__xludf.DUMMYFUNCTION("""COMPUTED_VALUE"""),"77098")</f>
        <v>77098</v>
      </c>
      <c r="I46" s="9" t="str">
        <f>IFERROR(__xludf.DUMMYFUNCTION("""COMPUTED_VALUE"""),"713-526-8300")</f>
        <v>713-526-8300</v>
      </c>
      <c r="J46" s="9" t="str">
        <f>IFERROR(__xludf.DUMMYFUNCTION("""COMPUTED_VALUE"""),"29.7301392368421, -95.4211873421053")</f>
        <v>29.7301392368421, -95.4211873421053</v>
      </c>
      <c r="K46" s="9"/>
      <c r="L46" s="9"/>
      <c r="M46" s="10">
        <f>IFERROR(__xludf.DUMMYFUNCTION("""COMPUTED_VALUE"""),13.0)</f>
        <v>13</v>
      </c>
      <c r="N46" s="10" t="str">
        <f>IFERROR(__xludf.DUMMYFUNCTION("""COMPUTED_VALUE"""),"Food")</f>
        <v>Food</v>
      </c>
      <c r="O46" s="10">
        <f>IFERROR(__xludf.DUMMYFUNCTION("""COMPUTED_VALUE"""),2.0)</f>
        <v>2</v>
      </c>
      <c r="P46" s="10" t="str">
        <f>IFERROR(__xludf.DUMMYFUNCTION("""COMPUTED_VALUE"""),"LIMITED")</f>
        <v>LIMITED</v>
      </c>
      <c r="Q46" s="11"/>
      <c r="R46" s="9" t="str">
        <f>IFERROR(__xludf.DUMMYFUNCTION("""COMPUTED_VALUE"""),"For disaster victims and military families only.")</f>
        <v>For disaster victims and military families only.</v>
      </c>
      <c r="S46" s="9"/>
      <c r="T46" s="12" t="b">
        <f>IFERROR(__xludf.DUMMYFUNCTION("""COMPUTED_VALUE"""),FALSE)</f>
        <v>0</v>
      </c>
      <c r="U46" s="12" t="b">
        <f>IFERROR(__xludf.DUMMYFUNCTION("""COMPUTED_VALUE"""),FALSE)</f>
        <v>0</v>
      </c>
      <c r="V46" s="13" t="str">
        <f>IFERROR(__xludf.DUMMYFUNCTION("""COMPUTED_VALUE"""),"https://www.redcross.org/local/texas/gulf-coast/about-us/locations/houston.html?CID=organic_gmb_listings")</f>
        <v>https://www.redcross.org/local/texas/gulf-coast/about-us/locations/houston.html?CID=organic_gmb_listings</v>
      </c>
      <c r="W46" s="14" t="str">
        <f>IFERROR(__xludf.DUMMYFUNCTION("""COMPUTED_VALUE"""),"https://maps.google.com/?q=American%20Red%20Cross%202700%20Southwest%20Fwy%20Houston%20TX%2077098")</f>
        <v>https://maps.google.com/?q=American%20Red%20Cross%202700%20Southwest%20Fwy%20Houston%20TX%2077098</v>
      </c>
      <c r="X46" s="10"/>
      <c r="Y46" s="9" t="str">
        <f>IFERROR(__xludf.DUMMYFUNCTION("""COMPUTED_VALUE"""),"Houston")</f>
        <v>Houston</v>
      </c>
      <c r="Z46" s="9" t="str">
        <f>IFERROR(__xludf.DUMMYFUNCTION("""COMPUTED_VALUE"""),"Greenway / Upper Kirby Area, River Oaks, Upper Kirby")</f>
        <v>Greenway / Upper Kirby Area, River Oaks, Upper Kirby</v>
      </c>
      <c r="AA46" s="9" t="str">
        <f>IFERROR(__xludf.DUMMYFUNCTION("""COMPUTED_VALUE"""),"American Red Cross")</f>
        <v>American Red Cross</v>
      </c>
      <c r="AB46" s="9" t="str">
        <f>IFERROR(__xludf.DUMMYFUNCTION("""COMPUTED_VALUE"""),"Greenway / Upper Kirby Area")</f>
        <v>Greenway / Upper Kirby Area</v>
      </c>
    </row>
    <row r="47" ht="30.0" customHeight="1">
      <c r="A47" s="17">
        <v>46.0</v>
      </c>
      <c r="B47" s="8" t="str">
        <f>IFERROR(__xludf.DUMMYFUNCTION("""COMPUTED_VALUE"""),"[""99999""]")</f>
        <v>["99999"]</v>
      </c>
      <c r="C47" s="9" t="str">
        <f>IFERROR(__xludf.DUMMYFUNCTION("""COMPUTED_VALUE"""),"American Red Cross")</f>
        <v>American Red Cross</v>
      </c>
      <c r="D47" s="9" t="str">
        <f>IFERROR(__xludf.DUMMYFUNCTION("""COMPUTED_VALUE"""),"2700 Southwest Fwy")</f>
        <v>2700 Southwest Fwy</v>
      </c>
      <c r="E47" s="9"/>
      <c r="F47" s="10" t="str">
        <f>IFERROR(__xludf.DUMMYFUNCTION("""COMPUTED_VALUE"""),"Houston")</f>
        <v>Houston</v>
      </c>
      <c r="G47" s="9" t="str">
        <f>IFERROR(__xludf.DUMMYFUNCTION("""COMPUTED_VALUE"""),"TX")</f>
        <v>TX</v>
      </c>
      <c r="H47" s="9" t="str">
        <f>IFERROR(__xludf.DUMMYFUNCTION("""COMPUTED_VALUE"""),"77098")</f>
        <v>77098</v>
      </c>
      <c r="I47" s="9" t="str">
        <f>IFERROR(__xludf.DUMMYFUNCTION("""COMPUTED_VALUE"""),"713-526-8300")</f>
        <v>713-526-8300</v>
      </c>
      <c r="J47" s="9" t="str">
        <f>IFERROR(__xludf.DUMMYFUNCTION("""COMPUTED_VALUE"""),"29.7301392368421, -95.4211873421053")</f>
        <v>29.7301392368421, -95.4211873421053</v>
      </c>
      <c r="K47" s="9"/>
      <c r="L47" s="9"/>
      <c r="M47" s="10">
        <f>IFERROR(__xludf.DUMMYFUNCTION("""COMPUTED_VALUE"""),14.0)</f>
        <v>14</v>
      </c>
      <c r="N47" s="10" t="str">
        <f>IFERROR(__xludf.DUMMYFUNCTION("""COMPUTED_VALUE"""),"Clothing")</f>
        <v>Clothing</v>
      </c>
      <c r="O47" s="10">
        <f>IFERROR(__xludf.DUMMYFUNCTION("""COMPUTED_VALUE"""),2.0)</f>
        <v>2</v>
      </c>
      <c r="P47" s="10" t="str">
        <f>IFERROR(__xludf.DUMMYFUNCTION("""COMPUTED_VALUE"""),"LIMITED")</f>
        <v>LIMITED</v>
      </c>
      <c r="Q47" s="11"/>
      <c r="R47" s="9" t="str">
        <f>IFERROR(__xludf.DUMMYFUNCTION("""COMPUTED_VALUE"""),"For disaster victims and military families only.")</f>
        <v>For disaster victims and military families only.</v>
      </c>
      <c r="S47" s="9"/>
      <c r="T47" s="12" t="b">
        <f>IFERROR(__xludf.DUMMYFUNCTION("""COMPUTED_VALUE"""),FALSE)</f>
        <v>0</v>
      </c>
      <c r="U47" s="12" t="b">
        <f>IFERROR(__xludf.DUMMYFUNCTION("""COMPUTED_VALUE"""),FALSE)</f>
        <v>0</v>
      </c>
      <c r="V47" s="13" t="str">
        <f>IFERROR(__xludf.DUMMYFUNCTION("""COMPUTED_VALUE"""),"https://www.redcross.org/local/texas/gulf-coast/about-us/locations/houston.html?CID=organic_gmb_listings")</f>
        <v>https://www.redcross.org/local/texas/gulf-coast/about-us/locations/houston.html?CID=organic_gmb_listings</v>
      </c>
      <c r="W47" s="14" t="str">
        <f>IFERROR(__xludf.DUMMYFUNCTION("""COMPUTED_VALUE"""),"https://maps.google.com/?q=American%20Red%20Cross%202700%20Southwest%20Fwy%20Houston%20TX%2077098")</f>
        <v>https://maps.google.com/?q=American%20Red%20Cross%202700%20Southwest%20Fwy%20Houston%20TX%2077098</v>
      </c>
      <c r="X47" s="10"/>
      <c r="Y47" s="9" t="str">
        <f>IFERROR(__xludf.DUMMYFUNCTION("""COMPUTED_VALUE"""),"Houston")</f>
        <v>Houston</v>
      </c>
      <c r="Z47" s="9" t="str">
        <f>IFERROR(__xludf.DUMMYFUNCTION("""COMPUTED_VALUE"""),"Greenway / Upper Kirby Area, River Oaks, Upper Kirby")</f>
        <v>Greenway / Upper Kirby Area, River Oaks, Upper Kirby</v>
      </c>
      <c r="AA47" s="9" t="str">
        <f>IFERROR(__xludf.DUMMYFUNCTION("""COMPUTED_VALUE"""),"American Red Cross")</f>
        <v>American Red Cross</v>
      </c>
      <c r="AB47" s="9" t="str">
        <f>IFERROR(__xludf.DUMMYFUNCTION("""COMPUTED_VALUE"""),"Greenway / Upper Kirby Area")</f>
        <v>Greenway / Upper Kirby Area</v>
      </c>
    </row>
    <row r="48" ht="30.0" customHeight="1">
      <c r="A48" s="17">
        <v>47.0</v>
      </c>
      <c r="B48" s="8" t="str">
        <f>IFERROR(__xludf.DUMMYFUNCTION("""COMPUTED_VALUE"""),"[""99999""]")</f>
        <v>["99999"]</v>
      </c>
      <c r="C48" s="9" t="str">
        <f>IFERROR(__xludf.DUMMYFUNCTION("""COMPUTED_VALUE"""),"Anchor Point")</f>
        <v>Anchor Point</v>
      </c>
      <c r="D48" s="9" t="str">
        <f>IFERROR(__xludf.DUMMYFUNCTION("""COMPUTED_VALUE"""),"103 Davis Road, Suite B")</f>
        <v>103 Davis Road, Suite B</v>
      </c>
      <c r="E48" s="9"/>
      <c r="F48" s="9" t="str">
        <f>IFERROR(__xludf.DUMMYFUNCTION("""COMPUTED_VALUE"""),"League City")</f>
        <v>League City</v>
      </c>
      <c r="G48" s="9" t="str">
        <f>IFERROR(__xludf.DUMMYFUNCTION("""COMPUTED_VALUE"""),"TX")</f>
        <v>TX</v>
      </c>
      <c r="H48" s="9" t="str">
        <f>IFERROR(__xludf.DUMMYFUNCTION("""COMPUTED_VALUE"""),"77573")</f>
        <v>77573</v>
      </c>
      <c r="I48" s="9" t="str">
        <f>IFERROR(__xludf.DUMMYFUNCTION("""COMPUTED_VALUE"""),"832-632-1221")</f>
        <v>832-632-1221</v>
      </c>
      <c r="J48" s="9" t="str">
        <f>IFERROR(__xludf.DUMMYFUNCTION("""COMPUTED_VALUE"""),"29.5294698851117, -95.0726858411499")</f>
        <v>29.5294698851117, -95.0726858411499</v>
      </c>
      <c r="K48" s="9" t="str">
        <f>IFERROR(__xludf.DUMMYFUNCTION("""COMPUTED_VALUE"""),"{""regular"":[{""days"":[""Mo"",""Tu"",""We"",""Th"",""Fr""],""open"":null,""close"":null}]}")</f>
        <v>{"regular":[{"days":["Mo","Tu","We","Th","Fr"],"open":null,"close":null}]}</v>
      </c>
      <c r="L48" s="9"/>
      <c r="M48" s="10">
        <f>IFERROR(__xludf.DUMMYFUNCTION("""COMPUTED_VALUE"""),65.0)</f>
        <v>65</v>
      </c>
      <c r="N48" s="10" t="str">
        <f>IFERROR(__xludf.DUMMYFUNCTION("""COMPUTED_VALUE"""),"Other")</f>
        <v>Other</v>
      </c>
      <c r="O48" s="10">
        <f>IFERROR(__xludf.DUMMYFUNCTION("""COMPUTED_VALUE"""),4.0)</f>
        <v>4</v>
      </c>
      <c r="P48" s="10" t="str">
        <f>IFERROR(__xludf.DUMMYFUNCTION("""COMPUTED_VALUE"""),"CLOSED")</f>
        <v>CLOSED</v>
      </c>
      <c r="Q48" s="11">
        <f>IFERROR(__xludf.DUMMYFUNCTION("""COMPUTED_VALUE"""),45948.0)</f>
        <v>45948</v>
      </c>
      <c r="R48" s="9" t="str">
        <f>IFERROR(__xludf.DUMMYFUNCTION("""COMPUTED_VALUE"""),"Appears to be a conduit for for-profit clinic")</f>
        <v>Appears to be a conduit for for-profit clinic</v>
      </c>
      <c r="S48" s="9"/>
      <c r="T48" s="12" t="b">
        <f>IFERROR(__xludf.DUMMYFUNCTION("""COMPUTED_VALUE"""),FALSE)</f>
        <v>0</v>
      </c>
      <c r="U48" s="12" t="b">
        <f>IFERROR(__xludf.DUMMYFUNCTION("""COMPUTED_VALUE"""),FALSE)</f>
        <v>0</v>
      </c>
      <c r="V48" s="13" t="str">
        <f>IFERROR(__xludf.DUMMYFUNCTION("""COMPUTED_VALUE"""),"https://anchorpoint.us/")</f>
        <v>https://anchorpoint.us/</v>
      </c>
      <c r="W48" s="14" t="str">
        <f>IFERROR(__xludf.DUMMYFUNCTION("""COMPUTED_VALUE"""),"https://www.google.com/maps/place/Anchor+Point/@29.529608,-95.0759713,16z/data=!3m1!4b1!4m6!3m5!1s0x86409d427a7055f7:0x69975b23d0d7abe5!8m2!3d29.529608!4d-95.073391!16s%2Fg%2F1tlkcrn3?entry=ttu&amp;g_ep=EgoyMDI1MDQwOS4wIKXMDSoASAFQAw%3D%3D")</f>
        <v>https://www.google.com/maps/place/Anchor+Point/@29.529608,-95.0759713,16z/data=!3m1!4b1!4m6!3m5!1s0x86409d427a7055f7:0x69975b23d0d7abe5!8m2!3d29.529608!4d-95.073391!16s%2Fg%2F1tlkcrn3?entry=ttu&amp;g_ep=EgoyMDI1MDQwOS4wIKXMDSoASAFQAw%3D%3D</v>
      </c>
      <c r="X48" s="10"/>
      <c r="Y48" s="9" t="str">
        <f>IFERROR(__xludf.DUMMYFUNCTION("""COMPUTED_VALUE"""),"League City")</f>
        <v>League City</v>
      </c>
      <c r="Z48" s="9" t="str">
        <f>IFERROR(__xludf.DUMMYFUNCTION("""COMPUTED_VALUE"""),"League City, South Shore Harbour, Victory Lakes")</f>
        <v>League City, South Shore Harbour, Victory Lakes</v>
      </c>
      <c r="AA48" s="9" t="str">
        <f>IFERROR(__xludf.DUMMYFUNCTION("""COMPUTED_VALUE"""),"Anchor Point")</f>
        <v>Anchor Point</v>
      </c>
      <c r="AB48" s="9" t="str">
        <f>IFERROR(__xludf.DUMMYFUNCTION("""COMPUTED_VALUE"""),"League City")</f>
        <v>League City</v>
      </c>
    </row>
    <row r="49" ht="30.0" customHeight="1">
      <c r="A49" s="17">
        <v>48.0</v>
      </c>
      <c r="B49" s="8" t="str">
        <f>IFERROR(__xludf.DUMMYFUNCTION("""COMPUTED_VALUE"""),"[""99999""]")</f>
        <v>["99999"]</v>
      </c>
      <c r="C49" s="9" t="str">
        <f>IFERROR(__xludf.DUMMYFUNCTION("""COMPUTED_VALUE"""),"Angela House")</f>
        <v>Angela House</v>
      </c>
      <c r="D49" s="9" t="str">
        <f>IFERROR(__xludf.DUMMYFUNCTION("""COMPUTED_VALUE"""),"6725 Reed Road")</f>
        <v>6725 Reed Road</v>
      </c>
      <c r="E49" s="9"/>
      <c r="F49" s="10" t="str">
        <f>IFERROR(__xludf.DUMMYFUNCTION("""COMPUTED_VALUE"""),"Houston")</f>
        <v>Houston</v>
      </c>
      <c r="G49" s="9" t="str">
        <f>IFERROR(__xludf.DUMMYFUNCTION("""COMPUTED_VALUE"""),"TX")</f>
        <v>TX</v>
      </c>
      <c r="H49" s="9" t="str">
        <f>IFERROR(__xludf.DUMMYFUNCTION("""COMPUTED_VALUE"""),"77087")</f>
        <v>77087</v>
      </c>
      <c r="I49" s="9" t="str">
        <f>IFERROR(__xludf.DUMMYFUNCTION("""COMPUTED_VALUE"""),"281-445-9696")</f>
        <v>281-445-9696</v>
      </c>
      <c r="J49" s="9" t="str">
        <f>IFERROR(__xludf.DUMMYFUNCTION("""COMPUTED_VALUE"""),"29.6610695260382, -95.3082044659209")</f>
        <v>29.6610695260382, -95.3082044659209</v>
      </c>
      <c r="K49" s="9" t="str">
        <f>IFERROR(__xludf.DUMMYFUNCTION("""COMPUTED_VALUE"""),"{""regular"":[{""days"":[""Mo"",""Tu"",""We"",""Th"",""Fr""],""open"":null,""close"":null}]}")</f>
        <v>{"regular":[{"days":["Mo","Tu","We","Th","Fr"],"open":null,"close":null}]}</v>
      </c>
      <c r="L49" s="9"/>
      <c r="M49" s="10">
        <f>IFERROR(__xludf.DUMMYFUNCTION("""COMPUTED_VALUE"""),24.0)</f>
        <v>24</v>
      </c>
      <c r="N49" s="10" t="str">
        <f>IFERROR(__xludf.DUMMYFUNCTION("""COMPUTED_VALUE"""),"Housing")</f>
        <v>Housing</v>
      </c>
      <c r="O49" s="10">
        <f>IFERROR(__xludf.DUMMYFUNCTION("""COMPUTED_VALUE"""),1.0)</f>
        <v>1</v>
      </c>
      <c r="P49" s="10" t="str">
        <f>IFERROR(__xludf.DUMMYFUNCTION("""COMPUTED_VALUE"""),"ACTIVE")</f>
        <v>ACTIVE</v>
      </c>
      <c r="Q49" s="11">
        <f>IFERROR(__xludf.DUMMYFUNCTION("""COMPUTED_VALUE"""),45761.0)</f>
        <v>45761</v>
      </c>
      <c r="R49" s="9" t="str">
        <f>IFERROR(__xludf.DUMMYFUNCTION("""COMPUTED_VALUE"""),"SVdP Church Help for Moms Ministry")</f>
        <v>SVdP Church Help for Moms Ministry</v>
      </c>
      <c r="S49" s="9" t="str">
        <f>IFERROR(__xludf.DUMMYFUNCTION("""COMPUTED_VALUE"""),"Transitional housing for women currently incarcerated, on probation or on parole.
Shelter")</f>
        <v>Transitional housing for women currently incarcerated, on probation or on parole.
Shelter</v>
      </c>
      <c r="T49" s="12" t="b">
        <f>IFERROR(__xludf.DUMMYFUNCTION("""COMPUTED_VALUE"""),FALSE)</f>
        <v>0</v>
      </c>
      <c r="U49" s="12" t="b">
        <f>IFERROR(__xludf.DUMMYFUNCTION("""COMPUTED_VALUE"""),FALSE)</f>
        <v>0</v>
      </c>
      <c r="V49" s="13" t="str">
        <f>IFERROR(__xludf.DUMMYFUNCTION("""COMPUTED_VALUE"""),"https://angelahouse.org/")</f>
        <v>https://angelahouse.org/</v>
      </c>
      <c r="W49" s="14" t="str">
        <f>IFERROR(__xludf.DUMMYFUNCTION("""COMPUTED_VALUE"""),"https://www.google.com/maps/place/Angela+House/@29.6622836,-95.3099262,17z/data=!3m1!4b1!4m6!3m5!1s0x8640c826aaaaaaab:0x127be3a1fd2185bb!8m2!3d29.6622836!4d-95.3073513!16s%2Fg%2F12642tldr?entry=ttu&amp;g_ep=EgoyMDI1MDQwOS4wIKXMDSoASAFQAw%3D%3D")</f>
        <v>https://www.google.com/maps/place/Angela+House/@29.6622836,-95.3099262,17z/data=!3m1!4b1!4m6!3m5!1s0x8640c826aaaaaaab:0x127be3a1fd2185bb!8m2!3d29.6622836!4d-95.3073513!16s%2Fg%2F12642tldr?entry=ttu&amp;g_ep=EgoyMDI1MDQwOS4wIKXMDSoASAFQAw%3D%3D</v>
      </c>
      <c r="X49" s="10"/>
      <c r="Y49" s="9" t="str">
        <f>IFERROR(__xludf.DUMMYFUNCTION("""COMPUTED_VALUE"""),"Houston")</f>
        <v>Houston</v>
      </c>
      <c r="Z49" s="9" t="str">
        <f>IFERROR(__xludf.DUMMYFUNCTION("""COMPUTED_VALUE"""),"Gulfgate, Gulfgate Riverview / Pine Valley, Pine Valley, Southeast Houston")</f>
        <v>Gulfgate, Gulfgate Riverview / Pine Valley, Pine Valley, Southeast Houston</v>
      </c>
      <c r="AA49" s="9" t="str">
        <f>IFERROR(__xludf.DUMMYFUNCTION("""COMPUTED_VALUE"""),"Angela House")</f>
        <v>Angela House</v>
      </c>
      <c r="AB49" s="9" t="str">
        <f>IFERROR(__xludf.DUMMYFUNCTION("""COMPUTED_VALUE"""),"Southeast Houston")</f>
        <v>Southeast Houston</v>
      </c>
    </row>
    <row r="50" ht="30.0" customHeight="1">
      <c r="A50" s="17">
        <v>49.0</v>
      </c>
      <c r="B50" s="8" t="str">
        <f>IFERROR(__xludf.DUMMYFUNCTION("""COMPUTED_VALUE"""),"[""99999""]")</f>
        <v>["99999"]</v>
      </c>
      <c r="C50" s="9" t="str">
        <f>IFERROR(__xludf.DUMMYFUNCTION("""COMPUTED_VALUE"""),"Annunciation Maternity Home")</f>
        <v>Annunciation Maternity Home</v>
      </c>
      <c r="D50" s="9" t="str">
        <f>IFERROR(__xludf.DUMMYFUNCTION("""COMPUTED_VALUE"""),"3610 Shell Road")</f>
        <v>3610 Shell Road</v>
      </c>
      <c r="E50" s="9"/>
      <c r="F50" s="10" t="str">
        <f>IFERROR(__xludf.DUMMYFUNCTION("""COMPUTED_VALUE"""),"Georgetown")</f>
        <v>Georgetown</v>
      </c>
      <c r="G50" s="9" t="str">
        <f>IFERROR(__xludf.DUMMYFUNCTION("""COMPUTED_VALUE"""),"TX")</f>
        <v>TX</v>
      </c>
      <c r="H50" s="9" t="str">
        <f>IFERROR(__xludf.DUMMYFUNCTION("""COMPUTED_VALUE"""),"78628")</f>
        <v>78628</v>
      </c>
      <c r="I50" s="9"/>
      <c r="J50" s="9" t="str">
        <f>IFERROR(__xludf.DUMMYFUNCTION("""COMPUTED_VALUE"""),"30.7189464778299, -97.6780014967854")</f>
        <v>30.7189464778299, -97.6780014967854</v>
      </c>
      <c r="K50" s="9" t="str">
        <f>IFERROR(__xludf.DUMMYFUNCTION("""COMPUTED_VALUE"""),"{""regular"":[{""days"":[""Mo"",""Tu"",""We"",""Th"",""Fr""],""open"":null,""close"":null}]}")</f>
        <v>{"regular":[{"days":["Mo","Tu","We","Th","Fr"],"open":null,"close":null}]}</v>
      </c>
      <c r="L50" s="9"/>
      <c r="M50" s="10">
        <f>IFERROR(__xludf.DUMMYFUNCTION("""COMPUTED_VALUE"""),24.0)</f>
        <v>24</v>
      </c>
      <c r="N50" s="10" t="str">
        <f>IFERROR(__xludf.DUMMYFUNCTION("""COMPUTED_VALUE"""),"Housing")</f>
        <v>Housing</v>
      </c>
      <c r="O50" s="10">
        <f>IFERROR(__xludf.DUMMYFUNCTION("""COMPUTED_VALUE"""),1.0)</f>
        <v>1</v>
      </c>
      <c r="P50" s="10" t="str">
        <f>IFERROR(__xludf.DUMMYFUNCTION("""COMPUTED_VALUE"""),"ACTIVE")</f>
        <v>ACTIVE</v>
      </c>
      <c r="Q50" s="11">
        <f>IFERROR(__xludf.DUMMYFUNCTION("""COMPUTED_VALUE"""),45761.0)</f>
        <v>45761</v>
      </c>
      <c r="R50" s="9" t="str">
        <f>IFERROR(__xludf.DUMMYFUNCTION("""COMPUTED_VALUE"""),"SVdP Church Help for Moms Ministry")</f>
        <v>SVdP Church Help for Moms Ministry</v>
      </c>
      <c r="S50" s="9" t="str">
        <f>IFERROR(__xludf.DUMMYFUNCTION("""COMPUTED_VALUE"""),"Housing and related services for women facing unplanned pregnancies.
Educational opportunities
Health services")</f>
        <v>Housing and related services for women facing unplanned pregnancies.
Educational opportunities
Health services</v>
      </c>
      <c r="T50" s="12" t="b">
        <f>IFERROR(__xludf.DUMMYFUNCTION("""COMPUTED_VALUE"""),FALSE)</f>
        <v>0</v>
      </c>
      <c r="U50" s="12" t="b">
        <f>IFERROR(__xludf.DUMMYFUNCTION("""COMPUTED_VALUE"""),FALSE)</f>
        <v>0</v>
      </c>
      <c r="V50" s="13" t="str">
        <f>IFERROR(__xludf.DUMMYFUNCTION("""COMPUTED_VALUE"""),"https://wp.thematernityhome.org/")</f>
        <v>https://wp.thematernityhome.org/</v>
      </c>
      <c r="W50" s="14" t="str">
        <f>IFERROR(__xludf.DUMMYFUNCTION("""COMPUTED_VALUE"""),"https://www.google.com/maps/place/Annunciation+Maternity+Home/@30.715947,-97.6779099,16z/data=!3m1!4b1!4m6!3m5!1s0x8645290abe886bc3:0x37691a5b7468dd82!8m2!3d30.715947!4d-97.675335!16s%2Fg%2F11xln2gz0?entry=ttu&amp;g_ep=EgoyMDI1MDQwOS4wIKXMDSoASAFQAw%3D%3D")</f>
        <v>https://www.google.com/maps/place/Annunciation+Maternity+Home/@30.715947,-97.6779099,16z/data=!3m1!4b1!4m6!3m5!1s0x8645290abe886bc3:0x37691a5b7468dd82!8m2!3d30.715947!4d-97.675335!16s%2Fg%2F11xln2gz0?entry=ttu&amp;g_ep=EgoyMDI1MDQwOS4wIKXMDSoASAFQAw%3D%3D</v>
      </c>
      <c r="X50" s="10"/>
      <c r="Y50" s="9" t="str">
        <f>IFERROR(__xludf.DUMMYFUNCTION("""COMPUTED_VALUE"""),"Georgetown")</f>
        <v>Georgetown</v>
      </c>
      <c r="Z50" s="9" t="str">
        <f>IFERROR(__xludf.DUMMYFUNCTION("""COMPUTED_VALUE"""),"Georgetown")</f>
        <v>Georgetown</v>
      </c>
      <c r="AA50" s="9" t="str">
        <f>IFERROR(__xludf.DUMMYFUNCTION("""COMPUTED_VALUE"""),"Annunciation Maternity Home")</f>
        <v>Annunciation Maternity Home</v>
      </c>
      <c r="AB50" s="9" t="str">
        <f>IFERROR(__xludf.DUMMYFUNCTION("""COMPUTED_VALUE"""),"Georgetown")</f>
        <v>Georgetown</v>
      </c>
    </row>
    <row r="51" ht="30.0" customHeight="1">
      <c r="A51" s="17">
        <v>50.0</v>
      </c>
      <c r="B5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51" s="9" t="str">
        <f>IFERROR(__xludf.DUMMYFUNCTION("""COMPUTED_VALUE"""),"Antoine Clinic")</f>
        <v>Antoine Clinic</v>
      </c>
      <c r="D51" s="9" t="str">
        <f>IFERROR(__xludf.DUMMYFUNCTION("""COMPUTED_VALUE"""),"5815 Antoine Drive")</f>
        <v>5815 Antoine Drive</v>
      </c>
      <c r="E51" s="9"/>
      <c r="F51" s="9" t="str">
        <f>IFERROR(__xludf.DUMMYFUNCTION("""COMPUTED_VALUE"""),"Houston")</f>
        <v>Houston</v>
      </c>
      <c r="G51" s="9" t="str">
        <f>IFERROR(__xludf.DUMMYFUNCTION("""COMPUTED_VALUE"""),"TX")</f>
        <v>TX</v>
      </c>
      <c r="H51" s="9" t="str">
        <f>IFERROR(__xludf.DUMMYFUNCTION("""COMPUTED_VALUE"""),"77091")</f>
        <v>77091</v>
      </c>
      <c r="I51" s="9" t="str">
        <f>IFERROR(__xludf.DUMMYFUNCTION("""COMPUTED_VALUE"""),"832-927-7350")</f>
        <v>832-927-7350</v>
      </c>
      <c r="J51" s="9" t="str">
        <f>IFERROR(__xludf.DUMMYFUNCTION("""COMPUTED_VALUE"""),"29.849787969654255, -95.47490325913498")</f>
        <v>29.849787969654255, -95.47490325913498</v>
      </c>
      <c r="K51" s="9" t="str">
        <f>IFERROR(__xludf.DUMMYFUNCTION("""COMPUTED_VALUE"""),"{""regular"":[{""days"":[""Mo"",""Tu"",""We"",""Th""],""open"":""08:00"",""close"":""19:00""},{""days"":[""Sa""],""open"":""08:00"",""close"":""14:00""}]}")</f>
        <v>{"regular":[{"days":["Mo","Tu","We","Th"],"open":"08:00","close":"19:00"},{"days":["Sa"],"open":"08:00","close":"14:00"}]}</v>
      </c>
      <c r="L51" s="9"/>
      <c r="M51" s="10">
        <f>IFERROR(__xludf.DUMMYFUNCTION("""COMPUTED_VALUE"""),31.0)</f>
        <v>31</v>
      </c>
      <c r="N51" s="10" t="str">
        <f>IFERROR(__xludf.DUMMYFUNCTION("""COMPUTED_VALUE"""),"Medical - Primary Care")</f>
        <v>Medical - Primary Care</v>
      </c>
      <c r="O51" s="10">
        <f>IFERROR(__xludf.DUMMYFUNCTION("""COMPUTED_VALUE"""),1.0)</f>
        <v>1</v>
      </c>
      <c r="P51" s="10" t="str">
        <f>IFERROR(__xludf.DUMMYFUNCTION("""COMPUTED_VALUE"""),"ACTIVE")</f>
        <v>ACTIVE</v>
      </c>
      <c r="Q51" s="11">
        <f>IFERROR(__xludf.DUMMYFUNCTION("""COMPUTED_VALUE"""),46050.0)</f>
        <v>46050</v>
      </c>
      <c r="R51" s="9" t="str">
        <f>IFERROR(__xludf.DUMMYFUNCTION("""COMPUTED_VALUE"""),"Verified via CCSC flyer")</f>
        <v>Verified via CCSC flyer</v>
      </c>
      <c r="S51" s="9" t="str">
        <f>IFERROR(__xludf.DUMMYFUNCTION("""COMPUTED_VALUE"""),"Sexual Health
Comprehensive sexual health services including STI testing for HIV, Syphilis, Gonorrhea and Chlamydia.
Prescriptions for PrEP, immunizations.")</f>
        <v>Sexual Health
Comprehensive sexual health services including STI testing for HIV, Syphilis, Gonorrhea and Chlamydia.
Prescriptions for PrEP, immunizations.</v>
      </c>
      <c r="T51" s="12" t="b">
        <f>IFERROR(__xludf.DUMMYFUNCTION("""COMPUTED_VALUE"""),FALSE)</f>
        <v>0</v>
      </c>
      <c r="U51" s="12" t="b">
        <f>IFERROR(__xludf.DUMMYFUNCTION("""COMPUTED_VALUE"""),FALSE)</f>
        <v>0</v>
      </c>
      <c r="V51" s="13" t="str">
        <f>IFERROR(__xludf.DUMMYFUNCTION("""COMPUTED_VALUE"""),"https://publichealth.harriscountytx.gov/Divisions-Offices/Divisions/Community-Health-Wellness-Division/HIV-STI-Prevention")</f>
        <v>https://publichealth.harriscountytx.gov/Divisions-Offices/Divisions/Community-Health-Wellness-Division/HIV-STI-Prevention</v>
      </c>
      <c r="W51" s="14" t="str">
        <f>IFERROR(__xludf.DUMMYFUNCTION("""COMPUTED_VALUE"""),"https://www.google.com/maps/place/Harris+County+Public+Health+Antoine+Clinic/@29.8495368,-95.4797903,17z/data=!3m1!4b1!4m6!3m5!1s0x8640c60628e1da99:0x67a191704b8c03b5!8m2!3d29.8495369!4d-95.474914!16s%2Fg%2F1tfzh4dy?entry=ttu&amp;g_ep=EgoyMDI2MDEyNi4wIKXMDSoK"&amp;"LDEwMDc5MjA2OUgBUAM%3D")</f>
        <v>https://www.google.com/maps/place/Harris+County+Public+Health+Antoine+Clinic/@29.8495368,-95.4797903,17z/data=!3m1!4b1!4m6!3m5!1s0x8640c60628e1da99:0x67a191704b8c03b5!8m2!3d29.8495369!4d-95.474914!16s%2Fg%2F1tfzh4dy?entry=ttu&amp;g_ep=EgoyMDI2MDEyNi4wIKXMDSoKLDEwMDc5MjA2OUgBUAM%3D</v>
      </c>
      <c r="X51" s="10"/>
      <c r="Y51" s="9" t="str">
        <f>IFERROR(__xludf.DUMMYFUNCTION("""COMPUTED_VALUE"""),"Houston")</f>
        <v>Houston</v>
      </c>
      <c r="Z51" s="9" t="str">
        <f>IFERROR(__xludf.DUMMYFUNCTION("""COMPUTED_VALUE"""),"Acres Home, Garden Oaks North, Northside / Northline")</f>
        <v>Acres Home, Garden Oaks North, Northside / Northline</v>
      </c>
      <c r="AA51" s="9" t="str">
        <f>IFERROR(__xludf.DUMMYFUNCTION("""COMPUTED_VALUE"""),"Harris County Public Health")</f>
        <v>Harris County Public Health</v>
      </c>
      <c r="AB51" s="9" t="str">
        <f>IFERROR(__xludf.DUMMYFUNCTION("""COMPUTED_VALUE"""),"Northside")</f>
        <v>Northside</v>
      </c>
    </row>
    <row r="52" ht="30.0" customHeight="1">
      <c r="A52" s="17">
        <v>51.0</v>
      </c>
      <c r="B5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52" s="9" t="str">
        <f>IFERROR(__xludf.DUMMYFUNCTION("""COMPUTED_VALUE"""),"Antoine Clinic")</f>
        <v>Antoine Clinic</v>
      </c>
      <c r="D52" s="9" t="str">
        <f>IFERROR(__xludf.DUMMYFUNCTION("""COMPUTED_VALUE"""),"5815 Antoine Drive")</f>
        <v>5815 Antoine Drive</v>
      </c>
      <c r="E52" s="9"/>
      <c r="F52" s="9" t="str">
        <f>IFERROR(__xludf.DUMMYFUNCTION("""COMPUTED_VALUE"""),"Houston")</f>
        <v>Houston</v>
      </c>
      <c r="G52" s="9" t="str">
        <f>IFERROR(__xludf.DUMMYFUNCTION("""COMPUTED_VALUE"""),"TX")</f>
        <v>TX</v>
      </c>
      <c r="H52" s="9" t="str">
        <f>IFERROR(__xludf.DUMMYFUNCTION("""COMPUTED_VALUE"""),"77091")</f>
        <v>77091</v>
      </c>
      <c r="I52" s="9" t="str">
        <f>IFERROR(__xludf.DUMMYFUNCTION("""COMPUTED_VALUE"""),"832-927-7350")</f>
        <v>832-927-7350</v>
      </c>
      <c r="J52" s="9" t="str">
        <f>IFERROR(__xludf.DUMMYFUNCTION("""COMPUTED_VALUE"""),"29.849787969654255, -95.47490325913498")</f>
        <v>29.849787969654255, -95.47490325913498</v>
      </c>
      <c r="K52" s="9" t="str">
        <f>IFERROR(__xludf.DUMMYFUNCTION("""COMPUTED_VALUE"""),"{""regular"":[{""days"":[""Mo"",""Tu"",""We"",""Th""],""open"":""09:00"",""close"":""18:00""},{""days"":[""Sa""],""open"":""09:00"",""close"":""14:00""}]}")</f>
        <v>{"regular":[{"days":["Mo","Tu","We","Th"],"open":"09:00","close":"18:00"},{"days":["Sa"],"open":"09:00","close":"14:00"}]}</v>
      </c>
      <c r="L52" s="9" t="str">
        <f>IFERROR(__xludf.DUMMYFUNCTION("""COMPUTED_VALUE"""),"Appointment required")</f>
        <v>Appointment required</v>
      </c>
      <c r="M52" s="10">
        <f>IFERROR(__xludf.DUMMYFUNCTION("""COMPUTED_VALUE"""),31.0)</f>
        <v>31</v>
      </c>
      <c r="N52" s="10" t="str">
        <f>IFERROR(__xludf.DUMMYFUNCTION("""COMPUTED_VALUE"""),"Medical - Primary Care")</f>
        <v>Medical - Primary Care</v>
      </c>
      <c r="O52" s="10">
        <f>IFERROR(__xludf.DUMMYFUNCTION("""COMPUTED_VALUE"""),1.0)</f>
        <v>1</v>
      </c>
      <c r="P52" s="10" t="str">
        <f>IFERROR(__xludf.DUMMYFUNCTION("""COMPUTED_VALUE"""),"ACTIVE")</f>
        <v>ACTIVE</v>
      </c>
      <c r="Q52" s="11">
        <f>IFERROR(__xludf.DUMMYFUNCTION("""COMPUTED_VALUE"""),46050.0)</f>
        <v>46050</v>
      </c>
      <c r="R52" s="9" t="str">
        <f>IFERROR(__xludf.DUMMYFUNCTION("""COMPUTED_VALUE"""),"Verified online")</f>
        <v>Verified online</v>
      </c>
      <c r="S52" s="9" t="str">
        <f>IFERROR(__xludf.DUMMYFUNCTION("""COMPUTED_VALUE"""),"Low-cost preventive health services.
Co-pays are based on family income and household size.")</f>
        <v>Low-cost preventive health services.
Co-pays are based on family income and household size.</v>
      </c>
      <c r="T52" s="12" t="b">
        <f>IFERROR(__xludf.DUMMYFUNCTION("""COMPUTED_VALUE"""),FALSE)</f>
        <v>0</v>
      </c>
      <c r="U52" s="12" t="b">
        <f>IFERROR(__xludf.DUMMYFUNCTION("""COMPUTED_VALUE"""),FALSE)</f>
        <v>0</v>
      </c>
      <c r="V52" s="13" t="str">
        <f>IFERROR(__xludf.DUMMYFUNCTION("""COMPUTED_VALUE"""),"https://publichealth.harriscountytx.gov/Divisions-Offices/Divisions/Community-Health-Wellness-Division/Health-Services")</f>
        <v>https://publichealth.harriscountytx.gov/Divisions-Offices/Divisions/Community-Health-Wellness-Division/Health-Services</v>
      </c>
      <c r="W52" s="14" t="str">
        <f>IFERROR(__xludf.DUMMYFUNCTION("""COMPUTED_VALUE"""),"https://www.google.com/maps/place/Harris+County+Public+Health+Antoine+Clinic/@29.8495368,-95.4797903,17z/data=!3m1!4b1!4m6!3m5!1s0x8640c60628e1da99:0x67a191704b8c03b5!8m2!3d29.8495369!4d-95.474914!16s%2Fg%2F1tfzh4dy?entry=ttu&amp;g_ep=EgoyMDI2MDEyNi4wIKXMDSoK"&amp;"LDEwMDc5MjA2OUgBUAM%3D")</f>
        <v>https://www.google.com/maps/place/Harris+County+Public+Health+Antoine+Clinic/@29.8495368,-95.4797903,17z/data=!3m1!4b1!4m6!3m5!1s0x8640c60628e1da99:0x67a191704b8c03b5!8m2!3d29.8495369!4d-95.474914!16s%2Fg%2F1tfzh4dy?entry=ttu&amp;g_ep=EgoyMDI2MDEyNi4wIKXMDSoKLDEwMDc5MjA2OUgBUAM%3D</v>
      </c>
      <c r="X52" s="10"/>
      <c r="Y52" s="9" t="str">
        <f>IFERROR(__xludf.DUMMYFUNCTION("""COMPUTED_VALUE"""),"Houston")</f>
        <v>Houston</v>
      </c>
      <c r="Z52" s="9" t="str">
        <f>IFERROR(__xludf.DUMMYFUNCTION("""COMPUTED_VALUE"""),"Acres Home, Garden Oaks North, Northside / Northline")</f>
        <v>Acres Home, Garden Oaks North, Northside / Northline</v>
      </c>
      <c r="AA52" s="9" t="str">
        <f>IFERROR(__xludf.DUMMYFUNCTION("""COMPUTED_VALUE"""),"Harris County Public Health")</f>
        <v>Harris County Public Health</v>
      </c>
      <c r="AB52" s="9" t="str">
        <f>IFERROR(__xludf.DUMMYFUNCTION("""COMPUTED_VALUE"""),"Northside")</f>
        <v>Northside</v>
      </c>
    </row>
    <row r="53" ht="30.0" customHeight="1">
      <c r="A53" s="17">
        <v>52.0</v>
      </c>
      <c r="B5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53" s="9" t="str">
        <f>IFERROR(__xludf.DUMMYFUNCTION("""COMPUTED_VALUE"""),"Antoine Clinic")</f>
        <v>Antoine Clinic</v>
      </c>
      <c r="D53" s="9" t="str">
        <f>IFERROR(__xludf.DUMMYFUNCTION("""COMPUTED_VALUE"""),"5815 Antoine Drive")</f>
        <v>5815 Antoine Drive</v>
      </c>
      <c r="E53" s="9"/>
      <c r="F53" s="9" t="str">
        <f>IFERROR(__xludf.DUMMYFUNCTION("""COMPUTED_VALUE"""),"Houston")</f>
        <v>Houston</v>
      </c>
      <c r="G53" s="9" t="str">
        <f>IFERROR(__xludf.DUMMYFUNCTION("""COMPUTED_VALUE"""),"TX")</f>
        <v>TX</v>
      </c>
      <c r="H53" s="9" t="str">
        <f>IFERROR(__xludf.DUMMYFUNCTION("""COMPUTED_VALUE"""),"77091")</f>
        <v>77091</v>
      </c>
      <c r="I53" s="9" t="str">
        <f>IFERROR(__xludf.DUMMYFUNCTION("""COMPUTED_VALUE"""),"832-927-1335")</f>
        <v>832-927-1335</v>
      </c>
      <c r="J53" s="9" t="str">
        <f>IFERROR(__xludf.DUMMYFUNCTION("""COMPUTED_VALUE"""),"29.849787969654255, -95.47490325913498")</f>
        <v>29.849787969654255, -95.47490325913498</v>
      </c>
      <c r="K53" s="9" t="str">
        <f>IFERROR(__xludf.DUMMYFUNCTION("""COMPUTED_VALUE"""),"{""regular"":[{""days"":[""Mo"",""Tu"",""We"",""Th"",""Fr""],""open"":""08:00"",""close"":""17:00""}]}")</f>
        <v>{"regular":[{"days":["Mo","Tu","We","Th","Fr"],"open":"08:00","close":"17:00"}]}</v>
      </c>
      <c r="L53" s="9" t="str">
        <f>IFERROR(__xludf.DUMMYFUNCTION("""COMPUTED_VALUE"""),"Appointment required")</f>
        <v>Appointment required</v>
      </c>
      <c r="M53" s="10">
        <f>IFERROR(__xludf.DUMMYFUNCTION("""COMPUTED_VALUE"""),33.0)</f>
        <v>33</v>
      </c>
      <c r="N53" s="10" t="str">
        <f>IFERROR(__xludf.DUMMYFUNCTION("""COMPUTED_VALUE"""),"Medical - Behavioral Health")</f>
        <v>Medical - Behavioral Health</v>
      </c>
      <c r="O53" s="10">
        <f>IFERROR(__xludf.DUMMYFUNCTION("""COMPUTED_VALUE"""),1.0)</f>
        <v>1</v>
      </c>
      <c r="P53" s="10" t="str">
        <f>IFERROR(__xludf.DUMMYFUNCTION("""COMPUTED_VALUE"""),"ACTIVE")</f>
        <v>ACTIVE</v>
      </c>
      <c r="Q53" s="11">
        <f>IFERROR(__xludf.DUMMYFUNCTION("""COMPUTED_VALUE"""),46050.0)</f>
        <v>46050</v>
      </c>
      <c r="R53" s="9" t="str">
        <f>IFERROR(__xludf.DUMMYFUNCTION("""COMPUTED_VALUE"""),"Verified online")</f>
        <v>Verified online</v>
      </c>
      <c r="S53" s="9" t="str">
        <f>IFERROR(__xludf.DUMMYFUNCTION("""COMPUTED_VALUE"""),"Individual, couples, family and group therapy provided at no cost.
Maternal mental health services. a home based program, for pregnant and postpartum households.
Anxiety, depression, PTSD, bipolar disorder and schizophrenia.")</f>
        <v>Individual, couples, family and group therapy provided at no cost.
Maternal mental health services. a home based program, for pregnant and postpartum households.
Anxiety, depression, PTSD, bipolar disorder and schizophrenia.</v>
      </c>
      <c r="T53" s="12" t="b">
        <f>IFERROR(__xludf.DUMMYFUNCTION("""COMPUTED_VALUE"""),FALSE)</f>
        <v>0</v>
      </c>
      <c r="U53" s="12" t="b">
        <f>IFERROR(__xludf.DUMMYFUNCTION("""COMPUTED_VALUE"""),FALSE)</f>
        <v>0</v>
      </c>
      <c r="V53" s="13" t="str">
        <f>IFERROR(__xludf.DUMMYFUNCTION("""COMPUTED_VALUE"""),"https://publichealth.harriscountytx.gov/Divisions-Offices/Divisions/Community-Health-Wellness-Division/Health-Services")</f>
        <v>https://publichealth.harriscountytx.gov/Divisions-Offices/Divisions/Community-Health-Wellness-Division/Health-Services</v>
      </c>
      <c r="W53" s="14" t="str">
        <f>IFERROR(__xludf.DUMMYFUNCTION("""COMPUTED_VALUE"""),"https://www.google.com/maps/place/Harris+County+Public+Health+Antoine+Clinic/@29.8495368,-95.4797903,17z/data=!3m1!4b1!4m6!3m5!1s0x8640c60628e1da99:0x67a191704b8c03b5!8m2!3d29.8495369!4d-95.474914!16s%2Fg%2F1tfzh4dy?entry=ttu&amp;g_ep=EgoyMDI2MDEyNi4wIKXMDSoK"&amp;"LDEwMDc5MjA2OUgBUAM%3D")</f>
        <v>https://www.google.com/maps/place/Harris+County+Public+Health+Antoine+Clinic/@29.8495368,-95.4797903,17z/data=!3m1!4b1!4m6!3m5!1s0x8640c60628e1da99:0x67a191704b8c03b5!8m2!3d29.8495369!4d-95.474914!16s%2Fg%2F1tfzh4dy?entry=ttu&amp;g_ep=EgoyMDI2MDEyNi4wIKXMDSoKLDEwMDc5MjA2OUgBUAM%3D</v>
      </c>
      <c r="X53" s="10"/>
      <c r="Y53" s="9" t="str">
        <f>IFERROR(__xludf.DUMMYFUNCTION("""COMPUTED_VALUE"""),"Houston")</f>
        <v>Houston</v>
      </c>
      <c r="Z53" s="9" t="str">
        <f>IFERROR(__xludf.DUMMYFUNCTION("""COMPUTED_VALUE"""),"Acres Home, Garden Oaks North, Northside / Northline")</f>
        <v>Acres Home, Garden Oaks North, Northside / Northline</v>
      </c>
      <c r="AA53" s="9" t="str">
        <f>IFERROR(__xludf.DUMMYFUNCTION("""COMPUTED_VALUE"""),"Harris County Public Health")</f>
        <v>Harris County Public Health</v>
      </c>
      <c r="AB53" s="9" t="str">
        <f>IFERROR(__xludf.DUMMYFUNCTION("""COMPUTED_VALUE"""),"Northside")</f>
        <v>Northside</v>
      </c>
    </row>
    <row r="54" ht="30.0" customHeight="1">
      <c r="A54" s="17">
        <v>53.0</v>
      </c>
      <c r="B5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54" s="9" t="str">
        <f>IFERROR(__xludf.DUMMYFUNCTION("""COMPUTED_VALUE"""),"Antoine Clinic")</f>
        <v>Antoine Clinic</v>
      </c>
      <c r="D54" s="9" t="str">
        <f>IFERROR(__xludf.DUMMYFUNCTION("""COMPUTED_VALUE"""),"5815 Antoine Drive")</f>
        <v>5815 Antoine Drive</v>
      </c>
      <c r="E54" s="9"/>
      <c r="F54" s="9" t="str">
        <f>IFERROR(__xludf.DUMMYFUNCTION("""COMPUTED_VALUE"""),"Houston")</f>
        <v>Houston</v>
      </c>
      <c r="G54" s="9" t="str">
        <f>IFERROR(__xludf.DUMMYFUNCTION("""COMPUTED_VALUE"""),"TX")</f>
        <v>TX</v>
      </c>
      <c r="H54" s="9" t="str">
        <f>IFERROR(__xludf.DUMMYFUNCTION("""COMPUTED_VALUE"""),"77091")</f>
        <v>77091</v>
      </c>
      <c r="I54" s="9" t="str">
        <f>IFERROR(__xludf.DUMMYFUNCTION("""COMPUTED_VALUE"""),"832-927-1335")</f>
        <v>832-927-1335</v>
      </c>
      <c r="J54" s="9" t="str">
        <f>IFERROR(__xludf.DUMMYFUNCTION("""COMPUTED_VALUE"""),"29.849787969654255, -95.47490325913498")</f>
        <v>29.849787969654255, -95.47490325913498</v>
      </c>
      <c r="K54" s="9" t="str">
        <f>IFERROR(__xludf.DUMMYFUNCTION("""COMPUTED_VALUE"""),"{""regular"":[{""days"":[""Mo"",""Tu"",""We"",""Th"",""Fr""],""open"":""08:00"",""close"":""17:00""}]}")</f>
        <v>{"regular":[{"days":["Mo","Tu","We","Th","Fr"],"open":"08:00","close":"17:00"}]}</v>
      </c>
      <c r="L54" s="9" t="str">
        <f>IFERROR(__xludf.DUMMYFUNCTION("""COMPUTED_VALUE"""),"Appointment required")</f>
        <v>Appointment required</v>
      </c>
      <c r="M54" s="10">
        <f>IFERROR(__xludf.DUMMYFUNCTION("""COMPUTED_VALUE"""),55.0)</f>
        <v>55</v>
      </c>
      <c r="N54" s="10" t="str">
        <f>IFERROR(__xludf.DUMMYFUNCTION("""COMPUTED_VALUE"""),"Immigration")</f>
        <v>Immigration</v>
      </c>
      <c r="O54" s="10">
        <f>IFERROR(__xludf.DUMMYFUNCTION("""COMPUTED_VALUE"""),1.0)</f>
        <v>1</v>
      </c>
      <c r="P54" s="10" t="str">
        <f>IFERROR(__xludf.DUMMYFUNCTION("""COMPUTED_VALUE"""),"ACTIVE")</f>
        <v>ACTIVE</v>
      </c>
      <c r="Q54" s="11">
        <f>IFERROR(__xludf.DUMMYFUNCTION("""COMPUTED_VALUE"""),46050.0)</f>
        <v>46050</v>
      </c>
      <c r="R54" s="9" t="str">
        <f>IFERROR(__xludf.DUMMYFUNCTION("""COMPUTED_VALUE"""),"Verified online")</f>
        <v>Verified online</v>
      </c>
      <c r="S54" s="9" t="str">
        <f>IFERROR(__xludf.DUMMYFUNCTION("""COMPUTED_VALUE"""),"Under contract with the US Committee For Refugees, HCPH provides free health screenings including physicals, screening for tuberculosis and other infectious diseases, immunizations, basic screening lab tests and referrals to primary care providers to refu"&amp;"gees.
Full civil surgeon immigration and medical exams are not included.
See website for specific population groups eligible for these free services.")</f>
        <v>Under contract with the US Committee For Refugees, HCPH provides free health screenings including physicals, screening for tuberculosis and other infectious diseases, immunizations, basic screening lab tests and referrals to primary care providers to refugees.
Full civil surgeon immigration and medical exams are not included.
See website for specific population groups eligible for these free services.</v>
      </c>
      <c r="T54" s="12" t="b">
        <f>IFERROR(__xludf.DUMMYFUNCTION("""COMPUTED_VALUE"""),FALSE)</f>
        <v>0</v>
      </c>
      <c r="U54" s="12" t="b">
        <f>IFERROR(__xludf.DUMMYFUNCTION("""COMPUTED_VALUE"""),FALSE)</f>
        <v>0</v>
      </c>
      <c r="V54" s="13" t="str">
        <f>IFERROR(__xludf.DUMMYFUNCTION("""COMPUTED_VALUE"""),"https://publichealth.harriscountytx.gov/Divisions-Offices/Divisions/Community-Health-Wellness-Division/Refugee-Health-Services")</f>
        <v>https://publichealth.harriscountytx.gov/Divisions-Offices/Divisions/Community-Health-Wellness-Division/Refugee-Health-Services</v>
      </c>
      <c r="W54" s="14" t="str">
        <f>IFERROR(__xludf.DUMMYFUNCTION("""COMPUTED_VALUE"""),"https://www.google.com/maps/place/Harris+County+Public+Health+Antoine+Clinic/@29.8495368,-95.4797903,17z/data=!3m1!4b1!4m6!3m5!1s0x8640c60628e1da99:0x67a191704b8c03b5!8m2!3d29.8495369!4d-95.474914!16s%2Fg%2F1tfzh4dy?entry=ttu&amp;g_ep=EgoyMDI2MDEyNi4wIKXMDSoK"&amp;"LDEwMDc5MjA2OUgBUAM%3D")</f>
        <v>https://www.google.com/maps/place/Harris+County+Public+Health+Antoine+Clinic/@29.8495368,-95.4797903,17z/data=!3m1!4b1!4m6!3m5!1s0x8640c60628e1da99:0x67a191704b8c03b5!8m2!3d29.8495369!4d-95.474914!16s%2Fg%2F1tfzh4dy?entry=ttu&amp;g_ep=EgoyMDI2MDEyNi4wIKXMDSoKLDEwMDc5MjA2OUgBUAM%3D</v>
      </c>
      <c r="X54" s="10"/>
      <c r="Y54" s="9" t="str">
        <f>IFERROR(__xludf.DUMMYFUNCTION("""COMPUTED_VALUE"""),"Houston")</f>
        <v>Houston</v>
      </c>
      <c r="Z54" s="9" t="str">
        <f>IFERROR(__xludf.DUMMYFUNCTION("""COMPUTED_VALUE"""),"Acres Home, Garden Oaks North, Northside / Northline")</f>
        <v>Acres Home, Garden Oaks North, Northside / Northline</v>
      </c>
      <c r="AA54" s="9" t="str">
        <f>IFERROR(__xludf.DUMMYFUNCTION("""COMPUTED_VALUE"""),"Harris County Public Health")</f>
        <v>Harris County Public Health</v>
      </c>
      <c r="AB54" s="9" t="str">
        <f>IFERROR(__xludf.DUMMYFUNCTION("""COMPUTED_VALUE"""),"Northside")</f>
        <v>Northside</v>
      </c>
    </row>
    <row r="55" ht="30.0" customHeight="1">
      <c r="A55" s="17">
        <v>54.0</v>
      </c>
      <c r="B55" s="8" t="str">
        <f>IFERROR(__xludf.DUMMYFUNCTION("""COMPUTED_VALUE"""),"[""99999""]")</f>
        <v>["99999"]</v>
      </c>
      <c r="C55" s="9" t="str">
        <f>IFERROR(__xludf.DUMMYFUNCTION("""COMPUTED_VALUE"""),"Appleseed Network")</f>
        <v>Appleseed Network</v>
      </c>
      <c r="D55" s="9" t="str">
        <f>IFERROR(__xludf.DUMMYFUNCTION("""COMPUTED_VALUE"""),"1609 Shoal Creek Blvd")</f>
        <v>1609 Shoal Creek Blvd</v>
      </c>
      <c r="E55" s="9" t="str">
        <f>IFERROR(__xludf.DUMMYFUNCTION("""COMPUTED_VALUE"""),"Suite 201")</f>
        <v>Suite 201</v>
      </c>
      <c r="F55" s="9" t="str">
        <f>IFERROR(__xludf.DUMMYFUNCTION("""COMPUTED_VALUE"""),"Austin")</f>
        <v>Austin</v>
      </c>
      <c r="G55" s="9" t="str">
        <f>IFERROR(__xludf.DUMMYFUNCTION("""COMPUTED_VALUE"""),"TX")</f>
        <v>TX</v>
      </c>
      <c r="H55" s="9" t="str">
        <f>IFERROR(__xludf.DUMMYFUNCTION("""COMPUTED_VALUE"""),"78701")</f>
        <v>78701</v>
      </c>
      <c r="I55" s="9"/>
      <c r="J55" s="9" t="str">
        <f>IFERROR(__xludf.DUMMYFUNCTION("""COMPUTED_VALUE"""),"30.281621, -97.749833")</f>
        <v>30.281621, -97.749833</v>
      </c>
      <c r="K55" s="9" t="str">
        <f>IFERROR(__xludf.DUMMYFUNCTION("""COMPUTED_VALUE"""),"{""regular"":[{""days"":[""Mo"",""Tu"",""We"",""Th"",""Fr""],""open"":null,""close"":null}]}")</f>
        <v>{"regular":[{"days":["Mo","Tu","We","Th","Fr"],"open":null,"close":null}]}</v>
      </c>
      <c r="L55" s="9"/>
      <c r="M55" s="10">
        <f>IFERROR(__xludf.DUMMYFUNCTION("""COMPUTED_VALUE"""),55.0)</f>
        <v>55</v>
      </c>
      <c r="N55" s="10" t="str">
        <f>IFERROR(__xludf.DUMMYFUNCTION("""COMPUTED_VALUE"""),"Immigration")</f>
        <v>Immigration</v>
      </c>
      <c r="O55" s="10">
        <f>IFERROR(__xludf.DUMMYFUNCTION("""COMPUTED_VALUE"""),2.0)</f>
        <v>2</v>
      </c>
      <c r="P55" s="10" t="str">
        <f>IFERROR(__xludf.DUMMYFUNCTION("""COMPUTED_VALUE"""),"LIMITED")</f>
        <v>LIMITED</v>
      </c>
      <c r="Q55" s="11">
        <f>IFERROR(__xludf.DUMMYFUNCTION("""COMPUTED_VALUE"""),45893.0)</f>
        <v>45893</v>
      </c>
      <c r="R55" s="9" t="str">
        <f>IFERROR(__xludf.DUMMYFUNCTION("""COMPUTED_VALUE"""),"Reclassified due to no direct assistance.")</f>
        <v>Reclassified due to no direct assistance.</v>
      </c>
      <c r="S55" s="9" t="str">
        <f>IFERROR(__xludf.DUMMYFUNCTION("""COMPUTED_VALUE"""),"Focus is on immigration policy and legislature and not on direct assistance to immigrants or refugees.")</f>
        <v>Focus is on immigration policy and legislature and not on direct assistance to immigrants or refugees.</v>
      </c>
      <c r="T55" s="12" t="b">
        <f>IFERROR(__xludf.DUMMYFUNCTION("""COMPUTED_VALUE"""),FALSE)</f>
        <v>0</v>
      </c>
      <c r="U55" s="12" t="b">
        <f>IFERROR(__xludf.DUMMYFUNCTION("""COMPUTED_VALUE"""),FALSE)</f>
        <v>0</v>
      </c>
      <c r="V55" s="13" t="str">
        <f>IFERROR(__xludf.DUMMYFUNCTION("""COMPUTED_VALUE"""),"https://www.texasappleseed.org/immigration")</f>
        <v>https://www.texasappleseed.org/immigration</v>
      </c>
      <c r="W55" s="10"/>
      <c r="X55" s="10"/>
      <c r="Y55" s="9" t="str">
        <f>IFERROR(__xludf.DUMMYFUNCTION("""COMPUTED_VALUE"""),"Austin")</f>
        <v>Austin</v>
      </c>
      <c r="Z55" s="9" t="str">
        <f>IFERROR(__xludf.DUMMYFUNCTION("""COMPUTED_VALUE"""),"Downtown Austin")</f>
        <v>Downtown Austin</v>
      </c>
      <c r="AA55" s="9" t="str">
        <f>IFERROR(__xludf.DUMMYFUNCTION("""COMPUTED_VALUE"""),"Appleseed Network")</f>
        <v>Appleseed Network</v>
      </c>
      <c r="AB55" s="9" t="str">
        <f>IFERROR(__xludf.DUMMYFUNCTION("""COMPUTED_VALUE"""),"Downtown Austin")</f>
        <v>Downtown Austin</v>
      </c>
    </row>
    <row r="56" ht="30.0" customHeight="1">
      <c r="A56" s="17">
        <v>55.0</v>
      </c>
      <c r="B56" s="8" t="str">
        <f>IFERROR(__xludf.DUMMYFUNCTION("""COMPUTED_VALUE"""),"[""99999""]")</f>
        <v>["99999"]</v>
      </c>
      <c r="C56" s="9" t="str">
        <f>IFERROR(__xludf.DUMMYFUNCTION("""COMPUTED_VALUE"""),"AsSalam Clinic")</f>
        <v>AsSalam Clinic</v>
      </c>
      <c r="D56" s="9" t="str">
        <f>IFERROR(__xludf.DUMMYFUNCTION("""COMPUTED_VALUE"""),"9041 Louetta Road")</f>
        <v>9041 Louetta Road</v>
      </c>
      <c r="E56" s="9"/>
      <c r="F56" s="9" t="str">
        <f>IFERROR(__xludf.DUMMYFUNCTION("""COMPUTED_VALUE"""),"Spring")</f>
        <v>Spring</v>
      </c>
      <c r="G56" s="9" t="str">
        <f>IFERROR(__xludf.DUMMYFUNCTION("""COMPUTED_VALUE"""),"TX")</f>
        <v>TX</v>
      </c>
      <c r="H56" s="9" t="str">
        <f>IFERROR(__xludf.DUMMYFUNCTION("""COMPUTED_VALUE"""),"77379")</f>
        <v>77379</v>
      </c>
      <c r="I56" s="9" t="str">
        <f>IFERROR(__xludf.DUMMYFUNCTION("""COMPUTED_VALUE"""),"281-251-2639")</f>
        <v>281-251-2639</v>
      </c>
      <c r="J56" s="9" t="str">
        <f>IFERROR(__xludf.DUMMYFUNCTION("""COMPUTED_VALUE"""),"30.008572, -95.54612775")</f>
        <v>30.008572, -95.54612775</v>
      </c>
      <c r="K56" s="9"/>
      <c r="L56" s="9"/>
      <c r="M56" s="10">
        <f>IFERROR(__xludf.DUMMYFUNCTION("""COMPUTED_VALUE"""),31.0)</f>
        <v>31</v>
      </c>
      <c r="N56" s="10" t="str">
        <f>IFERROR(__xludf.DUMMYFUNCTION("""COMPUTED_VALUE"""),"Medical - Primary Care")</f>
        <v>Medical - Primary Care</v>
      </c>
      <c r="O56" s="10">
        <f>IFERROR(__xludf.DUMMYFUNCTION("""COMPUTED_VALUE"""),1.0)</f>
        <v>1</v>
      </c>
      <c r="P56" s="10" t="str">
        <f>IFERROR(__xludf.DUMMYFUNCTION("""COMPUTED_VALUE"""),"ACTIVE")</f>
        <v>ACTIVE</v>
      </c>
      <c r="Q56" s="11"/>
      <c r="R56" s="9"/>
      <c r="S56" s="9" t="str">
        <f>IFERROR(__xludf.DUMMYFUNCTION("""COMPUTED_VALUE"""),"Free clinic.")</f>
        <v>Free clinic.</v>
      </c>
      <c r="T56" s="12" t="b">
        <f>IFERROR(__xludf.DUMMYFUNCTION("""COMPUTED_VALUE"""),FALSE)</f>
        <v>0</v>
      </c>
      <c r="U56" s="12" t="b">
        <f>IFERROR(__xludf.DUMMYFUNCTION("""COMPUTED_VALUE"""),FALSE)</f>
        <v>0</v>
      </c>
      <c r="V56" s="13" t="str">
        <f>IFERROR(__xludf.DUMMYFUNCTION("""COMPUTED_VALUE"""),"https://www.assalamclinic.com/contact/")</f>
        <v>https://www.assalamclinic.com/contact/</v>
      </c>
      <c r="W56" s="14" t="str">
        <f>IFERROR(__xludf.DUMMYFUNCTION("""COMPUTED_VALUE"""),"https://www.google.com/maps/place/AsSalam+Clinic/@30.0065677,-95.5504569,17z/data=!3m1!4b1!4m6!3m5!1s0x8640cd71cffe0fcd:0x8090162a5183b47b!8m2!3d30.0065631!4d-95.547882!16s%2Fg%2F11g0k1vw7y?entry=ttu&amp;g_ep=EgoyMDI0MDkxNi4wIKXMDSoASAFQAw%3D%3D")</f>
        <v>https://www.google.com/maps/place/AsSalam+Clinic/@30.0065677,-95.5504569,17z/data=!3m1!4b1!4m6!3m5!1s0x8640cd71cffe0fcd:0x8090162a5183b47b!8m2!3d30.0065631!4d-95.547882!16s%2Fg%2F11g0k1vw7y?entry=ttu&amp;g_ep=EgoyMDI0MDkxNi4wIKXMDSoASAFQAw%3D%3D</v>
      </c>
      <c r="X56" s="10"/>
      <c r="Y56" s="9" t="str">
        <f>IFERROR(__xludf.DUMMYFUNCTION("""COMPUTED_VALUE"""),"Spring")</f>
        <v>Spring</v>
      </c>
      <c r="Z56" s="9" t="str">
        <f>IFERROR(__xludf.DUMMYFUNCTION("""COMPUTED_VALUE"""),"Farmette Meadows, Gleannloch Farms, Spring, Windrose")</f>
        <v>Farmette Meadows, Gleannloch Farms, Spring, Windrose</v>
      </c>
      <c r="AA56" s="9" t="str">
        <f>IFERROR(__xludf.DUMMYFUNCTION("""COMPUTED_VALUE"""),"AsSalam Clinic")</f>
        <v>AsSalam Clinic</v>
      </c>
      <c r="AB56" s="9" t="str">
        <f>IFERROR(__xludf.DUMMYFUNCTION("""COMPUTED_VALUE"""),"Spring")</f>
        <v>Spring</v>
      </c>
    </row>
    <row r="57" ht="30.0" customHeight="1">
      <c r="A57" s="17">
        <v>56.0</v>
      </c>
      <c r="B57" s="8" t="str">
        <f>IFERROR(__xludf.DUMMYFUNCTION("""COMPUTED_VALUE"""),"[""99999""]")</f>
        <v>["99999"]</v>
      </c>
      <c r="C57" s="9" t="str">
        <f>IFERROR(__xludf.DUMMYFUNCTION("""COMPUTED_VALUE"""),"Association for Advancement of Mexican Americans (AAMA)")</f>
        <v>Association for Advancement of Mexican Americans (AAMA)</v>
      </c>
      <c r="D57" s="9" t="str">
        <f>IFERROR(__xludf.DUMMYFUNCTION("""COMPUTED_VALUE"""),"6001 Gulf Fwy")</f>
        <v>6001 Gulf Fwy</v>
      </c>
      <c r="E57" s="9"/>
      <c r="F57" s="9" t="str">
        <f>IFERROR(__xludf.DUMMYFUNCTION("""COMPUTED_VALUE"""),"Houston")</f>
        <v>Houston</v>
      </c>
      <c r="G57" s="9" t="str">
        <f>IFERROR(__xludf.DUMMYFUNCTION("""COMPUTED_VALUE"""),"TX")</f>
        <v>TX</v>
      </c>
      <c r="H57" s="9" t="str">
        <f>IFERROR(__xludf.DUMMYFUNCTION("""COMPUTED_VALUE"""),"77023")</f>
        <v>77023</v>
      </c>
      <c r="I57" s="9" t="str">
        <f>IFERROR(__xludf.DUMMYFUNCTION("""COMPUTED_VALUE"""),"713-926-9491")</f>
        <v>713-926-9491</v>
      </c>
      <c r="J57" s="9" t="str">
        <f>IFERROR(__xludf.DUMMYFUNCTION("""COMPUTED_VALUE"""),"29.714369469154935, -95.3121463531626")</f>
        <v>29.714369469154935, -95.3121463531626</v>
      </c>
      <c r="K57" s="9" t="str">
        <f>IFERROR(__xludf.DUMMYFUNCTION("""COMPUTED_VALUE"""),"{""regular"":[{""days"":[""Mo"",""Tu"",""We"",""Th"",""Fr""],""open"":null,""close"":null}]}")</f>
        <v>{"regular":[{"days":["Mo","Tu","We","Th","Fr"],"open":null,"close":null}]}</v>
      </c>
      <c r="L57" s="9"/>
      <c r="M57" s="10">
        <f>IFERROR(__xludf.DUMMYFUNCTION("""COMPUTED_VALUE"""),34.0)</f>
        <v>34</v>
      </c>
      <c r="N57" s="10" t="str">
        <f>IFERROR(__xludf.DUMMYFUNCTION("""COMPUTED_VALUE"""),"Medical - Addiction Recovery")</f>
        <v>Medical - Addiction Recovery</v>
      </c>
      <c r="O57" s="10">
        <f>IFERROR(__xludf.DUMMYFUNCTION("""COMPUTED_VALUE"""),1.0)</f>
        <v>1</v>
      </c>
      <c r="P57" s="10" t="str">
        <f>IFERROR(__xludf.DUMMYFUNCTION("""COMPUTED_VALUE"""),"ACTIVE")</f>
        <v>ACTIVE</v>
      </c>
      <c r="Q57" s="11">
        <f>IFERROR(__xludf.DUMMYFUNCTION("""COMPUTED_VALUE"""),45893.0)</f>
        <v>45893</v>
      </c>
      <c r="R57" s="9"/>
      <c r="S57" s="9" t="str">
        <f>IFERROR(__xludf.DUMMYFUNCTION("""COMPUTED_VALUE"""),"Substance use disorder treatment programs in English and Spanish.
HIV Prevention Services.
")</f>
        <v>Substance use disorder treatment programs in English and Spanish.
HIV Prevention Services.
</v>
      </c>
      <c r="T57" s="12" t="b">
        <f>IFERROR(__xludf.DUMMYFUNCTION("""COMPUTED_VALUE"""),FALSE)</f>
        <v>0</v>
      </c>
      <c r="U57" s="12" t="b">
        <f>IFERROR(__xludf.DUMMYFUNCTION("""COMPUTED_VALUE"""),FALSE)</f>
        <v>0</v>
      </c>
      <c r="V57" s="13" t="str">
        <f>IFERROR(__xludf.DUMMYFUNCTION("""COMPUTED_VALUE"""),"https://www.aama.org/apps/pages/prevention-and-counseling-services-houston")</f>
        <v>https://www.aama.org/apps/pages/prevention-and-counseling-services-houston</v>
      </c>
      <c r="W57" s="14" t="str">
        <f>IFERROR(__xludf.DUMMYFUNCTION("""COMPUTED_VALUE"""),"https://www.google.com/maps/place/AAMA/@29.7143334,-95.3127981,19z/data=!3m1!4b1!4m6!3m5!1s0x8640bfd5e8dcfca9:0x894a10d39493d560!8m2!3d29.7143322!4d-95.3121544!16s%2Fg%2F11sszckmnd?entry=ttu&amp;g_ep=EgoyMDI1MDgxOS4wIKXMDSoASAFQAw%3D%3D")</f>
        <v>https://www.google.com/maps/place/AAMA/@29.7143334,-95.3127981,19z/data=!3m1!4b1!4m6!3m5!1s0x8640bfd5e8dcfca9:0x894a10d39493d560!8m2!3d29.7143322!4d-95.3121544!16s%2Fg%2F11sszckmnd?entry=ttu&amp;g_ep=EgoyMDI1MDgxOS4wIKXMDSoASAFQAw%3D%3D</v>
      </c>
      <c r="X57" s="10"/>
      <c r="Y57" s="9" t="str">
        <f>IFERROR(__xludf.DUMMYFUNCTION("""COMPUTED_VALUE"""),"Houston")</f>
        <v>Houston</v>
      </c>
      <c r="Z57" s="9" t="str">
        <f>IFERROR(__xludf.DUMMYFUNCTION("""COMPUTED_VALUE"""),"Eastwood, Gulfgate Riverview / Pine Valley, Idylwood, Lawndale / Wayside, Magnolia Park, South Central Houston")</f>
        <v>Eastwood, Gulfgate Riverview / Pine Valley, Idylwood, Lawndale / Wayside, Magnolia Park, South Central Houston</v>
      </c>
      <c r="AA57" s="9" t="str">
        <f>IFERROR(__xludf.DUMMYFUNCTION("""COMPUTED_VALUE"""),"Association for Advancement of Mexican Americans (AAMA)")</f>
        <v>Association for Advancement of Mexican Americans (AAMA)</v>
      </c>
      <c r="AB57" s="9" t="str">
        <f>IFERROR(__xludf.DUMMYFUNCTION("""COMPUTED_VALUE"""),"Lawndale / Wayside")</f>
        <v>Lawndale / Wayside</v>
      </c>
    </row>
    <row r="58" ht="30.0" customHeight="1">
      <c r="A58" s="17">
        <v>57.0</v>
      </c>
      <c r="B58" s="8" t="str">
        <f>IFERROR(__xludf.DUMMYFUNCTION("""COMPUTED_VALUE"""),"[""99999""]")</f>
        <v>["99999"]</v>
      </c>
      <c r="C58" s="9" t="str">
        <f>IFERROR(__xludf.DUMMYFUNCTION("""COMPUTED_VALUE"""),"Association for Advancement of Mexican Americans (AAMA)")</f>
        <v>Association for Advancement of Mexican Americans (AAMA)</v>
      </c>
      <c r="D58" s="9" t="str">
        <f>IFERROR(__xludf.DUMMYFUNCTION("""COMPUTED_VALUE"""),"6001 Gulf Fwy")</f>
        <v>6001 Gulf Fwy</v>
      </c>
      <c r="E58" s="9"/>
      <c r="F58" s="9" t="str">
        <f>IFERROR(__xludf.DUMMYFUNCTION("""COMPUTED_VALUE"""),"Houston")</f>
        <v>Houston</v>
      </c>
      <c r="G58" s="9" t="str">
        <f>IFERROR(__xludf.DUMMYFUNCTION("""COMPUTED_VALUE"""),"TX")</f>
        <v>TX</v>
      </c>
      <c r="H58" s="9" t="str">
        <f>IFERROR(__xludf.DUMMYFUNCTION("""COMPUTED_VALUE"""),"77023")</f>
        <v>77023</v>
      </c>
      <c r="I58" s="9" t="str">
        <f>IFERROR(__xludf.DUMMYFUNCTION("""COMPUTED_VALUE"""),"713-929-2442")</f>
        <v>713-929-2442</v>
      </c>
      <c r="J58" s="9" t="str">
        <f>IFERROR(__xludf.DUMMYFUNCTION("""COMPUTED_VALUE"""),"29.714369469154935, -95.3121463531626")</f>
        <v>29.714369469154935, -95.3121463531626</v>
      </c>
      <c r="K58" s="9" t="str">
        <f>IFERROR(__xludf.DUMMYFUNCTION("""COMPUTED_VALUE"""),"{""regular"":[{""days"":[""Mo"",""Tu"",""We"",""Th"",""Fr""],""open"":""06:30"",""close"":""18:00""}]}")</f>
        <v>{"regular":[{"days":["Mo","Tu","We","Th","Fr"],"open":"06:30","close":"18:00"}]}</v>
      </c>
      <c r="L58" s="9"/>
      <c r="M58" s="10">
        <f>IFERROR(__xludf.DUMMYFUNCTION("""COMPUTED_VALUE"""),44.0)</f>
        <v>44</v>
      </c>
      <c r="N58" s="10" t="str">
        <f>IFERROR(__xludf.DUMMYFUNCTION("""COMPUTED_VALUE"""),"Mother &amp; Child")</f>
        <v>Mother &amp; Child</v>
      </c>
      <c r="O58" s="10">
        <f>IFERROR(__xludf.DUMMYFUNCTION("""COMPUTED_VALUE"""),1.0)</f>
        <v>1</v>
      </c>
      <c r="P58" s="10" t="str">
        <f>IFERROR(__xludf.DUMMYFUNCTION("""COMPUTED_VALUE"""),"ACTIVE")</f>
        <v>ACTIVE</v>
      </c>
      <c r="Q58" s="11">
        <f>IFERROR(__xludf.DUMMYFUNCTION("""COMPUTED_VALUE"""),45893.0)</f>
        <v>45893</v>
      </c>
      <c r="R58" s="9"/>
      <c r="S58" s="9" t="str">
        <f>IFERROR(__xludf.DUMMYFUNCTION("""COMPUTED_VALUE"""),"Childcare
For children between the ages of six weeks and four years old.")</f>
        <v>Childcare
For children between the ages of six weeks and four years old.</v>
      </c>
      <c r="T58" s="12" t="b">
        <f>IFERROR(__xludf.DUMMYFUNCTION("""COMPUTED_VALUE"""),TRUE)</f>
        <v>1</v>
      </c>
      <c r="U58" s="12" t="b">
        <f>IFERROR(__xludf.DUMMYFUNCTION("""COMPUTED_VALUE"""),FALSE)</f>
        <v>0</v>
      </c>
      <c r="V58" s="13" t="str">
        <f>IFERROR(__xludf.DUMMYFUNCTION("""COMPUTED_VALUE"""),"https://www.aama.org/apps/pages/early-childhood")</f>
        <v>https://www.aama.org/apps/pages/early-childhood</v>
      </c>
      <c r="W58" s="14" t="str">
        <f>IFERROR(__xludf.DUMMYFUNCTION("""COMPUTED_VALUE"""),"https://www.google.com/maps/place/AAMA/@29.7143334,-95.3127981,19z/data=!3m1!4b1!4m6!3m5!1s0x8640bfd5e8dcfca9:0x894a10d39493d560!8m2!3d29.7143322!4d-95.3121544!16s%2Fg%2F11sszckmnd?entry=ttu&amp;g_ep=EgoyMDI1MDgxOS4wIKXMDSoASAFQAw%3D%3D")</f>
        <v>https://www.google.com/maps/place/AAMA/@29.7143334,-95.3127981,19z/data=!3m1!4b1!4m6!3m5!1s0x8640bfd5e8dcfca9:0x894a10d39493d560!8m2!3d29.7143322!4d-95.3121544!16s%2Fg%2F11sszckmnd?entry=ttu&amp;g_ep=EgoyMDI1MDgxOS4wIKXMDSoASAFQAw%3D%3D</v>
      </c>
      <c r="X58" s="10"/>
      <c r="Y58" s="9" t="str">
        <f>IFERROR(__xludf.DUMMYFUNCTION("""COMPUTED_VALUE"""),"Houston")</f>
        <v>Houston</v>
      </c>
      <c r="Z58" s="9" t="str">
        <f>IFERROR(__xludf.DUMMYFUNCTION("""COMPUTED_VALUE"""),"Eastwood, Gulfgate Riverview / Pine Valley, Idylwood, Lawndale / Wayside, Magnolia Park, South Central Houston")</f>
        <v>Eastwood, Gulfgate Riverview / Pine Valley, Idylwood, Lawndale / Wayside, Magnolia Park, South Central Houston</v>
      </c>
      <c r="AA58" s="9" t="str">
        <f>IFERROR(__xludf.DUMMYFUNCTION("""COMPUTED_VALUE"""),"Association for Advancement of Mexican Americans (AAMA)")</f>
        <v>Association for Advancement of Mexican Americans (AAMA)</v>
      </c>
      <c r="AB58" s="9" t="str">
        <f>IFERROR(__xludf.DUMMYFUNCTION("""COMPUTED_VALUE"""),"Lawndale / Wayside")</f>
        <v>Lawndale / Wayside</v>
      </c>
    </row>
    <row r="59" ht="30.0" customHeight="1">
      <c r="A59" s="17">
        <v>58.0</v>
      </c>
      <c r="B59" s="8" t="str">
        <f>IFERROR(__xludf.DUMMYFUNCTION("""COMPUTED_VALUE"""),"[""99999""]")</f>
        <v>["99999"]</v>
      </c>
      <c r="C59" s="9" t="str">
        <f>IFERROR(__xludf.DUMMYFUNCTION("""COMPUTED_VALUE"""),"Association for Advancement of Mexican Americans (AAMA)")</f>
        <v>Association for Advancement of Mexican Americans (AAMA)</v>
      </c>
      <c r="D59" s="9" t="str">
        <f>IFERROR(__xludf.DUMMYFUNCTION("""COMPUTED_VALUE"""),"6001 Gulf Fwy")</f>
        <v>6001 Gulf Fwy</v>
      </c>
      <c r="E59" s="9"/>
      <c r="F59" s="9" t="str">
        <f>IFERROR(__xludf.DUMMYFUNCTION("""COMPUTED_VALUE"""),"Houston")</f>
        <v>Houston</v>
      </c>
      <c r="G59" s="9" t="str">
        <f>IFERROR(__xludf.DUMMYFUNCTION("""COMPUTED_VALUE"""),"TX")</f>
        <v>TX</v>
      </c>
      <c r="H59" s="9" t="str">
        <f>IFERROR(__xludf.DUMMYFUNCTION("""COMPUTED_VALUE"""),"77023")</f>
        <v>77023</v>
      </c>
      <c r="I59" s="9" t="str">
        <f>IFERROR(__xludf.DUMMYFUNCTION("""COMPUTED_VALUE"""),"713-929-2300")</f>
        <v>713-929-2300</v>
      </c>
      <c r="J59" s="9" t="str">
        <f>IFERROR(__xludf.DUMMYFUNCTION("""COMPUTED_VALUE"""),"29.7143715656566, -95.3149722979798")</f>
        <v>29.7143715656566, -95.3149722979798</v>
      </c>
      <c r="K59" s="9" t="str">
        <f>IFERROR(__xludf.DUMMYFUNCTION("""COMPUTED_VALUE"""),"{""regular"":[{""days"":[""Mo"",""Tu"",""We"",""Th"",""Fr""],""open"":null,""close"":null}]}")</f>
        <v>{"regular":[{"days":["Mo","Tu","We","Th","Fr"],"open":null,"close":null}]}</v>
      </c>
      <c r="L59" s="9"/>
      <c r="M59" s="10">
        <f>IFERROR(__xludf.DUMMYFUNCTION("""COMPUTED_VALUE"""),51.0)</f>
        <v>51</v>
      </c>
      <c r="N59" s="10" t="str">
        <f>IFERROR(__xludf.DUMMYFUNCTION("""COMPUTED_VALUE"""),"Education - Adults")</f>
        <v>Education - Adults</v>
      </c>
      <c r="O59" s="10">
        <f>IFERROR(__xludf.DUMMYFUNCTION("""COMPUTED_VALUE"""),1.0)</f>
        <v>1</v>
      </c>
      <c r="P59" s="10" t="str">
        <f>IFERROR(__xludf.DUMMYFUNCTION("""COMPUTED_VALUE"""),"ACTIVE")</f>
        <v>ACTIVE</v>
      </c>
      <c r="Q59" s="11">
        <f>IFERROR(__xludf.DUMMYFUNCTION("""COMPUTED_VALUE"""),45893.0)</f>
        <v>45893</v>
      </c>
      <c r="R59" s="9"/>
      <c r="S59" s="9" t="str">
        <f>IFERROR(__xludf.DUMMYFUNCTION("""COMPUTED_VALUE"""),"Educational program in Adobe Photoshop, Canva, MS Office, Google Suite, web development, print &amp; production, professional communication, resume writing, job skills and financial literacy.
Upon completion of program there is additional support in obtaining"&amp;" Adobe Software Certification.
Adult Education in conjunction with Houston Community College Southeast, including ESL (English as a Second Language) and HSE (High School Equivalency).
Must have a valid photo ID, attend in-person orientation and commit to "&amp;"attend every class.")</f>
        <v>Educational program in Adobe Photoshop, Canva, MS Office, Google Suite, web development, print &amp; production, professional communication, resume writing, job skills and financial literacy.
Upon completion of program there is additional support in obtaining Adobe Software Certification.
Adult Education in conjunction with Houston Community College Southeast, including ESL (English as a Second Language) and HSE (High School Equivalency).
Must have a valid photo ID, attend in-person orientation and commit to attend every class.</v>
      </c>
      <c r="T59" s="12" t="b">
        <f>IFERROR(__xludf.DUMMYFUNCTION("""COMPUTED_VALUE"""),FALSE)</f>
        <v>0</v>
      </c>
      <c r="U59" s="12" t="b">
        <f>IFERROR(__xludf.DUMMYFUNCTION("""COMPUTED_VALUE"""),FALSE)</f>
        <v>0</v>
      </c>
      <c r="V59" s="13" t="str">
        <f>IFERROR(__xludf.DUMMYFUNCTION("""COMPUTED_VALUE"""),"https://www.aama.org/")</f>
        <v>https://www.aama.org/</v>
      </c>
      <c r="W59" s="14" t="str">
        <f>IFERROR(__xludf.DUMMYFUNCTION("""COMPUTED_VALUE"""),"https://www.google.com/maps/place/AAMA/@29.7143334,-95.3127981,19z/data=!3m1!4b1!4m6!3m5!1s0x8640bfd5e8dcfca9:0x894a10d39493d560!8m2!3d29.7143322!4d-95.3121544!16s%2Fg%2F11sszckmnd?entry=ttu&amp;g_ep=EgoyMDI1MDgxOS4wIKXMDSoASAFQAw%3D%3D")</f>
        <v>https://www.google.com/maps/place/AAMA/@29.7143334,-95.3127981,19z/data=!3m1!4b1!4m6!3m5!1s0x8640bfd5e8dcfca9:0x894a10d39493d560!8m2!3d29.7143322!4d-95.3121544!16s%2Fg%2F11sszckmnd?entry=ttu&amp;g_ep=EgoyMDI1MDgxOS4wIKXMDSoASAFQAw%3D%3D</v>
      </c>
      <c r="X59" s="10"/>
      <c r="Y59" s="9" t="str">
        <f>IFERROR(__xludf.DUMMYFUNCTION("""COMPUTED_VALUE"""),"Houston")</f>
        <v>Houston</v>
      </c>
      <c r="Z59" s="9" t="str">
        <f>IFERROR(__xludf.DUMMYFUNCTION("""COMPUTED_VALUE"""),"Eastwood, Gulfgate Riverview / Pine Valley, Idylwood, Lawndale / Wayside, Magnolia Park, South Central Houston")</f>
        <v>Eastwood, Gulfgate Riverview / Pine Valley, Idylwood, Lawndale / Wayside, Magnolia Park, South Central Houston</v>
      </c>
      <c r="AA59" s="9" t="str">
        <f>IFERROR(__xludf.DUMMYFUNCTION("""COMPUTED_VALUE"""),"Association for Advancement of Mexican Americans (AAMA)")</f>
        <v>Association for Advancement of Mexican Americans (AAMA)</v>
      </c>
      <c r="AB59" s="9" t="str">
        <f>IFERROR(__xludf.DUMMYFUNCTION("""COMPUTED_VALUE"""),"Gulfgate Riverview / Pine Valley")</f>
        <v>Gulfgate Riverview / Pine Valley</v>
      </c>
    </row>
    <row r="60" ht="30.0" customHeight="1">
      <c r="A60" s="17">
        <v>59.0</v>
      </c>
      <c r="B6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0" s="9" t="str">
        <f>IFERROR(__xludf.DUMMYFUNCTION("""COMPUTED_VALUE"""),"Avenue 360 Heights")</f>
        <v>Avenue 360 Heights</v>
      </c>
      <c r="D60" s="9" t="str">
        <f>IFERROR(__xludf.DUMMYFUNCTION("""COMPUTED_VALUE"""),"2150 West 18th Street")</f>
        <v>2150 West 18th Street</v>
      </c>
      <c r="E60" s="9" t="str">
        <f>IFERROR(__xludf.DUMMYFUNCTION("""COMPUTED_VALUE"""),"Suite 300")</f>
        <v>Suite 300</v>
      </c>
      <c r="F60" s="9" t="str">
        <f>IFERROR(__xludf.DUMMYFUNCTION("""COMPUTED_VALUE"""),"Houston")</f>
        <v>Houston</v>
      </c>
      <c r="G60" s="9" t="str">
        <f>IFERROR(__xludf.DUMMYFUNCTION("""COMPUTED_VALUE"""),"TX")</f>
        <v>TX</v>
      </c>
      <c r="H60" s="9" t="str">
        <f>IFERROR(__xludf.DUMMYFUNCTION("""COMPUTED_VALUE"""),"77008")</f>
        <v>77008</v>
      </c>
      <c r="I60" s="9" t="str">
        <f>IFERROR(__xludf.DUMMYFUNCTION("""COMPUTED_VALUE"""),"713-426-0027")</f>
        <v>713-426-0027</v>
      </c>
      <c r="J60" s="9" t="str">
        <f>IFERROR(__xludf.DUMMYFUNCTION("""COMPUTED_VALUE"""),"29.801318, -95.437361")</f>
        <v>29.801318, -95.437361</v>
      </c>
      <c r="K60" s="9" t="str">
        <f>IFERROR(__xludf.DUMMYFUNCTION("""COMPUTED_VALUE"""),"{""regular"":[{""days"":[""Mo"",""Tu"",""We"",""Th""],""open"":""08:00"",""close"":""18:00""},{""days"":[""Fr""],""open"":""08:00"",""close"":""17:00""}]}")</f>
        <v>{"regular":[{"days":["Mo","Tu","We","Th"],"open":"08:00","close":"18:00"},{"days":["Fr"],"open":"08:00","close":"17:00"}]}</v>
      </c>
      <c r="L60" s="9"/>
      <c r="M60" s="10">
        <f>IFERROR(__xludf.DUMMYFUNCTION("""COMPUTED_VALUE"""),31.0)</f>
        <v>31</v>
      </c>
      <c r="N60" s="10" t="str">
        <f>IFERROR(__xludf.DUMMYFUNCTION("""COMPUTED_VALUE"""),"Medical - Primary Care")</f>
        <v>Medical - Primary Care</v>
      </c>
      <c r="O60" s="10">
        <f>IFERROR(__xludf.DUMMYFUNCTION("""COMPUTED_VALUE"""),1.0)</f>
        <v>1</v>
      </c>
      <c r="P60" s="10" t="str">
        <f>IFERROR(__xludf.DUMMYFUNCTION("""COMPUTED_VALUE"""),"ACTIVE")</f>
        <v>ACTIVE</v>
      </c>
      <c r="Q60" s="11">
        <f>IFERROR(__xludf.DUMMYFUNCTION("""COMPUTED_VALUE"""),46049.0)</f>
        <v>46049</v>
      </c>
      <c r="R60" s="9" t="str">
        <f>IFERROR(__xludf.DUMMYFUNCTION("""COMPUTED_VALUE"""),"Verified online")</f>
        <v>Verified online</v>
      </c>
      <c r="S60" s="9" t="str">
        <f>IFERROR(__xludf.DUMMYFUNCTION("""COMPUTED_VALUE"""),"Affordable, quality medical care, pharmacy, behavioral health and support services.
Primary care, OB/GYN, prenatal and postpartum care, pharmacy screenings, immunizations, diagnostic lab, radiology, mental health, case management and transportation servic"&amp;"es.
Sliding fee scale for uninsured.")</f>
        <v>Affordable, quality medical care, pharmacy, behavioral health and support services.
Primary care, OB/GYN, prenatal and postpartum care, pharmacy screenings, immunizations, diagnostic lab, radiology, mental health, case management and transportation services.
Sliding fee scale for uninsured.</v>
      </c>
      <c r="T60" s="12" t="b">
        <f>IFERROR(__xludf.DUMMYFUNCTION("""COMPUTED_VALUE"""),FALSE)</f>
        <v>0</v>
      </c>
      <c r="U60" s="12" t="b">
        <f>IFERROR(__xludf.DUMMYFUNCTION("""COMPUTED_VALUE"""),FALSE)</f>
        <v>0</v>
      </c>
      <c r="V60" s="13" t="str">
        <f>IFERROR(__xludf.DUMMYFUNCTION("""COMPUTED_VALUE"""),"https://avenue360.org/")</f>
        <v>https://avenue360.org/</v>
      </c>
      <c r="W60" s="14" t="str">
        <f>IFERROR(__xludf.DUMMYFUNCTION("""COMPUTED_VALUE"""),"https://www.google.com/maps/place/Avenue+360+Health+and+Wellness+-+Heights/@29.6963641,-95.4153268,12z/data=!4m10!1m2!2m1!1sAvenue+360+Health+and+Wellness+near+Heights+Boulevard,+Houston,+TX!3m6!1s0x8640c62eaaaaaaab:0x10e393ebe8ce647d!8m2!3d29.8013376!4d-"&amp;"95.4370873!15sCkJBdmVudWUgMzYwIEhlYWx0aCBhbmQgV2VsbG5lc3MgbmVhciBIZWlnaHRzIEJvdWxldmFyZCwgSG91c3RvbiwgVFgiA4gBAZIBDm1lZGljYWxfY2xpbmljqgGcAQoNL2cvMTFma3l5OWRzNhABKiIiHmF2ZW51ZSAzNjAgaGVhbHRoIGFuZCB3ZWxsbmVzcygAMh8QASIbuJzbXxv4vf3PNqnHCuhQerkE9J8UWRzGev8iM"&amp;"kQQAiJAYXZlbnVlIDM2MCBoZWFsdGggYW5kIHdlbGxuZXNzIG5lYXIgaGVpZ2h0cyBib3VsZXZhcmQgaG91c3RvbiB0eOABAA!16s%2Fg%2F1td_hmxf?entry=ttu&amp;g_ep=EgoyMDI1MDUwNy4wIKXMDSoASAFQAw%3D%3D")</f>
        <v>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v>
      </c>
      <c r="X60" s="10"/>
      <c r="Y60" s="9" t="str">
        <f>IFERROR(__xludf.DUMMYFUNCTION("""COMPUTED_VALUE"""),"Houston")</f>
        <v>Houston</v>
      </c>
      <c r="Z60" s="9" t="str">
        <f>IFERROR(__xludf.DUMMYFUNCTION("""COMPUTED_VALUE"""),"Lazybrook / Timbergrove, Northside, Shady Acres, The Heights, Timbergrove")</f>
        <v>Lazybrook / Timbergrove, Northside, Shady Acres, The Heights, Timbergrove</v>
      </c>
      <c r="AA60" s="9" t="str">
        <f>IFERROR(__xludf.DUMMYFUNCTION("""COMPUTED_VALUE"""),"Avenue 360")</f>
        <v>Avenue 360</v>
      </c>
      <c r="AB60" s="9" t="str">
        <f>IFERROR(__xludf.DUMMYFUNCTION("""COMPUTED_VALUE"""),"Lazybrook / Timbergrove")</f>
        <v>Lazybrook / Timbergrove</v>
      </c>
    </row>
    <row r="61" ht="30.0" customHeight="1">
      <c r="A61" s="17">
        <v>60.0</v>
      </c>
      <c r="B6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1" s="9" t="str">
        <f>IFERROR(__xludf.DUMMYFUNCTION("""COMPUTED_VALUE"""),"Avenue 360 Heights")</f>
        <v>Avenue 360 Heights</v>
      </c>
      <c r="D61" s="9" t="str">
        <f>IFERROR(__xludf.DUMMYFUNCTION("""COMPUTED_VALUE"""),"2150 West 18th Street")</f>
        <v>2150 West 18th Street</v>
      </c>
      <c r="E61" s="9" t="str">
        <f>IFERROR(__xludf.DUMMYFUNCTION("""COMPUTED_VALUE"""),"Suite 300")</f>
        <v>Suite 300</v>
      </c>
      <c r="F61" s="9" t="str">
        <f>IFERROR(__xludf.DUMMYFUNCTION("""COMPUTED_VALUE"""),"Houston")</f>
        <v>Houston</v>
      </c>
      <c r="G61" s="9" t="str">
        <f>IFERROR(__xludf.DUMMYFUNCTION("""COMPUTED_VALUE"""),"TX")</f>
        <v>TX</v>
      </c>
      <c r="H61" s="9" t="str">
        <f>IFERROR(__xludf.DUMMYFUNCTION("""COMPUTED_VALUE"""),"77008")</f>
        <v>77008</v>
      </c>
      <c r="I61" s="9" t="str">
        <f>IFERROR(__xludf.DUMMYFUNCTION("""COMPUTED_VALUE"""),"713-426-0027")</f>
        <v>713-426-0027</v>
      </c>
      <c r="J61" s="9" t="str">
        <f>IFERROR(__xludf.DUMMYFUNCTION("""COMPUTED_VALUE"""),"29.801318, -95.437361")</f>
        <v>29.801318, -95.437361</v>
      </c>
      <c r="K61" s="9" t="str">
        <f>IFERROR(__xludf.DUMMYFUNCTION("""COMPUTED_VALUE"""),"{""regular"":[{""days"":[""Mo"",""Tu"",""We"",""Th""],""open"":""08:00"",""close"":""18:00""},{""days"":[""Fr""],""open"":""08:00"",""close"":""17:00""}]}")</f>
        <v>{"regular":[{"days":["Mo","Tu","We","Th"],"open":"08:00","close":"18:00"},{"days":["Fr"],"open":"08:00","close":"17:00"}]}</v>
      </c>
      <c r="L61" s="9"/>
      <c r="M61" s="10">
        <f>IFERROR(__xludf.DUMMYFUNCTION("""COMPUTED_VALUE"""),33.0)</f>
        <v>33</v>
      </c>
      <c r="N61" s="10" t="str">
        <f>IFERROR(__xludf.DUMMYFUNCTION("""COMPUTED_VALUE"""),"Medical - Behavioral Health")</f>
        <v>Medical - Behavioral Health</v>
      </c>
      <c r="O61" s="10">
        <f>IFERROR(__xludf.DUMMYFUNCTION("""COMPUTED_VALUE"""),1.0)</f>
        <v>1</v>
      </c>
      <c r="P61" s="10" t="str">
        <f>IFERROR(__xludf.DUMMYFUNCTION("""COMPUTED_VALUE"""),"ACTIVE")</f>
        <v>ACTIVE</v>
      </c>
      <c r="Q61" s="11">
        <f>IFERROR(__xludf.DUMMYFUNCTION("""COMPUTED_VALUE"""),46049.0)</f>
        <v>46049</v>
      </c>
      <c r="R61" s="9" t="str">
        <f>IFERROR(__xludf.DUMMYFUNCTION("""COMPUTED_VALUE"""),"Verified online")</f>
        <v>Verified online</v>
      </c>
      <c r="S61" s="9" t="str">
        <f>IFERROR(__xludf.DUMMYFUNCTION("""COMPUTED_VALUE"""),"Behavioral and psychiatric services adults and adolescents in individual and family and group settings.
Includes substance sue pre-treatment and treatment
Sliding fee scale for uninsured.")</f>
        <v>Behavioral and psychiatric services adults and adolescents in individual and family and group settings.
Includes substance sue pre-treatment and treatment
Sliding fee scale for uninsured.</v>
      </c>
      <c r="T61" s="12" t="b">
        <f>IFERROR(__xludf.DUMMYFUNCTION("""COMPUTED_VALUE"""),FALSE)</f>
        <v>0</v>
      </c>
      <c r="U61" s="12" t="b">
        <f>IFERROR(__xludf.DUMMYFUNCTION("""COMPUTED_VALUE"""),FALSE)</f>
        <v>0</v>
      </c>
      <c r="V61" s="13" t="str">
        <f>IFERROR(__xludf.DUMMYFUNCTION("""COMPUTED_VALUE"""),"https://avenue360.org/")</f>
        <v>https://avenue360.org/</v>
      </c>
      <c r="W61" s="14" t="str">
        <f>IFERROR(__xludf.DUMMYFUNCTION("""COMPUTED_VALUE"""),"https://www.google.com/maps/place/Avenue+360+Health+and+Wellness+-+Heights/@29.6963641,-95.4153268,12z/data=!4m10!1m2!2m1!1sAvenue+360+Health+and+Wellness+near+Heights+Boulevard,+Houston,+TX!3m6!1s0x8640c62eaaaaaaab:0x10e393ebe8ce647d!8m2!3d29.8013376!4d-"&amp;"95.4370873!15sCkJBdmVudWUgMzYwIEhlYWx0aCBhbmQgV2VsbG5lc3MgbmVhciBIZWlnaHRzIEJvdWxldmFyZCwgSG91c3RvbiwgVFgiA4gBAZIBDm1lZGljYWxfY2xpbmljqgGcAQoNL2cvMTFma3l5OWRzNhABKiIiHmF2ZW51ZSAzNjAgaGVhbHRoIGFuZCB3ZWxsbmVzcygAMh8QASIbuJzbXxv4vf3PNqnHCuhQerkE9J8UWRzGev8iM"&amp;"kQQAiJAYXZlbnVlIDM2MCBoZWFsdGggYW5kIHdlbGxuZXNzIG5lYXIgaGVpZ2h0cyBib3VsZXZhcmQgaG91c3RvbiB0eOABAA!16s%2Fg%2F1td_hmxf?entry=ttu&amp;g_ep=EgoyMDI1MDUwNy4wIKXMDSoASAFQAw%3D%3D")</f>
        <v>https://www.google.com/maps/place/Avenue+360+Health+and+Wellness+-+Heights/@29.6963641,-95.4153268,12z/data=!4m10!1m2!2m1!1sAvenue+360+Health+and+Wellness+near+Heights+Boulevard,+Houston,+TX!3m6!1s0x8640c62eaaaaaaab:0x10e393ebe8ce647d!8m2!3d29.8013376!4d-95.4370873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td_hmxf?entry=ttu&amp;g_ep=EgoyMDI1MDUwNy4wIKXMDSoASAFQAw%3D%3D</v>
      </c>
      <c r="X61" s="10"/>
      <c r="Y61" s="9" t="str">
        <f>IFERROR(__xludf.DUMMYFUNCTION("""COMPUTED_VALUE"""),"Houston")</f>
        <v>Houston</v>
      </c>
      <c r="Z61" s="9" t="str">
        <f>IFERROR(__xludf.DUMMYFUNCTION("""COMPUTED_VALUE"""),"Lazybrook / Timbergrove, Northside, Shady Acres, The Heights, Timbergrove")</f>
        <v>Lazybrook / Timbergrove, Northside, Shady Acres, The Heights, Timbergrove</v>
      </c>
      <c r="AA61" s="9" t="str">
        <f>IFERROR(__xludf.DUMMYFUNCTION("""COMPUTED_VALUE"""),"Avenue 360")</f>
        <v>Avenue 360</v>
      </c>
      <c r="AB61" s="9" t="str">
        <f>IFERROR(__xludf.DUMMYFUNCTION("""COMPUTED_VALUE"""),"Lazybrook / Timbergrove")</f>
        <v>Lazybrook / Timbergrove</v>
      </c>
    </row>
    <row r="62" ht="30.0" customHeight="1">
      <c r="A62" s="17">
        <v>61.0</v>
      </c>
      <c r="B6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2" s="9" t="str">
        <f>IFERROR(__xludf.DUMMYFUNCTION("""COMPUTED_VALUE"""),"Avenue 360 Humble")</f>
        <v>Avenue 360 Humble</v>
      </c>
      <c r="D62" s="9" t="str">
        <f>IFERROR(__xludf.DUMMYFUNCTION("""COMPUTED_VALUE"""),"18842 South Memorial Drive")</f>
        <v>18842 South Memorial Drive</v>
      </c>
      <c r="E62" s="9" t="str">
        <f>IFERROR(__xludf.DUMMYFUNCTION("""COMPUTED_VALUE"""),"Suite 206")</f>
        <v>Suite 206</v>
      </c>
      <c r="F62" s="9" t="str">
        <f>IFERROR(__xludf.DUMMYFUNCTION("""COMPUTED_VALUE"""),"Humble")</f>
        <v>Humble</v>
      </c>
      <c r="G62" s="9" t="str">
        <f>IFERROR(__xludf.DUMMYFUNCTION("""COMPUTED_VALUE"""),"TX")</f>
        <v>TX</v>
      </c>
      <c r="H62" s="9" t="str">
        <f>IFERROR(__xludf.DUMMYFUNCTION("""COMPUTED_VALUE"""),"77338")</f>
        <v>77338</v>
      </c>
      <c r="I62" s="9" t="str">
        <f>IFERROR(__xludf.DUMMYFUNCTION("""COMPUTED_VALUE"""),"281-570-2525")</f>
        <v>281-570-2525</v>
      </c>
      <c r="J62" s="9" t="str">
        <f>IFERROR(__xludf.DUMMYFUNCTION("""COMPUTED_VALUE"""),"29.9932214093687, -95.2760953754957")</f>
        <v>29.9932214093687, -95.2760953754957</v>
      </c>
      <c r="K62" s="9" t="str">
        <f>IFERROR(__xludf.DUMMYFUNCTION("""COMPUTED_VALUE"""),"{""regular"":[{""days"":[""Mo"",""Tu"",""We"",""Th"",""Fr""],""open"":""08:00"",""close"":""17:00""}]}")</f>
        <v>{"regular":[{"days":["Mo","Tu","We","Th","Fr"],"open":"08:00","close":"17:00"}]}</v>
      </c>
      <c r="L62" s="9"/>
      <c r="M62" s="10">
        <f>IFERROR(__xludf.DUMMYFUNCTION("""COMPUTED_VALUE"""),31.0)</f>
        <v>31</v>
      </c>
      <c r="N62" s="10" t="str">
        <f>IFERROR(__xludf.DUMMYFUNCTION("""COMPUTED_VALUE"""),"Medical - Primary Care")</f>
        <v>Medical - Primary Care</v>
      </c>
      <c r="O62" s="10">
        <f>IFERROR(__xludf.DUMMYFUNCTION("""COMPUTED_VALUE"""),1.0)</f>
        <v>1</v>
      </c>
      <c r="P62" s="10" t="str">
        <f>IFERROR(__xludf.DUMMYFUNCTION("""COMPUTED_VALUE"""),"ACTIVE")</f>
        <v>ACTIVE</v>
      </c>
      <c r="Q62" s="11">
        <f>IFERROR(__xludf.DUMMYFUNCTION("""COMPUTED_VALUE"""),45789.0)</f>
        <v>45789</v>
      </c>
      <c r="R62" s="9" t="str">
        <f>IFERROR(__xludf.DUMMYFUNCTION("""COMPUTED_VALUE"""),"Verified online")</f>
        <v>Verified online</v>
      </c>
      <c r="S62" s="9" t="str">
        <f>IFERROR(__xludf.DUMMYFUNCTION("""COMPUTED_VALUE"""),"Primary care, family planning, screenings, immunizations.
Sliding fee scale for uninsured.")</f>
        <v>Primary care, family planning, screenings, immunizations.
Sliding fee scale for uninsured.</v>
      </c>
      <c r="T62" s="12" t="b">
        <f>IFERROR(__xludf.DUMMYFUNCTION("""COMPUTED_VALUE"""),FALSE)</f>
        <v>0</v>
      </c>
      <c r="U62" s="12" t="b">
        <f>IFERROR(__xludf.DUMMYFUNCTION("""COMPUTED_VALUE"""),FALSE)</f>
        <v>0</v>
      </c>
      <c r="V62" s="13" t="str">
        <f>IFERROR(__xludf.DUMMYFUNCTION("""COMPUTED_VALUE"""),"https://avenue360.org/")</f>
        <v>https://avenue360.org/</v>
      </c>
      <c r="W62" s="14" t="str">
        <f>IFERROR(__xludf.DUMMYFUNCTION("""COMPUTED_VALUE"""),"https://www.google.com/maps/place/Avenue+360+Health+and+Wellness+-+Humble%2FLake+Houston+Area/@30.0107658,-95.6120224,12z/data=!3m1!5s0x8640b3b1af0a8aa9:0x46de262279676a0a!4m10!1m2!2m1!1sAvenue+360+Health+and+Wellness+near+Heights+Boulevard,+Houston,+TX!3"&amp;"m6!1s0x8640b3866c8e8433:0xaa3dd7fa9a3f8f2a!8m2!3d29.9936394!4d-95.2756661!15sCkJBdmVudWUgMzYwIEhlYWx0aCBhbmQgV2VsbG5lc3MgbmVhciBIZWlnaHRzIEJvdWxldmFyZCwgSG91c3RvbiwgVFgiA4gBAZIBDm1lZGljYWxfY2xpbmljqgGcAQoNL2cvMTFma3l5OWRzNhABKiIiHmF2ZW51ZSAzNjAgaGVhbHRoIG"&amp;"FuZCB3ZWxsbmVzcygAMh8QASIbuJzbXxv4vf3PNqnHCuhQerkE9J8UWRzGev8iMkQQAiJAYXZlbnVlIDM2MCBoZWFsdGggYW5kIHdlbGxuZXNzIG5lYXIgaGVpZ2h0cyBib3VsZXZhcmQgaG91c3RvbiB0eOABAA!16s%2Fg%2F11g4bbbv1z?entry=ttu&amp;g_ep=EgoyMDI1MDUwNy4wIKXMDSoASAFQAw%3D%3D")</f>
        <v>https://www.google.com/maps/place/Avenue+360+Health+and+Wellness+-+Humble%2FLake+Houston+Area/@30.0107658,-95.6120224,12z/data=!3m1!5s0x8640b3b1af0a8aa9:0x46de262279676a0a!4m10!1m2!2m1!1sAvenue+360+Health+and+Wellness+near+Heights+Boulevard,+Houston,+TX!3m6!1s0x8640b3866c8e8433:0xaa3dd7fa9a3f8f2a!8m2!3d29.9936394!4d-95.2756661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4bbbv1z?entry=ttu&amp;g_ep=EgoyMDI1MDUwNy4wIKXMDSoASAFQAw%3D%3D</v>
      </c>
      <c r="X62" s="10"/>
      <c r="Y62" s="9" t="str">
        <f>IFERROR(__xludf.DUMMYFUNCTION("""COMPUTED_VALUE"""),"Humble")</f>
        <v>Humble</v>
      </c>
      <c r="Z62" s="9" t="str">
        <f>IFERROR(__xludf.DUMMYFUNCTION("""COMPUTED_VALUE"""),"Humble, Humble (Old Town), Northshire")</f>
        <v>Humble, Humble (Old Town), Northshire</v>
      </c>
      <c r="AA62" s="9" t="str">
        <f>IFERROR(__xludf.DUMMYFUNCTION("""COMPUTED_VALUE"""),"Avenue 360")</f>
        <v>Avenue 360</v>
      </c>
      <c r="AB62" s="9" t="str">
        <f>IFERROR(__xludf.DUMMYFUNCTION("""COMPUTED_VALUE"""),"Humble")</f>
        <v>Humble</v>
      </c>
    </row>
    <row r="63" ht="30.0" customHeight="1">
      <c r="A63" s="17">
        <v>62.0</v>
      </c>
      <c r="B6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3" s="9" t="str">
        <f>IFERROR(__xludf.DUMMYFUNCTION("""COMPUTED_VALUE"""),"Avenue 360 Memorial City")</f>
        <v>Avenue 360 Memorial City</v>
      </c>
      <c r="D63" s="9" t="str">
        <f>IFERROR(__xludf.DUMMYFUNCTION("""COMPUTED_VALUE"""),"902 Frostwood Drive")</f>
        <v>902 Frostwood Drive</v>
      </c>
      <c r="E63" s="9" t="str">
        <f>IFERROR(__xludf.DUMMYFUNCTION("""COMPUTED_VALUE"""),"Suite 142")</f>
        <v>Suite 142</v>
      </c>
      <c r="F63" s="9" t="str">
        <f>IFERROR(__xludf.DUMMYFUNCTION("""COMPUTED_VALUE"""),"Houston")</f>
        <v>Houston</v>
      </c>
      <c r="G63" s="9" t="str">
        <f>IFERROR(__xludf.DUMMYFUNCTION("""COMPUTED_VALUE"""),"TX")</f>
        <v>TX</v>
      </c>
      <c r="H63" s="9" t="str">
        <f>IFERROR(__xludf.DUMMYFUNCTION("""COMPUTED_VALUE"""),"77024")</f>
        <v>77024</v>
      </c>
      <c r="I63" s="9" t="str">
        <f>IFERROR(__xludf.DUMMYFUNCTION("""COMPUTED_VALUE"""),"713-827-8266")</f>
        <v>713-827-8266</v>
      </c>
      <c r="J63" s="9" t="str">
        <f>IFERROR(__xludf.DUMMYFUNCTION("""COMPUTED_VALUE"""),"29.78102175, -95.5467568514467")</f>
        <v>29.78102175, -95.5467568514467</v>
      </c>
      <c r="K63" s="9" t="str">
        <f>IFERROR(__xludf.DUMMYFUNCTION("""COMPUTED_VALUE"""),"{""regular"":[{""days"":[""Mo""],""open"":""08:00"",""close"":""19:00""},{""days"":[""Tu"",""We"",""Th"",""Fr""],""open"":""08:00"",""close"":""17:00""}]}")</f>
        <v>{"regular":[{"days":["Mo"],"open":"08:00","close":"19:00"},{"days":["Tu","We","Th","Fr"],"open":"08:00","close":"17:00"}]}</v>
      </c>
      <c r="L63" s="9"/>
      <c r="M63" s="10">
        <f>IFERROR(__xludf.DUMMYFUNCTION("""COMPUTED_VALUE"""),31.0)</f>
        <v>31</v>
      </c>
      <c r="N63" s="10" t="str">
        <f>IFERROR(__xludf.DUMMYFUNCTION("""COMPUTED_VALUE"""),"Medical - Primary Care")</f>
        <v>Medical - Primary Care</v>
      </c>
      <c r="O63" s="10">
        <f>IFERROR(__xludf.DUMMYFUNCTION("""COMPUTED_VALUE"""),1.0)</f>
        <v>1</v>
      </c>
      <c r="P63" s="10" t="str">
        <f>IFERROR(__xludf.DUMMYFUNCTION("""COMPUTED_VALUE"""),"ACTIVE")</f>
        <v>ACTIVE</v>
      </c>
      <c r="Q63" s="11">
        <f>IFERROR(__xludf.DUMMYFUNCTION("""COMPUTED_VALUE"""),45789.0)</f>
        <v>45789</v>
      </c>
      <c r="R63" s="9" t="str">
        <f>IFERROR(__xludf.DUMMYFUNCTION("""COMPUTED_VALUE"""),"Verified online")</f>
        <v>Verified online</v>
      </c>
      <c r="S63" s="9" t="str">
        <f>IFERROR(__xludf.DUMMYFUNCTION("""COMPUTED_VALUE"""),"Pediatrics, immunizations, screenings and mental health counseling.
Sliding fee scale for uninsured.")</f>
        <v>Pediatrics, immunizations, screenings and mental health counseling.
Sliding fee scale for uninsured.</v>
      </c>
      <c r="T63" s="12" t="b">
        <f>IFERROR(__xludf.DUMMYFUNCTION("""COMPUTED_VALUE"""),FALSE)</f>
        <v>0</v>
      </c>
      <c r="U63" s="12" t="b">
        <f>IFERROR(__xludf.DUMMYFUNCTION("""COMPUTED_VALUE"""),FALSE)</f>
        <v>0</v>
      </c>
      <c r="V63" s="13" t="str">
        <f>IFERROR(__xludf.DUMMYFUNCTION("""COMPUTED_VALUE"""),"https://avenue360.org/")</f>
        <v>https://avenue360.org/</v>
      </c>
      <c r="W63" s="14" t="str">
        <f>IFERROR(__xludf.DUMMYFUNCTION("""COMPUTED_VALUE"""),"https://www.google.com/maps/place/Avenue+360+Health+and+Wellness+-+Memorial+City/@29.7801026,-95.6992342,12z/data=!4m10!1m2!2m1!1sAvenue+360+Health+and+Wellness+near+Heights+Boulevard,+Houston,+TX!3m6!1s0x8640c52ad343a75d:0xd0181acca5791ec2!8m2!3d29.78010"&amp;"26!4d-95.5467989!15sCkJBdmVudWUgMzYwIEhlYWx0aCBhbmQgV2VsbG5lc3MgbmVhciBIZWlnaHRzIEJvdWxldmFyZCwgSG91c3RvbiwgVFgiA4gBAZIBDm1lZGljYWxfY2xpbmljqgGcAQoNL2cvMTFma3l5OWRzNhABKiIiHmF2ZW51ZSAzNjAgaGVhbHRoIGFuZCB3ZWxsbmVzcygAMh8QASIbuJzbXxv4vf3PNqnHCuhQerkE9J8UWRz"&amp;"Gev8iMkQQAiJAYXZlbnVlIDM2MCBoZWFsdGggYW5kIHdlbGxuZXNzIG5lYXIgaGVpZ2h0cyBib3VsZXZhcmQgaG91c3RvbiB0eOABAA!16s%2Fg%2F11gk14_wv4?entry=ttu&amp;g_ep=EgoyMDI1MDUwNy4wIKXMDSoASAFQAw%3D%3D")</f>
        <v>https://www.google.com/maps/place/Avenue+360+Health+and+Wellness+-+Memorial+City/@29.7801026,-95.6992342,12z/data=!4m10!1m2!2m1!1sAvenue+360+Health+and+Wellness+near+Heights+Boulevard,+Houston,+TX!3m6!1s0x8640c52ad343a75d:0xd0181acca5791ec2!8m2!3d29.7801026!4d-95.5467989!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k14_wv4?entry=ttu&amp;g_ep=EgoyMDI1MDUwNy4wIKXMDSoASAFQAw%3D%3D</v>
      </c>
      <c r="X63" s="10"/>
      <c r="Y63" s="9" t="str">
        <f>IFERROR(__xludf.DUMMYFUNCTION("""COMPUTED_VALUE"""),"Houston")</f>
        <v>Houston</v>
      </c>
      <c r="Z63" s="9" t="str">
        <f>IFERROR(__xludf.DUMMYFUNCTION("""COMPUTED_VALUE"""),"Hedwig Village, Hunters Creek, Memorial City, Memorial Villages, Northwest Houston, Westside")</f>
        <v>Hedwig Village, Hunters Creek, Memorial City, Memorial Villages, Northwest Houston, Westside</v>
      </c>
      <c r="AA63" s="9" t="str">
        <f>IFERROR(__xludf.DUMMYFUNCTION("""COMPUTED_VALUE"""),"Avenue 360")</f>
        <v>Avenue 360</v>
      </c>
      <c r="AB63" s="9" t="str">
        <f>IFERROR(__xludf.DUMMYFUNCTION("""COMPUTED_VALUE"""),"Memorial City")</f>
        <v>Memorial City</v>
      </c>
    </row>
    <row r="64" ht="30.0" customHeight="1">
      <c r="A64" s="17">
        <v>63.0</v>
      </c>
      <c r="B6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4" s="9" t="str">
        <f>IFERROR(__xludf.DUMMYFUNCTION("""COMPUTED_VALUE"""),"Avenue 360 Midtown")</f>
        <v>Avenue 360 Midtown</v>
      </c>
      <c r="D64" s="9" t="str">
        <f>IFERROR(__xludf.DUMMYFUNCTION("""COMPUTED_VALUE"""),"2920 Fannin Street")</f>
        <v>2920 Fannin Street</v>
      </c>
      <c r="E64" s="9"/>
      <c r="F64" s="9" t="str">
        <f>IFERROR(__xludf.DUMMYFUNCTION("""COMPUTED_VALUE"""),"Houston")</f>
        <v>Houston</v>
      </c>
      <c r="G64" s="9" t="str">
        <f>IFERROR(__xludf.DUMMYFUNCTION("""COMPUTED_VALUE"""),"TX")</f>
        <v>TX</v>
      </c>
      <c r="H64" s="9" t="str">
        <f>IFERROR(__xludf.DUMMYFUNCTION("""COMPUTED_VALUE"""),"77002")</f>
        <v>77002</v>
      </c>
      <c r="I64" s="9" t="str">
        <f>IFERROR(__xludf.DUMMYFUNCTION("""COMPUTED_VALUE"""),"713-341-3790")</f>
        <v>713-341-3790</v>
      </c>
      <c r="J64" s="9" t="str">
        <f>IFERROR(__xludf.DUMMYFUNCTION("""COMPUTED_VALUE"""),"29.742643, -95.375362")</f>
        <v>29.742643, -95.375362</v>
      </c>
      <c r="K64" s="9" t="str">
        <f>IFERROR(__xludf.DUMMYFUNCTION("""COMPUTED_VALUE"""),"{""regular"":[{""days"":[""Mo"",""Tu"",""We"",""Th""],""open"":""08:00"",""close"":""18:00""},{""days"":[""Fr""],""open"":""08:00"",""close"":""17:00""}]}")</f>
        <v>{"regular":[{"days":["Mo","Tu","We","Th"],"open":"08:00","close":"18:00"},{"days":["Fr"],"open":"08:00","close":"17:00"}]}</v>
      </c>
      <c r="L64" s="9"/>
      <c r="M64" s="10">
        <f>IFERROR(__xludf.DUMMYFUNCTION("""COMPUTED_VALUE"""),31.0)</f>
        <v>31</v>
      </c>
      <c r="N64" s="10" t="str">
        <f>IFERROR(__xludf.DUMMYFUNCTION("""COMPUTED_VALUE"""),"Medical - Primary Care")</f>
        <v>Medical - Primary Care</v>
      </c>
      <c r="O64" s="10">
        <f>IFERROR(__xludf.DUMMYFUNCTION("""COMPUTED_VALUE"""),1.0)</f>
        <v>1</v>
      </c>
      <c r="P64" s="10" t="str">
        <f>IFERROR(__xludf.DUMMYFUNCTION("""COMPUTED_VALUE"""),"ACTIVE")</f>
        <v>ACTIVE</v>
      </c>
      <c r="Q64" s="11">
        <f>IFERROR(__xludf.DUMMYFUNCTION("""COMPUTED_VALUE"""),46049.0)</f>
        <v>46049</v>
      </c>
      <c r="R64" s="9" t="str">
        <f>IFERROR(__xludf.DUMMYFUNCTION("""COMPUTED_VALUE"""),"Verified online")</f>
        <v>Verified online</v>
      </c>
      <c r="S64" s="9" t="str">
        <f>IFERROR(__xludf.DUMMYFUNCTION("""COMPUTED_VALUE"""),"Primary care, HIV specialty care, behavioral health, case management.
Sliding fee scale for uninsured.")</f>
        <v>Primary care, HIV specialty care, behavioral health, case management.
Sliding fee scale for uninsured.</v>
      </c>
      <c r="T64" s="12" t="b">
        <f>IFERROR(__xludf.DUMMYFUNCTION("""COMPUTED_VALUE"""),FALSE)</f>
        <v>0</v>
      </c>
      <c r="U64" s="12" t="b">
        <f>IFERROR(__xludf.DUMMYFUNCTION("""COMPUTED_VALUE"""),FALSE)</f>
        <v>0</v>
      </c>
      <c r="V64" s="13" t="str">
        <f>IFERROR(__xludf.DUMMYFUNCTION("""COMPUTED_VALUE"""),"https://avenue360.org/")</f>
        <v>https://avenue360.org/</v>
      </c>
      <c r="W64" s="14" t="str">
        <f>IFERROR(__xludf.DUMMYFUNCTION("""COMPUTED_VALUE"""),"https://www.google.com/maps/place/Avenue+360+Health+and+Wellness+-+Midtown/@29.6963641,-95.4153268,12z/data=!4m10!1m2!2m1!1sAvenue+360+Health+and+Wellness+near+Heights+Boulevard,+Houston,+TX!3m6!1s0x8640bfa1b8495303:0x7ac6fe0fcb31d78c!8m2!3d29.7425687!4d-"&amp;"95.3752492!15sCkJBdmVudWUgMzYwIEhlYWx0aCBhbmQgV2VsbG5lc3MgbmVhciBIZWlnaHRzIEJvdWxldmFyZCwgSG91c3RvbiwgVFgiA4gBAZIBDm1lZGljYWxfY2xpbmljqgGcAQoNL2cvMTFma3l5OWRzNhABKiIiHmF2ZW51ZSAzNjAgaGVhbHRoIGFuZCB3ZWxsbmVzcygAMh8QASIbuJzbXxv4vf3PNqnHCuhQerkE9J8UWRzGev8iM"&amp;"kQQAiJAYXZlbnVlIDM2MCBoZWFsdGggYW5kIHdlbGxuZXNzIG5lYXIgaGVpZ2h0cyBib3VsZXZhcmQgaG91c3RvbiB0eOABAA!16s%2Fg%2F11p5pzmbtf?entry=ttu&amp;g_ep=EgoyMDI1MDUwNy4wIKXMDSoASAFQAw%3D%3D")</f>
        <v>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v>
      </c>
      <c r="X64" s="10"/>
      <c r="Y64" s="9" t="str">
        <f>IFERROR(__xludf.DUMMYFUNCTION("""COMPUTED_VALUE"""),"Houston")</f>
        <v>Houston</v>
      </c>
      <c r="Z64"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64" s="9" t="str">
        <f>IFERROR(__xludf.DUMMYFUNCTION("""COMPUTED_VALUE"""),"Avenue 360")</f>
        <v>Avenue 360</v>
      </c>
      <c r="AB64" s="9" t="str">
        <f>IFERROR(__xludf.DUMMYFUNCTION("""COMPUTED_VALUE"""),"South Central Houston")</f>
        <v>South Central Houston</v>
      </c>
    </row>
    <row r="65" ht="30.0" customHeight="1">
      <c r="A65" s="17">
        <v>64.0</v>
      </c>
      <c r="B6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5" s="9" t="str">
        <f>IFERROR(__xludf.DUMMYFUNCTION("""COMPUTED_VALUE"""),"Avenue 360 Midtown")</f>
        <v>Avenue 360 Midtown</v>
      </c>
      <c r="D65" s="9" t="str">
        <f>IFERROR(__xludf.DUMMYFUNCTION("""COMPUTED_VALUE"""),"2920 Fannin Street")</f>
        <v>2920 Fannin Street</v>
      </c>
      <c r="E65" s="9"/>
      <c r="F65" s="9" t="str">
        <f>IFERROR(__xludf.DUMMYFUNCTION("""COMPUTED_VALUE"""),"Houston")</f>
        <v>Houston</v>
      </c>
      <c r="G65" s="9" t="str">
        <f>IFERROR(__xludf.DUMMYFUNCTION("""COMPUTED_VALUE"""),"TX")</f>
        <v>TX</v>
      </c>
      <c r="H65" s="9" t="str">
        <f>IFERROR(__xludf.DUMMYFUNCTION("""COMPUTED_VALUE"""),"77002")</f>
        <v>77002</v>
      </c>
      <c r="I65" s="9" t="str">
        <f>IFERROR(__xludf.DUMMYFUNCTION("""COMPUTED_VALUE"""),"713-341-3790")</f>
        <v>713-341-3790</v>
      </c>
      <c r="J65" s="9" t="str">
        <f>IFERROR(__xludf.DUMMYFUNCTION("""COMPUTED_VALUE"""),"29.742643, -95.375362")</f>
        <v>29.742643, -95.375362</v>
      </c>
      <c r="K65" s="9" t="str">
        <f>IFERROR(__xludf.DUMMYFUNCTION("""COMPUTED_VALUE"""),"{""regular"":[{""days"":[""Mo"",""Tu"",""We"",""Th""],""open"":""08:00"",""close"":""18:00""},{""days"":[""Fr""],""open"":""08:00"",""close"":""17:00""}]}")</f>
        <v>{"regular":[{"days":["Mo","Tu","We","Th"],"open":"08:00","close":"18:00"},{"days":["Fr"],"open":"08:00","close":"17:00"}]}</v>
      </c>
      <c r="L65" s="9"/>
      <c r="M65" s="10">
        <f>IFERROR(__xludf.DUMMYFUNCTION("""COMPUTED_VALUE"""),32.0)</f>
        <v>32</v>
      </c>
      <c r="N65" s="10" t="str">
        <f>IFERROR(__xludf.DUMMYFUNCTION("""COMPUTED_VALUE"""),"Medical - Dental &amp; Vision")</f>
        <v>Medical - Dental &amp; Vision</v>
      </c>
      <c r="O65" s="10">
        <f>IFERROR(__xludf.DUMMYFUNCTION("""COMPUTED_VALUE"""),1.0)</f>
        <v>1</v>
      </c>
      <c r="P65" s="10" t="str">
        <f>IFERROR(__xludf.DUMMYFUNCTION("""COMPUTED_VALUE"""),"ACTIVE")</f>
        <v>ACTIVE</v>
      </c>
      <c r="Q65" s="11">
        <f>IFERROR(__xludf.DUMMYFUNCTION("""COMPUTED_VALUE"""),46048.0)</f>
        <v>46048</v>
      </c>
      <c r="R65" s="9" t="str">
        <f>IFERROR(__xludf.DUMMYFUNCTION("""COMPUTED_VALUE"""),"Verified online")</f>
        <v>Verified online</v>
      </c>
      <c r="S65" s="9" t="str">
        <f>IFERROR(__xludf.DUMMYFUNCTION("""COMPUTED_VALUE"""),"Dental
Dental services include oral medicine, crowns, dentures, treatment of gum disease, root canals and oral surgery.
Sliding fee scale for uninsured.")</f>
        <v>Dental
Dental services include oral medicine, crowns, dentures, treatment of gum disease, root canals and oral surgery.
Sliding fee scale for uninsured.</v>
      </c>
      <c r="T65" s="12" t="b">
        <f>IFERROR(__xludf.DUMMYFUNCTION("""COMPUTED_VALUE"""),TRUE)</f>
        <v>1</v>
      </c>
      <c r="U65" s="12" t="b">
        <f>IFERROR(__xludf.DUMMYFUNCTION("""COMPUTED_VALUE"""),FALSE)</f>
        <v>0</v>
      </c>
      <c r="V65" s="13" t="str">
        <f>IFERROR(__xludf.DUMMYFUNCTION("""COMPUTED_VALUE"""),"https://avenue360.org/")</f>
        <v>https://avenue360.org/</v>
      </c>
      <c r="W65" s="14" t="str">
        <f>IFERROR(__xludf.DUMMYFUNCTION("""COMPUTED_VALUE"""),"https://www.google.com/maps/place/Avenue+360+Health+and+Wellness+-+Midtown/@29.6963641,-95.4153268,12z/data=!4m10!1m2!2m1!1sAvenue+360+Health+and+Wellness+near+Heights+Boulevard,+Houston,+TX!3m6!1s0x8640bfa1b8495303:0x7ac6fe0fcb31d78c!8m2!3d29.7425687!4d-"&amp;"95.3752492!15sCkJBdmVudWUgMzYwIEhlYWx0aCBhbmQgV2VsbG5lc3MgbmVhciBIZWlnaHRzIEJvdWxldmFyZCwgSG91c3RvbiwgVFgiA4gBAZIBDm1lZGljYWxfY2xpbmljqgGcAQoNL2cvMTFma3l5OWRzNhABKiIiHmF2ZW51ZSAzNjAgaGVhbHRoIGFuZCB3ZWxsbmVzcygAMh8QASIbuJzbXxv4vf3PNqnHCuhQerkE9J8UWRzGev8iM"&amp;"kQQAiJAYXZlbnVlIDM2MCBoZWFsdGggYW5kIHdlbGxuZXNzIG5lYXIgaGVpZ2h0cyBib3VsZXZhcmQgaG91c3RvbiB0eOABAA!16s%2Fg%2F11p5pzmbtf?entry=ttu&amp;g_ep=EgoyMDI1MDUwNy4wIKXMDSoASAFQAw%3D%3D")</f>
        <v>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v>
      </c>
      <c r="X65" s="10"/>
      <c r="Y65" s="9" t="str">
        <f>IFERROR(__xludf.DUMMYFUNCTION("""COMPUTED_VALUE"""),"Houston")</f>
        <v>Houston</v>
      </c>
      <c r="Z65"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65" s="9" t="str">
        <f>IFERROR(__xludf.DUMMYFUNCTION("""COMPUTED_VALUE"""),"Avenue 360")</f>
        <v>Avenue 360</v>
      </c>
      <c r="AB65" s="9" t="str">
        <f>IFERROR(__xludf.DUMMYFUNCTION("""COMPUTED_VALUE"""),"South Central Houston")</f>
        <v>South Central Houston</v>
      </c>
    </row>
    <row r="66" ht="30.0" customHeight="1">
      <c r="A66" s="17">
        <v>65.0</v>
      </c>
      <c r="B6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6" s="9" t="str">
        <f>IFERROR(__xludf.DUMMYFUNCTION("""COMPUTED_VALUE"""),"Avenue 360 Midtown")</f>
        <v>Avenue 360 Midtown</v>
      </c>
      <c r="D66" s="9" t="str">
        <f>IFERROR(__xludf.DUMMYFUNCTION("""COMPUTED_VALUE"""),"2920 Fannin Street")</f>
        <v>2920 Fannin Street</v>
      </c>
      <c r="E66" s="9"/>
      <c r="F66" s="9" t="str">
        <f>IFERROR(__xludf.DUMMYFUNCTION("""COMPUTED_VALUE"""),"Houston")</f>
        <v>Houston</v>
      </c>
      <c r="G66" s="9" t="str">
        <f>IFERROR(__xludf.DUMMYFUNCTION("""COMPUTED_VALUE"""),"TX")</f>
        <v>TX</v>
      </c>
      <c r="H66" s="9" t="str">
        <f>IFERROR(__xludf.DUMMYFUNCTION("""COMPUTED_VALUE"""),"77002")</f>
        <v>77002</v>
      </c>
      <c r="I66" s="9" t="str">
        <f>IFERROR(__xludf.DUMMYFUNCTION("""COMPUTED_VALUE"""),"713-341-3790")</f>
        <v>713-341-3790</v>
      </c>
      <c r="J66" s="9" t="str">
        <f>IFERROR(__xludf.DUMMYFUNCTION("""COMPUTED_VALUE"""),"29.742643, -95.375362")</f>
        <v>29.742643, -95.375362</v>
      </c>
      <c r="K66" s="9" t="str">
        <f>IFERROR(__xludf.DUMMYFUNCTION("""COMPUTED_VALUE"""),"{""regular"":[{""days"":[""Mo"",""Tu"",""We"",""Th""],""open"":""08:00"",""close"":""18:00""},{""days"":[""Fr""],""open"":""08:00"",""close"":""17:00""}]}")</f>
        <v>{"regular":[{"days":["Mo","Tu","We","Th"],"open":"08:00","close":"18:00"},{"days":["Fr"],"open":"08:00","close":"17:00"}]}</v>
      </c>
      <c r="L66" s="9"/>
      <c r="M66" s="10">
        <f>IFERROR(__xludf.DUMMYFUNCTION("""COMPUTED_VALUE"""),33.0)</f>
        <v>33</v>
      </c>
      <c r="N66" s="10" t="str">
        <f>IFERROR(__xludf.DUMMYFUNCTION("""COMPUTED_VALUE"""),"Medical - Behavioral Health")</f>
        <v>Medical - Behavioral Health</v>
      </c>
      <c r="O66" s="10">
        <f>IFERROR(__xludf.DUMMYFUNCTION("""COMPUTED_VALUE"""),1.0)</f>
        <v>1</v>
      </c>
      <c r="P66" s="10" t="str">
        <f>IFERROR(__xludf.DUMMYFUNCTION("""COMPUTED_VALUE"""),"ACTIVE")</f>
        <v>ACTIVE</v>
      </c>
      <c r="Q66" s="11">
        <f>IFERROR(__xludf.DUMMYFUNCTION("""COMPUTED_VALUE"""),46049.0)</f>
        <v>46049</v>
      </c>
      <c r="R66" s="9" t="str">
        <f>IFERROR(__xludf.DUMMYFUNCTION("""COMPUTED_VALUE"""),"Verified online")</f>
        <v>Verified online</v>
      </c>
      <c r="S66" s="9" t="str">
        <f>IFERROR(__xludf.DUMMYFUNCTION("""COMPUTED_VALUE"""),"Behavioral and psychiatric services adults and adolescents in individual and family and group settings.
Includes substance sue pre-treatment and treatment
Sliding fee scale for uninsured.")</f>
        <v>Behavioral and psychiatric services adults and adolescents in individual and family and group settings.
Includes substance sue pre-treatment and treatment
Sliding fee scale for uninsured.</v>
      </c>
      <c r="T66" s="12" t="b">
        <f>IFERROR(__xludf.DUMMYFUNCTION("""COMPUTED_VALUE"""),FALSE)</f>
        <v>0</v>
      </c>
      <c r="U66" s="12" t="b">
        <f>IFERROR(__xludf.DUMMYFUNCTION("""COMPUTED_VALUE"""),FALSE)</f>
        <v>0</v>
      </c>
      <c r="V66" s="13" t="str">
        <f>IFERROR(__xludf.DUMMYFUNCTION("""COMPUTED_VALUE"""),"https://avenue360.org/")</f>
        <v>https://avenue360.org/</v>
      </c>
      <c r="W66" s="14" t="str">
        <f>IFERROR(__xludf.DUMMYFUNCTION("""COMPUTED_VALUE"""),"https://www.google.com/maps/place/Avenue+360+Health+and+Wellness+-+Midtown/@29.6963641,-95.4153268,12z/data=!4m10!1m2!2m1!1sAvenue+360+Health+and+Wellness+near+Heights+Boulevard,+Houston,+TX!3m6!1s0x8640bfa1b8495303:0x7ac6fe0fcb31d78c!8m2!3d29.7425687!4d-"&amp;"95.3752492!15sCkJBdmVudWUgMzYwIEhlYWx0aCBhbmQgV2VsbG5lc3MgbmVhciBIZWlnaHRzIEJvdWxldmFyZCwgSG91c3RvbiwgVFgiA4gBAZIBDm1lZGljYWxfY2xpbmljqgGcAQoNL2cvMTFma3l5OWRzNhABKiIiHmF2ZW51ZSAzNjAgaGVhbHRoIGFuZCB3ZWxsbmVzcygAMh8QASIbuJzbXxv4vf3PNqnHCuhQerkE9J8UWRzGev8iM"&amp;"kQQAiJAYXZlbnVlIDM2MCBoZWFsdGggYW5kIHdlbGxuZXNzIG5lYXIgaGVpZ2h0cyBib3VsZXZhcmQgaG91c3RvbiB0eOABAA!16s%2Fg%2F11p5pzmbtf?entry=ttu&amp;g_ep=EgoyMDI1MDUwNy4wIKXMDSoASAFQAw%3D%3D")</f>
        <v>https://www.google.com/maps/place/Avenue+360+Health+and+Wellness+-+Midtown/@29.6963641,-95.4153268,12z/data=!4m10!1m2!2m1!1sAvenue+360+Health+and+Wellness+near+Heights+Boulevard,+Houston,+TX!3m6!1s0x8640bfa1b8495303:0x7ac6fe0fcb31d78c!8m2!3d29.7425687!4d-95.3752492!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p5pzmbtf?entry=ttu&amp;g_ep=EgoyMDI1MDUwNy4wIKXMDSoASAFQAw%3D%3D</v>
      </c>
      <c r="X66" s="10"/>
      <c r="Y66" s="9" t="str">
        <f>IFERROR(__xludf.DUMMYFUNCTION("""COMPUTED_VALUE"""),"Houston")</f>
        <v>Houston</v>
      </c>
      <c r="Z66"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66" s="9" t="str">
        <f>IFERROR(__xludf.DUMMYFUNCTION("""COMPUTED_VALUE"""),"Avenue 360")</f>
        <v>Avenue 360</v>
      </c>
      <c r="AB66" s="9" t="str">
        <f>IFERROR(__xludf.DUMMYFUNCTION("""COMPUTED_VALUE"""),"South Central Houston")</f>
        <v>South Central Houston</v>
      </c>
    </row>
    <row r="67" ht="30.0" customHeight="1">
      <c r="A67" s="17">
        <v>66.0</v>
      </c>
      <c r="B6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7" s="9" t="str">
        <f>IFERROR(__xludf.DUMMYFUNCTION("""COMPUTED_VALUE"""),"Avenue 360 Omega House Hospice")</f>
        <v>Avenue 360 Omega House Hospice</v>
      </c>
      <c r="D67" s="9" t="str">
        <f>IFERROR(__xludf.DUMMYFUNCTION("""COMPUTED_VALUE"""),"602 Branard Street")</f>
        <v>602 Branard Street</v>
      </c>
      <c r="E67" s="9"/>
      <c r="F67" s="9" t="str">
        <f>IFERROR(__xludf.DUMMYFUNCTION("""COMPUTED_VALUE"""),"Houston")</f>
        <v>Houston</v>
      </c>
      <c r="G67" s="9" t="str">
        <f>IFERROR(__xludf.DUMMYFUNCTION("""COMPUTED_VALUE"""),"TX")</f>
        <v>TX</v>
      </c>
      <c r="H67" s="9" t="str">
        <f>IFERROR(__xludf.DUMMYFUNCTION("""COMPUTED_VALUE"""),"77006")</f>
        <v>77006</v>
      </c>
      <c r="I67" s="9" t="str">
        <f>IFERROR(__xludf.DUMMYFUNCTION("""COMPUTED_VALUE"""),"713-523-7110")</f>
        <v>713-523-7110</v>
      </c>
      <c r="J67" s="9" t="str">
        <f>IFERROR(__xludf.DUMMYFUNCTION("""COMPUTED_VALUE"""),"29.7371658888889, -95.3870788787879")</f>
        <v>29.7371658888889, -95.3870788787879</v>
      </c>
      <c r="K67" s="9" t="str">
        <f>IFERROR(__xludf.DUMMYFUNCTION("""COMPUTED_VALUE"""),"{""regular"":[{""days"":[""Mo"",""Tu"",""We"",""Th"",""Fr"",""Sa"",""Su""],""open"":""00:00"",""close"":""23:59""}]}")</f>
        <v>{"regular":[{"days":["Mo","Tu","We","Th","Fr","Sa","Su"],"open":"00:00","close":"23:59"}]}</v>
      </c>
      <c r="L67" s="9"/>
      <c r="M67" s="10">
        <f>IFERROR(__xludf.DUMMYFUNCTION("""COMPUTED_VALUE"""),31.0)</f>
        <v>31</v>
      </c>
      <c r="N67" s="10" t="str">
        <f>IFERROR(__xludf.DUMMYFUNCTION("""COMPUTED_VALUE"""),"Medical - Primary Care")</f>
        <v>Medical - Primary Care</v>
      </c>
      <c r="O67" s="10">
        <f>IFERROR(__xludf.DUMMYFUNCTION("""COMPUTED_VALUE"""),1.0)</f>
        <v>1</v>
      </c>
      <c r="P67" s="10" t="str">
        <f>IFERROR(__xludf.DUMMYFUNCTION("""COMPUTED_VALUE"""),"ACTIVE")</f>
        <v>ACTIVE</v>
      </c>
      <c r="Q67" s="11">
        <f>IFERROR(__xludf.DUMMYFUNCTION("""COMPUTED_VALUE"""),45789.0)</f>
        <v>45789</v>
      </c>
      <c r="R67" s="9" t="str">
        <f>IFERROR(__xludf.DUMMYFUNCTION("""COMPUTED_VALUE"""),"Verified online")</f>
        <v>Verified online</v>
      </c>
      <c r="S67" s="9" t="str">
        <f>IFERROR(__xludf.DUMMYFUNCTION("""COMPUTED_VALUE"""),"Palliative medical care including bereavement services for the dying and loved ones.
Eight bed facility.
Ongoing medical.nursing care, emotional support and assistance with daily activities.")</f>
        <v>Palliative medical care including bereavement services for the dying and loved ones.
Eight bed facility.
Ongoing medical.nursing care, emotional support and assistance with daily activities.</v>
      </c>
      <c r="T67" s="12" t="b">
        <f>IFERROR(__xludf.DUMMYFUNCTION("""COMPUTED_VALUE"""),FALSE)</f>
        <v>0</v>
      </c>
      <c r="U67" s="12" t="b">
        <f>IFERROR(__xludf.DUMMYFUNCTION("""COMPUTED_VALUE"""),FALSE)</f>
        <v>0</v>
      </c>
      <c r="V67" s="13" t="str">
        <f>IFERROR(__xludf.DUMMYFUNCTION("""COMPUTED_VALUE"""),"https://avenue360.org/")</f>
        <v>https://avenue360.org/</v>
      </c>
      <c r="W67" s="14" t="str">
        <f>IFERROR(__xludf.DUMMYFUNCTION("""COMPUTED_VALUE"""),"https://www.google.com/maps/place/Omega+House+Inc/@29.7493709,-95.4271715,14z/data=!4m10!1m2!2m1!1sAvenue+360+omega+house!3m6!1s0x8640bf7b34918707:0xca52df43197d2b70!8m2!3d29.737315!4d-95.387145!15sChZBdmVudWUgMzYwIG9tZWdhIGhvdXNlIgOIAQGSAQdob3NwaWNlqgFqC"&amp;"g0vZy8xMWZreXk5ZHM2EAEqGiIWYXZlbnVlIDM2MCBvbWVnYSBob3VzZSgAMh8QASIbVSKfBN_lgTeTOV3_tjNAWct14vydLLzNZg8gMhoQAiIWYXZlbnVlIDM2MCBvbWVnYSBob3VzZeABAA!16s%2Fg%2F12601824t?entry=ttu&amp;g_ep=EgoyMDI1MDUwNy4wIKXMDSoASAFQAw%3D%3D")</f>
        <v>https://www.google.com/maps/place/Omega+House+Inc/@29.7493709,-95.4271715,14z/data=!4m10!1m2!2m1!1sAvenue+360+omega+house!3m6!1s0x8640bf7b34918707:0xca52df43197d2b70!8m2!3d29.737315!4d-95.387145!15sChZBdmVudWUgMzYwIG9tZWdhIGhvdXNlIgOIAQGSAQdob3NwaWNlqgFqCg0vZy8xMWZreXk5ZHM2EAEqGiIWYXZlbnVlIDM2MCBvbWVnYSBob3VzZSgAMh8QASIbVSKfBN_lgTeTOV3_tjNAWct14vydLLzNZg8gMhoQAiIWYXZlbnVlIDM2MCBvbWVnYSBob3VzZeABAA!16s%2Fg%2F12601824t?entry=ttu&amp;g_ep=EgoyMDI1MDUwNy4wIKXMDSoASAFQAw%3D%3D</v>
      </c>
      <c r="X67" s="10"/>
      <c r="Y67" s="9" t="str">
        <f>IFERROR(__xludf.DUMMYFUNCTION("""COMPUTED_VALUE"""),"Houston")</f>
        <v>Houston</v>
      </c>
      <c r="Z67" s="9" t="str">
        <f>IFERROR(__xludf.DUMMYFUNCTION("""COMPUTED_VALUE"""),"Hyde Park, Montrose, South Central Houston")</f>
        <v>Hyde Park, Montrose, South Central Houston</v>
      </c>
      <c r="AA67" s="9" t="str">
        <f>IFERROR(__xludf.DUMMYFUNCTION("""COMPUTED_VALUE"""),"Avenue 360")</f>
        <v>Avenue 360</v>
      </c>
      <c r="AB67" s="9" t="str">
        <f>IFERROR(__xludf.DUMMYFUNCTION("""COMPUTED_VALUE"""),"Montrose")</f>
        <v>Montrose</v>
      </c>
    </row>
    <row r="68" ht="30.0" customHeight="1">
      <c r="A68" s="17">
        <v>67.0</v>
      </c>
      <c r="B6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8" s="9" t="str">
        <f>IFERROR(__xludf.DUMMYFUNCTION("""COMPUTED_VALUE"""),"Avenue 360 Southwest")</f>
        <v>Avenue 360 Southwest</v>
      </c>
      <c r="D68" s="9" t="str">
        <f>IFERROR(__xludf.DUMMYFUNCTION("""COMPUTED_VALUE"""),"14095 South Main Street")</f>
        <v>14095 South Main Street</v>
      </c>
      <c r="E68" s="9"/>
      <c r="F68" s="9" t="str">
        <f>IFERROR(__xludf.DUMMYFUNCTION("""COMPUTED_VALUE"""),"Houston")</f>
        <v>Houston</v>
      </c>
      <c r="G68" s="9" t="str">
        <f>IFERROR(__xludf.DUMMYFUNCTION("""COMPUTED_VALUE"""),"TX")</f>
        <v>TX</v>
      </c>
      <c r="H68" s="9" t="str">
        <f>IFERROR(__xludf.DUMMYFUNCTION("""COMPUTED_VALUE"""),"77035")</f>
        <v>77035</v>
      </c>
      <c r="I68" s="9" t="str">
        <f>IFERROR(__xludf.DUMMYFUNCTION("""COMPUTED_VALUE"""),"832-830-8345")</f>
        <v>832-830-8345</v>
      </c>
      <c r="J68" s="9" t="str">
        <f>IFERROR(__xludf.DUMMYFUNCTION("""COMPUTED_VALUE"""),"29.63302153514462, -95.49370860679693")</f>
        <v>29.63302153514462, -95.49370860679693</v>
      </c>
      <c r="K68" s="9" t="str">
        <f>IFERROR(__xludf.DUMMYFUNCTION("""COMPUTED_VALUE"""),"{""regular"":[{""days"":[""Mo"",""Tu"",""We"",""Th"",""Fr""],""open"":""08:00"",""close"":""17:00""}]}")</f>
        <v>{"regular":[{"days":["Mo","Tu","We","Th","Fr"],"open":"08:00","close":"17:00"}]}</v>
      </c>
      <c r="L68" s="9"/>
      <c r="M68" s="10">
        <f>IFERROR(__xludf.DUMMYFUNCTION("""COMPUTED_VALUE"""),31.0)</f>
        <v>31</v>
      </c>
      <c r="N68" s="10" t="str">
        <f>IFERROR(__xludf.DUMMYFUNCTION("""COMPUTED_VALUE"""),"Medical - Primary Care")</f>
        <v>Medical - Primary Care</v>
      </c>
      <c r="O68" s="10">
        <f>IFERROR(__xludf.DUMMYFUNCTION("""COMPUTED_VALUE"""),1.0)</f>
        <v>1</v>
      </c>
      <c r="P68" s="10" t="str">
        <f>IFERROR(__xludf.DUMMYFUNCTION("""COMPUTED_VALUE"""),"ACTIVE")</f>
        <v>ACTIVE</v>
      </c>
      <c r="Q68" s="11">
        <f>IFERROR(__xludf.DUMMYFUNCTION("""COMPUTED_VALUE"""),46049.0)</f>
        <v>46049</v>
      </c>
      <c r="R68" s="9" t="str">
        <f>IFERROR(__xludf.DUMMYFUNCTION("""COMPUTED_VALUE"""),"Verified online")</f>
        <v>Verified online</v>
      </c>
      <c r="S68" s="9" t="str">
        <f>IFERROR(__xludf.DUMMYFUNCTION("""COMPUTED_VALUE"""),"Affordable, quality medical care, pharmacy, behavioral health and support services.
Primary care, OB/GYN, pediatrics, screenings, immunizations, family planning, prenatal and postpartum care and mental health counseling.
Sliding fee scale for uninsured.")</f>
        <v>Affordable, quality medical care, pharmacy, behavioral health and support services.
Primary care, OB/GYN, pediatrics, screenings, immunizations, family planning, prenatal and postpartum care and mental health counseling.
Sliding fee scale for uninsured.</v>
      </c>
      <c r="T68" s="12" t="b">
        <f>IFERROR(__xludf.DUMMYFUNCTION("""COMPUTED_VALUE"""),FALSE)</f>
        <v>0</v>
      </c>
      <c r="U68" s="12" t="b">
        <f>IFERROR(__xludf.DUMMYFUNCTION("""COMPUTED_VALUE"""),FALSE)</f>
        <v>0</v>
      </c>
      <c r="V68" s="13" t="str">
        <f>IFERROR(__xludf.DUMMYFUNCTION("""COMPUTED_VALUE"""),"https://avenue360.org/")</f>
        <v>https://avenue360.org/</v>
      </c>
      <c r="W68" s="14" t="str">
        <f>IFERROR(__xludf.DUMMYFUNCTION("""COMPUTED_VALUE"""),"https://www.google.com/maps/place/Avenue+360+Health+and+Wellness+-+Southwest/@29.7801026,-95.6992342,12z/data=!4m10!1m2!2m1!1sAvenue+360+Health+and+Wellness+near+Heights+Boulevard,+Houston,+TX!3m6!1s0x8640e943d63642a5:0xf712fbd78e3ecab0!8m2!3d29.6329936!4"&amp;"d-95.4937133!15sCkJBdmVudWUgMzYwIEhlYWx0aCBhbmQgV2VsbG5lc3MgbmVhciBIZWlnaHRzIEJvdWxldmFyZCwgSG91c3RvbiwgVFgiA4gBAZIBDm1lZGljYWxfY2xpbmljqgGcAQoNL2cvMTFma3l5OWRzNhABKiIiHmF2ZW51ZSAzNjAgaGVhbHRoIGFuZCB3ZWxsbmVzcygAMh8QASIbuJzbXxv4vf3PNqnHCuhQerkE9J8UWRzGev8"&amp;"iMkQQAiJAYXZlbnVlIDM2MCBoZWFsdGggYW5kIHdlbGxuZXNzIG5lYXIgaGVpZ2h0cyBib3VsZXZhcmQgaG91c3RvbiB0eOABAA!16s%2Fg%2F11j52d3cmk?entry=ttu&amp;g_ep=EgoyMDI1MDUwNy4wIKXMDSoASAFQAw%3D%3D")</f>
        <v>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v>
      </c>
      <c r="X68" s="10"/>
      <c r="Y68" s="9" t="str">
        <f>IFERROR(__xludf.DUMMYFUNCTION("""COMPUTED_VALUE"""),"Houston")</f>
        <v>Houston</v>
      </c>
      <c r="Z68" s="9" t="str">
        <f>IFERROR(__xludf.DUMMYFUNCTION("""COMPUTED_VALUE"""),"Bellaire, Brays Oaks, Fondren Gardens, Westbury, Willow Meadows/ Willowbend Area, Willowbend")</f>
        <v>Bellaire, Brays Oaks, Fondren Gardens, Westbury, Willow Meadows/ Willowbend Area, Willowbend</v>
      </c>
      <c r="AA68" s="9" t="str">
        <f>IFERROR(__xludf.DUMMYFUNCTION("""COMPUTED_VALUE"""),"Avenue 360")</f>
        <v>Avenue 360</v>
      </c>
      <c r="AB68" s="9" t="str">
        <f>IFERROR(__xludf.DUMMYFUNCTION("""COMPUTED_VALUE"""),"Fondren Gardens")</f>
        <v>Fondren Gardens</v>
      </c>
    </row>
    <row r="69" ht="30.0" customHeight="1">
      <c r="A69" s="17">
        <v>68.0</v>
      </c>
      <c r="B6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69" s="9" t="str">
        <f>IFERROR(__xludf.DUMMYFUNCTION("""COMPUTED_VALUE"""),"Avenue 360 Southwest")</f>
        <v>Avenue 360 Southwest</v>
      </c>
      <c r="D69" s="9" t="str">
        <f>IFERROR(__xludf.DUMMYFUNCTION("""COMPUTED_VALUE"""),"14095 South Main Street")</f>
        <v>14095 South Main Street</v>
      </c>
      <c r="E69" s="9"/>
      <c r="F69" s="9" t="str">
        <f>IFERROR(__xludf.DUMMYFUNCTION("""COMPUTED_VALUE"""),"Houston")</f>
        <v>Houston</v>
      </c>
      <c r="G69" s="9" t="str">
        <f>IFERROR(__xludf.DUMMYFUNCTION("""COMPUTED_VALUE"""),"TX")</f>
        <v>TX</v>
      </c>
      <c r="H69" s="9" t="str">
        <f>IFERROR(__xludf.DUMMYFUNCTION("""COMPUTED_VALUE"""),"77035")</f>
        <v>77035</v>
      </c>
      <c r="I69" s="9" t="str">
        <f>IFERROR(__xludf.DUMMYFUNCTION("""COMPUTED_VALUE"""),"832-830-8345")</f>
        <v>832-830-8345</v>
      </c>
      <c r="J69" s="9" t="str">
        <f>IFERROR(__xludf.DUMMYFUNCTION("""COMPUTED_VALUE"""),"29.63302153514462, -95.49370860679693")</f>
        <v>29.63302153514462, -95.49370860679693</v>
      </c>
      <c r="K69" s="9" t="str">
        <f>IFERROR(__xludf.DUMMYFUNCTION("""COMPUTED_VALUE"""),"{""regular"":[{""days"":[""Mo"",""Tu"",""We"",""Th"",""Fr""],""open"":""08:00"",""close"":""17:00""}]}")</f>
        <v>{"regular":[{"days":["Mo","Tu","We","Th","Fr"],"open":"08:00","close":"17:00"}]}</v>
      </c>
      <c r="L69" s="9"/>
      <c r="M69" s="10">
        <f>IFERROR(__xludf.DUMMYFUNCTION("""COMPUTED_VALUE"""),32.0)</f>
        <v>32</v>
      </c>
      <c r="N69" s="10" t="str">
        <f>IFERROR(__xludf.DUMMYFUNCTION("""COMPUTED_VALUE"""),"Medical - Dental &amp; Vision")</f>
        <v>Medical - Dental &amp; Vision</v>
      </c>
      <c r="O69" s="10">
        <f>IFERROR(__xludf.DUMMYFUNCTION("""COMPUTED_VALUE"""),1.0)</f>
        <v>1</v>
      </c>
      <c r="P69" s="10" t="str">
        <f>IFERROR(__xludf.DUMMYFUNCTION("""COMPUTED_VALUE"""),"ACTIVE")</f>
        <v>ACTIVE</v>
      </c>
      <c r="Q69" s="11">
        <f>IFERROR(__xludf.DUMMYFUNCTION("""COMPUTED_VALUE"""),46049.0)</f>
        <v>46049</v>
      </c>
      <c r="R69" s="9" t="str">
        <f>IFERROR(__xludf.DUMMYFUNCTION("""COMPUTED_VALUE"""),"Verified online")</f>
        <v>Verified online</v>
      </c>
      <c r="S69" s="9" t="str">
        <f>IFERROR(__xludf.DUMMYFUNCTION("""COMPUTED_VALUE"""),"Dental
Preventative dental care and x-rays.
Sliding fee scale for uninsured.")</f>
        <v>Dental
Preventative dental care and x-rays.
Sliding fee scale for uninsured.</v>
      </c>
      <c r="T69" s="12" t="b">
        <f>IFERROR(__xludf.DUMMYFUNCTION("""COMPUTED_VALUE"""),TRUE)</f>
        <v>1</v>
      </c>
      <c r="U69" s="12" t="b">
        <f>IFERROR(__xludf.DUMMYFUNCTION("""COMPUTED_VALUE"""),FALSE)</f>
        <v>0</v>
      </c>
      <c r="V69" s="13" t="str">
        <f>IFERROR(__xludf.DUMMYFUNCTION("""COMPUTED_VALUE"""),"https://avenue360.org/")</f>
        <v>https://avenue360.org/</v>
      </c>
      <c r="W69" s="14" t="str">
        <f>IFERROR(__xludf.DUMMYFUNCTION("""COMPUTED_VALUE"""),"https://www.google.com/maps/place/Avenue+360+Health+and+Wellness+-+Southwest/@29.7801026,-95.6992342,12z/data=!4m10!1m2!2m1!1sAvenue+360+Health+and+Wellness+near+Heights+Boulevard,+Houston,+TX!3m6!1s0x8640e943d63642a5:0xf712fbd78e3ecab0!8m2!3d29.6329936!4"&amp;"d-95.4937133!15sCkJBdmVudWUgMzYwIEhlYWx0aCBhbmQgV2VsbG5lc3MgbmVhciBIZWlnaHRzIEJvdWxldmFyZCwgSG91c3RvbiwgVFgiA4gBAZIBDm1lZGljYWxfY2xpbmljqgGcAQoNL2cvMTFma3l5OWRzNhABKiIiHmF2ZW51ZSAzNjAgaGVhbHRoIGFuZCB3ZWxsbmVzcygAMh8QASIbuJzbXxv4vf3PNqnHCuhQerkE9J8UWRzGev8"&amp;"iMkQQAiJAYXZlbnVlIDM2MCBoZWFsdGggYW5kIHdlbGxuZXNzIG5lYXIgaGVpZ2h0cyBib3VsZXZhcmQgaG91c3RvbiB0eOABAA!16s%2Fg%2F11j52d3cmk?entry=ttu&amp;g_ep=EgoyMDI1MDUwNy4wIKXMDSoASAFQAw%3D%3D")</f>
        <v>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v>
      </c>
      <c r="X69" s="10"/>
      <c r="Y69" s="9" t="str">
        <f>IFERROR(__xludf.DUMMYFUNCTION("""COMPUTED_VALUE"""),"Houston")</f>
        <v>Houston</v>
      </c>
      <c r="Z69" s="9" t="str">
        <f>IFERROR(__xludf.DUMMYFUNCTION("""COMPUTED_VALUE"""),"Bellaire, Brays Oaks, Fondren Gardens, Westbury, Willow Meadows/ Willowbend Area, Willowbend")</f>
        <v>Bellaire, Brays Oaks, Fondren Gardens, Westbury, Willow Meadows/ Willowbend Area, Willowbend</v>
      </c>
      <c r="AA69" s="9" t="str">
        <f>IFERROR(__xludf.DUMMYFUNCTION("""COMPUTED_VALUE"""),"Avenue 360")</f>
        <v>Avenue 360</v>
      </c>
      <c r="AB69" s="9" t="str">
        <f>IFERROR(__xludf.DUMMYFUNCTION("""COMPUTED_VALUE"""),"Fondren Gardens")</f>
        <v>Fondren Gardens</v>
      </c>
    </row>
    <row r="70" ht="30.0" customHeight="1">
      <c r="A70" s="17">
        <v>69.0</v>
      </c>
      <c r="B7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70" s="9" t="str">
        <f>IFERROR(__xludf.DUMMYFUNCTION("""COMPUTED_VALUE"""),"Avenue 360 Southwest")</f>
        <v>Avenue 360 Southwest</v>
      </c>
      <c r="D70" s="9" t="str">
        <f>IFERROR(__xludf.DUMMYFUNCTION("""COMPUTED_VALUE"""),"14095 South Main Street")</f>
        <v>14095 South Main Street</v>
      </c>
      <c r="E70" s="9"/>
      <c r="F70" s="9" t="str">
        <f>IFERROR(__xludf.DUMMYFUNCTION("""COMPUTED_VALUE"""),"Houston")</f>
        <v>Houston</v>
      </c>
      <c r="G70" s="9" t="str">
        <f>IFERROR(__xludf.DUMMYFUNCTION("""COMPUTED_VALUE"""),"TX")</f>
        <v>TX</v>
      </c>
      <c r="H70" s="9" t="str">
        <f>IFERROR(__xludf.DUMMYFUNCTION("""COMPUTED_VALUE"""),"77035")</f>
        <v>77035</v>
      </c>
      <c r="I70" s="9" t="str">
        <f>IFERROR(__xludf.DUMMYFUNCTION("""COMPUTED_VALUE"""),"832-830-8345")</f>
        <v>832-830-8345</v>
      </c>
      <c r="J70" s="9" t="str">
        <f>IFERROR(__xludf.DUMMYFUNCTION("""COMPUTED_VALUE"""),"29.63302153514462, -95.49370860679693")</f>
        <v>29.63302153514462, -95.49370860679693</v>
      </c>
      <c r="K70" s="9" t="str">
        <f>IFERROR(__xludf.DUMMYFUNCTION("""COMPUTED_VALUE"""),"{""regular"":[{""days"":[""Mo"",""Tu"",""We"",""Th"",""Fr""],""open"":""08:00"",""close"":""17:00""}]}")</f>
        <v>{"regular":[{"days":["Mo","Tu","We","Th","Fr"],"open":"08:00","close":"17:00"}]}</v>
      </c>
      <c r="L70" s="9"/>
      <c r="M70" s="10">
        <f>IFERROR(__xludf.DUMMYFUNCTION("""COMPUTED_VALUE"""),33.0)</f>
        <v>33</v>
      </c>
      <c r="N70" s="10" t="str">
        <f>IFERROR(__xludf.DUMMYFUNCTION("""COMPUTED_VALUE"""),"Medical - Behavioral Health")</f>
        <v>Medical - Behavioral Health</v>
      </c>
      <c r="O70" s="10">
        <f>IFERROR(__xludf.DUMMYFUNCTION("""COMPUTED_VALUE"""),1.0)</f>
        <v>1</v>
      </c>
      <c r="P70" s="10" t="str">
        <f>IFERROR(__xludf.DUMMYFUNCTION("""COMPUTED_VALUE"""),"ACTIVE")</f>
        <v>ACTIVE</v>
      </c>
      <c r="Q70" s="11">
        <f>IFERROR(__xludf.DUMMYFUNCTION("""COMPUTED_VALUE"""),46049.0)</f>
        <v>46049</v>
      </c>
      <c r="R70" s="9" t="str">
        <f>IFERROR(__xludf.DUMMYFUNCTION("""COMPUTED_VALUE"""),"Verified online")</f>
        <v>Verified online</v>
      </c>
      <c r="S70" s="9" t="str">
        <f>IFERROR(__xludf.DUMMYFUNCTION("""COMPUTED_VALUE"""),"Behavioral and psychiatric services adults and adolescents in individual and family and group settings.
Includes substance sue pre-treatment and treatment
Sliding fee scale for uninsured.")</f>
        <v>Behavioral and psychiatric services adults and adolescents in individual and family and group settings.
Includes substance sue pre-treatment and treatment
Sliding fee scale for uninsured.</v>
      </c>
      <c r="T70" s="12" t="b">
        <f>IFERROR(__xludf.DUMMYFUNCTION("""COMPUTED_VALUE"""),FALSE)</f>
        <v>0</v>
      </c>
      <c r="U70" s="12" t="b">
        <f>IFERROR(__xludf.DUMMYFUNCTION("""COMPUTED_VALUE"""),FALSE)</f>
        <v>0</v>
      </c>
      <c r="V70" s="13" t="str">
        <f>IFERROR(__xludf.DUMMYFUNCTION("""COMPUTED_VALUE"""),"https://avenue360.org/")</f>
        <v>https://avenue360.org/</v>
      </c>
      <c r="W70" s="14" t="str">
        <f>IFERROR(__xludf.DUMMYFUNCTION("""COMPUTED_VALUE"""),"https://www.google.com/maps/place/Avenue+360+Health+and+Wellness+-+Southwest/@29.7801026,-95.6992342,12z/data=!4m10!1m2!2m1!1sAvenue+360+Health+and+Wellness+near+Heights+Boulevard,+Houston,+TX!3m6!1s0x8640e943d63642a5:0xf712fbd78e3ecab0!8m2!3d29.6329936!4"&amp;"d-95.4937133!15sCkJBdmVudWUgMzYwIEhlYWx0aCBhbmQgV2VsbG5lc3MgbmVhciBIZWlnaHRzIEJvdWxldmFyZCwgSG91c3RvbiwgVFgiA4gBAZIBDm1lZGljYWxfY2xpbmljqgGcAQoNL2cvMTFma3l5OWRzNhABKiIiHmF2ZW51ZSAzNjAgaGVhbHRoIGFuZCB3ZWxsbmVzcygAMh8QASIbuJzbXxv4vf3PNqnHCuhQerkE9J8UWRzGev8"&amp;"iMkQQAiJAYXZlbnVlIDM2MCBoZWFsdGggYW5kIHdlbGxuZXNzIG5lYXIgaGVpZ2h0cyBib3VsZXZhcmQgaG91c3RvbiB0eOABAA!16s%2Fg%2F11j52d3cmk?entry=ttu&amp;g_ep=EgoyMDI1MDUwNy4wIKXMDSoASAFQAw%3D%3D")</f>
        <v>https://www.google.com/maps/place/Avenue+360+Health+and+Wellness+-+Southwest/@29.7801026,-95.6992342,12z/data=!4m10!1m2!2m1!1sAvenue+360+Health+and+Wellness+near+Heights+Boulevard,+Houston,+TX!3m6!1s0x8640e943d63642a5:0xf712fbd78e3ecab0!8m2!3d29.6329936!4d-95.4937133!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j52d3cmk?entry=ttu&amp;g_ep=EgoyMDI1MDUwNy4wIKXMDSoASAFQAw%3D%3D</v>
      </c>
      <c r="X70" s="10"/>
      <c r="Y70" s="9" t="str">
        <f>IFERROR(__xludf.DUMMYFUNCTION("""COMPUTED_VALUE"""),"Houston")</f>
        <v>Houston</v>
      </c>
      <c r="Z70" s="9" t="str">
        <f>IFERROR(__xludf.DUMMYFUNCTION("""COMPUTED_VALUE"""),"Bellaire, Brays Oaks, Fondren Gardens, Westbury, Willow Meadows/ Willowbend Area, Willowbend")</f>
        <v>Bellaire, Brays Oaks, Fondren Gardens, Westbury, Willow Meadows/ Willowbend Area, Willowbend</v>
      </c>
      <c r="AA70" s="9" t="str">
        <f>IFERROR(__xludf.DUMMYFUNCTION("""COMPUTED_VALUE"""),"Avenue 360")</f>
        <v>Avenue 360</v>
      </c>
      <c r="AB70" s="9" t="str">
        <f>IFERROR(__xludf.DUMMYFUNCTION("""COMPUTED_VALUE"""),"Fondren Gardens")</f>
        <v>Fondren Gardens</v>
      </c>
    </row>
    <row r="71" ht="30.0" customHeight="1">
      <c r="A71" s="17">
        <v>70.0</v>
      </c>
      <c r="B7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71" s="9" t="str">
        <f>IFERROR(__xludf.DUMMYFUNCTION("""COMPUTED_VALUE"""),"Avenue 360 Spring Cypress")</f>
        <v>Avenue 360 Spring Cypress</v>
      </c>
      <c r="D71" s="9" t="str">
        <f>IFERROR(__xludf.DUMMYFUNCTION("""COMPUTED_VALUE"""),"17010 Sugar Pine Drive")</f>
        <v>17010 Sugar Pine Drive</v>
      </c>
      <c r="E71" s="9"/>
      <c r="F71" s="9" t="str">
        <f>IFERROR(__xludf.DUMMYFUNCTION("""COMPUTED_VALUE"""),"Houston")</f>
        <v>Houston</v>
      </c>
      <c r="G71" s="9" t="str">
        <f>IFERROR(__xludf.DUMMYFUNCTION("""COMPUTED_VALUE"""),"TX")</f>
        <v>TX</v>
      </c>
      <c r="H71" s="9" t="str">
        <f>IFERROR(__xludf.DUMMYFUNCTION("""COMPUTED_VALUE"""),"77090")</f>
        <v>77090</v>
      </c>
      <c r="I71" s="9" t="str">
        <f>IFERROR(__xludf.DUMMYFUNCTION("""COMPUTED_VALUE"""),"281-537-8627")</f>
        <v>281-537-8627</v>
      </c>
      <c r="J71" s="9" t="str">
        <f>IFERROR(__xludf.DUMMYFUNCTION("""COMPUTED_VALUE"""),"30.0099537989029, -95.4592233211423")</f>
        <v>30.0099537989029, -95.4592233211423</v>
      </c>
      <c r="K71" s="9" t="str">
        <f>IFERROR(__xludf.DUMMYFUNCTION("""COMPUTED_VALUE"""),"{""regular"":[{""days"":[""Mo"",""Tu"",""We"",""Th"",""Fr""],""open"":""08:00"",""close"":""17:00""}]}")</f>
        <v>{"regular":[{"days":["Mo","Tu","We","Th","Fr"],"open":"08:00","close":"17:00"}]}</v>
      </c>
      <c r="L71" s="9"/>
      <c r="M71" s="10">
        <f>IFERROR(__xludf.DUMMYFUNCTION("""COMPUTED_VALUE"""),31.0)</f>
        <v>31</v>
      </c>
      <c r="N71" s="10" t="str">
        <f>IFERROR(__xludf.DUMMYFUNCTION("""COMPUTED_VALUE"""),"Medical - Primary Care")</f>
        <v>Medical - Primary Care</v>
      </c>
      <c r="O71" s="10">
        <f>IFERROR(__xludf.DUMMYFUNCTION("""COMPUTED_VALUE"""),1.0)</f>
        <v>1</v>
      </c>
      <c r="P71" s="10" t="str">
        <f>IFERROR(__xludf.DUMMYFUNCTION("""COMPUTED_VALUE"""),"ACTIVE")</f>
        <v>ACTIVE</v>
      </c>
      <c r="Q71" s="11">
        <f>IFERROR(__xludf.DUMMYFUNCTION("""COMPUTED_VALUE"""),46049.0)</f>
        <v>46049</v>
      </c>
      <c r="R71" s="9" t="str">
        <f>IFERROR(__xludf.DUMMYFUNCTION("""COMPUTED_VALUE"""),"Verified online")</f>
        <v>Verified online</v>
      </c>
      <c r="S71" s="9" t="str">
        <f>IFERROR(__xludf.DUMMYFUNCTION("""COMPUTED_VALUE"""),"Affordable, quality medical care, pharmacy, behavioral health and support services.
Primary care, gynecological care, family planning, prenatal care, screenings, immunizations, pharmacy and mental health counseling.
Sliding fee scale for uninsured.")</f>
        <v>Affordable, quality medical care, pharmacy, behavioral health and support services.
Primary care, gynecological care, family planning, prenatal care, screenings, immunizations, pharmacy and mental health counseling.
Sliding fee scale for uninsured.</v>
      </c>
      <c r="T71" s="12" t="b">
        <f>IFERROR(__xludf.DUMMYFUNCTION("""COMPUTED_VALUE"""),FALSE)</f>
        <v>0</v>
      </c>
      <c r="U71" s="12" t="b">
        <f>IFERROR(__xludf.DUMMYFUNCTION("""COMPUTED_VALUE"""),FALSE)</f>
        <v>0</v>
      </c>
      <c r="V71" s="13" t="str">
        <f>IFERROR(__xludf.DUMMYFUNCTION("""COMPUTED_VALUE"""),"https://avenue360.org/")</f>
        <v>https://avenue360.org/</v>
      </c>
      <c r="W71" s="14" t="str">
        <f>IFERROR(__xludf.DUMMYFUNCTION("""COMPUTED_VALUE"""),"https://www.google.com/maps/place/Avenue+360+Health+and+Wellness+-+Spring%2FCypress/@30.0107658,-95.6120224,12z/data=!4m10!1m2!2m1!1sAvenue+360+Health+and+Wellness+near+Heights+Boulevard,+Houston,+TX!3m6!1s0x8640cbfaca5e8d87:0x2ef9a4f98f837e18!8m2!3d30.01"&amp;"07658!4d-95.4595871!15sCkJBdmVudWUgMzYwIEhlYWx0aCBhbmQgV2VsbG5lc3MgbmVhciBIZWlnaHRzIEJvdWxldmFyZCwgSG91c3RvbiwgVFgiA4gBAZIBDm1lZGljYWxfY2xpbmljqgGcAQoNL2cvMTFma3l5OWRzNhABKiIiHmF2ZW51ZSAzNjAgaGVhbHRoIGFuZCB3ZWxsbmVzcygAMh8QASIbuJzbXxv4vf3PNqnHCuhQerkE9J8U"&amp;"WRzGev8iMkQQAiJAYXZlbnVlIDM2MCBoZWFsdGggYW5kIHdlbGxuZXNzIG5lYXIgaGVpZ2h0cyBib3VsZXZhcmQgaG91c3RvbiB0eOABAA!16s%2Fg%2F11g0kf2978?entry=ttu&amp;g_ep=EgoyMDI1MDUwNy4wIKXMDSoASAFQAw%3D%3D")</f>
        <v>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v>
      </c>
      <c r="X71" s="10"/>
      <c r="Y71" s="9" t="str">
        <f>IFERROR(__xludf.DUMMYFUNCTION("""COMPUTED_VALUE"""),"Houston")</f>
        <v>Houston</v>
      </c>
      <c r="Z71" s="9" t="str">
        <f>IFERROR(__xludf.DUMMYFUNCTION("""COMPUTED_VALUE"""),"Cypress Station, Ella Crossing, Westador")</f>
        <v>Cypress Station, Ella Crossing, Westador</v>
      </c>
      <c r="AA71" s="9" t="str">
        <f>IFERROR(__xludf.DUMMYFUNCTION("""COMPUTED_VALUE"""),"Avenue 360")</f>
        <v>Avenue 360</v>
      </c>
      <c r="AB71" s="9" t="str">
        <f>IFERROR(__xludf.DUMMYFUNCTION("""COMPUTED_VALUE"""),"Cypress Station")</f>
        <v>Cypress Station</v>
      </c>
    </row>
    <row r="72" ht="30.0" customHeight="1">
      <c r="A72" s="17">
        <v>71.0</v>
      </c>
      <c r="B7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C72" s="9" t="str">
        <f>IFERROR(__xludf.DUMMYFUNCTION("""COMPUTED_VALUE"""),"Avenue 360 Spring Cypress")</f>
        <v>Avenue 360 Spring Cypress</v>
      </c>
      <c r="D72" s="9" t="str">
        <f>IFERROR(__xludf.DUMMYFUNCTION("""COMPUTED_VALUE"""),"17010 Sugar Pine Drive")</f>
        <v>17010 Sugar Pine Drive</v>
      </c>
      <c r="E72" s="9"/>
      <c r="F72" s="9" t="str">
        <f>IFERROR(__xludf.DUMMYFUNCTION("""COMPUTED_VALUE"""),"Houston")</f>
        <v>Houston</v>
      </c>
      <c r="G72" s="9" t="str">
        <f>IFERROR(__xludf.DUMMYFUNCTION("""COMPUTED_VALUE"""),"TX")</f>
        <v>TX</v>
      </c>
      <c r="H72" s="9" t="str">
        <f>IFERROR(__xludf.DUMMYFUNCTION("""COMPUTED_VALUE"""),"77090")</f>
        <v>77090</v>
      </c>
      <c r="I72" s="9" t="str">
        <f>IFERROR(__xludf.DUMMYFUNCTION("""COMPUTED_VALUE"""),"281-537-8627")</f>
        <v>281-537-8627</v>
      </c>
      <c r="J72" s="9" t="str">
        <f>IFERROR(__xludf.DUMMYFUNCTION("""COMPUTED_VALUE"""),"30.0099537989029, -95.4592233211423")</f>
        <v>30.0099537989029, -95.4592233211423</v>
      </c>
      <c r="K72" s="9" t="str">
        <f>IFERROR(__xludf.DUMMYFUNCTION("""COMPUTED_VALUE"""),"{""regular"":[{""days"":[""Mo"",""Tu"",""We"",""Th"",""Fr""],""open"":""08:00"",""close"":""17:00""}]}")</f>
        <v>{"regular":[{"days":["Mo","Tu","We","Th","Fr"],"open":"08:00","close":"17:00"}]}</v>
      </c>
      <c r="L72" s="9"/>
      <c r="M72" s="10">
        <f>IFERROR(__xludf.DUMMYFUNCTION("""COMPUTED_VALUE"""),33.0)</f>
        <v>33</v>
      </c>
      <c r="N72" s="10" t="str">
        <f>IFERROR(__xludf.DUMMYFUNCTION("""COMPUTED_VALUE"""),"Medical - Behavioral Health")</f>
        <v>Medical - Behavioral Health</v>
      </c>
      <c r="O72" s="10">
        <f>IFERROR(__xludf.DUMMYFUNCTION("""COMPUTED_VALUE"""),1.0)</f>
        <v>1</v>
      </c>
      <c r="P72" s="10" t="str">
        <f>IFERROR(__xludf.DUMMYFUNCTION("""COMPUTED_VALUE"""),"ACTIVE")</f>
        <v>ACTIVE</v>
      </c>
      <c r="Q72" s="11">
        <f>IFERROR(__xludf.DUMMYFUNCTION("""COMPUTED_VALUE"""),46049.0)</f>
        <v>46049</v>
      </c>
      <c r="R72" s="9" t="str">
        <f>IFERROR(__xludf.DUMMYFUNCTION("""COMPUTED_VALUE"""),"Verified online")</f>
        <v>Verified online</v>
      </c>
      <c r="S72" s="9" t="str">
        <f>IFERROR(__xludf.DUMMYFUNCTION("""COMPUTED_VALUE"""),"Behavioral and psychiatric services adults and adolescents in individual and family and group settings.
Includes substance sue pre-treatment and treatment
Sliding fee scale for uninsured.")</f>
        <v>Behavioral and psychiatric services adults and adolescents in individual and family and group settings.
Includes substance sue pre-treatment and treatment
Sliding fee scale for uninsured.</v>
      </c>
      <c r="T72" s="12" t="b">
        <f>IFERROR(__xludf.DUMMYFUNCTION("""COMPUTED_VALUE"""),FALSE)</f>
        <v>0</v>
      </c>
      <c r="U72" s="12" t="b">
        <f>IFERROR(__xludf.DUMMYFUNCTION("""COMPUTED_VALUE"""),FALSE)</f>
        <v>0</v>
      </c>
      <c r="V72" s="13" t="str">
        <f>IFERROR(__xludf.DUMMYFUNCTION("""COMPUTED_VALUE"""),"https://avenue360.org/")</f>
        <v>https://avenue360.org/</v>
      </c>
      <c r="W72" s="14" t="str">
        <f>IFERROR(__xludf.DUMMYFUNCTION("""COMPUTED_VALUE"""),"https://www.google.com/maps/place/Avenue+360+Health+and+Wellness+-+Spring%2FCypress/@30.0107658,-95.6120224,12z/data=!4m10!1m2!2m1!1sAvenue+360+Health+and+Wellness+near+Heights+Boulevard,+Houston,+TX!3m6!1s0x8640cbfaca5e8d87:0x2ef9a4f98f837e18!8m2!3d30.01"&amp;"07658!4d-95.4595871!15sCkJBdmVudWUgMzYwIEhlYWx0aCBhbmQgV2VsbG5lc3MgbmVhciBIZWlnaHRzIEJvdWxldmFyZCwgSG91c3RvbiwgVFgiA4gBAZIBDm1lZGljYWxfY2xpbmljqgGcAQoNL2cvMTFma3l5OWRzNhABKiIiHmF2ZW51ZSAzNjAgaGVhbHRoIGFuZCB3ZWxsbmVzcygAMh8QASIbuJzbXxv4vf3PNqnHCuhQerkE9J8U"&amp;"WRzGev8iMkQQAiJAYXZlbnVlIDM2MCBoZWFsdGggYW5kIHdlbGxuZXNzIG5lYXIgaGVpZ2h0cyBib3VsZXZhcmQgaG91c3RvbiB0eOABAA!16s%2Fg%2F11g0kf2978?entry=ttu&amp;g_ep=EgoyMDI1MDUwNy4wIKXMDSoASAFQAw%3D%3D")</f>
        <v>https://www.google.com/maps/place/Avenue+360+Health+and+Wellness+-+Spring%2FCypress/@30.0107658,-95.6120224,12z/data=!4m10!1m2!2m1!1sAvenue+360+Health+and+Wellness+near+Heights+Boulevard,+Houston,+TX!3m6!1s0x8640cbfaca5e8d87:0x2ef9a4f98f837e18!8m2!3d30.0107658!4d-95.4595871!15sCkJBdmVudWUgMzYwIEhlYWx0aCBhbmQgV2VsbG5lc3MgbmVhciBIZWlnaHRzIEJvdWxldmFyZCwgSG91c3RvbiwgVFgiA4gBAZIBDm1lZGljYWxfY2xpbmljqgGcAQoNL2cvMTFma3l5OWRzNhABKiIiHmF2ZW51ZSAzNjAgaGVhbHRoIGFuZCB3ZWxsbmVzcygAMh8QASIbuJzbXxv4vf3PNqnHCuhQerkE9J8UWRzGev8iMkQQAiJAYXZlbnVlIDM2MCBoZWFsdGggYW5kIHdlbGxuZXNzIG5lYXIgaGVpZ2h0cyBib3VsZXZhcmQgaG91c3RvbiB0eOABAA!16s%2Fg%2F11g0kf2978?entry=ttu&amp;g_ep=EgoyMDI1MDUwNy4wIKXMDSoASAFQAw%3D%3D</v>
      </c>
      <c r="X72" s="10"/>
      <c r="Y72" s="9" t="str">
        <f>IFERROR(__xludf.DUMMYFUNCTION("""COMPUTED_VALUE"""),"Houston")</f>
        <v>Houston</v>
      </c>
      <c r="Z72" s="9" t="str">
        <f>IFERROR(__xludf.DUMMYFUNCTION("""COMPUTED_VALUE"""),"Cypress Station, Ella Crossing, Westador")</f>
        <v>Cypress Station, Ella Crossing, Westador</v>
      </c>
      <c r="AA72" s="9" t="str">
        <f>IFERROR(__xludf.DUMMYFUNCTION("""COMPUTED_VALUE"""),"Avenue 360")</f>
        <v>Avenue 360</v>
      </c>
      <c r="AB72" s="9" t="str">
        <f>IFERROR(__xludf.DUMMYFUNCTION("""COMPUTED_VALUE"""),"Cypress Station")</f>
        <v>Cypress Station</v>
      </c>
    </row>
    <row r="73" ht="30.0" customHeight="1">
      <c r="A73" s="17">
        <v>72.0</v>
      </c>
      <c r="B73" s="8" t="str">
        <f>IFERROR(__xludf.DUMMYFUNCTION("""COMPUTED_VALUE"""),"[""99999""]")</f>
        <v>["99999"]</v>
      </c>
      <c r="C73" s="9" t="str">
        <f>IFERROR(__xludf.DUMMYFUNCTION("""COMPUTED_VALUE"""),"BakerRipley")</f>
        <v>BakerRipley</v>
      </c>
      <c r="D73" s="9" t="str">
        <f>IFERROR(__xludf.DUMMYFUNCTION("""COMPUTED_VALUE"""),"4450 Harrisburg Blvd")</f>
        <v>4450 Harrisburg Blvd</v>
      </c>
      <c r="E73" s="9" t="str">
        <f>IFERROR(__xludf.DUMMYFUNCTION("""COMPUTED_VALUE"""),"Suite 200")</f>
        <v>Suite 200</v>
      </c>
      <c r="F73" s="9" t="str">
        <f>IFERROR(__xludf.DUMMYFUNCTION("""COMPUTED_VALUE"""),"Houston")</f>
        <v>Houston</v>
      </c>
      <c r="G73" s="9" t="str">
        <f>IFERROR(__xludf.DUMMYFUNCTION("""COMPUTED_VALUE"""),"TX")</f>
        <v>TX</v>
      </c>
      <c r="H73" s="9" t="str">
        <f>IFERROR(__xludf.DUMMYFUNCTION("""COMPUTED_VALUE"""),"77011")</f>
        <v>77011</v>
      </c>
      <c r="I73" s="9" t="str">
        <f>IFERROR(__xludf.DUMMYFUNCTION("""COMPUTED_VALUE"""),"713-590-2327")</f>
        <v>713-590-2327</v>
      </c>
      <c r="J73" s="9" t="str">
        <f>IFERROR(__xludf.DUMMYFUNCTION("""COMPUTED_VALUE"""),"29.7440270408163, -95.3318197346939")</f>
        <v>29.7440270408163, -95.3318197346939</v>
      </c>
      <c r="K73" s="9" t="str">
        <f>IFERROR(__xludf.DUMMYFUNCTION("""COMPUTED_VALUE"""),"{""regular"":[{""days"":[""Mo"",""Tu"",""We"",""Th"",""Fr""],""open"":""08:00"",""close"":""12:00""}]}")</f>
        <v>{"regular":[{"days":["Mo","Tu","We","Th","Fr"],"open":"08:00","close":"12:00"}]}</v>
      </c>
      <c r="L73" s="9" t="str">
        <f>IFERROR(__xludf.DUMMYFUNCTION("""COMPUTED_VALUE"""),"Apply online Monday, March 9th")</f>
        <v>Apply online Monday, March 9th</v>
      </c>
      <c r="M73" s="10">
        <f>IFERROR(__xludf.DUMMYFUNCTION("""COMPUTED_VALUE"""),12.0)</f>
        <v>12</v>
      </c>
      <c r="N73" s="10" t="str">
        <f>IFERROR(__xludf.DUMMYFUNCTION("""COMPUTED_VALUE"""),"Utilities")</f>
        <v>Utilities</v>
      </c>
      <c r="O73" s="10">
        <f>IFERROR(__xludf.DUMMYFUNCTION("""COMPUTED_VALUE"""),1.0)</f>
        <v>1</v>
      </c>
      <c r="P73" s="10" t="str">
        <f>IFERROR(__xludf.DUMMYFUNCTION("""COMPUTED_VALUE"""),"ACTIVE")</f>
        <v>ACTIVE</v>
      </c>
      <c r="Q73" s="11">
        <f>IFERROR(__xludf.DUMMYFUNCTION("""COMPUTED_VALUE"""),46079.0)</f>
        <v>46079</v>
      </c>
      <c r="R73" s="9" t="str">
        <f>IFERROR(__xludf.DUMMYFUNCTION("""COMPUTED_VALUE"""),"Next round opens March 9th, 2026")</f>
        <v>Next round opens March 9th, 2026</v>
      </c>
      <c r="S73" s="9" t="str">
        <f>IFERROR(__xludf.DUMMYFUNCTION("""COMPUTED_VALUE"""),"Applications open for first 4000 on Monday, March 9th
For residents of Harris, Galveston and Brazoria counties.
US Citizens/Permanent Residents.
Proof of income for the last 30 days for each household member 18 years or older
Limited to utility companies "&amp;"with whom BakerRipley has an executed vendor agreement. 
Meet the US Department of Health and Human Services Income Guidelines.
Proof of identity for all household members and current electricity, gas or propane bill.
One application per household and add"&amp;"ress per calendar year.")</f>
        <v>Applications open for first 4000 on Monday, March 9th
For residents of Harris, Galveston and Brazoria counties.
US Citizens/Permanent Residents.
Proof of income for the last 30 days for each household member 18 years or older
Limited to utility companies with whom BakerRipley has an executed vendor agreement. 
Meet the US Department of Health and Human Services Income Guidelines.
Proof of identity for all household members and current electricity, gas or propane bill.
One application per household and address per calendar year.</v>
      </c>
      <c r="T73" s="12" t="b">
        <f>IFERROR(__xludf.DUMMYFUNCTION("""COMPUTED_VALUE"""),TRUE)</f>
        <v>1</v>
      </c>
      <c r="U73" s="12" t="b">
        <f>IFERROR(__xludf.DUMMYFUNCTION("""COMPUTED_VALUE"""),TRUE)</f>
        <v>1</v>
      </c>
      <c r="V73" s="13" t="str">
        <f>IFERROR(__xludf.DUMMYFUNCTION("""COMPUTED_VALUE"""),"https://bakerripley.org/programs-and-services/utility-assistance/")</f>
        <v>https://bakerripley.org/programs-and-services/utility-assistance/</v>
      </c>
      <c r="W73" s="14" t="str">
        <f>IFERROR(__xludf.DUMMYFUNCTION("""COMPUTED_VALUE"""),"https://maps.google.com/?q=Baker%20Ripley%204450%20Harrisburg%20Blvd%20%23200%20Houston%20TX%2077011")</f>
        <v>https://maps.google.com/?q=Baker%20Ripley%204450%20Harrisburg%20Blvd%20%23200%20Houston%20TX%2077011</v>
      </c>
      <c r="X73" s="10"/>
      <c r="Y73" s="9" t="str">
        <f>IFERROR(__xludf.DUMMYFUNCTION("""COMPUTED_VALUE"""),"Houston")</f>
        <v>Houston</v>
      </c>
      <c r="Z73" s="9" t="str">
        <f>IFERROR(__xludf.DUMMYFUNCTION("""COMPUTED_VALUE"""),"Eastwood, Magnolia Park, Second Ward, South Central Houston")</f>
        <v>Eastwood, Magnolia Park, Second Ward, South Central Houston</v>
      </c>
      <c r="AA73" s="9" t="str">
        <f>IFERROR(__xludf.DUMMYFUNCTION("""COMPUTED_VALUE"""),"BakerRipley")</f>
        <v>BakerRipley</v>
      </c>
      <c r="AB73" s="9" t="str">
        <f>IFERROR(__xludf.DUMMYFUNCTION("""COMPUTED_VALUE"""),"South Central Houston")</f>
        <v>South Central Houston</v>
      </c>
    </row>
    <row r="74" ht="30.0" customHeight="1">
      <c r="A74" s="17">
        <v>73.0</v>
      </c>
      <c r="B7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""77242"", ""77257"", ""77277"", ""77279"", ""77336"", ""77338"", ""77339"", ""77345"", ""77346"", ""77347"", ""77357"", ""77365"", ""77373"", ""77375"", ""77377"", ""77379"", ""77383"", ""77387"", ""77388"", ""77389"", ""77393"&amp;""", ""77396"", ""77401"", ""77410"", ""77429"", ""77433"", ""77447"", ""77449"", ""77450"", ""77484"", ""77493"", ""77501"", ""77502"", ""77503"", ""77504"", ""77505"", ""77506"", ""77507"", ""77508"", ""77520"", ""77521"", ""77530"", ""77532"", ""77535"""&amp;",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"77410", "77429", "77433", "77447", "77449", "77450", "77484", "77493", "77501", "77502", "77503", "77504", "77505", "77506", "77507", "77508", "77520", "77521", "77530", "77532", "77535", "77536", "77546", "77547", "77562", "77571", "77581", "77586", "77587", "77598"]</v>
      </c>
      <c r="C74" s="9" t="str">
        <f>IFERROR(__xludf.DUMMYFUNCTION("""COMPUTED_VALUE"""),"BakerRipley")</f>
        <v>BakerRipley</v>
      </c>
      <c r="D74" s="9" t="str">
        <f>IFERROR(__xludf.DUMMYFUNCTION("""COMPUTED_VALUE"""),"4450 Harrisburg Blvd")</f>
        <v>4450 Harrisburg Blvd</v>
      </c>
      <c r="E74" s="9" t="str">
        <f>IFERROR(__xludf.DUMMYFUNCTION("""COMPUTED_VALUE"""),"Suite 200")</f>
        <v>Suite 200</v>
      </c>
      <c r="F74" s="9" t="str">
        <f>IFERROR(__xludf.DUMMYFUNCTION("""COMPUTED_VALUE"""),"Houston")</f>
        <v>Houston</v>
      </c>
      <c r="G74" s="9" t="str">
        <f>IFERROR(__xludf.DUMMYFUNCTION("""COMPUTED_VALUE"""),"TX")</f>
        <v>TX</v>
      </c>
      <c r="H74" s="9" t="str">
        <f>IFERROR(__xludf.DUMMYFUNCTION("""COMPUTED_VALUE"""),"77011")</f>
        <v>77011</v>
      </c>
      <c r="I74" s="9"/>
      <c r="J74" s="9" t="str">
        <f>IFERROR(__xludf.DUMMYFUNCTION("""COMPUTED_VALUE"""),"29.7440270408163, -95.3318197346939")</f>
        <v>29.7440270408163, -95.3318197346939</v>
      </c>
      <c r="K74" s="9"/>
      <c r="L74" s="9" t="str">
        <f>IFERROR(__xludf.DUMMYFUNCTION("""COMPUTED_VALUE"""),"Apply online")</f>
        <v>Apply online</v>
      </c>
      <c r="M74" s="10">
        <f>IFERROR(__xludf.DUMMYFUNCTION("""COMPUTED_VALUE"""),65.0)</f>
        <v>65</v>
      </c>
      <c r="N74" s="10" t="str">
        <f>IFERROR(__xludf.DUMMYFUNCTION("""COMPUTED_VALUE"""),"Other")</f>
        <v>Other</v>
      </c>
      <c r="O74" s="10">
        <f>IFERROR(__xludf.DUMMYFUNCTION("""COMPUTED_VALUE"""),1.0)</f>
        <v>1</v>
      </c>
      <c r="P74" s="10" t="str">
        <f>IFERROR(__xludf.DUMMYFUNCTION("""COMPUTED_VALUE"""),"ACTIVE")</f>
        <v>ACTIVE</v>
      </c>
      <c r="Q74" s="11">
        <f>IFERROR(__xludf.DUMMYFUNCTION("""COMPUTED_VALUE"""),45859.0)</f>
        <v>45859</v>
      </c>
      <c r="R74" s="9" t="str">
        <f>IFERROR(__xludf.DUMMYFUNCTION("""COMPUTED_VALUE"""),"Verified online")</f>
        <v>Verified online</v>
      </c>
      <c r="S74" s="9" t="str">
        <f>IFERROR(__xludf.DUMMYFUNCTION("""COMPUTED_VALUE"""),"Weatherization Assistance Program
Dedicated mitigation team to reduce energy loss, leaks and drafts.  Improve insulation.
US Citizens/Permanent Residents.
Resident of Harris County &amp; meet federal government guidelines
Proof of income.
IDs for household me"&amp;"mbers.
Utility bill")</f>
        <v>Weatherization Assistance Program
Dedicated mitigation team to reduce energy loss, leaks and drafts.  Improve insulation.
US Citizens/Permanent Residents.
Resident of Harris County &amp; meet federal government guidelines
Proof of income.
IDs for household members.
Utility bill</v>
      </c>
      <c r="T74" s="12" t="b">
        <f>IFERROR(__xludf.DUMMYFUNCTION("""COMPUTED_VALUE"""),FALSE)</f>
        <v>0</v>
      </c>
      <c r="U74" s="12" t="b">
        <f>IFERROR(__xludf.DUMMYFUNCTION("""COMPUTED_VALUE"""),FALSE)</f>
        <v>0</v>
      </c>
      <c r="V74" s="13" t="str">
        <f>IFERROR(__xludf.DUMMYFUNCTION("""COMPUTED_VALUE"""),"https://bakerripley.org/programs-and-services/weatherization-assistance-program/")</f>
        <v>https://bakerripley.org/programs-and-services/weatherization-assistance-program/</v>
      </c>
      <c r="W74" s="14" t="str">
        <f>IFERROR(__xludf.DUMMYFUNCTION("""COMPUTED_VALUE"""),"https://maps.google.com/?q=Baker%20Ripley%204450%20Harrisburg%20Blvd%20%23200%20Houston%20TX%2077011")</f>
        <v>https://maps.google.com/?q=Baker%20Ripley%204450%20Harrisburg%20Blvd%20%23200%20Houston%20TX%2077011</v>
      </c>
      <c r="X74" s="10"/>
      <c r="Y74" s="9" t="str">
        <f>IFERROR(__xludf.DUMMYFUNCTION("""COMPUTED_VALUE"""),"Houston")</f>
        <v>Houston</v>
      </c>
      <c r="Z74" s="9" t="str">
        <f>IFERROR(__xludf.DUMMYFUNCTION("""COMPUTED_VALUE"""),"Eastwood, Magnolia Park, Second Ward, South Central Houston")</f>
        <v>Eastwood, Magnolia Park, Second Ward, South Central Houston</v>
      </c>
      <c r="AA74" s="9" t="str">
        <f>IFERROR(__xludf.DUMMYFUNCTION("""COMPUTED_VALUE"""),"BakerRipley")</f>
        <v>BakerRipley</v>
      </c>
      <c r="AB74" s="9" t="str">
        <f>IFERROR(__xludf.DUMMYFUNCTION("""COMPUTED_VALUE"""),"South Central Houston")</f>
        <v>South Central Houston</v>
      </c>
    </row>
    <row r="75" ht="30.0" customHeight="1">
      <c r="A75" s="17">
        <v>74.0</v>
      </c>
      <c r="B75" s="8" t="str">
        <f>IFERROR(__xludf.DUMMYFUNCTION("""COMPUTED_VALUE"""),"[""99999""]")</f>
        <v>["99999"]</v>
      </c>
      <c r="C75" s="9" t="str">
        <f>IFERROR(__xludf.DUMMYFUNCTION("""COMPUTED_VALUE"""),"BakerRipley Angelita Fraga Pre-K")</f>
        <v>BakerRipley Angelita Fraga Pre-K</v>
      </c>
      <c r="D75" s="9" t="str">
        <f>IFERROR(__xludf.DUMMYFUNCTION("""COMPUTED_VALUE"""),"209 N York Street")</f>
        <v>209 N York Street</v>
      </c>
      <c r="E75" s="9"/>
      <c r="F75" s="9" t="str">
        <f>IFERROR(__xludf.DUMMYFUNCTION("""COMPUTED_VALUE"""),"Houston")</f>
        <v>Houston</v>
      </c>
      <c r="G75" s="9" t="str">
        <f>IFERROR(__xludf.DUMMYFUNCTION("""COMPUTED_VALUE"""),"TX")</f>
        <v>TX</v>
      </c>
      <c r="H75" s="9" t="str">
        <f>IFERROR(__xludf.DUMMYFUNCTION("""COMPUTED_VALUE"""),"77003")</f>
        <v>77003</v>
      </c>
      <c r="I75" s="9" t="str">
        <f>IFERROR(__xludf.DUMMYFUNCTION("""COMPUTED_VALUE"""),"713-229-8891")</f>
        <v>713-229-8891</v>
      </c>
      <c r="J75" s="9" t="str">
        <f>IFERROR(__xludf.DUMMYFUNCTION("""COMPUTED_VALUE"""),"29.75328109688815, -95.33670908292915")</f>
        <v>29.75328109688815, -95.33670908292915</v>
      </c>
      <c r="K75" s="9" t="str">
        <f>IFERROR(__xludf.DUMMYFUNCTION("""COMPUTED_VALUE"""),"{""regular"":[{""days"":[""Mo"",""Tu"",""We"",""Th"",""Fr""],""open"":""07:45"",""close"":""15:45""}]}")</f>
        <v>{"regular":[{"days":["Mo","Tu","We","Th","Fr"],"open":"07:45","close":"15:45"}]}</v>
      </c>
      <c r="L75" s="9"/>
      <c r="M75" s="10">
        <f>IFERROR(__xludf.DUMMYFUNCTION("""COMPUTED_VALUE"""),43.0)</f>
        <v>43</v>
      </c>
      <c r="N75" s="10" t="str">
        <f>IFERROR(__xludf.DUMMYFUNCTION("""COMPUTED_VALUE"""),"Education - Children")</f>
        <v>Education - Children</v>
      </c>
      <c r="O75" s="10">
        <f>IFERROR(__xludf.DUMMYFUNCTION("""COMPUTED_VALUE"""),1.0)</f>
        <v>1</v>
      </c>
      <c r="P75" s="10" t="str">
        <f>IFERROR(__xludf.DUMMYFUNCTION("""COMPUTED_VALUE"""),"ACTIVE")</f>
        <v>ACTIVE</v>
      </c>
      <c r="Q75" s="11">
        <f>IFERROR(__xludf.DUMMYFUNCTION("""COMPUTED_VALUE"""),45859.0)</f>
        <v>45859</v>
      </c>
      <c r="R75" s="9" t="str">
        <f>IFERROR(__xludf.DUMMYFUNCTION("""COMPUTED_VALUE"""),"Verified online")</f>
        <v>Verified online</v>
      </c>
      <c r="S75" s="9" t="str">
        <f>IFERROR(__xludf.DUMMYFUNCTION("""COMPUTED_VALUE"""),"Enrollment is free and open to children from 3 years old to 8th grade.")</f>
        <v>Enrollment is free and open to children from 3 years old to 8th grade.</v>
      </c>
      <c r="T75" s="12" t="b">
        <f>IFERROR(__xludf.DUMMYFUNCTION("""COMPUTED_VALUE"""),FALSE)</f>
        <v>0</v>
      </c>
      <c r="U75" s="12" t="b">
        <f>IFERROR(__xludf.DUMMYFUNCTION("""COMPUTED_VALUE"""),FALSE)</f>
        <v>0</v>
      </c>
      <c r="V75" s="13" t="str">
        <f>IFERROR(__xludf.DUMMYFUNCTION("""COMPUTED_VALUE"""),"https://bakerripley.org/locations/fraga-angelita-pre-k/")</f>
        <v>https://bakerripley.org/locations/fraga-angelita-pre-k/</v>
      </c>
      <c r="W75" s="14" t="str">
        <f>IFERROR(__xludf.DUMMYFUNCTION("""COMPUTED_VALUE"""),"https://www.google.com/maps/place/209+N+York+St,+Houston,+TX+77003/@29.7531274,-95.3392518,17z/data=!3m1!4b1!4m6!3m5!1s0x8640bec226167a03:0x2007e1cd959c8d7f!8m2!3d29.7531228!4d-95.3366769!16s%2Fg%2F11c0zqjc8l?entry=ttu&amp;g_ep=EgoyMDI1MDcxNi4wIKXMDSoASAFQAw%"&amp;"3D%3D")</f>
        <v>https://www.google.com/maps/place/209+N+York+St,+Houston,+TX+77003/@29.7531274,-95.3392518,17z/data=!3m1!4b1!4m6!3m5!1s0x8640bec226167a03:0x2007e1cd959c8d7f!8m2!3d29.7531228!4d-95.3366769!16s%2Fg%2F11c0zqjc8l?entry=ttu&amp;g_ep=EgoyMDI1MDcxNi4wIKXMDSoASAFQAw%3D%3D</v>
      </c>
      <c r="X75" s="10"/>
      <c r="Y75" s="9" t="str">
        <f>IFERROR(__xludf.DUMMYFUNCTION("""COMPUTED_VALUE"""),"Houston")</f>
        <v>Houston</v>
      </c>
      <c r="Z75" s="9" t="str">
        <f>IFERROR(__xludf.DUMMYFUNCTION("""COMPUTED_VALUE"""),"East Downtown, Downtown Houston, Second Ward, South Central Houston, South Side")</f>
        <v>East Downtown, Downtown Houston, Second Ward, South Central Houston, South Side</v>
      </c>
      <c r="AA75" s="9" t="str">
        <f>IFERROR(__xludf.DUMMYFUNCTION("""COMPUTED_VALUE"""),"BakerRipley")</f>
        <v>BakerRipley</v>
      </c>
      <c r="AB75" s="9" t="str">
        <f>IFERROR(__xludf.DUMMYFUNCTION("""COMPUTED_VALUE"""),"South Central Houston")</f>
        <v>South Central Houston</v>
      </c>
    </row>
    <row r="76" ht="30.0" customHeight="1">
      <c r="A76" s="17">
        <v>75.0</v>
      </c>
      <c r="B76" s="8" t="str">
        <f>IFERROR(__xludf.DUMMYFUNCTION("""COMPUTED_VALUE"""),"[""99999""]")</f>
        <v>["99999"]</v>
      </c>
      <c r="C76" s="9" t="str">
        <f>IFERROR(__xludf.DUMMYFUNCTION("""COMPUTED_VALUE"""),"BakerRipley Community School Gulfton")</f>
        <v>BakerRipley Community School Gulfton</v>
      </c>
      <c r="D76" s="9" t="str">
        <f>IFERROR(__xludf.DUMMYFUNCTION("""COMPUTED_VALUE"""),"6500 Rookin Street")</f>
        <v>6500 Rookin Street</v>
      </c>
      <c r="E76" s="9"/>
      <c r="F76" s="9" t="str">
        <f>IFERROR(__xludf.DUMMYFUNCTION("""COMPUTED_VALUE"""),"Houston")</f>
        <v>Houston</v>
      </c>
      <c r="G76" s="9" t="str">
        <f>IFERROR(__xludf.DUMMYFUNCTION("""COMPUTED_VALUE"""),"TX")</f>
        <v>TX</v>
      </c>
      <c r="H76" s="9" t="str">
        <f>IFERROR(__xludf.DUMMYFUNCTION("""COMPUTED_VALUE"""),"77074")</f>
        <v>77074</v>
      </c>
      <c r="I76" s="9" t="str">
        <f>IFERROR(__xludf.DUMMYFUNCTION("""COMPUTED_VALUE"""),"713-273-3731")</f>
        <v>713-273-3731</v>
      </c>
      <c r="J76" s="9" t="str">
        <f>IFERROR(__xludf.DUMMYFUNCTION("""COMPUTED_VALUE"""),"29.711202566582127, -95.49719358956052")</f>
        <v>29.711202566582127, -95.49719358956052</v>
      </c>
      <c r="K76" s="9" t="str">
        <f>IFERROR(__xludf.DUMMYFUNCTION("""COMPUTED_VALUE"""),"{""regular"":[{""days"":[""Mo"",""Tu"",""We"",""Th"",""Fr""],""open"":""07:45"",""close"":""15:45""}]}")</f>
        <v>{"regular":[{"days":["Mo","Tu","We","Th","Fr"],"open":"07:45","close":"15:45"}]}</v>
      </c>
      <c r="L76" s="9"/>
      <c r="M76" s="10">
        <f>IFERROR(__xludf.DUMMYFUNCTION("""COMPUTED_VALUE"""),43.0)</f>
        <v>43</v>
      </c>
      <c r="N76" s="10" t="str">
        <f>IFERROR(__xludf.DUMMYFUNCTION("""COMPUTED_VALUE"""),"Education - Children")</f>
        <v>Education - Children</v>
      </c>
      <c r="O76" s="10">
        <f>IFERROR(__xludf.DUMMYFUNCTION("""COMPUTED_VALUE"""),1.0)</f>
        <v>1</v>
      </c>
      <c r="P76" s="10" t="str">
        <f>IFERROR(__xludf.DUMMYFUNCTION("""COMPUTED_VALUE"""),"ACTIVE")</f>
        <v>ACTIVE</v>
      </c>
      <c r="Q76" s="11">
        <f>IFERROR(__xludf.DUMMYFUNCTION("""COMPUTED_VALUE"""),45859.0)</f>
        <v>45859</v>
      </c>
      <c r="R76" s="9" t="str">
        <f>IFERROR(__xludf.DUMMYFUNCTION("""COMPUTED_VALUE"""),"Verified online")</f>
        <v>Verified online</v>
      </c>
      <c r="S76" s="9" t="str">
        <f>IFERROR(__xludf.DUMMYFUNCTION("""COMPUTED_VALUE"""),"Enrollment is free and open to children from 3 years old to 8th grade.")</f>
        <v>Enrollment is free and open to children from 3 years old to 8th grade.</v>
      </c>
      <c r="T76" s="12" t="b">
        <f>IFERROR(__xludf.DUMMYFUNCTION("""COMPUTED_VALUE"""),FALSE)</f>
        <v>0</v>
      </c>
      <c r="U76" s="12" t="b">
        <f>IFERROR(__xludf.DUMMYFUNCTION("""COMPUTED_VALUE"""),FALSE)</f>
        <v>0</v>
      </c>
      <c r="V76" s="13" t="str">
        <f>IFERROR(__xludf.DUMMYFUNCTION("""COMPUTED_VALUE"""),"https://bakerripley.org/programs-and-services/community-schools/")</f>
        <v>https://bakerripley.org/programs-and-services/community-schools/</v>
      </c>
      <c r="W76" s="14" t="str">
        <f>IFERROR(__xludf.DUMMYFUNCTION("""COMPUTED_VALUE"""),"https://www.google.com/maps/place/6500+Rookin+St,+Houston,+TX+77074/@29.7111711,-95.4978507,19z/data=!4m6!3m5!1s0x8640c2379594d1f5:0x6035d300bf22db36!8m2!3d29.7111665!4d-95.497207!16s%2Fg%2F11wx041dbm?entry=ttu&amp;g_ep=EgoyMDI1MDcxNi4wIKXMDSoASAFQAw%3D%3D")</f>
        <v>https://www.google.com/maps/place/6500+Rookin+St,+Houston,+TX+77074/@29.7111711,-95.4978507,19z/data=!4m6!3m5!1s0x8640c2379594d1f5:0x6035d300bf22db36!8m2!3d29.7111665!4d-95.497207!16s%2Fg%2F11wx041dbm?entry=ttu&amp;g_ep=EgoyMDI1MDcxNi4wIKXMDSoASAFQAw%3D%3D</v>
      </c>
      <c r="X76" s="10"/>
      <c r="Y76" s="9" t="str">
        <f>IFERROR(__xludf.DUMMYFUNCTION("""COMPUTED_VALUE"""),"Houston")</f>
        <v>Houston</v>
      </c>
      <c r="Z76" s="9" t="str">
        <f>IFERROR(__xludf.DUMMYFUNCTION("""COMPUTED_VALUE"""),"Braeburn, Robindell, Sharpstown")</f>
        <v>Braeburn, Robindell, Sharpstown</v>
      </c>
      <c r="AA76" s="9" t="str">
        <f>IFERROR(__xludf.DUMMYFUNCTION("""COMPUTED_VALUE"""),"BakerRipley")</f>
        <v>BakerRipley</v>
      </c>
      <c r="AB76" s="9" t="str">
        <f>IFERROR(__xludf.DUMMYFUNCTION("""COMPUTED_VALUE"""),"Sharpstown")</f>
        <v>Sharpstown</v>
      </c>
    </row>
    <row r="77" ht="30.0" customHeight="1">
      <c r="A77" s="17">
        <v>76.0</v>
      </c>
      <c r="B77" s="8" t="str">
        <f>IFERROR(__xludf.DUMMYFUNCTION("""COMPUTED_VALUE"""),"[""99999""]")</f>
        <v>["99999"]</v>
      </c>
      <c r="C77" s="9" t="str">
        <f>IFERROR(__xludf.DUMMYFUNCTION("""COMPUTED_VALUE"""),"BakerRipley Community School Ripley House")</f>
        <v>BakerRipley Community School Ripley House</v>
      </c>
      <c r="D77" s="9" t="str">
        <f>IFERROR(__xludf.DUMMYFUNCTION("""COMPUTED_VALUE"""),"4414 Navigation Blvd")</f>
        <v>4414 Navigation Blvd</v>
      </c>
      <c r="E77" s="9"/>
      <c r="F77" s="9" t="str">
        <f>IFERROR(__xludf.DUMMYFUNCTION("""COMPUTED_VALUE"""),"Houston")</f>
        <v>Houston</v>
      </c>
      <c r="G77" s="9" t="str">
        <f>IFERROR(__xludf.DUMMYFUNCTION("""COMPUTED_VALUE"""),"TX")</f>
        <v>TX</v>
      </c>
      <c r="H77" s="9" t="str">
        <f>IFERROR(__xludf.DUMMYFUNCTION("""COMPUTED_VALUE"""),"77011")</f>
        <v>77011</v>
      </c>
      <c r="I77" s="9" t="str">
        <f>IFERROR(__xludf.DUMMYFUNCTION("""COMPUTED_VALUE"""),"713-315-6429 (Elementary) &amp; 713-315-6430 (Middle)")</f>
        <v>713-315-6429 (Elementary) &amp; 713-315-6430 (Middle)</v>
      </c>
      <c r="J77" s="9" t="str">
        <f>IFERROR(__xludf.DUMMYFUNCTION("""COMPUTED_VALUE"""),"29.75200120984814, -95.32843567596963")</f>
        <v>29.75200120984814, -95.32843567596963</v>
      </c>
      <c r="K77" s="9" t="str">
        <f>IFERROR(__xludf.DUMMYFUNCTION("""COMPUTED_VALUE"""),"{""regular"":[{""days"":[""Mo"",""Tu"",""We"",""Th"",""Fr""],""open"":""07:45"",""close"":""15:45""}]}")</f>
        <v>{"regular":[{"days":["Mo","Tu","We","Th","Fr"],"open":"07:45","close":"15:45"}]}</v>
      </c>
      <c r="L77" s="9"/>
      <c r="M77" s="10">
        <f>IFERROR(__xludf.DUMMYFUNCTION("""COMPUTED_VALUE"""),43.0)</f>
        <v>43</v>
      </c>
      <c r="N77" s="10" t="str">
        <f>IFERROR(__xludf.DUMMYFUNCTION("""COMPUTED_VALUE"""),"Education - Children")</f>
        <v>Education - Children</v>
      </c>
      <c r="O77" s="10">
        <f>IFERROR(__xludf.DUMMYFUNCTION("""COMPUTED_VALUE"""),1.0)</f>
        <v>1</v>
      </c>
      <c r="P77" s="10" t="str">
        <f>IFERROR(__xludf.DUMMYFUNCTION("""COMPUTED_VALUE"""),"ACTIVE")</f>
        <v>ACTIVE</v>
      </c>
      <c r="Q77" s="11">
        <f>IFERROR(__xludf.DUMMYFUNCTION("""COMPUTED_VALUE"""),45859.0)</f>
        <v>45859</v>
      </c>
      <c r="R77" s="9" t="str">
        <f>IFERROR(__xludf.DUMMYFUNCTION("""COMPUTED_VALUE"""),"Verified online")</f>
        <v>Verified online</v>
      </c>
      <c r="S77" s="9" t="str">
        <f>IFERROR(__xludf.DUMMYFUNCTION("""COMPUTED_VALUE"""),"Enrollment is free and open to children from 3 years old to 8th grade.")</f>
        <v>Enrollment is free and open to children from 3 years old to 8th grade.</v>
      </c>
      <c r="T77" s="12" t="b">
        <f>IFERROR(__xludf.DUMMYFUNCTION("""COMPUTED_VALUE"""),FALSE)</f>
        <v>0</v>
      </c>
      <c r="U77" s="12" t="b">
        <f>IFERROR(__xludf.DUMMYFUNCTION("""COMPUTED_VALUE"""),FALSE)</f>
        <v>0</v>
      </c>
      <c r="V77" s="13" t="str">
        <f>IFERROR(__xludf.DUMMYFUNCTION("""COMPUTED_VALUE"""),"https://bakerripley.org/programs-and-services/community-schools/")</f>
        <v>https://bakerripley.org/programs-and-services/community-schools/</v>
      </c>
      <c r="W77" s="14" t="str">
        <f>IFERROR(__xludf.DUMMYFUNCTION("""COMPUTED_VALUE"""),"https://www.google.com/maps/place/4414+Navigation+Blvd,+Houston,+TX+77011/@29.7519488,-95.3290606,19z/data=!4m6!3m5!1s0x8640bebe2d110c5b:0xc782a5be663ced9!8m2!3d29.7519442!4d-95.3284169!16s%2Fg%2F11bw4c2lr8?entry=ttu&amp;g_ep=EgoyMDI1MDcxNi4wIKXMDSoASAFQAw%3D"&amp;"%3D")</f>
        <v>https://www.google.com/maps/place/4414+Navigation+Blvd,+Houston,+TX+77011/@29.7519488,-95.3290606,19z/data=!4m6!3m5!1s0x8640bebe2d110c5b:0xc782a5be663ced9!8m2!3d29.7519442!4d-95.3284169!16s%2Fg%2F11bw4c2lr8?entry=ttu&amp;g_ep=EgoyMDI1MDcxNi4wIKXMDSoASAFQAw%3D%3D</v>
      </c>
      <c r="X77" s="10"/>
      <c r="Y77" s="9" t="str">
        <f>IFERROR(__xludf.DUMMYFUNCTION("""COMPUTED_VALUE"""),"Houston")</f>
        <v>Houston</v>
      </c>
      <c r="Z77" s="9" t="str">
        <f>IFERROR(__xludf.DUMMYFUNCTION("""COMPUTED_VALUE"""),"Eastwood, Magnolia Park, Second Ward, South Central Houston")</f>
        <v>Eastwood, Magnolia Park, Second Ward, South Central Houston</v>
      </c>
      <c r="AA77" s="9" t="str">
        <f>IFERROR(__xludf.DUMMYFUNCTION("""COMPUTED_VALUE"""),"BakerRipley")</f>
        <v>BakerRipley</v>
      </c>
      <c r="AB77" s="9" t="str">
        <f>IFERROR(__xludf.DUMMYFUNCTION("""COMPUTED_VALUE"""),"South Central Houston")</f>
        <v>South Central Houston</v>
      </c>
    </row>
    <row r="78" ht="30.0" customHeight="1">
      <c r="A78" s="17">
        <v>77.0</v>
      </c>
      <c r="B78" s="8" t="str">
        <f>IFERROR(__xludf.DUMMYFUNCTION("""COMPUTED_VALUE"""),"[""99999""]")</f>
        <v>["99999"]</v>
      </c>
      <c r="C78" s="9" t="str">
        <f>IFERROR(__xludf.DUMMYFUNCTION("""COMPUTED_VALUE"""),"BakerRipley East Aldine")</f>
        <v>BakerRipley East Aldine</v>
      </c>
      <c r="D78" s="9" t="str">
        <f>IFERROR(__xludf.DUMMYFUNCTION("""COMPUTED_VALUE"""),"3000 Aldine Mail Route Road")</f>
        <v>3000 Aldine Mail Route Road</v>
      </c>
      <c r="E78" s="9"/>
      <c r="F78" s="10" t="str">
        <f>IFERROR(__xludf.DUMMYFUNCTION("""COMPUTED_VALUE"""),"Houston")</f>
        <v>Houston</v>
      </c>
      <c r="G78" s="9" t="str">
        <f>IFERROR(__xludf.DUMMYFUNCTION("""COMPUTED_VALUE"""),"TX")</f>
        <v>TX</v>
      </c>
      <c r="H78" s="9" t="str">
        <f>IFERROR(__xludf.DUMMYFUNCTION("""COMPUTED_VALUE"""),"77039")</f>
        <v>77039</v>
      </c>
      <c r="I78" s="9" t="str">
        <f>IFERROR(__xludf.DUMMYFUNCTION("""COMPUTED_VALUE"""),"346-570-4463")</f>
        <v>346-570-4463</v>
      </c>
      <c r="J78" s="9" t="str">
        <f>IFERROR(__xludf.DUMMYFUNCTION("""COMPUTED_VALUE"""),"29.90234986030627, -95.34355557114321")</f>
        <v>29.90234986030627, -95.34355557114321</v>
      </c>
      <c r="K78" s="9"/>
      <c r="L78" s="9" t="str">
        <f>IFERROR(__xludf.DUMMYFUNCTION("""COMPUTED_VALUE"""),"Check website for dates and times of Food Fair")</f>
        <v>Check website for dates and times of Food Fair</v>
      </c>
      <c r="M78" s="10">
        <f>IFERROR(__xludf.DUMMYFUNCTION("""COMPUTED_VALUE"""),13.0)</f>
        <v>13</v>
      </c>
      <c r="N78" s="10" t="str">
        <f>IFERROR(__xludf.DUMMYFUNCTION("""COMPUTED_VALUE"""),"Food")</f>
        <v>Food</v>
      </c>
      <c r="O78" s="10">
        <f>IFERROR(__xludf.DUMMYFUNCTION("""COMPUTED_VALUE"""),1.0)</f>
        <v>1</v>
      </c>
      <c r="P78" s="10" t="str">
        <f>IFERROR(__xludf.DUMMYFUNCTION("""COMPUTED_VALUE"""),"ACTIVE")</f>
        <v>ACTIVE</v>
      </c>
      <c r="Q78" s="11">
        <f>IFERROR(__xludf.DUMMYFUNCTION("""COMPUTED_VALUE"""),45859.0)</f>
        <v>45859</v>
      </c>
      <c r="R78" s="9" t="str">
        <f>IFERROR(__xludf.DUMMYFUNCTION("""COMPUTED_VALUE"""),"Verified online")</f>
        <v>Verified online</v>
      </c>
      <c r="S78" s="9" t="str">
        <f>IFERROR(__xludf.DUMMYFUNCTION("""COMPUTED_VALUE"""),"Food Fairs held every month at each BakerRipley Community Center.  But it is very difficult to tell from the website the dates, times and locations of the Food Fairs.
Must meet Houston Food Bank income guidelines and complete a registration form.")</f>
        <v>Food Fairs held every month at each BakerRipley Community Center.  But it is very difficult to tell from the website the dates, times and locations of the Food Fairs.
Must meet Houston Food Bank income guidelines and complete a registration form.</v>
      </c>
      <c r="T78" s="12" t="b">
        <f>IFERROR(__xludf.DUMMYFUNCTION("""COMPUTED_VALUE"""),FALSE)</f>
        <v>0</v>
      </c>
      <c r="U78" s="12" t="b">
        <f>IFERROR(__xludf.DUMMYFUNCTION("""COMPUTED_VALUE"""),FALSE)</f>
        <v>0</v>
      </c>
      <c r="V78" s="13" t="str">
        <f>IFERROR(__xludf.DUMMYFUNCTION("""COMPUTED_VALUE"""),"https://bakerripley.org/locations/east-aldine-campus/#location-contact")</f>
        <v>https://bakerripley.org/locations/east-aldine-campus/#location-contact</v>
      </c>
      <c r="W78" s="14" t="str">
        <f>IFERROR(__xludf.DUMMYFUNCTION("""COMPUTED_VALUE"""),"https://www.google.com/maps/place/BakerRipley+East+Aldine+Campus/@29.9021917,-95.3461412,17z/data=!3m1!4b1!4m6!3m5!1s0x8640b740344d7061:0x91e51a475ada0800!8m2!3d29.9021871!4d-95.3435663!16s%2Fg%2F11hdk_8pl3?entry=ttu&amp;g_ep=EgoyMDI1MDcxNi4wIKXMDSoASAFQAw%3D"&amp;"%3D")</f>
        <v>https://www.google.com/maps/place/BakerRipley+East+Aldine+Campus/@29.9021917,-95.3461412,17z/data=!3m1!4b1!4m6!3m5!1s0x8640b740344d7061:0x91e51a475ada0800!8m2!3d29.9021871!4d-95.3435663!16s%2Fg%2F11hdk_8pl3?entry=ttu&amp;g_ep=EgoyMDI1MDcxNi4wIKXMDSoASAFQAw%3D%3D</v>
      </c>
      <c r="X78" s="10"/>
      <c r="Y78" s="9" t="str">
        <f>IFERROR(__xludf.DUMMYFUNCTION("""COMPUTED_VALUE"""),"Houston")</f>
        <v>Houston</v>
      </c>
      <c r="Z78" s="9" t="str">
        <f>IFERROR(__xludf.DUMMYFUNCTION("""COMPUTED_VALUE"""),"Airline, Aldine, Fairgreen, High Meadows")</f>
        <v>Airline, Aldine, Fairgreen, High Meadows</v>
      </c>
      <c r="AA78" s="9" t="str">
        <f>IFERROR(__xludf.DUMMYFUNCTION("""COMPUTED_VALUE"""),"BakerRipley")</f>
        <v>BakerRipley</v>
      </c>
      <c r="AB78" s="9" t="str">
        <f>IFERROR(__xludf.DUMMYFUNCTION("""COMPUTED_VALUE"""),"High Meadows")</f>
        <v>High Meadows</v>
      </c>
    </row>
    <row r="79" ht="30.0" customHeight="1">
      <c r="A79" s="17">
        <v>78.0</v>
      </c>
      <c r="B79" s="8" t="str">
        <f>IFERROR(__xludf.DUMMYFUNCTION("""COMPUTED_VALUE"""),"[""99999""]")</f>
        <v>["99999"]</v>
      </c>
      <c r="C79" s="9" t="str">
        <f>IFERROR(__xludf.DUMMYFUNCTION("""COMPUTED_VALUE"""),"BakerRipley East Aldine")</f>
        <v>BakerRipley East Aldine</v>
      </c>
      <c r="D79" s="9" t="str">
        <f>IFERROR(__xludf.DUMMYFUNCTION("""COMPUTED_VALUE"""),"3000 Aldine Mail Route Road")</f>
        <v>3000 Aldine Mail Route Road</v>
      </c>
      <c r="E79" s="9"/>
      <c r="F79" s="10" t="str">
        <f>IFERROR(__xludf.DUMMYFUNCTION("""COMPUTED_VALUE"""),"Houston")</f>
        <v>Houston</v>
      </c>
      <c r="G79" s="9" t="str">
        <f>IFERROR(__xludf.DUMMYFUNCTION("""COMPUTED_VALUE"""),"TX")</f>
        <v>TX</v>
      </c>
      <c r="H79" s="9" t="str">
        <f>IFERROR(__xludf.DUMMYFUNCTION("""COMPUTED_VALUE"""),"77039")</f>
        <v>77039</v>
      </c>
      <c r="I79" s="9" t="str">
        <f>IFERROR(__xludf.DUMMYFUNCTION("""COMPUTED_VALUE"""),"346-570-4463")</f>
        <v>346-570-4463</v>
      </c>
      <c r="J79" s="9" t="str">
        <f>IFERROR(__xludf.DUMMYFUNCTION("""COMPUTED_VALUE"""),"29.90234986030627, -95.34355557114321")</f>
        <v>29.90234986030627, -95.34355557114321</v>
      </c>
      <c r="K79" s="9" t="str">
        <f>IFERROR(__xludf.DUMMYFUNCTION("""COMPUTED_VALUE"""),"{""regular"":[{""days"":[""Mo"",""Tu"",""We"",""Th"",""Fr""],""open"":""09:00"",""close"":""18:00""},{""days"":[""Sa""],""open"":""09:00"",""close"":""15:00""}]}")</f>
        <v>{"regular":[{"days":["Mo","Tu","We","Th","Fr"],"open":"09:00","close":"18:00"},{"days":["Sa"],"open":"09:00","close":"15:00"}]}</v>
      </c>
      <c r="L79" s="9" t="str">
        <f>IFERROR(__xludf.DUMMYFUNCTION("""COMPUTED_VALUE"""),"Jan 30th thru Apr 15th.  Walk-ins only")</f>
        <v>Jan 30th thru Apr 15th.  Walk-ins only</v>
      </c>
      <c r="M79" s="10">
        <f>IFERROR(__xludf.DUMMYFUNCTION("""COMPUTED_VALUE"""),65.0)</f>
        <v>65</v>
      </c>
      <c r="N79" s="10" t="str">
        <f>IFERROR(__xludf.DUMMYFUNCTION("""COMPUTED_VALUE"""),"Other")</f>
        <v>Other</v>
      </c>
      <c r="O79" s="10">
        <f>IFERROR(__xludf.DUMMYFUNCTION("""COMPUTED_VALUE"""),1.0)</f>
        <v>1</v>
      </c>
      <c r="P79" s="10" t="str">
        <f>IFERROR(__xludf.DUMMYFUNCTION("""COMPUTED_VALUE"""),"ACTIVE")</f>
        <v>ACTIVE</v>
      </c>
      <c r="Q79" s="11">
        <f>IFERROR(__xludf.DUMMYFUNCTION("""COMPUTED_VALUE"""),46033.0)</f>
        <v>46033</v>
      </c>
      <c r="R79" s="9" t="str">
        <f>IFERROR(__xludf.DUMMYFUNCTION("""COMPUTED_VALUE"""),"Verified online")</f>
        <v>Verified online</v>
      </c>
      <c r="S79" s="9" t="str">
        <f>IFERROR(__xludf.DUMMYFUNCTION("""COMPUTED_VALUE"""),"Free income tax preparation assistance.
Must make less than $58,000 per year.
Check website for 18 other locations.")</f>
        <v>Free income tax preparation assistance.
Must make less than $58,000 per year.
Check website for 18 other locations.</v>
      </c>
      <c r="T79" s="12" t="b">
        <f>IFERROR(__xludf.DUMMYFUNCTION("""COMPUTED_VALUE"""),FALSE)</f>
        <v>0</v>
      </c>
      <c r="U79" s="12" t="b">
        <f>IFERROR(__xludf.DUMMYFUNCTION("""COMPUTED_VALUE"""),FALSE)</f>
        <v>0</v>
      </c>
      <c r="V79" s="13" t="str">
        <f>IFERROR(__xludf.DUMMYFUNCTION("""COMPUTED_VALUE"""),"https://bakerripley.org/programs-and-services/tax-assistance/")</f>
        <v>https://bakerripley.org/programs-and-services/tax-assistance/</v>
      </c>
      <c r="W79" s="14" t="str">
        <f>IFERROR(__xludf.DUMMYFUNCTION("""COMPUTED_VALUE"""),"https://www.google.com/maps/place/BakerRipley+East+Aldine+Campus/@29.9021917,-95.3461412,17z/data=!3m1!4b1!4m6!3m5!1s0x8640b740344d7061:0x91e51a475ada0800!8m2!3d29.9021871!4d-95.3435663!16s%2Fg%2F11hdk_8pl3?entry=ttu&amp;g_ep=EgoyMDI1MDcxNi4wIKXMDSoASAFQAw%3D"&amp;"%3D")</f>
        <v>https://www.google.com/maps/place/BakerRipley+East+Aldine+Campus/@29.9021917,-95.3461412,17z/data=!3m1!4b1!4m6!3m5!1s0x8640b740344d7061:0x91e51a475ada0800!8m2!3d29.9021871!4d-95.3435663!16s%2Fg%2F11hdk_8pl3?entry=ttu&amp;g_ep=EgoyMDI1MDcxNi4wIKXMDSoASAFQAw%3D%3D</v>
      </c>
      <c r="X79" s="10"/>
      <c r="Y79" s="9" t="str">
        <f>IFERROR(__xludf.DUMMYFUNCTION("""COMPUTED_VALUE"""),"Houston")</f>
        <v>Houston</v>
      </c>
      <c r="Z79" s="9" t="str">
        <f>IFERROR(__xludf.DUMMYFUNCTION("""COMPUTED_VALUE"""),"Airline, Aldine, Fairgreen, High Meadows")</f>
        <v>Airline, Aldine, Fairgreen, High Meadows</v>
      </c>
      <c r="AA79" s="9" t="str">
        <f>IFERROR(__xludf.DUMMYFUNCTION("""COMPUTED_VALUE"""),"BakerRipley")</f>
        <v>BakerRipley</v>
      </c>
      <c r="AB79" s="9" t="str">
        <f>IFERROR(__xludf.DUMMYFUNCTION("""COMPUTED_VALUE"""),"High Meadows")</f>
        <v>High Meadows</v>
      </c>
    </row>
    <row r="80" ht="30.0" customHeight="1">
      <c r="A80" s="17">
        <v>79.0</v>
      </c>
      <c r="B80" s="8" t="str">
        <f>IFERROR(__xludf.DUMMYFUNCTION("""COMPUTED_VALUE"""),"[""99999""]")</f>
        <v>["99999"]</v>
      </c>
      <c r="C80" s="9" t="str">
        <f>IFERROR(__xludf.DUMMYFUNCTION("""COMPUTED_VALUE"""),"BakerRipley East Aldine")</f>
        <v>BakerRipley East Aldine</v>
      </c>
      <c r="D80" s="9" t="str">
        <f>IFERROR(__xludf.DUMMYFUNCTION("""COMPUTED_VALUE"""),"3000 Aldine Mail Route Road")</f>
        <v>3000 Aldine Mail Route Road</v>
      </c>
      <c r="E80" s="9"/>
      <c r="F80" s="9" t="str">
        <f>IFERROR(__xludf.DUMMYFUNCTION("""COMPUTED_VALUE"""),"Houston")</f>
        <v>Houston</v>
      </c>
      <c r="G80" s="9" t="str">
        <f>IFERROR(__xludf.DUMMYFUNCTION("""COMPUTED_VALUE"""),"TX")</f>
        <v>TX</v>
      </c>
      <c r="H80" s="9" t="str">
        <f>IFERROR(__xludf.DUMMYFUNCTION("""COMPUTED_VALUE"""),"77039")</f>
        <v>77039</v>
      </c>
      <c r="I80" s="9" t="str">
        <f>IFERROR(__xludf.DUMMYFUNCTION("""COMPUTED_VALUE"""),"346-570-4463")</f>
        <v>346-570-4463</v>
      </c>
      <c r="J80" s="9" t="str">
        <f>IFERROR(__xludf.DUMMYFUNCTION("""COMPUTED_VALUE"""),"29.90234986030627, -95.34355557114321")</f>
        <v>29.90234986030627, -95.34355557114321</v>
      </c>
      <c r="K80" s="9" t="str">
        <f>IFERROR(__xludf.DUMMYFUNCTION("""COMPUTED_VALUE"""),"{""regular"":[{""days"":[""Mo"",""Tu"",""We"",""Th"",""Fr""],""open"":""10:00"",""close"":""19:00""}]}")</f>
        <v>{"regular":[{"days":["Mo","Tu","We","Th","Fr"],"open":"10:00","close":"19:00"}]}</v>
      </c>
      <c r="L80" s="9"/>
      <c r="M80" s="10">
        <f>IFERROR(__xludf.DUMMYFUNCTION("""COMPUTED_VALUE"""),65.0)</f>
        <v>65</v>
      </c>
      <c r="N80" s="10" t="str">
        <f>IFERROR(__xludf.DUMMYFUNCTION("""COMPUTED_VALUE"""),"Other")</f>
        <v>Other</v>
      </c>
      <c r="O80" s="10">
        <f>IFERROR(__xludf.DUMMYFUNCTION("""COMPUTED_VALUE"""),1.0)</f>
        <v>1</v>
      </c>
      <c r="P80" s="10" t="str">
        <f>IFERROR(__xludf.DUMMYFUNCTION("""COMPUTED_VALUE"""),"ACTIVE")</f>
        <v>ACTIVE</v>
      </c>
      <c r="Q80" s="11">
        <f>IFERROR(__xludf.DUMMYFUNCTION("""COMPUTED_VALUE"""),46033.0)</f>
        <v>46033</v>
      </c>
      <c r="R80" s="9" t="str">
        <f>IFERROR(__xludf.DUMMYFUNCTION("""COMPUTED_VALUE"""),"Verified online")</f>
        <v>Verified online</v>
      </c>
      <c r="S80" s="9" t="str">
        <f>IFERROR(__xludf.DUMMYFUNCTION("""COMPUTED_VALUE"""),"Entrepreneur Connection helps starting a business.
Includes providing education, business coaching, networking events, resources and access to capital.  ")</f>
        <v>Entrepreneur Connection helps starting a business.
Includes providing education, business coaching, networking events, resources and access to capital.  </v>
      </c>
      <c r="T80" s="12" t="b">
        <f>IFERROR(__xludf.DUMMYFUNCTION("""COMPUTED_VALUE"""),FALSE)</f>
        <v>0</v>
      </c>
      <c r="U80" s="12" t="b">
        <f>IFERROR(__xludf.DUMMYFUNCTION("""COMPUTED_VALUE"""),FALSE)</f>
        <v>0</v>
      </c>
      <c r="V80" s="13" t="str">
        <f>IFERROR(__xludf.DUMMYFUNCTION("""COMPUTED_VALUE"""),"https://bakerripley.org/locations/east-aldine-campus/#location-contact")</f>
        <v>https://bakerripley.org/locations/east-aldine-campus/#location-contact</v>
      </c>
      <c r="W80" s="14" t="str">
        <f>IFERROR(__xludf.DUMMYFUNCTION("""COMPUTED_VALUE"""),"https://www.google.com/maps/place/BakerRipley+East+Aldine+Campus/@29.9021917,-95.3461412,17z/data=!3m1!4b1!4m6!3m5!1s0x8640b740344d7061:0x91e51a475ada0800!8m2!3d29.9021871!4d-95.3435663!16s%2Fg%2F11hdk_8pl3?entry=ttu&amp;g_ep=EgoyMDI1MDcxNi4wIKXMDSoASAFQAw%3D"&amp;"%3D")</f>
        <v>https://www.google.com/maps/place/BakerRipley+East+Aldine+Campus/@29.9021917,-95.3461412,17z/data=!3m1!4b1!4m6!3m5!1s0x8640b740344d7061:0x91e51a475ada0800!8m2!3d29.9021871!4d-95.3435663!16s%2Fg%2F11hdk_8pl3?entry=ttu&amp;g_ep=EgoyMDI1MDcxNi4wIKXMDSoASAFQAw%3D%3D</v>
      </c>
      <c r="X80" s="10"/>
      <c r="Y80" s="9" t="str">
        <f>IFERROR(__xludf.DUMMYFUNCTION("""COMPUTED_VALUE"""),"Houston")</f>
        <v>Houston</v>
      </c>
      <c r="Z80" s="9" t="str">
        <f>IFERROR(__xludf.DUMMYFUNCTION("""COMPUTED_VALUE"""),"Airline, Aldine, Fairgreen, High Meadows")</f>
        <v>Airline, Aldine, Fairgreen, High Meadows</v>
      </c>
      <c r="AA80" s="9" t="str">
        <f>IFERROR(__xludf.DUMMYFUNCTION("""COMPUTED_VALUE"""),"BakerRipley")</f>
        <v>BakerRipley</v>
      </c>
      <c r="AB80" s="9" t="str">
        <f>IFERROR(__xludf.DUMMYFUNCTION("""COMPUTED_VALUE"""),"High Meadows")</f>
        <v>High Meadows</v>
      </c>
    </row>
    <row r="81" ht="30.0" customHeight="1">
      <c r="A81" s="17">
        <v>80.0</v>
      </c>
      <c r="B81" s="8" t="str">
        <f>IFERROR(__xludf.DUMMYFUNCTION("""COMPUTED_VALUE"""),"[""99999""]")</f>
        <v>["99999"]</v>
      </c>
      <c r="C81" s="9" t="str">
        <f>IFERROR(__xludf.DUMMYFUNCTION("""COMPUTED_VALUE"""),"BakerRipley Gulfton")</f>
        <v>BakerRipley Gulfton</v>
      </c>
      <c r="D81" s="9" t="str">
        <f>IFERROR(__xludf.DUMMYFUNCTION("""COMPUTED_VALUE"""),"6200 Savoy Drive")</f>
        <v>6200 Savoy Drive</v>
      </c>
      <c r="E81" s="9" t="str">
        <f>IFERROR(__xludf.DUMMYFUNCTION("""COMPUTED_VALUE"""),"Suite 1200")</f>
        <v>Suite 1200</v>
      </c>
      <c r="F81" s="9" t="str">
        <f>IFERROR(__xludf.DUMMYFUNCTION("""COMPUTED_VALUE"""),"Houston")</f>
        <v>Houston</v>
      </c>
      <c r="G81" s="9" t="str">
        <f>IFERROR(__xludf.DUMMYFUNCTION("""COMPUTED_VALUE"""),"TX")</f>
        <v>TX</v>
      </c>
      <c r="H81" s="9" t="str">
        <f>IFERROR(__xludf.DUMMYFUNCTION("""COMPUTED_VALUE"""),"77036")</f>
        <v>77036</v>
      </c>
      <c r="I81" s="9" t="str">
        <f>IFERROR(__xludf.DUMMYFUNCTION("""COMPUTED_VALUE"""),"346-867-3871")</f>
        <v>346-867-3871</v>
      </c>
      <c r="J81" s="9" t="str">
        <f>IFERROR(__xludf.DUMMYFUNCTION("""COMPUTED_VALUE"""),"29.7145284430229, -95.50600215023391")</f>
        <v>29.7145284430229, -95.50600215023391</v>
      </c>
      <c r="K81" s="9" t="str">
        <f>IFERROR(__xludf.DUMMYFUNCTION("""COMPUTED_VALUE"""),"{""regular"":[{""days"":[""Mo""],""open"":""09:00"",""close"":""17:00""}]}")</f>
        <v>{"regular":[{"days":["Mo"],"open":"09:00","close":"17:00"}]}</v>
      </c>
      <c r="L81" s="9" t="str">
        <f>IFERROR(__xludf.DUMMYFUNCTION("""COMPUTED_VALUE"""),"Consultations are scheduled on the last Monday of each month")</f>
        <v>Consultations are scheduled on the last Monday of each month</v>
      </c>
      <c r="M81" s="10">
        <f>IFERROR(__xludf.DUMMYFUNCTION("""COMPUTED_VALUE"""),55.0)</f>
        <v>55</v>
      </c>
      <c r="N81" s="10" t="str">
        <f>IFERROR(__xludf.DUMMYFUNCTION("""COMPUTED_VALUE"""),"Immigration")</f>
        <v>Immigration</v>
      </c>
      <c r="O81" s="10">
        <f>IFERROR(__xludf.DUMMYFUNCTION("""COMPUTED_VALUE"""),1.0)</f>
        <v>1</v>
      </c>
      <c r="P81" s="10" t="str">
        <f>IFERROR(__xludf.DUMMYFUNCTION("""COMPUTED_VALUE"""),"ACTIVE")</f>
        <v>ACTIVE</v>
      </c>
      <c r="Q81" s="11">
        <f>IFERROR(__xludf.DUMMYFUNCTION("""COMPUTED_VALUE"""),45879.0)</f>
        <v>45879</v>
      </c>
      <c r="R81" s="9" t="str">
        <f>IFERROR(__xludf.DUMMYFUNCTION("""COMPUTED_VALUE"""),"Verified online")</f>
        <v>Verified online</v>
      </c>
      <c r="S81" s="9" t="str">
        <f>IFERROR(__xludf.DUMMYFUNCTION("""COMPUTED_VALUE"""),"All new legal clients must first attend a consultation.  This is free of charge and scheduled on the last Monday of each month.
Services include, asylum seekers, permanent residents seeking citizenship, green card renewal, petition for a family member, ap"&amp;"ply for work permit, renew DACA status.
Periodic citizenship forums (limited to first 75 participants) for permanent residents.
Citizenship classes.")</f>
        <v>All new legal clients must first attend a consultation.  This is free of charge and scheduled on the last Monday of each month.
Services include, asylum seekers, permanent residents seeking citizenship, green card renewal, petition for a family member, apply for work permit, renew DACA status.
Periodic citizenship forums (limited to first 75 participants) for permanent residents.
Citizenship classes.</v>
      </c>
      <c r="T81" s="12" t="b">
        <f>IFERROR(__xludf.DUMMYFUNCTION("""COMPUTED_VALUE"""),FALSE)</f>
        <v>0</v>
      </c>
      <c r="U81" s="12" t="b">
        <f>IFERROR(__xludf.DUMMYFUNCTION("""COMPUTED_VALUE"""),FALSE)</f>
        <v>0</v>
      </c>
      <c r="V81" s="13" t="str">
        <f>IFERROR(__xludf.DUMMYFUNCTION("""COMPUTED_VALUE"""),"https://bakerripley.org/programs-and-services/immigration-and-citizenship-services/")</f>
        <v>https://bakerripley.org/programs-and-services/immigration-and-citizenship-services/</v>
      </c>
      <c r="W81" s="14" t="str">
        <f>IFERROR(__xludf.DUMMYFUNCTION("""COMPUTED_VALUE"""),"https://www.google.com/maps/place/6200+Savoy+Dr,+Houston,+TX+77036/@29.7143316,-95.5077939,19z/data=!4m6!3m5!1s0x8640c24e8ff2311d:0x27eec4e88a1a3647!8m2!3d29.7144668!4d-95.5060075!16s%2Fg%2F11c1jh3lb1?entry=ttu&amp;g_ep=EgoyMDI1MDgwNi4wIKXMDSoASAFQAw%3D%3D")</f>
        <v>https://www.google.com/maps/place/6200+Savoy+Dr,+Houston,+TX+77036/@29.7143316,-95.5077939,19z/data=!4m6!3m5!1s0x8640c24e8ff2311d:0x27eec4e88a1a3647!8m2!3d29.7144668!4d-95.5060075!16s%2Fg%2F11c1jh3lb1?entry=ttu&amp;g_ep=EgoyMDI1MDgwNi4wIKXMDSoASAFQAw%3D%3D</v>
      </c>
      <c r="X81" s="10"/>
      <c r="Y81" s="9" t="str">
        <f>IFERROR(__xludf.DUMMYFUNCTION("""COMPUTED_VALUE"""),"Houston")</f>
        <v>Houston</v>
      </c>
      <c r="Z81" s="9" t="str">
        <f>IFERROR(__xludf.DUMMYFUNCTION("""COMPUTED_VALUE"""),"Chinatown, Sharpstown, Westside")</f>
        <v>Chinatown, Sharpstown, Westside</v>
      </c>
      <c r="AA81" s="9" t="str">
        <f>IFERROR(__xludf.DUMMYFUNCTION("""COMPUTED_VALUE"""),"BakerRipley")</f>
        <v>BakerRipley</v>
      </c>
      <c r="AB81" s="9" t="str">
        <f>IFERROR(__xludf.DUMMYFUNCTION("""COMPUTED_VALUE"""),"Sharpstown")</f>
        <v>Sharpstown</v>
      </c>
    </row>
    <row r="82" ht="30.0" customHeight="1">
      <c r="A82" s="17">
        <v>81.0</v>
      </c>
      <c r="B82" s="8" t="str">
        <f>IFERROR(__xludf.DUMMYFUNCTION("""COMPUTED_VALUE"""),"[""99999""]")</f>
        <v>["99999"]</v>
      </c>
      <c r="C82" s="9" t="str">
        <f>IFERROR(__xludf.DUMMYFUNCTION("""COMPUTED_VALUE"""),"BakerRipley Gulfton Sharpstown")</f>
        <v>BakerRipley Gulfton Sharpstown</v>
      </c>
      <c r="D82" s="9" t="str">
        <f>IFERROR(__xludf.DUMMYFUNCTION("""COMPUTED_VALUE"""),"6500 Rookin Street")</f>
        <v>6500 Rookin Street</v>
      </c>
      <c r="E82" s="9"/>
      <c r="F82" s="9" t="str">
        <f>IFERROR(__xludf.DUMMYFUNCTION("""COMPUTED_VALUE"""),"Houston")</f>
        <v>Houston</v>
      </c>
      <c r="G82" s="9" t="str">
        <f>IFERROR(__xludf.DUMMYFUNCTION("""COMPUTED_VALUE"""),"TX")</f>
        <v>TX</v>
      </c>
      <c r="H82" s="9" t="str">
        <f>IFERROR(__xludf.DUMMYFUNCTION("""COMPUTED_VALUE"""),"77074")</f>
        <v>77074</v>
      </c>
      <c r="I82" s="9" t="str">
        <f>IFERROR(__xludf.DUMMYFUNCTION("""COMPUTED_VALUE"""),"713-273-3700")</f>
        <v>713-273-3700</v>
      </c>
      <c r="J82" s="9" t="str">
        <f>IFERROR(__xludf.DUMMYFUNCTION("""COMPUTED_VALUE"""),"29.707854430004762, -95.49641342683749")</f>
        <v>29.707854430004762, -95.49641342683749</v>
      </c>
      <c r="K82" s="9"/>
      <c r="L82" s="9" t="str">
        <f>IFERROR(__xludf.DUMMYFUNCTION("""COMPUTED_VALUE"""),"Check website for dates and times of Food Fair")</f>
        <v>Check website for dates and times of Food Fair</v>
      </c>
      <c r="M82" s="10">
        <f>IFERROR(__xludf.DUMMYFUNCTION("""COMPUTED_VALUE"""),13.0)</f>
        <v>13</v>
      </c>
      <c r="N82" s="10" t="str">
        <f>IFERROR(__xludf.DUMMYFUNCTION("""COMPUTED_VALUE"""),"Food")</f>
        <v>Food</v>
      </c>
      <c r="O82" s="10">
        <f>IFERROR(__xludf.DUMMYFUNCTION("""COMPUTED_VALUE"""),1.0)</f>
        <v>1</v>
      </c>
      <c r="P82" s="10" t="str">
        <f>IFERROR(__xludf.DUMMYFUNCTION("""COMPUTED_VALUE"""),"ACTIVE")</f>
        <v>ACTIVE</v>
      </c>
      <c r="Q82" s="11">
        <f>IFERROR(__xludf.DUMMYFUNCTION("""COMPUTED_VALUE"""),45859.0)</f>
        <v>45859</v>
      </c>
      <c r="R82" s="9" t="str">
        <f>IFERROR(__xludf.DUMMYFUNCTION("""COMPUTED_VALUE"""),"Verified online")</f>
        <v>Verified online</v>
      </c>
      <c r="S82" s="9" t="str">
        <f>IFERROR(__xludf.DUMMYFUNCTION("""COMPUTED_VALUE"""),"Food Fairs held every month at each BakerRipley Community Center.  But it is very difficult to tell from the website the dates, times and locations of the Food Fairs.
Must meet Houston Food Bank income guidelines and complete a registration form.")</f>
        <v>Food Fairs held every month at each BakerRipley Community Center.  But it is very difficult to tell from the website the dates, times and locations of the Food Fairs.
Must meet Houston Food Bank income guidelines and complete a registration form.</v>
      </c>
      <c r="T82" s="12" t="b">
        <f>IFERROR(__xludf.DUMMYFUNCTION("""COMPUTED_VALUE"""),FALSE)</f>
        <v>0</v>
      </c>
      <c r="U82" s="12" t="b">
        <f>IFERROR(__xludf.DUMMYFUNCTION("""COMPUTED_VALUE"""),FALSE)</f>
        <v>0</v>
      </c>
      <c r="V82" s="13" t="str">
        <f>IFERROR(__xludf.DUMMYFUNCTION("""COMPUTED_VALUE"""),"https://bakerripley.org/programs-and-services/food-and-nutrition/")</f>
        <v>https://bakerripley.org/programs-and-services/food-and-nutrition/</v>
      </c>
      <c r="W82" s="14" t="str">
        <f>IFERROR(__xludf.DUMMYFUNCTION("""COMPUTED_VALUE"""),"https://www.google.com/maps/place/BakerRipley+Gulfton+Sharpstown+Campus/@29.7076447,-95.4990527,17z/data=!3m1!4b1!4m6!3m5!1s0x8640c238494488c9:0xdb9adc004e125734!8m2!3d29.7076401!4d-95.4964778!16s%2Fg%2F1jkw0qjn8?entry=ttu&amp;g_ep=EgoyMDI1MDcxNi4wIKXMDSoASAF"&amp;"QAw%3D%3D")</f>
        <v>https://www.google.com/maps/place/BakerRipley+Gulfton+Sharpstown+Campus/@29.7076447,-95.4990527,17z/data=!3m1!4b1!4m6!3m5!1s0x8640c238494488c9:0xdb9adc004e125734!8m2!3d29.7076401!4d-95.4964778!16s%2Fg%2F1jkw0qjn8?entry=ttu&amp;g_ep=EgoyMDI1MDcxNi4wIKXMDSoASAFQAw%3D%3D</v>
      </c>
      <c r="X82" s="10"/>
      <c r="Y82" s="9" t="str">
        <f>IFERROR(__xludf.DUMMYFUNCTION("""COMPUTED_VALUE"""),"Houston")</f>
        <v>Houston</v>
      </c>
      <c r="Z82" s="9" t="str">
        <f>IFERROR(__xludf.DUMMYFUNCTION("""COMPUTED_VALUE"""),"Braeburn, Robindell, Sharpstown")</f>
        <v>Braeburn, Robindell, Sharpstown</v>
      </c>
      <c r="AA82" s="9" t="str">
        <f>IFERROR(__xludf.DUMMYFUNCTION("""COMPUTED_VALUE"""),"BakerRipley")</f>
        <v>BakerRipley</v>
      </c>
      <c r="AB82" s="9" t="str">
        <f>IFERROR(__xludf.DUMMYFUNCTION("""COMPUTED_VALUE"""),"Sharpstown")</f>
        <v>Sharpstown</v>
      </c>
    </row>
    <row r="83" ht="30.0" customHeight="1">
      <c r="A83" s="17">
        <v>82.0</v>
      </c>
      <c r="B83" s="8" t="str">
        <f>IFERROR(__xludf.DUMMYFUNCTION("""COMPUTED_VALUE"""),"[""99999""]")</f>
        <v>["99999"]</v>
      </c>
      <c r="C83" s="9" t="str">
        <f>IFERROR(__xludf.DUMMYFUNCTION("""COMPUTED_VALUE"""),"BakerRipley Gulfton Sharpstown")</f>
        <v>BakerRipley Gulfton Sharpstown</v>
      </c>
      <c r="D83" s="9" t="str">
        <f>IFERROR(__xludf.DUMMYFUNCTION("""COMPUTED_VALUE"""),"6500 Rookin Street")</f>
        <v>6500 Rookin Street</v>
      </c>
      <c r="E83" s="9"/>
      <c r="F83" s="9" t="str">
        <f>IFERROR(__xludf.DUMMYFUNCTION("""COMPUTED_VALUE"""),"Houston")</f>
        <v>Houston</v>
      </c>
      <c r="G83" s="9" t="str">
        <f>IFERROR(__xludf.DUMMYFUNCTION("""COMPUTED_VALUE"""),"TX")</f>
        <v>TX</v>
      </c>
      <c r="H83" s="9" t="str">
        <f>IFERROR(__xludf.DUMMYFUNCTION("""COMPUTED_VALUE"""),"77074")</f>
        <v>77074</v>
      </c>
      <c r="I83" s="9" t="str">
        <f>IFERROR(__xludf.DUMMYFUNCTION("""COMPUTED_VALUE"""),"713-273-3700")</f>
        <v>713-273-3700</v>
      </c>
      <c r="J83" s="9" t="str">
        <f>IFERROR(__xludf.DUMMYFUNCTION("""COMPUTED_VALUE"""),"29.707854430004762, -95.49641342683749")</f>
        <v>29.707854430004762, -95.49641342683749</v>
      </c>
      <c r="K83" s="9" t="str">
        <f>IFERROR(__xludf.DUMMYFUNCTION("""COMPUTED_VALUE"""),"{""special"":[{""pattern"":""2nd Th"",""open"":""10:00"",""close"":""13:00""}]}")</f>
        <v>{"special":[{"pattern":"2nd Th","open":"10:00","close":"13:00"}]}</v>
      </c>
      <c r="L83" s="9"/>
      <c r="M83" s="10">
        <f>IFERROR(__xludf.DUMMYFUNCTION("""COMPUTED_VALUE"""),52.0)</f>
        <v>52</v>
      </c>
      <c r="N83" s="10" t="str">
        <f>IFERROR(__xludf.DUMMYFUNCTION("""COMPUTED_VALUE"""),"Jobs")</f>
        <v>Jobs</v>
      </c>
      <c r="O83" s="10">
        <f>IFERROR(__xludf.DUMMYFUNCTION("""COMPUTED_VALUE"""),1.0)</f>
        <v>1</v>
      </c>
      <c r="P83" s="10" t="str">
        <f>IFERROR(__xludf.DUMMYFUNCTION("""COMPUTED_VALUE"""),"ACTIVE")</f>
        <v>ACTIVE</v>
      </c>
      <c r="Q83" s="11">
        <f>IFERROR(__xludf.DUMMYFUNCTION("""COMPUTED_VALUE"""),46033.0)</f>
        <v>46033</v>
      </c>
      <c r="R83" s="9" t="str">
        <f>IFERROR(__xludf.DUMMYFUNCTION("""COMPUTED_VALUE"""),"Verified online")</f>
        <v>Verified online</v>
      </c>
      <c r="S83" s="9" t="str">
        <f>IFERROR(__xludf.DUMMYFUNCTION("""COMPUTED_VALUE"""),"Help job seeker improve skills, find employment and advance careers.")</f>
        <v>Help job seeker improve skills, find employment and advance careers.</v>
      </c>
      <c r="T83" s="12" t="b">
        <f>IFERROR(__xludf.DUMMYFUNCTION("""COMPUTED_VALUE"""),FALSE)</f>
        <v>0</v>
      </c>
      <c r="U83" s="12" t="b">
        <f>IFERROR(__xludf.DUMMYFUNCTION("""COMPUTED_VALUE"""),FALSE)</f>
        <v>0</v>
      </c>
      <c r="V83" s="13" t="str">
        <f>IFERROR(__xludf.DUMMYFUNCTION("""COMPUTED_VALUE"""),"https://bakerripley.org/programs-and-services/food-and-nutrition/")</f>
        <v>https://bakerripley.org/programs-and-services/food-and-nutrition/</v>
      </c>
      <c r="W83" s="14" t="str">
        <f>IFERROR(__xludf.DUMMYFUNCTION("""COMPUTED_VALUE"""),"https://www.google.com/maps/place/BakerRipley+Gulfton+Sharpstown+Campus/@29.7076447,-95.4990527,17z/data=!3m1!4b1!4m6!3m5!1s0x8640c238494488c9:0xdb9adc004e125734!8m2!3d29.7076401!4d-95.4964778!16s%2Fg%2F1jkw0qjn8?entry=ttu&amp;g_ep=EgoyMDI1MDcxNi4wIKXMDSoASAF"&amp;"QAw%3D%3D")</f>
        <v>https://www.google.com/maps/place/BakerRipley+Gulfton+Sharpstown+Campus/@29.7076447,-95.4990527,17z/data=!3m1!4b1!4m6!3m5!1s0x8640c238494488c9:0xdb9adc004e125734!8m2!3d29.7076401!4d-95.4964778!16s%2Fg%2F1jkw0qjn8?entry=ttu&amp;g_ep=EgoyMDI1MDcxNi4wIKXMDSoASAFQAw%3D%3D</v>
      </c>
      <c r="X83" s="10"/>
      <c r="Y83" s="9" t="str">
        <f>IFERROR(__xludf.DUMMYFUNCTION("""COMPUTED_VALUE"""),"Houston")</f>
        <v>Houston</v>
      </c>
      <c r="Z83" s="9" t="str">
        <f>IFERROR(__xludf.DUMMYFUNCTION("""COMPUTED_VALUE"""),"Braeburn, Robindell, Sharpstown")</f>
        <v>Braeburn, Robindell, Sharpstown</v>
      </c>
      <c r="AA83" s="9" t="str">
        <f>IFERROR(__xludf.DUMMYFUNCTION("""COMPUTED_VALUE"""),"BakerRipley")</f>
        <v>BakerRipley</v>
      </c>
      <c r="AB83" s="9" t="str">
        <f>IFERROR(__xludf.DUMMYFUNCTION("""COMPUTED_VALUE"""),"Sharpstown")</f>
        <v>Sharpstown</v>
      </c>
    </row>
    <row r="84" ht="30.0" customHeight="1">
      <c r="A84" s="17">
        <v>83.0</v>
      </c>
      <c r="B84" s="8" t="str">
        <f>IFERROR(__xludf.DUMMYFUNCTION("""COMPUTED_VALUE"""),"[""99999""]")</f>
        <v>["99999"]</v>
      </c>
      <c r="C84" s="9" t="str">
        <f>IFERROR(__xludf.DUMMYFUNCTION("""COMPUTED_VALUE"""),"BakerRipley Gulfton Sharpstown")</f>
        <v>BakerRipley Gulfton Sharpstown</v>
      </c>
      <c r="D84" s="9" t="str">
        <f>IFERROR(__xludf.DUMMYFUNCTION("""COMPUTED_VALUE"""),"6500 Rookin Street")</f>
        <v>6500 Rookin Street</v>
      </c>
      <c r="E84" s="9"/>
      <c r="F84" s="9" t="str">
        <f>IFERROR(__xludf.DUMMYFUNCTION("""COMPUTED_VALUE"""),"Houston")</f>
        <v>Houston</v>
      </c>
      <c r="G84" s="9" t="str">
        <f>IFERROR(__xludf.DUMMYFUNCTION("""COMPUTED_VALUE"""),"TX")</f>
        <v>TX</v>
      </c>
      <c r="H84" s="9" t="str">
        <f>IFERROR(__xludf.DUMMYFUNCTION("""COMPUTED_VALUE"""),"77074")</f>
        <v>77074</v>
      </c>
      <c r="I84" s="9" t="str">
        <f>IFERROR(__xludf.DUMMYFUNCTION("""COMPUTED_VALUE"""),"346-867-3871")</f>
        <v>346-867-3871</v>
      </c>
      <c r="J84" s="9" t="str">
        <f>IFERROR(__xludf.DUMMYFUNCTION("""COMPUTED_VALUE"""),"29.707863723554745, -95.49641342927949")</f>
        <v>29.707863723554745, -95.49641342927949</v>
      </c>
      <c r="K84" s="9" t="str">
        <f>IFERROR(__xludf.DUMMYFUNCTION("""COMPUTED_VALUE"""),"{""regular"":[{""days"":[""Mo"",""Tu"",""We"",""Th""],""open"":""09:00"",""close"":""17:00""}]}")</f>
        <v>{"regular":[{"days":["Mo","Tu","We","Th"],"open":"09:00","close":"17:00"}]}</v>
      </c>
      <c r="L84" s="9"/>
      <c r="M84" s="10">
        <f>IFERROR(__xludf.DUMMYFUNCTION("""COMPUTED_VALUE"""),55.0)</f>
        <v>55</v>
      </c>
      <c r="N84" s="10" t="str">
        <f>IFERROR(__xludf.DUMMYFUNCTION("""COMPUTED_VALUE"""),"Immigration")</f>
        <v>Immigration</v>
      </c>
      <c r="O84" s="10">
        <f>IFERROR(__xludf.DUMMYFUNCTION("""COMPUTED_VALUE"""),1.0)</f>
        <v>1</v>
      </c>
      <c r="P84" s="10" t="str">
        <f>IFERROR(__xludf.DUMMYFUNCTION("""COMPUTED_VALUE"""),"ACTIVE")</f>
        <v>ACTIVE</v>
      </c>
      <c r="Q84" s="11">
        <f>IFERROR(__xludf.DUMMYFUNCTION("""COMPUTED_VALUE"""),45879.0)</f>
        <v>45879</v>
      </c>
      <c r="R84" s="9" t="str">
        <f>IFERROR(__xludf.DUMMYFUNCTION("""COMPUTED_VALUE"""),"Verified online")</f>
        <v>Verified online</v>
      </c>
      <c r="S84" s="9" t="str">
        <f>IFERROR(__xludf.DUMMYFUNCTION("""COMPUTED_VALUE"""),"Social services including signing up for public assistance programs, school enrollments, referrals to other community services and support for crime victims.
Donations of hygiene products including shampoo, toothpaste, diapers, laundry detergent, etc.")</f>
        <v>Social services including signing up for public assistance programs, school enrollments, referrals to other community services and support for crime victims.
Donations of hygiene products including shampoo, toothpaste, diapers, laundry detergent, etc.</v>
      </c>
      <c r="T84" s="12" t="b">
        <f>IFERROR(__xludf.DUMMYFUNCTION("""COMPUTED_VALUE"""),FALSE)</f>
        <v>0</v>
      </c>
      <c r="U84" s="12" t="b">
        <f>IFERROR(__xludf.DUMMYFUNCTION("""COMPUTED_VALUE"""),FALSE)</f>
        <v>0</v>
      </c>
      <c r="V84" s="13" t="str">
        <f>IFERROR(__xludf.DUMMYFUNCTION("""COMPUTED_VALUE"""),"https://bakerripley.org/app/uploads/2025/05/BR-Immigration-Social-Services.pdf")</f>
        <v>https://bakerripley.org/app/uploads/2025/05/BR-Immigration-Social-Services.pdf</v>
      </c>
      <c r="W84" s="14" t="str">
        <f>IFERROR(__xludf.DUMMYFUNCTION("""COMPUTED_VALUE"""),"https://www.google.com/maps/place/BakerRipley+Gulfton+Annex+B/@29.7076447,-95.4990527,17z/data=!4m14!1m7!3m6!1s0x8640c238494488c9:0xdb9adc004e125734!2sBakerRipley+Gulfton+Annex+B!8m2!3d29.7076401!4d-95.4964778!16s%2Fg%2F1jkw0qjn8!3m5!1s0x8640c238494488c9:"&amp;"0xdb9adc004e125734!8m2!3d29.7076401!4d-95.4964778!16s%2Fg%2F1jkw0qjn8?entry=ttu&amp;g_ep=EgoyMDI1MDgwNi4wIKXMDSoASAFQAw%3D%3D")</f>
        <v>https://www.google.com/maps/place/BakerRipley+Gulfton+Annex+B/@29.7076447,-95.4990527,17z/data=!4m14!1m7!3m6!1s0x8640c238494488c9:0xdb9adc004e125734!2sBakerRipley+Gulfton+Annex+B!8m2!3d29.7076401!4d-95.4964778!16s%2Fg%2F1jkw0qjn8!3m5!1s0x8640c238494488c9:0xdb9adc004e125734!8m2!3d29.7076401!4d-95.4964778!16s%2Fg%2F1jkw0qjn8?entry=ttu&amp;g_ep=EgoyMDI1MDgwNi4wIKXMDSoASAFQAw%3D%3D</v>
      </c>
      <c r="X84" s="10"/>
      <c r="Y84" s="9" t="str">
        <f>IFERROR(__xludf.DUMMYFUNCTION("""COMPUTED_VALUE"""),"Houston")</f>
        <v>Houston</v>
      </c>
      <c r="Z84" s="9" t="str">
        <f>IFERROR(__xludf.DUMMYFUNCTION("""COMPUTED_VALUE"""),"Braeburn, Robindell, Sharpstown")</f>
        <v>Braeburn, Robindell, Sharpstown</v>
      </c>
      <c r="AA84" s="9" t="str">
        <f>IFERROR(__xludf.DUMMYFUNCTION("""COMPUTED_VALUE"""),"BakerRipley")</f>
        <v>BakerRipley</v>
      </c>
      <c r="AB84" s="9" t="str">
        <f>IFERROR(__xludf.DUMMYFUNCTION("""COMPUTED_VALUE"""),"Sharpstown")</f>
        <v>Sharpstown</v>
      </c>
    </row>
    <row r="85" ht="30.0" customHeight="1">
      <c r="A85" s="17">
        <v>84.0</v>
      </c>
      <c r="B85" s="8" t="str">
        <f>IFERROR(__xludf.DUMMYFUNCTION("""COMPUTED_VALUE"""),"[""99999""]")</f>
        <v>["99999"]</v>
      </c>
      <c r="C85" s="9" t="str">
        <f>IFERROR(__xludf.DUMMYFUNCTION("""COMPUTED_VALUE"""),"BakerRipley Gulfton Sharpstown")</f>
        <v>BakerRipley Gulfton Sharpstown</v>
      </c>
      <c r="D85" s="9" t="str">
        <f>IFERROR(__xludf.DUMMYFUNCTION("""COMPUTED_VALUE"""),"6500 Rookin Street")</f>
        <v>6500 Rookin Street</v>
      </c>
      <c r="E85" s="9"/>
      <c r="F85" s="9" t="str">
        <f>IFERROR(__xludf.DUMMYFUNCTION("""COMPUTED_VALUE"""),"Houston")</f>
        <v>Houston</v>
      </c>
      <c r="G85" s="9" t="str">
        <f>IFERROR(__xludf.DUMMYFUNCTION("""COMPUTED_VALUE"""),"TX")</f>
        <v>TX</v>
      </c>
      <c r="H85" s="9" t="str">
        <f>IFERROR(__xludf.DUMMYFUNCTION("""COMPUTED_VALUE"""),"77074")</f>
        <v>77074</v>
      </c>
      <c r="I85" s="9" t="str">
        <f>IFERROR(__xludf.DUMMYFUNCTION("""COMPUTED_VALUE"""),"713-273-3700")</f>
        <v>713-273-3700</v>
      </c>
      <c r="J85" s="9" t="str">
        <f>IFERROR(__xludf.DUMMYFUNCTION("""COMPUTED_VALUE"""),"29.707854430004762, -95.49641342683749")</f>
        <v>29.707854430004762, -95.49641342683749</v>
      </c>
      <c r="K85" s="9" t="str">
        <f>IFERROR(__xludf.DUMMYFUNCTION("""COMPUTED_VALUE"""),"{""regular"":[{""days"":[""Mo"",""Tu"",""We"",""Th"",""Fr""],""open"":""09:00"",""close"":""18:00""},{""days"":[""Sa"",""Su""],""open"":""09:00"",""close"":""15:00""}]}")</f>
        <v>{"regular":[{"days":["Mo","Tu","We","Th","Fr"],"open":"09:00","close":"18:00"},{"days":["Sa","Su"],"open":"09:00","close":"15:00"}]}</v>
      </c>
      <c r="L85" s="9" t="str">
        <f>IFERROR(__xludf.DUMMYFUNCTION("""COMPUTED_VALUE"""),"Jan 20 thru Apr 15th.  Walk-ins only")</f>
        <v>Jan 20 thru Apr 15th.  Walk-ins only</v>
      </c>
      <c r="M85" s="10">
        <f>IFERROR(__xludf.DUMMYFUNCTION("""COMPUTED_VALUE"""),65.0)</f>
        <v>65</v>
      </c>
      <c r="N85" s="10" t="str">
        <f>IFERROR(__xludf.DUMMYFUNCTION("""COMPUTED_VALUE"""),"Other")</f>
        <v>Other</v>
      </c>
      <c r="O85" s="10">
        <f>IFERROR(__xludf.DUMMYFUNCTION("""COMPUTED_VALUE"""),1.0)</f>
        <v>1</v>
      </c>
      <c r="P85" s="10" t="str">
        <f>IFERROR(__xludf.DUMMYFUNCTION("""COMPUTED_VALUE"""),"ACTIVE")</f>
        <v>ACTIVE</v>
      </c>
      <c r="Q85" s="11">
        <f>IFERROR(__xludf.DUMMYFUNCTION("""COMPUTED_VALUE"""),46033.0)</f>
        <v>46033</v>
      </c>
      <c r="R85" s="9" t="str">
        <f>IFERROR(__xludf.DUMMYFUNCTION("""COMPUTED_VALUE"""),"Verified online")</f>
        <v>Verified online</v>
      </c>
      <c r="S85" s="9" t="str">
        <f>IFERROR(__xludf.DUMMYFUNCTION("""COMPUTED_VALUE"""),"Free income tax preparation assistance.
Must make less than $58,000 per year.
Check website for 18 other locations.")</f>
        <v>Free income tax preparation assistance.
Must make less than $58,000 per year.
Check website for 18 other locations.</v>
      </c>
      <c r="T85" s="12" t="b">
        <f>IFERROR(__xludf.DUMMYFUNCTION("""COMPUTED_VALUE"""),FALSE)</f>
        <v>0</v>
      </c>
      <c r="U85" s="12" t="b">
        <f>IFERROR(__xludf.DUMMYFUNCTION("""COMPUTED_VALUE"""),FALSE)</f>
        <v>0</v>
      </c>
      <c r="V85" s="13" t="str">
        <f>IFERROR(__xludf.DUMMYFUNCTION("""COMPUTED_VALUE"""),"https://bakerripley.org/programs-and-services/tax-assistance/")</f>
        <v>https://bakerripley.org/programs-and-services/tax-assistance/</v>
      </c>
      <c r="W85" s="14" t="str">
        <f>IFERROR(__xludf.DUMMYFUNCTION("""COMPUTED_VALUE"""),"https://www.google.com/maps/place/BakerRipley+Gulfton+Sharpstown+Campus/@29.7076447,-95.4990527,17z/data=!3m1!4b1!4m6!3m5!1s0x8640c238494488c9:0xdb9adc004e125734!8m2!3d29.7076401!4d-95.4964778!16s%2Fg%2F1jkw0qjn8?entry=ttu&amp;g_ep=EgoyMDI1MDcxNi4wIKXMDSoASAF"&amp;"QAw%3D%3D")</f>
        <v>https://www.google.com/maps/place/BakerRipley+Gulfton+Sharpstown+Campus/@29.7076447,-95.4990527,17z/data=!3m1!4b1!4m6!3m5!1s0x8640c238494488c9:0xdb9adc004e125734!8m2!3d29.7076401!4d-95.4964778!16s%2Fg%2F1jkw0qjn8?entry=ttu&amp;g_ep=EgoyMDI1MDcxNi4wIKXMDSoASAFQAw%3D%3D</v>
      </c>
      <c r="X85" s="10"/>
      <c r="Y85" s="9" t="str">
        <f>IFERROR(__xludf.DUMMYFUNCTION("""COMPUTED_VALUE"""),"Houston")</f>
        <v>Houston</v>
      </c>
      <c r="Z85" s="9" t="str">
        <f>IFERROR(__xludf.DUMMYFUNCTION("""COMPUTED_VALUE"""),"Braeburn, Robindell, Sharpstown")</f>
        <v>Braeburn, Robindell, Sharpstown</v>
      </c>
      <c r="AA85" s="9" t="str">
        <f>IFERROR(__xludf.DUMMYFUNCTION("""COMPUTED_VALUE"""),"BakerRipley")</f>
        <v>BakerRipley</v>
      </c>
      <c r="AB85" s="9" t="str">
        <f>IFERROR(__xludf.DUMMYFUNCTION("""COMPUTED_VALUE"""),"Sharpstown")</f>
        <v>Sharpstown</v>
      </c>
    </row>
    <row r="86" ht="30.0" customHeight="1">
      <c r="A86" s="17">
        <v>85.0</v>
      </c>
      <c r="B86" s="8" t="str">
        <f>IFERROR(__xludf.DUMMYFUNCTION("""COMPUTED_VALUE"""),"[""99999""]")</f>
        <v>["99999"]</v>
      </c>
      <c r="C86" s="9" t="str">
        <f>IFERROR(__xludf.DUMMYFUNCTION("""COMPUTED_VALUE"""),"BakerRipley Head Start Albury Drive")</f>
        <v>BakerRipley Head Start Albury Drive</v>
      </c>
      <c r="D86" s="9" t="str">
        <f>IFERROR(__xludf.DUMMYFUNCTION("""COMPUTED_VALUE"""),"11125 Albury Drive")</f>
        <v>11125 Albury Drive</v>
      </c>
      <c r="E86" s="9"/>
      <c r="F86" s="9" t="str">
        <f>IFERROR(__xludf.DUMMYFUNCTION("""COMPUTED_VALUE"""),"Houston")</f>
        <v>Houston</v>
      </c>
      <c r="G86" s="9" t="str">
        <f>IFERROR(__xludf.DUMMYFUNCTION("""COMPUTED_VALUE"""),"TX")</f>
        <v>TX</v>
      </c>
      <c r="H86" s="9" t="str">
        <f>IFERROR(__xludf.DUMMYFUNCTION("""COMPUTED_VALUE"""),"77096")</f>
        <v>77096</v>
      </c>
      <c r="I86" s="9" t="str">
        <f>IFERROR(__xludf.DUMMYFUNCTION("""COMPUTED_VALUE"""),"713-777-8192")</f>
        <v>713-777-8192</v>
      </c>
      <c r="J86" s="9" t="str">
        <f>IFERROR(__xludf.DUMMYFUNCTION("""COMPUTED_VALUE"""),"29.65836619720017, -95.4977857443002")</f>
        <v>29.65836619720017, -95.4977857443002</v>
      </c>
      <c r="K86" s="9" t="str">
        <f>IFERROR(__xludf.DUMMYFUNCTION("""COMPUTED_VALUE"""),"{""regular"":[{""days"":[""Mo"",""Tu"",""We"",""Th"",""Fr""],""open"":""07:00"",""close"":""15:00""}]}")</f>
        <v>{"regular":[{"days":["Mo","Tu","We","Th","Fr"],"open":"07:00","close":"15:00"}]}</v>
      </c>
      <c r="L86" s="9"/>
      <c r="M86" s="10">
        <f>IFERROR(__xludf.DUMMYFUNCTION("""COMPUTED_VALUE"""),44.0)</f>
        <v>44</v>
      </c>
      <c r="N86" s="10" t="str">
        <f>IFERROR(__xludf.DUMMYFUNCTION("""COMPUTED_VALUE"""),"Mother &amp; Child")</f>
        <v>Mother &amp; Child</v>
      </c>
      <c r="O86" s="10">
        <f>IFERROR(__xludf.DUMMYFUNCTION("""COMPUTED_VALUE"""),1.0)</f>
        <v>1</v>
      </c>
      <c r="P86" s="10" t="str">
        <f>IFERROR(__xludf.DUMMYFUNCTION("""COMPUTED_VALUE"""),"ACTIVE")</f>
        <v>ACTIVE</v>
      </c>
      <c r="Q86" s="11">
        <f>IFERROR(__xludf.DUMMYFUNCTION("""COMPUTED_VALUE"""),45859.0)</f>
        <v>45859</v>
      </c>
      <c r="R86" s="9" t="str">
        <f>IFERROR(__xludf.DUMMYFUNCTION("""COMPUTED_VALUE"""),"Verified online")</f>
        <v>Verified online</v>
      </c>
      <c r="S86"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86" s="12" t="b">
        <f>IFERROR(__xludf.DUMMYFUNCTION("""COMPUTED_VALUE"""),TRUE)</f>
        <v>1</v>
      </c>
      <c r="U86" s="12" t="b">
        <f>IFERROR(__xludf.DUMMYFUNCTION("""COMPUTED_VALUE"""),FALSE)</f>
        <v>0</v>
      </c>
      <c r="V86" s="13" t="str">
        <f>IFERROR(__xludf.DUMMYFUNCTION("""COMPUTED_VALUE"""),"https://bakerripley.org/programs-and-services/head-start/")</f>
        <v>https://bakerripley.org/programs-and-services/head-start/</v>
      </c>
      <c r="W86" s="14" t="str">
        <f>IFERROR(__xludf.DUMMYFUNCTION("""COMPUTED_VALUE"""),"https://www.google.com/maps/place/Albury+Head+Start/@29.6581517,-95.502603,17z/data=!3m1!4b1!4m6!3m5!1s0x8640e9e9f4100001:0x483c982a4db5c0ef!8m2!3d29.6581471!4d-95.4977321!16s%2Fg%2F11hy9ntx15?entry=ttu&amp;g_ep=EgoyMDI1MDcxNi4wIKXMDSoASAFQAw%3D%3D")</f>
        <v>https://www.google.com/maps/place/Albury+Head+Start/@29.6581517,-95.502603,17z/data=!3m1!4b1!4m6!3m5!1s0x8640e9e9f4100001:0x483c982a4db5c0ef!8m2!3d29.6581471!4d-95.4977321!16s%2Fg%2F11hy9ntx15?entry=ttu&amp;g_ep=EgoyMDI1MDcxNi4wIKXMDSoASAFQAw%3D%3D</v>
      </c>
      <c r="X86" s="10"/>
      <c r="Y86" s="9" t="str">
        <f>IFERROR(__xludf.DUMMYFUNCTION("""COMPUTED_VALUE"""),"Houston")</f>
        <v>Houston</v>
      </c>
      <c r="Z86" s="9" t="str">
        <f>IFERROR(__xludf.DUMMYFUNCTION("""COMPUTED_VALUE"""),"Brays Oaks, Meyerland, Westbury, Willow Meadows")</f>
        <v>Brays Oaks, Meyerland, Westbury, Willow Meadows</v>
      </c>
      <c r="AA86" s="9" t="str">
        <f>IFERROR(__xludf.DUMMYFUNCTION("""COMPUTED_VALUE"""),"BakerRipley")</f>
        <v>BakerRipley</v>
      </c>
      <c r="AB86" s="9" t="str">
        <f>IFERROR(__xludf.DUMMYFUNCTION("""COMPUTED_VALUE"""),"Westbury")</f>
        <v>Westbury</v>
      </c>
    </row>
    <row r="87" ht="30.0" customHeight="1">
      <c r="A87" s="17">
        <v>86.0</v>
      </c>
      <c r="B87" s="8" t="str">
        <f>IFERROR(__xludf.DUMMYFUNCTION("""COMPUTED_VALUE"""),"[""99999""]")</f>
        <v>["99999"]</v>
      </c>
      <c r="C87" s="9" t="str">
        <f>IFERROR(__xludf.DUMMYFUNCTION("""COMPUTED_VALUE"""),"BakerRipley Head Start Christine Smith")</f>
        <v>BakerRipley Head Start Christine Smith</v>
      </c>
      <c r="D87" s="9" t="str">
        <f>IFERROR(__xludf.DUMMYFUNCTION("""COMPUTED_VALUE"""),"1000 Pultar Road")</f>
        <v>1000 Pultar Road</v>
      </c>
      <c r="E87" s="9"/>
      <c r="F87" s="9" t="str">
        <f>IFERROR(__xludf.DUMMYFUNCTION("""COMPUTED_VALUE"""),"Richmond")</f>
        <v>Richmond</v>
      </c>
      <c r="G87" s="9" t="str">
        <f>IFERROR(__xludf.DUMMYFUNCTION("""COMPUTED_VALUE"""),"TX")</f>
        <v>TX</v>
      </c>
      <c r="H87" s="9" t="str">
        <f>IFERROR(__xludf.DUMMYFUNCTION("""COMPUTED_VALUE"""),"77469")</f>
        <v>77469</v>
      </c>
      <c r="I87" s="9" t="str">
        <f>IFERROR(__xludf.DUMMYFUNCTION("""COMPUTED_VALUE"""),"832-759-5385")</f>
        <v>832-759-5385</v>
      </c>
      <c r="J87" s="9" t="str">
        <f>IFERROR(__xludf.DUMMYFUNCTION("""COMPUTED_VALUE"""),"29.589120818109897, -95.77507571543168")</f>
        <v>29.589120818109897, -95.77507571543168</v>
      </c>
      <c r="K87" s="9" t="str">
        <f>IFERROR(__xludf.DUMMYFUNCTION("""COMPUTED_VALUE"""),"{""regular"":[{""days"":[""Mo"",""Tu"",""We"",""Th"",""Fr""],""open"":""07:00"",""close"":""15:00""}]}")</f>
        <v>{"regular":[{"days":["Mo","Tu","We","Th","Fr"],"open":"07:00","close":"15:00"}]}</v>
      </c>
      <c r="L87" s="9"/>
      <c r="M87" s="10">
        <f>IFERROR(__xludf.DUMMYFUNCTION("""COMPUTED_VALUE"""),44.0)</f>
        <v>44</v>
      </c>
      <c r="N87" s="10" t="str">
        <f>IFERROR(__xludf.DUMMYFUNCTION("""COMPUTED_VALUE"""),"Mother &amp; Child")</f>
        <v>Mother &amp; Child</v>
      </c>
      <c r="O87" s="10">
        <f>IFERROR(__xludf.DUMMYFUNCTION("""COMPUTED_VALUE"""),1.0)</f>
        <v>1</v>
      </c>
      <c r="P87" s="10" t="str">
        <f>IFERROR(__xludf.DUMMYFUNCTION("""COMPUTED_VALUE"""),"ACTIVE")</f>
        <v>ACTIVE</v>
      </c>
      <c r="Q87" s="11">
        <f>IFERROR(__xludf.DUMMYFUNCTION("""COMPUTED_VALUE"""),45859.0)</f>
        <v>45859</v>
      </c>
      <c r="R87" s="9" t="str">
        <f>IFERROR(__xludf.DUMMYFUNCTION("""COMPUTED_VALUE"""),"Verified online")</f>
        <v>Verified online</v>
      </c>
      <c r="S87"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87" s="12" t="b">
        <f>IFERROR(__xludf.DUMMYFUNCTION("""COMPUTED_VALUE"""),TRUE)</f>
        <v>1</v>
      </c>
      <c r="U87" s="12" t="b">
        <f>IFERROR(__xludf.DUMMYFUNCTION("""COMPUTED_VALUE"""),FALSE)</f>
        <v>0</v>
      </c>
      <c r="V87" s="13" t="str">
        <f>IFERROR(__xludf.DUMMYFUNCTION("""COMPUTED_VALUE"""),"https://bakerripley.org/programs-and-services/head-start/")</f>
        <v>https://bakerripley.org/programs-and-services/head-start/</v>
      </c>
      <c r="W87" s="14" t="str">
        <f>IFERROR(__xludf.DUMMYFUNCTION("""COMPUTED_VALUE"""),"https://www.google.com/maps/place/Christine+Smith+Early+Head+Start/@29.5889155,-95.7776077,17z/data=!3m1!4b1!4m6!3m5!1s0x86411e8bcee94025:0x9a8bbf3b6b0ded8d!8m2!3d29.5889109!4d-95.7750328!16s%2Fg%2F1tjdrql0?entry=ttu&amp;g_ep=EgoyMDI1MDcxNi4wIKXMDSoASAFQAw%3D"&amp;"%3D")</f>
        <v>https://www.google.com/maps/place/Christine+Smith+Early+Head+Start/@29.5889155,-95.7776077,17z/data=!3m1!4b1!4m6!3m5!1s0x86411e8bcee94025:0x9a8bbf3b6b0ded8d!8m2!3d29.5889109!4d-95.7750328!16s%2Fg%2F1tjdrql0?entry=ttu&amp;g_ep=EgoyMDI1MDcxNi4wIKXMDSoASAFQAw%3D%3D</v>
      </c>
      <c r="X87" s="10"/>
      <c r="Y87" s="9" t="str">
        <f>IFERROR(__xludf.DUMMYFUNCTION("""COMPUTED_VALUE"""),"Richmond")</f>
        <v>Richmond</v>
      </c>
      <c r="Z87" s="9" t="str">
        <f>IFERROR(__xludf.DUMMYFUNCTION("""COMPUTED_VALUE"""),"Greatwood, Richmond")</f>
        <v>Greatwood, Richmond</v>
      </c>
      <c r="AA87" s="9" t="str">
        <f>IFERROR(__xludf.DUMMYFUNCTION("""COMPUTED_VALUE"""),"BakerRipley")</f>
        <v>BakerRipley</v>
      </c>
      <c r="AB87" s="9" t="str">
        <f>IFERROR(__xludf.DUMMYFUNCTION("""COMPUTED_VALUE"""),"Richmond")</f>
        <v>Richmond</v>
      </c>
    </row>
    <row r="88" ht="30.0" customHeight="1">
      <c r="A88" s="17">
        <v>87.0</v>
      </c>
      <c r="B88" s="8" t="str">
        <f>IFERROR(__xludf.DUMMYFUNCTION("""COMPUTED_VALUE"""),"[""99999""]")</f>
        <v>["99999"]</v>
      </c>
      <c r="C88" s="9" t="str">
        <f>IFERROR(__xludf.DUMMYFUNCTION("""COMPUTED_VALUE"""),"BakerRipley Head Start Cook Road")</f>
        <v>BakerRipley Head Start Cook Road</v>
      </c>
      <c r="D88" s="9" t="str">
        <f>IFERROR(__xludf.DUMMYFUNCTION("""COMPUTED_VALUE"""),"6959 Cook Road")</f>
        <v>6959 Cook Road</v>
      </c>
      <c r="E88" s="9"/>
      <c r="F88" s="9" t="str">
        <f>IFERROR(__xludf.DUMMYFUNCTION("""COMPUTED_VALUE"""),"Houston")</f>
        <v>Houston</v>
      </c>
      <c r="G88" s="9" t="str">
        <f>IFERROR(__xludf.DUMMYFUNCTION("""COMPUTED_VALUE"""),"TX")</f>
        <v>TX</v>
      </c>
      <c r="H88" s="9" t="str">
        <f>IFERROR(__xludf.DUMMYFUNCTION("""COMPUTED_VALUE"""),"77082")</f>
        <v>77082</v>
      </c>
      <c r="I88" s="9" t="str">
        <f>IFERROR(__xludf.DUMMYFUNCTION("""COMPUTED_VALUE"""),"832-351-2794")</f>
        <v>832-351-2794</v>
      </c>
      <c r="J88" s="9" t="str">
        <f>IFERROR(__xludf.DUMMYFUNCTION("""COMPUTED_VALUE"""),"29.701442346247674, -95.59494158007175")</f>
        <v>29.701442346247674, -95.59494158007175</v>
      </c>
      <c r="K88" s="9" t="str">
        <f>IFERROR(__xludf.DUMMYFUNCTION("""COMPUTED_VALUE"""),"{""regular"":[{""days"":[""Mo"",""Tu"",""We"",""Th"",""Fr""],""open"":""07:00"",""close"":""15:00""}]}")</f>
        <v>{"regular":[{"days":["Mo","Tu","We","Th","Fr"],"open":"07:00","close":"15:00"}]}</v>
      </c>
      <c r="L88" s="9"/>
      <c r="M88" s="10">
        <f>IFERROR(__xludf.DUMMYFUNCTION("""COMPUTED_VALUE"""),44.0)</f>
        <v>44</v>
      </c>
      <c r="N88" s="10" t="str">
        <f>IFERROR(__xludf.DUMMYFUNCTION("""COMPUTED_VALUE"""),"Mother &amp; Child")</f>
        <v>Mother &amp; Child</v>
      </c>
      <c r="O88" s="10">
        <f>IFERROR(__xludf.DUMMYFUNCTION("""COMPUTED_VALUE"""),1.0)</f>
        <v>1</v>
      </c>
      <c r="P88" s="10" t="str">
        <f>IFERROR(__xludf.DUMMYFUNCTION("""COMPUTED_VALUE"""),"ACTIVE")</f>
        <v>ACTIVE</v>
      </c>
      <c r="Q88" s="11">
        <f>IFERROR(__xludf.DUMMYFUNCTION("""COMPUTED_VALUE"""),45859.0)</f>
        <v>45859</v>
      </c>
      <c r="R88" s="9" t="str">
        <f>IFERROR(__xludf.DUMMYFUNCTION("""COMPUTED_VALUE"""),"Verified online")</f>
        <v>Verified online</v>
      </c>
      <c r="S88"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88" s="12" t="b">
        <f>IFERROR(__xludf.DUMMYFUNCTION("""COMPUTED_VALUE"""),TRUE)</f>
        <v>1</v>
      </c>
      <c r="U88" s="12" t="b">
        <f>IFERROR(__xludf.DUMMYFUNCTION("""COMPUTED_VALUE"""),FALSE)</f>
        <v>0</v>
      </c>
      <c r="V88" s="13" t="str">
        <f>IFERROR(__xludf.DUMMYFUNCTION("""COMPUTED_VALUE"""),"https://bakerripley.org/programs-and-services/head-start/")</f>
        <v>https://bakerripley.org/programs-and-services/head-start/</v>
      </c>
      <c r="W88" s="14" t="str">
        <f>IFERROR(__xludf.DUMMYFUNCTION("""COMPUTED_VALUE"""),"https://www.google.com/maps/place/Cook+Road+Head+Start+Center/@29.7009903,-95.5977096,17z/data=!3m1!4b1!4m6!3m5!1s0x8640dd0e65d0d1e1:0xa0e155c8254ea668!8m2!3d29.7009857!4d-95.5951347!16s%2Fg%2F1tcxk4h0?entry=ttu&amp;g_ep=EgoyMDI1MDcxNi4wIKXMDSoASAFQAw%3D%3D")</f>
        <v>https://www.google.com/maps/place/Cook+Road+Head+Start+Center/@29.7009903,-95.5977096,17z/data=!3m1!4b1!4m6!3m5!1s0x8640dd0e65d0d1e1:0xa0e155c8254ea668!8m2!3d29.7009857!4d-95.5951347!16s%2Fg%2F1tcxk4h0?entry=ttu&amp;g_ep=EgoyMDI1MDcxNi4wIKXMDSoASAFQAw%3D%3D</v>
      </c>
      <c r="X88" s="10"/>
      <c r="Y88" s="9" t="str">
        <f>IFERROR(__xludf.DUMMYFUNCTION("""COMPUTED_VALUE"""),"Houston")</f>
        <v>Houston</v>
      </c>
      <c r="Z88" s="9" t="str">
        <f>IFERROR(__xludf.DUMMYFUNCTION("""COMPUTED_VALUE"""),"Alief, Eldridge/West Oaks, Westside")</f>
        <v>Alief, Eldridge/West Oaks, Westside</v>
      </c>
      <c r="AA88" s="9" t="str">
        <f>IFERROR(__xludf.DUMMYFUNCTION("""COMPUTED_VALUE"""),"BakerRipley")</f>
        <v>BakerRipley</v>
      </c>
      <c r="AB88" s="9" t="str">
        <f>IFERROR(__xludf.DUMMYFUNCTION("""COMPUTED_VALUE"""),"Alief")</f>
        <v>Alief</v>
      </c>
    </row>
    <row r="89" ht="30.0" customHeight="1">
      <c r="A89" s="17">
        <v>88.0</v>
      </c>
      <c r="B89" s="8" t="str">
        <f>IFERROR(__xludf.DUMMYFUNCTION("""COMPUTED_VALUE"""),"[""99999""]")</f>
        <v>["99999"]</v>
      </c>
      <c r="C89" s="9" t="str">
        <f>IFERROR(__xludf.DUMMYFUNCTION("""COMPUTED_VALUE"""),"BakerRipley Head Start Fifth Street")</f>
        <v>BakerRipley Head Start Fifth Street</v>
      </c>
      <c r="D89" s="9" t="str">
        <f>IFERROR(__xludf.DUMMYFUNCTION("""COMPUTED_VALUE"""),"3110 5th Street A")</f>
        <v>3110 5th Street A</v>
      </c>
      <c r="E89" s="9"/>
      <c r="F89" s="10" t="str">
        <f>IFERROR(__xludf.DUMMYFUNCTION("""COMPUTED_VALUE"""),"Stafford")</f>
        <v>Stafford</v>
      </c>
      <c r="G89" s="9" t="str">
        <f>IFERROR(__xludf.DUMMYFUNCTION("""COMPUTED_VALUE"""),"TX")</f>
        <v>TX</v>
      </c>
      <c r="H89" s="9" t="str">
        <f>IFERROR(__xludf.DUMMYFUNCTION("""COMPUTED_VALUE"""),"77477")</f>
        <v>77477</v>
      </c>
      <c r="I89" s="9" t="str">
        <f>IFERROR(__xludf.DUMMYFUNCTION("""COMPUTED_VALUE"""),"346-229-4609")</f>
        <v>346-229-4609</v>
      </c>
      <c r="J89" s="9" t="str">
        <f>IFERROR(__xludf.DUMMYFUNCTION("""COMPUTED_VALUE"""),"29.599330069282594, -95.55541559433046")</f>
        <v>29.599330069282594, -95.55541559433046</v>
      </c>
      <c r="K89" s="9" t="str">
        <f>IFERROR(__xludf.DUMMYFUNCTION("""COMPUTED_VALUE"""),"{""regular"":[{""days"":[""Mo"",""Tu"",""We"",""Th"",""Fr""],""open"":""07:00"",""close"":""15:00""}]}")</f>
        <v>{"regular":[{"days":["Mo","Tu","We","Th","Fr"],"open":"07:00","close":"15:00"}]}</v>
      </c>
      <c r="L89" s="9"/>
      <c r="M89" s="10">
        <f>IFERROR(__xludf.DUMMYFUNCTION("""COMPUTED_VALUE"""),44.0)</f>
        <v>44</v>
      </c>
      <c r="N89" s="10" t="str">
        <f>IFERROR(__xludf.DUMMYFUNCTION("""COMPUTED_VALUE"""),"Mother &amp; Child")</f>
        <v>Mother &amp; Child</v>
      </c>
      <c r="O89" s="10">
        <f>IFERROR(__xludf.DUMMYFUNCTION("""COMPUTED_VALUE"""),1.0)</f>
        <v>1</v>
      </c>
      <c r="P89" s="10" t="str">
        <f>IFERROR(__xludf.DUMMYFUNCTION("""COMPUTED_VALUE"""),"ACTIVE")</f>
        <v>ACTIVE</v>
      </c>
      <c r="Q89" s="11">
        <f>IFERROR(__xludf.DUMMYFUNCTION("""COMPUTED_VALUE"""),45859.0)</f>
        <v>45859</v>
      </c>
      <c r="R89" s="9" t="str">
        <f>IFERROR(__xludf.DUMMYFUNCTION("""COMPUTED_VALUE"""),"Verified online")</f>
        <v>Verified online</v>
      </c>
      <c r="S89"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89" s="12" t="b">
        <f>IFERROR(__xludf.DUMMYFUNCTION("""COMPUTED_VALUE"""),TRUE)</f>
        <v>1</v>
      </c>
      <c r="U89" s="12" t="b">
        <f>IFERROR(__xludf.DUMMYFUNCTION("""COMPUTED_VALUE"""),FALSE)</f>
        <v>0</v>
      </c>
      <c r="V89" s="13" t="str">
        <f>IFERROR(__xludf.DUMMYFUNCTION("""COMPUTED_VALUE"""),"https://bakerripley.org/programs-and-services/head-start/")</f>
        <v>https://bakerripley.org/programs-and-services/head-start/</v>
      </c>
      <c r="W89" s="14" t="str">
        <f>IFERROR(__xludf.DUMMYFUNCTION("""COMPUTED_VALUE"""),"https://www.google.com/maps/place/8575+Pitner+Rd,+Houston,+TX+77080/@29.8285851,-95.5013535,20z/data=!4m6!3m5!1s0x8640c5b8fb651835:0xb55fd1ecd9e6a24a!8m2!3d29.8285805!4d-95.5010316!16s%2Fg%2F11c43xxb8c?entry=ttu&amp;g_ep=EgoyMDI1MDcxNi4wIKXMDSoASAFQAw%3D%3D")</f>
        <v>https://www.google.com/maps/place/8575+Pitner+Rd,+Houston,+TX+77080/@29.8285851,-95.5013535,20z/data=!4m6!3m5!1s0x8640c5b8fb651835:0xb55fd1ecd9e6a24a!8m2!3d29.8285805!4d-95.5010316!16s%2Fg%2F11c43xxb8c?entry=ttu&amp;g_ep=EgoyMDI1MDcxNi4wIKXMDSoASAFQAw%3D%3D</v>
      </c>
      <c r="X89" s="10"/>
      <c r="Y89" s="9" t="str">
        <f>IFERROR(__xludf.DUMMYFUNCTION("""COMPUTED_VALUE"""),"Stafford")</f>
        <v>Stafford</v>
      </c>
      <c r="Z89" s="9" t="str">
        <f>IFERROR(__xludf.DUMMYFUNCTION("""COMPUTED_VALUE"""),"Clark Plaza One, Corporate Bus Park, Greenbriar Southwest, Stafford, The Fountains")</f>
        <v>Clark Plaza One, Corporate Bus Park, Greenbriar Southwest, Stafford, The Fountains</v>
      </c>
      <c r="AA89" s="9" t="str">
        <f>IFERROR(__xludf.DUMMYFUNCTION("""COMPUTED_VALUE"""),"BakerRipley")</f>
        <v>BakerRipley</v>
      </c>
      <c r="AB89" s="9" t="str">
        <f>IFERROR(__xludf.DUMMYFUNCTION("""COMPUTED_VALUE"""),"Stafford")</f>
        <v>Stafford</v>
      </c>
    </row>
    <row r="90" ht="30.0" customHeight="1">
      <c r="A90" s="17">
        <v>89.0</v>
      </c>
      <c r="B90" s="8" t="str">
        <f>IFERROR(__xludf.DUMMYFUNCTION("""COMPUTED_VALUE"""),"[""99999""]")</f>
        <v>["99999"]</v>
      </c>
      <c r="C90" s="9" t="str">
        <f>IFERROR(__xludf.DUMMYFUNCTION("""COMPUTED_VALUE"""),"BakerRipley Head Start George Family")</f>
        <v>BakerRipley Head Start George Family</v>
      </c>
      <c r="D90" s="9" t="str">
        <f>IFERROR(__xludf.DUMMYFUNCTION("""COMPUTED_VALUE"""),"500 Austin Street")</f>
        <v>500 Austin Street</v>
      </c>
      <c r="E90" s="9"/>
      <c r="F90" s="10" t="str">
        <f>IFERROR(__xludf.DUMMYFUNCTION("""COMPUTED_VALUE"""),"Richmond")</f>
        <v>Richmond</v>
      </c>
      <c r="G90" s="9" t="str">
        <f>IFERROR(__xludf.DUMMYFUNCTION("""COMPUTED_VALUE"""),"TX")</f>
        <v>TX</v>
      </c>
      <c r="H90" s="9" t="str">
        <f>IFERROR(__xludf.DUMMYFUNCTION("""COMPUTED_VALUE"""),"77469")</f>
        <v>77469</v>
      </c>
      <c r="I90" s="9" t="str">
        <f>IFERROR(__xludf.DUMMYFUNCTION("""COMPUTED_VALUE"""),"832-759-5222")</f>
        <v>832-759-5222</v>
      </c>
      <c r="J90" s="9" t="str">
        <f>IFERROR(__xludf.DUMMYFUNCTION("""COMPUTED_VALUE"""),"29.578274832394154, -95.76101012248505")</f>
        <v>29.578274832394154, -95.76101012248505</v>
      </c>
      <c r="K90" s="9" t="str">
        <f>IFERROR(__xludf.DUMMYFUNCTION("""COMPUTED_VALUE"""),"{""regular"":[{""days"":[""Mo"",""Tu"",""We"",""Th"",""Fr""],""open"":""07:00"",""close"":""15:00""}]}")</f>
        <v>{"regular":[{"days":["Mo","Tu","We","Th","Fr"],"open":"07:00","close":"15:00"}]}</v>
      </c>
      <c r="L90" s="9"/>
      <c r="M90" s="10">
        <f>IFERROR(__xludf.DUMMYFUNCTION("""COMPUTED_VALUE"""),44.0)</f>
        <v>44</v>
      </c>
      <c r="N90" s="10" t="str">
        <f>IFERROR(__xludf.DUMMYFUNCTION("""COMPUTED_VALUE"""),"Mother &amp; Child")</f>
        <v>Mother &amp; Child</v>
      </c>
      <c r="O90" s="10">
        <f>IFERROR(__xludf.DUMMYFUNCTION("""COMPUTED_VALUE"""),1.0)</f>
        <v>1</v>
      </c>
      <c r="P90" s="10" t="str">
        <f>IFERROR(__xludf.DUMMYFUNCTION("""COMPUTED_VALUE"""),"ACTIVE")</f>
        <v>ACTIVE</v>
      </c>
      <c r="Q90" s="11">
        <f>IFERROR(__xludf.DUMMYFUNCTION("""COMPUTED_VALUE"""),45859.0)</f>
        <v>45859</v>
      </c>
      <c r="R90" s="9" t="str">
        <f>IFERROR(__xludf.DUMMYFUNCTION("""COMPUTED_VALUE"""),"Verified online")</f>
        <v>Verified online</v>
      </c>
      <c r="S90"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0" s="12" t="b">
        <f>IFERROR(__xludf.DUMMYFUNCTION("""COMPUTED_VALUE"""),TRUE)</f>
        <v>1</v>
      </c>
      <c r="U90" s="12" t="b">
        <f>IFERROR(__xludf.DUMMYFUNCTION("""COMPUTED_VALUE"""),FALSE)</f>
        <v>0</v>
      </c>
      <c r="V90" s="13" t="str">
        <f>IFERROR(__xludf.DUMMYFUNCTION("""COMPUTED_VALUE"""),"https://bakerripley.org/programs-and-services/head-start/")</f>
        <v>https://bakerripley.org/programs-and-services/head-start/</v>
      </c>
      <c r="W90" s="14" t="str">
        <f>IFERROR(__xludf.DUMMYFUNCTION("""COMPUTED_VALUE"""),"https://www.google.com/maps/place/Head+Start+-+George+Family+Development+Center/@29.5781022,-95.7636494,17z/data=!3m1!4b1!4m6!3m5!1s0x86411e70a4572c79:0x5e6f69c45016b56d!8m2!3d29.5780976!4d-95.7610745!16s%2Fg%2F1262c87fr?entry=ttu&amp;g_ep=EgoyMDI1MDcxNi4wIKX"&amp;"MDSoASAFQAw%3D%3D")</f>
        <v>https://www.google.com/maps/place/Head+Start+-+George+Family+Development+Center/@29.5781022,-95.7636494,17z/data=!3m1!4b1!4m6!3m5!1s0x86411e70a4572c79:0x5e6f69c45016b56d!8m2!3d29.5780976!4d-95.7610745!16s%2Fg%2F1262c87fr?entry=ttu&amp;g_ep=EgoyMDI1MDcxNi4wIKXMDSoASAFQAw%3D%3D</v>
      </c>
      <c r="X90" s="10"/>
      <c r="Y90" s="9" t="str">
        <f>IFERROR(__xludf.DUMMYFUNCTION("""COMPUTED_VALUE"""),"Richmond")</f>
        <v>Richmond</v>
      </c>
      <c r="Z90" s="9" t="str">
        <f>IFERROR(__xludf.DUMMYFUNCTION("""COMPUTED_VALUE"""),"Greatwood, Richmond")</f>
        <v>Greatwood, Richmond</v>
      </c>
      <c r="AA90" s="9" t="str">
        <f>IFERROR(__xludf.DUMMYFUNCTION("""COMPUTED_VALUE"""),"BakerRipley")</f>
        <v>BakerRipley</v>
      </c>
      <c r="AB90" s="9" t="str">
        <f>IFERROR(__xludf.DUMMYFUNCTION("""COMPUTED_VALUE"""),"Richmond")</f>
        <v>Richmond</v>
      </c>
    </row>
    <row r="91" ht="30.0" customHeight="1">
      <c r="A91" s="17">
        <v>90.0</v>
      </c>
      <c r="B91" s="8" t="str">
        <f>IFERROR(__xludf.DUMMYFUNCTION("""COMPUTED_VALUE"""),"[""99999""]")</f>
        <v>["99999"]</v>
      </c>
      <c r="C91" s="9" t="str">
        <f>IFERROR(__xludf.DUMMYFUNCTION("""COMPUTED_VALUE"""),"BakerRipley Head Start Hiram Clarke")</f>
        <v>BakerRipley Head Start Hiram Clarke</v>
      </c>
      <c r="D91" s="9" t="str">
        <f>IFERROR(__xludf.DUMMYFUNCTION("""COMPUTED_VALUE"""),"3810 W Fuqua Street")</f>
        <v>3810 W Fuqua Street</v>
      </c>
      <c r="E91" s="9"/>
      <c r="F91" s="9" t="str">
        <f>IFERROR(__xludf.DUMMYFUNCTION("""COMPUTED_VALUE"""),"Houston")</f>
        <v>Houston</v>
      </c>
      <c r="G91" s="9" t="str">
        <f>IFERROR(__xludf.DUMMYFUNCTION("""COMPUTED_VALUE"""),"TX")</f>
        <v>TX</v>
      </c>
      <c r="H91" s="9" t="str">
        <f>IFERROR(__xludf.DUMMYFUNCTION("""COMPUTED_VALUE"""),"77045")</f>
        <v>77045</v>
      </c>
      <c r="I91" s="9" t="str">
        <f>IFERROR(__xludf.DUMMYFUNCTION("""COMPUTED_VALUE"""),"713-491-6178")</f>
        <v>713-491-6178</v>
      </c>
      <c r="J91" s="9" t="str">
        <f>IFERROR(__xludf.DUMMYFUNCTION("""COMPUTED_VALUE"""),"29.614074037423617, -95.4333683014444")</f>
        <v>29.614074037423617, -95.4333683014444</v>
      </c>
      <c r="K91" s="9" t="str">
        <f>IFERROR(__xludf.DUMMYFUNCTION("""COMPUTED_VALUE"""),"{""regular"":[{""days"":[""Mo"",""Tu"",""We"",""Th"",""Fr""],""open"":""07:00"",""close"":""15:00""}]}")</f>
        <v>{"regular":[{"days":["Mo","Tu","We","Th","Fr"],"open":"07:00","close":"15:00"}]}</v>
      </c>
      <c r="L91" s="9"/>
      <c r="M91" s="10">
        <f>IFERROR(__xludf.DUMMYFUNCTION("""COMPUTED_VALUE"""),44.0)</f>
        <v>44</v>
      </c>
      <c r="N91" s="10" t="str">
        <f>IFERROR(__xludf.DUMMYFUNCTION("""COMPUTED_VALUE"""),"Mother &amp; Child")</f>
        <v>Mother &amp; Child</v>
      </c>
      <c r="O91" s="10">
        <f>IFERROR(__xludf.DUMMYFUNCTION("""COMPUTED_VALUE"""),1.0)</f>
        <v>1</v>
      </c>
      <c r="P91" s="10" t="str">
        <f>IFERROR(__xludf.DUMMYFUNCTION("""COMPUTED_VALUE"""),"ACTIVE")</f>
        <v>ACTIVE</v>
      </c>
      <c r="Q91" s="11">
        <f>IFERROR(__xludf.DUMMYFUNCTION("""COMPUTED_VALUE"""),45859.0)</f>
        <v>45859</v>
      </c>
      <c r="R91" s="9" t="str">
        <f>IFERROR(__xludf.DUMMYFUNCTION("""COMPUTED_VALUE"""),"Verified online")</f>
        <v>Verified online</v>
      </c>
      <c r="S91"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1" s="12" t="b">
        <f>IFERROR(__xludf.DUMMYFUNCTION("""COMPUTED_VALUE"""),TRUE)</f>
        <v>1</v>
      </c>
      <c r="U91" s="12" t="b">
        <f>IFERROR(__xludf.DUMMYFUNCTION("""COMPUTED_VALUE"""),FALSE)</f>
        <v>0</v>
      </c>
      <c r="V91" s="13" t="str">
        <f>IFERROR(__xludf.DUMMYFUNCTION("""COMPUTED_VALUE"""),"https://bakerripley.org/programs-and-services/head-start/")</f>
        <v>https://bakerripley.org/programs-and-services/head-start/</v>
      </c>
      <c r="W91" s="14" t="str">
        <f>IFERROR(__xludf.DUMMYFUNCTION("""COMPUTED_VALUE"""),"https://www.google.com/maps/place/Head+Start+-+Hiram+Clarke/@29.6141848,-95.4336097,19z/data=!4m15!1m8!3m7!1s0x8640eb0bd5c250d9:0x9e2bd941cb57211!2s3810+W+Fuqua+St,+Houston,+TX+77045!3b1!8m2!3d29.6141802!4d-95.432966!16s%2Fg%2F11mgpx7vvg!3m5!1s0x8640eb0a2"&amp;"5265bb7:0x5a61b6e2b74a3bb!8m2!3d29.6140174!4d-95.4333801!16s%2Fg%2F1pxwnvhp_?entry=ttu&amp;g_ep=EgoyMDI1MDcxNi4wIKXMDSoASAFQAw%3D%3D")</f>
        <v>https://www.google.com/maps/place/Head+Start+-+Hiram+Clarke/@29.6141848,-95.4336097,19z/data=!4m15!1m8!3m7!1s0x8640eb0bd5c250d9:0x9e2bd941cb57211!2s3810+W+Fuqua+St,+Houston,+TX+77045!3b1!8m2!3d29.6141802!4d-95.432966!16s%2Fg%2F11mgpx7vvg!3m5!1s0x8640eb0a25265bb7:0x5a61b6e2b74a3bb!8m2!3d29.6140174!4d-95.4333801!16s%2Fg%2F1pxwnvhp_?entry=ttu&amp;g_ep=EgoyMDI1MDcxNi4wIKXMDSoASAFQAw%3D%3D</v>
      </c>
      <c r="X91" s="10"/>
      <c r="Y91" s="9" t="str">
        <f>IFERROR(__xludf.DUMMYFUNCTION("""COMPUTED_VALUE"""),"Houston")</f>
        <v>Houston</v>
      </c>
      <c r="Z91" s="9" t="str">
        <f>IFERROR(__xludf.DUMMYFUNCTION("""COMPUTED_VALUE"""),"Brentwood, Central Southwest, Hiram Clarke")</f>
        <v>Brentwood, Central Southwest, Hiram Clarke</v>
      </c>
      <c r="AA91" s="9" t="str">
        <f>IFERROR(__xludf.DUMMYFUNCTION("""COMPUTED_VALUE"""),"BakerRipley")</f>
        <v>BakerRipley</v>
      </c>
      <c r="AB91" s="9" t="str">
        <f>IFERROR(__xludf.DUMMYFUNCTION("""COMPUTED_VALUE"""),"Central Southwest")</f>
        <v>Central Southwest</v>
      </c>
    </row>
    <row r="92" ht="30.0" customHeight="1">
      <c r="A92" s="17">
        <v>91.0</v>
      </c>
      <c r="B92" s="8" t="str">
        <f>IFERROR(__xludf.DUMMYFUNCTION("""COMPUTED_VALUE"""),"[""99999""]")</f>
        <v>["99999"]</v>
      </c>
      <c r="C92" s="9" t="str">
        <f>IFERROR(__xludf.DUMMYFUNCTION("""COMPUTED_VALUE"""),"BakerRipley Head Start Kenforest")</f>
        <v>BakerRipley Head Start Kenforest</v>
      </c>
      <c r="D92" s="9" t="str">
        <f>IFERROR(__xludf.DUMMYFUNCTION("""COMPUTED_VALUE"""),"1535 Kenforest Drive")</f>
        <v>1535 Kenforest Drive</v>
      </c>
      <c r="E92" s="9"/>
      <c r="F92" s="9" t="str">
        <f>IFERROR(__xludf.DUMMYFUNCTION("""COMPUTED_VALUE"""),"Missouri City")</f>
        <v>Missouri City</v>
      </c>
      <c r="G92" s="9" t="str">
        <f>IFERROR(__xludf.DUMMYFUNCTION("""COMPUTED_VALUE"""),"TX")</f>
        <v>TX</v>
      </c>
      <c r="H92" s="9" t="str">
        <f>IFERROR(__xludf.DUMMYFUNCTION("""COMPUTED_VALUE"""),"77489")</f>
        <v>77489</v>
      </c>
      <c r="I92" s="9" t="str">
        <f>IFERROR(__xludf.DUMMYFUNCTION("""COMPUTED_VALUE"""),"832-810-3673")</f>
        <v>832-810-3673</v>
      </c>
      <c r="J92" s="9" t="str">
        <f>IFERROR(__xludf.DUMMYFUNCTION("""COMPUTED_VALUE"""),"29.60432157328024, -95.52603002885515")</f>
        <v>29.60432157328024, -95.52603002885515</v>
      </c>
      <c r="K92" s="9" t="str">
        <f>IFERROR(__xludf.DUMMYFUNCTION("""COMPUTED_VALUE"""),"{""regular"":[{""days"":[""Mo"",""Tu"",""We"",""Th"",""Fr""],""open"":""07:00"",""close"":""15:00""}]}")</f>
        <v>{"regular":[{"days":["Mo","Tu","We","Th","Fr"],"open":"07:00","close":"15:00"}]}</v>
      </c>
      <c r="L92" s="9"/>
      <c r="M92" s="10">
        <f>IFERROR(__xludf.DUMMYFUNCTION("""COMPUTED_VALUE"""),44.0)</f>
        <v>44</v>
      </c>
      <c r="N92" s="10" t="str">
        <f>IFERROR(__xludf.DUMMYFUNCTION("""COMPUTED_VALUE"""),"Mother &amp; Child")</f>
        <v>Mother &amp; Child</v>
      </c>
      <c r="O92" s="10">
        <f>IFERROR(__xludf.DUMMYFUNCTION("""COMPUTED_VALUE"""),1.0)</f>
        <v>1</v>
      </c>
      <c r="P92" s="10" t="str">
        <f>IFERROR(__xludf.DUMMYFUNCTION("""COMPUTED_VALUE"""),"ACTIVE")</f>
        <v>ACTIVE</v>
      </c>
      <c r="Q92" s="11">
        <f>IFERROR(__xludf.DUMMYFUNCTION("""COMPUTED_VALUE"""),45859.0)</f>
        <v>45859</v>
      </c>
      <c r="R92" s="9" t="str">
        <f>IFERROR(__xludf.DUMMYFUNCTION("""COMPUTED_VALUE"""),"Verified online")</f>
        <v>Verified online</v>
      </c>
      <c r="S92"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2" s="12" t="b">
        <f>IFERROR(__xludf.DUMMYFUNCTION("""COMPUTED_VALUE"""),TRUE)</f>
        <v>1</v>
      </c>
      <c r="U92" s="12" t="b">
        <f>IFERROR(__xludf.DUMMYFUNCTION("""COMPUTED_VALUE"""),FALSE)</f>
        <v>0</v>
      </c>
      <c r="V92" s="13" t="str">
        <f>IFERROR(__xludf.DUMMYFUNCTION("""COMPUTED_VALUE"""),"https://bakerripley.org/programs-and-services/head-start/")</f>
        <v>https://bakerripley.org/programs-and-services/head-start/</v>
      </c>
      <c r="W92" s="14" t="str">
        <f>IFERROR(__xludf.DUMMYFUNCTION("""COMPUTED_VALUE"""),"https://www.google.com/maps/place/BakerRipley+Head+Start+-+Kenforest/@29.6041536,-95.5285942,17z/data=!3m1!4b1!4m6!3m5!1s0x8640e9c4e38ffe19:0x75b36a42d92269a1!8m2!3d29.604149!4d-95.5260193!16s%2Fg%2F11x8m8ft8p?entry=ttu&amp;g_ep=EgoyMDI1MDcxNi4wIKXMDSoASAFQAw"&amp;"%3D%3D")</f>
        <v>https://www.google.com/maps/place/BakerRipley+Head+Start+-+Kenforest/@29.6041536,-95.5285942,17z/data=!3m1!4b1!4m6!3m5!1s0x8640e9c4e38ffe19:0x75b36a42d92269a1!8m2!3d29.604149!4d-95.5260193!16s%2Fg%2F11x8m8ft8p?entry=ttu&amp;g_ep=EgoyMDI1MDcxNi4wIKXMDSoASAFQAw%3D%3D</v>
      </c>
      <c r="X92" s="10"/>
      <c r="Y92" s="9" t="str">
        <f>IFERROR(__xludf.DUMMYFUNCTION("""COMPUTED_VALUE"""),"Missouri City")</f>
        <v>Missouri City</v>
      </c>
      <c r="Z92" s="9" t="str">
        <f>IFERROR(__xludf.DUMMYFUNCTION("""COMPUTED_VALUE"""),"Missouri City, Olde Missouri City Market Place, Quail Green South, Quail Valley, Sta-mo Annex")</f>
        <v>Missouri City, Olde Missouri City Market Place, Quail Green South, Quail Valley, Sta-mo Annex</v>
      </c>
      <c r="AA92" s="9" t="str">
        <f>IFERROR(__xludf.DUMMYFUNCTION("""COMPUTED_VALUE"""),"BakerRipley")</f>
        <v>BakerRipley</v>
      </c>
      <c r="AB92" s="9" t="str">
        <f>IFERROR(__xludf.DUMMYFUNCTION("""COMPUTED_VALUE"""),"Missouri City")</f>
        <v>Missouri City</v>
      </c>
    </row>
    <row r="93" ht="30.0" customHeight="1">
      <c r="A93" s="17">
        <v>92.0</v>
      </c>
      <c r="B93" s="8" t="str">
        <f>IFERROR(__xludf.DUMMYFUNCTION("""COMPUTED_VALUE"""),"[""99999""]")</f>
        <v>["99999"]</v>
      </c>
      <c r="C93" s="9" t="str">
        <f>IFERROR(__xludf.DUMMYFUNCTION("""COMPUTED_VALUE"""),"BakerRipley Head Start Kingdom Builder")</f>
        <v>BakerRipley Head Start Kingdom Builder</v>
      </c>
      <c r="D93" s="9" t="str">
        <f>IFERROR(__xludf.DUMMYFUNCTION("""COMPUTED_VALUE"""),"6011 W Orem")</f>
        <v>6011 W Orem</v>
      </c>
      <c r="E93" s="9"/>
      <c r="F93" s="9" t="str">
        <f>IFERROR(__xludf.DUMMYFUNCTION("""COMPUTED_VALUE"""),"Houston")</f>
        <v>Houston</v>
      </c>
      <c r="G93" s="9" t="str">
        <f>IFERROR(__xludf.DUMMYFUNCTION("""COMPUTED_VALUE"""),"TX")</f>
        <v>TX</v>
      </c>
      <c r="H93" s="9" t="str">
        <f>IFERROR(__xludf.DUMMYFUNCTION("""COMPUTED_VALUE"""),"77085")</f>
        <v>77085</v>
      </c>
      <c r="I93" s="9" t="str">
        <f>IFERROR(__xludf.DUMMYFUNCTION("""COMPUTED_VALUE"""),"713-733-2953")</f>
        <v>713-733-2953</v>
      </c>
      <c r="J93" s="9" t="str">
        <f>IFERROR(__xludf.DUMMYFUNCTION("""COMPUTED_VALUE"""),"29.62611907332759, -95.4710697827873")</f>
        <v>29.62611907332759, -95.4710697827873</v>
      </c>
      <c r="K93" s="9" t="str">
        <f>IFERROR(__xludf.DUMMYFUNCTION("""COMPUTED_VALUE"""),"{""regular"":[{""days"":[""Mo"",""Tu"",""We"",""Th"",""Fr""],""open"":""07:00"",""close"":""15:00""}]}")</f>
        <v>{"regular":[{"days":["Mo","Tu","We","Th","Fr"],"open":"07:00","close":"15:00"}]}</v>
      </c>
      <c r="L93" s="9"/>
      <c r="M93" s="10">
        <f>IFERROR(__xludf.DUMMYFUNCTION("""COMPUTED_VALUE"""),44.0)</f>
        <v>44</v>
      </c>
      <c r="N93" s="10" t="str">
        <f>IFERROR(__xludf.DUMMYFUNCTION("""COMPUTED_VALUE"""),"Mother &amp; Child")</f>
        <v>Mother &amp; Child</v>
      </c>
      <c r="O93" s="10">
        <f>IFERROR(__xludf.DUMMYFUNCTION("""COMPUTED_VALUE"""),1.0)</f>
        <v>1</v>
      </c>
      <c r="P93" s="10" t="str">
        <f>IFERROR(__xludf.DUMMYFUNCTION("""COMPUTED_VALUE"""),"ACTIVE")</f>
        <v>ACTIVE</v>
      </c>
      <c r="Q93" s="11">
        <f>IFERROR(__xludf.DUMMYFUNCTION("""COMPUTED_VALUE"""),45859.0)</f>
        <v>45859</v>
      </c>
      <c r="R93" s="9" t="str">
        <f>IFERROR(__xludf.DUMMYFUNCTION("""COMPUTED_VALUE"""),"Verified online")</f>
        <v>Verified online</v>
      </c>
      <c r="S93"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3" s="12" t="b">
        <f>IFERROR(__xludf.DUMMYFUNCTION("""COMPUTED_VALUE"""),TRUE)</f>
        <v>1</v>
      </c>
      <c r="U93" s="12" t="b">
        <f>IFERROR(__xludf.DUMMYFUNCTION("""COMPUTED_VALUE"""),FALSE)</f>
        <v>0</v>
      </c>
      <c r="V93" s="13" t="str">
        <f>IFERROR(__xludf.DUMMYFUNCTION("""COMPUTED_VALUE"""),"https://bakerripley.org/programs-and-services/head-start/")</f>
        <v>https://bakerripley.org/programs-and-services/head-start/</v>
      </c>
      <c r="W93" s="14" t="str">
        <f>IFERROR(__xludf.DUMMYFUNCTION("""COMPUTED_VALUE"""),"https://www.google.com/maps/place/Head+Start-+Kingdom+Builders'+Center/@29.6155841,-95.5086264,15z/data=!4m10!1m2!2m1!1sbakerripley+head+start+kingdom!3m6!1s0x8640eb2b58ddca71:0x2a1436a05aecabb!8m2!3d29.625401!4d-95.4712093!15sCh5iYWtlcnJpcGxleSBoZWFkIHN0"&amp;"YXJ0IGtpbmdkb22SARFoZWFkX3N0YXJ0X2NlbnRlcqoBXxABKhYiEmhlYWQgc3RhcnQga2luZ2RvbSgAMh8QASIbAvUOoj5TeG5nv6UM0_j0lOt4kVoep-M3H2UbMiIQAiIeYmFrZXJyaXBsZXkgaGVhZCBzdGFydCBraW5nZG9t4AEA!16s%2Fg%2F11x6y0kbrp?entry=ttu&amp;g_ep=EgoyMDI1MDcxNi4wIKXMDSoASAFQAw%3D%3D")</f>
        <v>https://www.google.com/maps/place/Head+Start-+Kingdom+Builders'+Center/@29.6155841,-95.5086264,15z/data=!4m10!1m2!2m1!1sbakerripley+head+start+kingdom!3m6!1s0x8640eb2b58ddca71:0x2a1436a05aecabb!8m2!3d29.625401!4d-95.4712093!15sCh5iYWtlcnJpcGxleSBoZWFkIHN0YXJ0IGtpbmdkb22SARFoZWFkX3N0YXJ0X2NlbnRlcqoBXxABKhYiEmhlYWQgc3RhcnQga2luZ2RvbSgAMh8QASIbAvUOoj5TeG5nv6UM0_j0lOt4kVoep-M3H2UbMiIQAiIeYmFrZXJyaXBsZXkgaGVhZCBzdGFydCBraW5nZG9t4AEA!16s%2Fg%2F11x6y0kbrp?entry=ttu&amp;g_ep=EgoyMDI1MDcxNi4wIKXMDSoASAFQAw%3D%3D</v>
      </c>
      <c r="X93" s="10"/>
      <c r="Y93" s="9" t="str">
        <f>IFERROR(__xludf.DUMMYFUNCTION("""COMPUTED_VALUE"""),"Houston")</f>
        <v>Houston</v>
      </c>
      <c r="Z93" s="9" t="str">
        <f>IFERROR(__xludf.DUMMYFUNCTION("""COMPUTED_VALUE"""),"Central Southwest, Fondren Gardens, Hiram Clarke, Willowbend")</f>
        <v>Central Southwest, Fondren Gardens, Hiram Clarke, Willowbend</v>
      </c>
      <c r="AA93" s="9" t="str">
        <f>IFERROR(__xludf.DUMMYFUNCTION("""COMPUTED_VALUE"""),"BakerRipley")</f>
        <v>BakerRipley</v>
      </c>
      <c r="AB93" s="9" t="str">
        <f>IFERROR(__xludf.DUMMYFUNCTION("""COMPUTED_VALUE"""),"Central Southwest")</f>
        <v>Central Southwest</v>
      </c>
    </row>
    <row r="94" ht="30.0" customHeight="1">
      <c r="A94" s="17">
        <v>93.0</v>
      </c>
      <c r="B94" s="8" t="str">
        <f>IFERROR(__xludf.DUMMYFUNCTION("""COMPUTED_VALUE"""),"[""99999""]")</f>
        <v>["99999"]</v>
      </c>
      <c r="C94" s="9" t="str">
        <f>IFERROR(__xludf.DUMMYFUNCTION("""COMPUTED_VALUE"""),"BakerRipley Head Start Klein")</f>
        <v>BakerRipley Head Start Klein</v>
      </c>
      <c r="D94" s="9" t="str">
        <f>IFERROR(__xludf.DUMMYFUNCTION("""COMPUTED_VALUE"""),"6447 Prestwood Drive")</f>
        <v>6447 Prestwood Drive</v>
      </c>
      <c r="E94" s="9"/>
      <c r="F94" s="9" t="str">
        <f>IFERROR(__xludf.DUMMYFUNCTION("""COMPUTED_VALUE"""),"Houston")</f>
        <v>Houston</v>
      </c>
      <c r="G94" s="9" t="str">
        <f>IFERROR(__xludf.DUMMYFUNCTION("""COMPUTED_VALUE"""),"TX")</f>
        <v>TX</v>
      </c>
      <c r="H94" s="9" t="str">
        <f>IFERROR(__xludf.DUMMYFUNCTION("""COMPUTED_VALUE"""),"77081")</f>
        <v>77081</v>
      </c>
      <c r="I94" s="9" t="str">
        <f>IFERROR(__xludf.DUMMYFUNCTION("""COMPUTED_VALUE"""),"713-988-6265")</f>
        <v>713-988-6265</v>
      </c>
      <c r="J94" s="9" t="str">
        <f>IFERROR(__xludf.DUMMYFUNCTION("""COMPUTED_VALUE"""),"29.717414497689596, -95.49502786737565")</f>
        <v>29.717414497689596, -95.49502786737565</v>
      </c>
      <c r="K94" s="9" t="str">
        <f>IFERROR(__xludf.DUMMYFUNCTION("""COMPUTED_VALUE"""),"{""regular"":[{""days"":[""Mo"",""Tu"",""We"",""Th"",""Fr""],""open"":""07:00"",""close"":""15:00""}]}")</f>
        <v>{"regular":[{"days":["Mo","Tu","We","Th","Fr"],"open":"07:00","close":"15:00"}]}</v>
      </c>
      <c r="L94" s="9"/>
      <c r="M94" s="10">
        <f>IFERROR(__xludf.DUMMYFUNCTION("""COMPUTED_VALUE"""),44.0)</f>
        <v>44</v>
      </c>
      <c r="N94" s="10" t="str">
        <f>IFERROR(__xludf.DUMMYFUNCTION("""COMPUTED_VALUE"""),"Mother &amp; Child")</f>
        <v>Mother &amp; Child</v>
      </c>
      <c r="O94" s="10">
        <f>IFERROR(__xludf.DUMMYFUNCTION("""COMPUTED_VALUE"""),1.0)</f>
        <v>1</v>
      </c>
      <c r="P94" s="10" t="str">
        <f>IFERROR(__xludf.DUMMYFUNCTION("""COMPUTED_VALUE"""),"ACTIVE")</f>
        <v>ACTIVE</v>
      </c>
      <c r="Q94" s="11">
        <f>IFERROR(__xludf.DUMMYFUNCTION("""COMPUTED_VALUE"""),45859.0)</f>
        <v>45859</v>
      </c>
      <c r="R94" s="9" t="str">
        <f>IFERROR(__xludf.DUMMYFUNCTION("""COMPUTED_VALUE"""),"Verified online")</f>
        <v>Verified online</v>
      </c>
      <c r="S94"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4" s="12" t="b">
        <f>IFERROR(__xludf.DUMMYFUNCTION("""COMPUTED_VALUE"""),TRUE)</f>
        <v>1</v>
      </c>
      <c r="U94" s="12" t="b">
        <f>IFERROR(__xludf.DUMMYFUNCTION("""COMPUTED_VALUE"""),FALSE)</f>
        <v>0</v>
      </c>
      <c r="V94" s="13" t="str">
        <f>IFERROR(__xludf.DUMMYFUNCTION("""COMPUTED_VALUE"""),"https://bakerripley.org/programs-and-services/head-start/")</f>
        <v>https://bakerripley.org/programs-and-services/head-start/</v>
      </c>
      <c r="W94" s="14" t="str">
        <f>IFERROR(__xludf.DUMMYFUNCTION("""COMPUTED_VALUE"""),"https://www.google.com/maps/place/Klein+Early+Head+Start%2FHead+Start/@29.7173682,-95.4951888,21z/data=!4m15!1m8!3m7!1s0x8640c23441127843:0x92ee027a0a25da88!2s6447+Prestwood+Dr,+Houston,+TX+77081!3b1!8m2!3d29.7173636!4d-95.4950279!16s%2Fg%2F11b8v5k9by!3m5"&amp;"!1s0x8640c23441c06825:0x3e3cde99b3f97dc!8m2!3d29.7174035!4d-95.4950293!16s%2Fg%2F1tqcllqj?entry=ttu&amp;g_ep=EgoyMDI1MDcxNi4wIKXMDSoASAFQAw%3D%3D")</f>
        <v>https://www.google.com/maps/place/Klein+Early+Head+Start%2FHead+Start/@29.7173682,-95.4951888,21z/data=!4m15!1m8!3m7!1s0x8640c23441127843:0x92ee027a0a25da88!2s6447+Prestwood+Dr,+Houston,+TX+77081!3b1!8m2!3d29.7173636!4d-95.4950279!16s%2Fg%2F11b8v5k9by!3m5!1s0x8640c23441c06825:0x3e3cde99b3f97dc!8m2!3d29.7174035!4d-95.4950293!16s%2Fg%2F1tqcllqj?entry=ttu&amp;g_ep=EgoyMDI1MDcxNi4wIKXMDSoASAFQAw%3D%3D</v>
      </c>
      <c r="X94" s="10"/>
      <c r="Y94" s="9" t="str">
        <f>IFERROR(__xludf.DUMMYFUNCTION("""COMPUTED_VALUE"""),"Houston")</f>
        <v>Houston</v>
      </c>
      <c r="Z94" s="9" t="str">
        <f>IFERROR(__xludf.DUMMYFUNCTION("""COMPUTED_VALUE"""),"Gulfton")</f>
        <v>Gulfton</v>
      </c>
      <c r="AA94" s="9" t="str">
        <f>IFERROR(__xludf.DUMMYFUNCTION("""COMPUTED_VALUE"""),"BakerRipley")</f>
        <v>BakerRipley</v>
      </c>
      <c r="AB94" s="9" t="str">
        <f>IFERROR(__xludf.DUMMYFUNCTION("""COMPUTED_VALUE"""),"Gulfton")</f>
        <v>Gulfton</v>
      </c>
    </row>
    <row r="95" ht="30.0" customHeight="1">
      <c r="A95" s="17">
        <v>94.0</v>
      </c>
      <c r="B95" s="8" t="str">
        <f>IFERROR(__xludf.DUMMYFUNCTION("""COMPUTED_VALUE"""),"[""99999""]")</f>
        <v>["99999"]</v>
      </c>
      <c r="C95" s="9" t="str">
        <f>IFERROR(__xludf.DUMMYFUNCTION("""COMPUTED_VALUE"""),"BakerRipley Head Start Missouri City")</f>
        <v>BakerRipley Head Start Missouri City</v>
      </c>
      <c r="D95" s="9" t="str">
        <f>IFERROR(__xludf.DUMMYFUNCTION("""COMPUTED_VALUE"""),"1424 FM 1092")</f>
        <v>1424 FM 1092</v>
      </c>
      <c r="E95" s="9"/>
      <c r="F95" s="9" t="str">
        <f>IFERROR(__xludf.DUMMYFUNCTION("""COMPUTED_VALUE"""),"Missouri City")</f>
        <v>Missouri City</v>
      </c>
      <c r="G95" s="9" t="str">
        <f>IFERROR(__xludf.DUMMYFUNCTION("""COMPUTED_VALUE"""),"TX")</f>
        <v>TX</v>
      </c>
      <c r="H95" s="9" t="str">
        <f>IFERROR(__xludf.DUMMYFUNCTION("""COMPUTED_VALUE"""),"77459")</f>
        <v>77459</v>
      </c>
      <c r="I95" s="9" t="str">
        <f>IFERROR(__xludf.DUMMYFUNCTION("""COMPUTED_VALUE"""),"346--585-8001")</f>
        <v>346--585-8001</v>
      </c>
      <c r="J95" s="9" t="str">
        <f>IFERROR(__xludf.DUMMYFUNCTION("""COMPUTED_VALUE"""),"29.598986108452095, -95.56489988046107")</f>
        <v>29.598986108452095, -95.56489988046107</v>
      </c>
      <c r="K95" s="9" t="str">
        <f>IFERROR(__xludf.DUMMYFUNCTION("""COMPUTED_VALUE"""),"{""regular"":[{""days"":[""Mo"",""Tu"",""We"",""Th"",""Fr""],""open"":""07:00"",""close"":""15:00""}]}")</f>
        <v>{"regular":[{"days":["Mo","Tu","We","Th","Fr"],"open":"07:00","close":"15:00"}]}</v>
      </c>
      <c r="L95" s="9"/>
      <c r="M95" s="10">
        <f>IFERROR(__xludf.DUMMYFUNCTION("""COMPUTED_VALUE"""),44.0)</f>
        <v>44</v>
      </c>
      <c r="N95" s="10" t="str">
        <f>IFERROR(__xludf.DUMMYFUNCTION("""COMPUTED_VALUE"""),"Mother &amp; Child")</f>
        <v>Mother &amp; Child</v>
      </c>
      <c r="O95" s="10">
        <f>IFERROR(__xludf.DUMMYFUNCTION("""COMPUTED_VALUE"""),1.0)</f>
        <v>1</v>
      </c>
      <c r="P95" s="10" t="str">
        <f>IFERROR(__xludf.DUMMYFUNCTION("""COMPUTED_VALUE"""),"ACTIVE")</f>
        <v>ACTIVE</v>
      </c>
      <c r="Q95" s="11">
        <f>IFERROR(__xludf.DUMMYFUNCTION("""COMPUTED_VALUE"""),45859.0)</f>
        <v>45859</v>
      </c>
      <c r="R95" s="9" t="str">
        <f>IFERROR(__xludf.DUMMYFUNCTION("""COMPUTED_VALUE"""),"Verified online")</f>
        <v>Verified online</v>
      </c>
      <c r="S95"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5" s="12" t="b">
        <f>IFERROR(__xludf.DUMMYFUNCTION("""COMPUTED_VALUE"""),TRUE)</f>
        <v>1</v>
      </c>
      <c r="U95" s="12" t="b">
        <f>IFERROR(__xludf.DUMMYFUNCTION("""COMPUTED_VALUE"""),FALSE)</f>
        <v>0</v>
      </c>
      <c r="V95" s="13" t="str">
        <f>IFERROR(__xludf.DUMMYFUNCTION("""COMPUTED_VALUE"""),"https://bakerripley.org/programs-and-services/head-start/")</f>
        <v>https://bakerripley.org/programs-and-services/head-start/</v>
      </c>
      <c r="W95" s="14" t="str">
        <f>IFERROR(__xludf.DUMMYFUNCTION("""COMPUTED_VALUE"""),"https://www.google.com/maps/place/1424+FM+1092+Rd,+Missouri+City,+TX+77459/@29.5989383,-95.5655302,19z/data=!4m6!3m5!1s0x8640e61ef253d823:0x321bca4a29430758!8m2!3d29.5989337!4d-95.5648865!16s%2Fg%2F11bw41rwrk?entry=ttu&amp;g_ep=EgoyMDI1MDcxNi4wIKXMDSoASAFQAw%"&amp;"3D%3D")</f>
        <v>https://www.google.com/maps/place/1424+FM+1092+Rd,+Missouri+City,+TX+77459/@29.5989383,-95.5655302,19z/data=!4m6!3m5!1s0x8640e61ef253d823:0x321bca4a29430758!8m2!3d29.5989337!4d-95.5648865!16s%2Fg%2F11bw41rwrk?entry=ttu&amp;g_ep=EgoyMDI1MDcxNi4wIKXMDSoASAFQAw%3D%3D</v>
      </c>
      <c r="X95" s="10"/>
      <c r="Y95" s="9" t="str">
        <f>IFERROR(__xludf.DUMMYFUNCTION("""COMPUTED_VALUE"""),"Missouri City")</f>
        <v>Missouri City</v>
      </c>
      <c r="Z95" s="9" t="str">
        <f>IFERROR(__xludf.DUMMYFUNCTION("""COMPUTED_VALUE"""),"Missouri City, Plantation Park, Sienna")</f>
        <v>Missouri City, Plantation Park, Sienna</v>
      </c>
      <c r="AA95" s="9" t="str">
        <f>IFERROR(__xludf.DUMMYFUNCTION("""COMPUTED_VALUE"""),"BakerRipley")</f>
        <v>BakerRipley</v>
      </c>
      <c r="AB95" s="9" t="str">
        <f>IFERROR(__xludf.DUMMYFUNCTION("""COMPUTED_VALUE"""),"Missouri City")</f>
        <v>Missouri City</v>
      </c>
    </row>
    <row r="96" ht="30.0" customHeight="1">
      <c r="A96" s="17">
        <v>95.0</v>
      </c>
      <c r="B96" s="8" t="str">
        <f>IFERROR(__xludf.DUMMYFUNCTION("""COMPUTED_VALUE"""),"[""99999""]")</f>
        <v>["99999"]</v>
      </c>
      <c r="C96" s="9" t="str">
        <f>IFERROR(__xludf.DUMMYFUNCTION("""COMPUTED_VALUE"""),"BakerRipley Head Start Neff")</f>
        <v>BakerRipley Head Start Neff</v>
      </c>
      <c r="D96" s="9" t="str">
        <f>IFERROR(__xludf.DUMMYFUNCTION("""COMPUTED_VALUE"""),"8200 Carvel Lane")</f>
        <v>8200 Carvel Lane</v>
      </c>
      <c r="E96" s="9"/>
      <c r="F96" s="9" t="str">
        <f>IFERROR(__xludf.DUMMYFUNCTION("""COMPUTED_VALUE"""),"Houston")</f>
        <v>Houston</v>
      </c>
      <c r="G96" s="9" t="str">
        <f>IFERROR(__xludf.DUMMYFUNCTION("""COMPUTED_VALUE"""),"TX")</f>
        <v>TX</v>
      </c>
      <c r="H96" s="9" t="str">
        <f>IFERROR(__xludf.DUMMYFUNCTION("""COMPUTED_VALUE"""),"77036")</f>
        <v>77036</v>
      </c>
      <c r="I96" s="9" t="str">
        <f>IFERROR(__xludf.DUMMYFUNCTION("""COMPUTED_VALUE"""),"713-778-6720")</f>
        <v>713-778-6720</v>
      </c>
      <c r="J96" s="9" t="str">
        <f>IFERROR(__xludf.DUMMYFUNCTION("""COMPUTED_VALUE"""),"29.69825387545011, -95.52935340460921")</f>
        <v>29.69825387545011, -95.52935340460921</v>
      </c>
      <c r="K96" s="9" t="str">
        <f>IFERROR(__xludf.DUMMYFUNCTION("""COMPUTED_VALUE"""),"{""regular"":[{""days"":[""Mo"",""Tu"",""We"",""Th"",""Fr""],""open"":""07:00"",""close"":""15:00""}]}")</f>
        <v>{"regular":[{"days":["Mo","Tu","We","Th","Fr"],"open":"07:00","close":"15:00"}]}</v>
      </c>
      <c r="L96" s="9"/>
      <c r="M96" s="10">
        <f>IFERROR(__xludf.DUMMYFUNCTION("""COMPUTED_VALUE"""),44.0)</f>
        <v>44</v>
      </c>
      <c r="N96" s="10" t="str">
        <f>IFERROR(__xludf.DUMMYFUNCTION("""COMPUTED_VALUE"""),"Mother &amp; Child")</f>
        <v>Mother &amp; Child</v>
      </c>
      <c r="O96" s="10">
        <f>IFERROR(__xludf.DUMMYFUNCTION("""COMPUTED_VALUE"""),1.0)</f>
        <v>1</v>
      </c>
      <c r="P96" s="10" t="str">
        <f>IFERROR(__xludf.DUMMYFUNCTION("""COMPUTED_VALUE"""),"ACTIVE")</f>
        <v>ACTIVE</v>
      </c>
      <c r="Q96" s="11">
        <f>IFERROR(__xludf.DUMMYFUNCTION("""COMPUTED_VALUE"""),45859.0)</f>
        <v>45859</v>
      </c>
      <c r="R96" s="9" t="str">
        <f>IFERROR(__xludf.DUMMYFUNCTION("""COMPUTED_VALUE"""),"Verified online")</f>
        <v>Verified online</v>
      </c>
      <c r="S96"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6" s="12" t="b">
        <f>IFERROR(__xludf.DUMMYFUNCTION("""COMPUTED_VALUE"""),TRUE)</f>
        <v>1</v>
      </c>
      <c r="U96" s="12" t="b">
        <f>IFERROR(__xludf.DUMMYFUNCTION("""COMPUTED_VALUE"""),FALSE)</f>
        <v>0</v>
      </c>
      <c r="V96" s="13" t="str">
        <f>IFERROR(__xludf.DUMMYFUNCTION("""COMPUTED_VALUE"""),"https://bakerripley.org/programs-and-services/head-start/")</f>
        <v>https://bakerripley.org/programs-and-services/head-start/</v>
      </c>
      <c r="W96" s="14" t="str">
        <f>IFERROR(__xludf.DUMMYFUNCTION("""COMPUTED_VALUE"""),"https://www.google.com/maps/place/Neff+Early+Learning+Center/@29.6976527,-95.5317781,17z/data=!3m1!4b1!4m6!3m5!1s0x8640c2f2b75a3d07:0x74e590993aba83e4!8m2!3d29.6976481!4d-95.5292032!16s%2Fg%2F11g6nkgvdf?entry=ttu&amp;g_ep=EgoyMDI1MDcxNi4wIKXMDSoASAFQAw%3D%3D")</f>
        <v>https://www.google.com/maps/place/Neff+Early+Learning+Center/@29.6976527,-95.5317781,17z/data=!3m1!4b1!4m6!3m5!1s0x8640c2f2b75a3d07:0x74e590993aba83e4!8m2!3d29.6976481!4d-95.5292032!16s%2Fg%2F11g6nkgvdf?entry=ttu&amp;g_ep=EgoyMDI1MDcxNi4wIKXMDSoASAFQAw%3D%3D</v>
      </c>
      <c r="X96" s="10"/>
      <c r="Y96" s="9" t="str">
        <f>IFERROR(__xludf.DUMMYFUNCTION("""COMPUTED_VALUE"""),"Houston")</f>
        <v>Houston</v>
      </c>
      <c r="Z96" s="9" t="str">
        <f>IFERROR(__xludf.DUMMYFUNCTION("""COMPUTED_VALUE"""),"Chinatown, Sharpstown, Westside")</f>
        <v>Chinatown, Sharpstown, Westside</v>
      </c>
      <c r="AA96" s="9" t="str">
        <f>IFERROR(__xludf.DUMMYFUNCTION("""COMPUTED_VALUE"""),"BakerRipley")</f>
        <v>BakerRipley</v>
      </c>
      <c r="AB96" s="9" t="str">
        <f>IFERROR(__xludf.DUMMYFUNCTION("""COMPUTED_VALUE"""),"Sharpstown")</f>
        <v>Sharpstown</v>
      </c>
    </row>
    <row r="97" ht="30.0" customHeight="1">
      <c r="A97" s="17">
        <v>96.0</v>
      </c>
      <c r="B97" s="8" t="str">
        <f>IFERROR(__xludf.DUMMYFUNCTION("""COMPUTED_VALUE"""),"[""99999""]")</f>
        <v>["99999"]</v>
      </c>
      <c r="C97" s="9" t="str">
        <f>IFERROR(__xludf.DUMMYFUNCTION("""COMPUTED_VALUE"""),"BakerRipley Head Start Pitner Road")</f>
        <v>BakerRipley Head Start Pitner Road</v>
      </c>
      <c r="D97" s="9" t="str">
        <f>IFERROR(__xludf.DUMMYFUNCTION("""COMPUTED_VALUE"""),"8575 Pitner Road")</f>
        <v>8575 Pitner Road</v>
      </c>
      <c r="E97" s="9" t="str">
        <f>IFERROR(__xludf.DUMMYFUNCTION("""COMPUTED_VALUE"""),"Building 1")</f>
        <v>Building 1</v>
      </c>
      <c r="F97" s="9" t="str">
        <f>IFERROR(__xludf.DUMMYFUNCTION("""COMPUTED_VALUE"""),"Houston")</f>
        <v>Houston</v>
      </c>
      <c r="G97" s="9" t="str">
        <f>IFERROR(__xludf.DUMMYFUNCTION("""COMPUTED_VALUE"""),"TX")</f>
        <v>TX</v>
      </c>
      <c r="H97" s="9" t="str">
        <f>IFERROR(__xludf.DUMMYFUNCTION("""COMPUTED_VALUE"""),"77080")</f>
        <v>77080</v>
      </c>
      <c r="I97" s="9" t="str">
        <f>IFERROR(__xludf.DUMMYFUNCTION("""COMPUTED_VALUE"""),"713-779-4856")</f>
        <v>713-779-4856</v>
      </c>
      <c r="J97" s="9" t="str">
        <f>IFERROR(__xludf.DUMMYFUNCTION("""COMPUTED_VALUE"""),"29.828610113385803, -95.50103029369966")</f>
        <v>29.828610113385803, -95.50103029369966</v>
      </c>
      <c r="K97" s="9" t="str">
        <f>IFERROR(__xludf.DUMMYFUNCTION("""COMPUTED_VALUE"""),"{""regular"":[{""days"":[""Mo"",""Tu"",""We"",""Th"",""Fr""],""open"":""07:00"",""close"":""15:00""}]}")</f>
        <v>{"regular":[{"days":["Mo","Tu","We","Th","Fr"],"open":"07:00","close":"15:00"}]}</v>
      </c>
      <c r="L97" s="9"/>
      <c r="M97" s="10">
        <f>IFERROR(__xludf.DUMMYFUNCTION("""COMPUTED_VALUE"""),44.0)</f>
        <v>44</v>
      </c>
      <c r="N97" s="10" t="str">
        <f>IFERROR(__xludf.DUMMYFUNCTION("""COMPUTED_VALUE"""),"Mother &amp; Child")</f>
        <v>Mother &amp; Child</v>
      </c>
      <c r="O97" s="10">
        <f>IFERROR(__xludf.DUMMYFUNCTION("""COMPUTED_VALUE"""),1.0)</f>
        <v>1</v>
      </c>
      <c r="P97" s="10" t="str">
        <f>IFERROR(__xludf.DUMMYFUNCTION("""COMPUTED_VALUE"""),"ACTIVE")</f>
        <v>ACTIVE</v>
      </c>
      <c r="Q97" s="11">
        <f>IFERROR(__xludf.DUMMYFUNCTION("""COMPUTED_VALUE"""),45859.0)</f>
        <v>45859</v>
      </c>
      <c r="R97" s="9" t="str">
        <f>IFERROR(__xludf.DUMMYFUNCTION("""COMPUTED_VALUE"""),"Verified online")</f>
        <v>Verified online</v>
      </c>
      <c r="S97"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7" s="12" t="b">
        <f>IFERROR(__xludf.DUMMYFUNCTION("""COMPUTED_VALUE"""),TRUE)</f>
        <v>1</v>
      </c>
      <c r="U97" s="12" t="b">
        <f>IFERROR(__xludf.DUMMYFUNCTION("""COMPUTED_VALUE"""),FALSE)</f>
        <v>0</v>
      </c>
      <c r="V97" s="13" t="str">
        <f>IFERROR(__xludf.DUMMYFUNCTION("""COMPUTED_VALUE"""),"https://bakerripley.org/programs-and-services/head-start/")</f>
        <v>https://bakerripley.org/programs-and-services/head-start/</v>
      </c>
      <c r="W97" s="14" t="str">
        <f>IFERROR(__xludf.DUMMYFUNCTION("""COMPUTED_VALUE"""),"https://www.google.com/maps/place/8575+Pitner+Rd,+Houston,+TX+77080/@29.8285851,-95.5013535,20z/data=!4m6!3m5!1s0x8640c5b8fb651835:0xb55fd1ecd9e6a24a!8m2!3d29.8285805!4d-95.5010316!16s%2Fg%2F11c43xxb8c?entry=ttu&amp;g_ep=EgoyMDI1MDcxNi4wIKXMDSoASAFQAw%3D%3D")</f>
        <v>https://www.google.com/maps/place/8575+Pitner+Rd,+Houston,+TX+77080/@29.8285851,-95.5013535,20z/data=!4m6!3m5!1s0x8640c5b8fb651835:0xb55fd1ecd9e6a24a!8m2!3d29.8285805!4d-95.5010316!16s%2Fg%2F11c43xxb8c?entry=ttu&amp;g_ep=EgoyMDI1MDcxNi4wIKXMDSoASAFQAw%3D%3D</v>
      </c>
      <c r="X97" s="10"/>
      <c r="Y97" s="9" t="str">
        <f>IFERROR(__xludf.DUMMYFUNCTION("""COMPUTED_VALUE"""),"Houston")</f>
        <v>Houston</v>
      </c>
      <c r="Z97" s="9" t="str">
        <f>IFERROR(__xludf.DUMMYFUNCTION("""COMPUTED_VALUE"""),"Northwest Houston, Spring Branch Central")</f>
        <v>Northwest Houston, Spring Branch Central</v>
      </c>
      <c r="AA97" s="9" t="str">
        <f>IFERROR(__xludf.DUMMYFUNCTION("""COMPUTED_VALUE"""),"BakerRipley")</f>
        <v>BakerRipley</v>
      </c>
      <c r="AB97" s="9" t="str">
        <f>IFERROR(__xludf.DUMMYFUNCTION("""COMPUTED_VALUE"""),"Spring Branch Central")</f>
        <v>Spring Branch Central</v>
      </c>
    </row>
    <row r="98" ht="30.0" customHeight="1">
      <c r="A98" s="17">
        <v>97.0</v>
      </c>
      <c r="B98" s="8" t="str">
        <f>IFERROR(__xludf.DUMMYFUNCTION("""COMPUTED_VALUE"""),"[""99999""]")</f>
        <v>["99999"]</v>
      </c>
      <c r="C98" s="9" t="str">
        <f>IFERROR(__xludf.DUMMYFUNCTION("""COMPUTED_VALUE"""),"BakerRipley Head Start Regency")</f>
        <v>BakerRipley Head Start Regency</v>
      </c>
      <c r="D98" s="9" t="str">
        <f>IFERROR(__xludf.DUMMYFUNCTION("""COMPUTED_VALUE"""),"7207 Regency Square Blvd")</f>
        <v>7207 Regency Square Blvd</v>
      </c>
      <c r="E98" s="9"/>
      <c r="F98" s="10" t="str">
        <f>IFERROR(__xludf.DUMMYFUNCTION("""COMPUTED_VALUE"""),"Houston")</f>
        <v>Houston</v>
      </c>
      <c r="G98" s="9" t="str">
        <f>IFERROR(__xludf.DUMMYFUNCTION("""COMPUTED_VALUE"""),"TX")</f>
        <v>TX</v>
      </c>
      <c r="H98" s="9" t="str">
        <f>IFERROR(__xludf.DUMMYFUNCTION("""COMPUTED_VALUE"""),"77036")</f>
        <v>77036</v>
      </c>
      <c r="I98" s="9" t="str">
        <f>IFERROR(__xludf.DUMMYFUNCTION("""COMPUTED_VALUE"""),"346-867-3638")</f>
        <v>346-867-3638</v>
      </c>
      <c r="J98" s="9" t="str">
        <f>IFERROR(__xludf.DUMMYFUNCTION("""COMPUTED_VALUE"""),"29.715666917716927, -95.50945774665006")</f>
        <v>29.715666917716927, -95.50945774665006</v>
      </c>
      <c r="K98" s="9" t="str">
        <f>IFERROR(__xludf.DUMMYFUNCTION("""COMPUTED_VALUE"""),"{""regular"":[{""days"":[""Mo"",""Tu"",""We"",""Th"",""Fr""],""open"":""07:00"",""close"":""15:00""}]}")</f>
        <v>{"regular":[{"days":["Mo","Tu","We","Th","Fr"],"open":"07:00","close":"15:00"}]}</v>
      </c>
      <c r="L98" s="9"/>
      <c r="M98" s="10">
        <f>IFERROR(__xludf.DUMMYFUNCTION("""COMPUTED_VALUE"""),44.0)</f>
        <v>44</v>
      </c>
      <c r="N98" s="10" t="str">
        <f>IFERROR(__xludf.DUMMYFUNCTION("""COMPUTED_VALUE"""),"Mother &amp; Child")</f>
        <v>Mother &amp; Child</v>
      </c>
      <c r="O98" s="10">
        <f>IFERROR(__xludf.DUMMYFUNCTION("""COMPUTED_VALUE"""),1.0)</f>
        <v>1</v>
      </c>
      <c r="P98" s="10" t="str">
        <f>IFERROR(__xludf.DUMMYFUNCTION("""COMPUTED_VALUE"""),"ACTIVE")</f>
        <v>ACTIVE</v>
      </c>
      <c r="Q98" s="11">
        <f>IFERROR(__xludf.DUMMYFUNCTION("""COMPUTED_VALUE"""),45859.0)</f>
        <v>45859</v>
      </c>
      <c r="R98" s="9" t="str">
        <f>IFERROR(__xludf.DUMMYFUNCTION("""COMPUTED_VALUE"""),"Verified online")</f>
        <v>Verified online</v>
      </c>
      <c r="S98" s="9" t="str">
        <f>IFERROR(__xludf.DUMMYFUNCTION("""COMPUTED_VALUE"""),"Childcare
Free, federally funded program covering children from birth to age five.
Must meet income eligibility requirements.
Also has a list of low-cost spay/neuter clinics.")</f>
        <v>Childcare
Free, federally funded program covering children from birth to age five.
Must meet income eligibility requirements.
Also has a list of low-cost spay/neuter clinics.</v>
      </c>
      <c r="T98" s="12" t="b">
        <f>IFERROR(__xludf.DUMMYFUNCTION("""COMPUTED_VALUE"""),TRUE)</f>
        <v>1</v>
      </c>
      <c r="U98" s="12" t="b">
        <f>IFERROR(__xludf.DUMMYFUNCTION("""COMPUTED_VALUE"""),FALSE)</f>
        <v>0</v>
      </c>
      <c r="V98" s="13" t="str">
        <f>IFERROR(__xludf.DUMMYFUNCTION("""COMPUTED_VALUE"""),"https://bakerripley.org/programs-and-services/head-start/")</f>
        <v>https://bakerripley.org/programs-and-services/head-start/</v>
      </c>
      <c r="W98" s="14" t="str">
        <f>IFERROR(__xludf.DUMMYFUNCTION("""COMPUTED_VALUE"""),"https://www.google.com/maps/place/Regency+Square+Early+Head+Start%2FHead+Start%2FHome+Based/@29.7151963,-95.5119039,17z/data=!3m2!4b1!5s0x8640c25200698aab:0x96e1b52a042a82d!4m6!3m5!1s0x8640c238316c3b35:0x3721a8c9292a221!8m2!3d29.7151917!4d-95.509329!16s%2"&amp;"Fm%2F076jbnn?entry=ttu&amp;g_ep=EgoyMDI1MDcxNi4wIKXMDSoASAFQAw%3D%3D")</f>
        <v>https://www.google.com/maps/place/Regency+Square+Early+Head+Start%2FHead+Start%2FHome+Based/@29.7151963,-95.5119039,17z/data=!3m2!4b1!5s0x8640c25200698aab:0x96e1b52a042a82d!4m6!3m5!1s0x8640c238316c3b35:0x3721a8c9292a221!8m2!3d29.7151917!4d-95.509329!16s%2Fm%2F076jbnn?entry=ttu&amp;g_ep=EgoyMDI1MDcxNi4wIKXMDSoASAFQAw%3D%3D</v>
      </c>
      <c r="X98" s="10"/>
      <c r="Y98" s="9" t="str">
        <f>IFERROR(__xludf.DUMMYFUNCTION("""COMPUTED_VALUE"""),"Houston")</f>
        <v>Houston</v>
      </c>
      <c r="Z98" s="9" t="str">
        <f>IFERROR(__xludf.DUMMYFUNCTION("""COMPUTED_VALUE"""),"Chinatown, Sharpstown, Westside")</f>
        <v>Chinatown, Sharpstown, Westside</v>
      </c>
      <c r="AA98" s="9" t="str">
        <f>IFERROR(__xludf.DUMMYFUNCTION("""COMPUTED_VALUE"""),"BakerRipley")</f>
        <v>BakerRipley</v>
      </c>
      <c r="AB98" s="9" t="str">
        <f>IFERROR(__xludf.DUMMYFUNCTION("""COMPUTED_VALUE"""),"Sharpstown")</f>
        <v>Sharpstown</v>
      </c>
    </row>
    <row r="99" ht="30.0" customHeight="1">
      <c r="A99" s="17">
        <v>98.0</v>
      </c>
      <c r="B99" s="8" t="str">
        <f>IFERROR(__xludf.DUMMYFUNCTION("""COMPUTED_VALUE"""),"[""99999""]")</f>
        <v>["99999"]</v>
      </c>
      <c r="C99" s="9" t="str">
        <f>IFERROR(__xludf.DUMMYFUNCTION("""COMPUTED_VALUE"""),"BakerRipley Head Start Sharpview")</f>
        <v>BakerRipley Head Start Sharpview</v>
      </c>
      <c r="D99" s="9" t="str">
        <f>IFERROR(__xludf.DUMMYFUNCTION("""COMPUTED_VALUE"""),"12280 Sharpview Drive")</f>
        <v>12280 Sharpview Drive</v>
      </c>
      <c r="E99" s="9"/>
      <c r="F99" s="10" t="str">
        <f>IFERROR(__xludf.DUMMYFUNCTION("""COMPUTED_VALUE"""),"Houston")</f>
        <v>Houston</v>
      </c>
      <c r="G99" s="9" t="str">
        <f>IFERROR(__xludf.DUMMYFUNCTION("""COMPUTED_VALUE"""),"TX")</f>
        <v>TX</v>
      </c>
      <c r="H99" s="9" t="str">
        <f>IFERROR(__xludf.DUMMYFUNCTION("""COMPUTED_VALUE"""),"77072")</f>
        <v>77072</v>
      </c>
      <c r="I99" s="9" t="str">
        <f>IFERROR(__xludf.DUMMYFUNCTION("""COMPUTED_VALUE"""),"713-669-5287")</f>
        <v>713-669-5287</v>
      </c>
      <c r="J99" s="9" t="str">
        <f>IFERROR(__xludf.DUMMYFUNCTION("""COMPUTED_VALUE"""),"29.700519244173545, -95.59550452885955")</f>
        <v>29.700519244173545, -95.59550452885955</v>
      </c>
      <c r="K99" s="9" t="str">
        <f>IFERROR(__xludf.DUMMYFUNCTION("""COMPUTED_VALUE"""),"{""regular"":[{""days"":[""Mo"",""Tu"",""We"",""Th"",""Fr""],""open"":""07:00"",""close"":""15:00""}]}")</f>
        <v>{"regular":[{"days":["Mo","Tu","We","Th","Fr"],"open":"07:00","close":"15:00"}]}</v>
      </c>
      <c r="L99" s="9"/>
      <c r="M99" s="10">
        <f>IFERROR(__xludf.DUMMYFUNCTION("""COMPUTED_VALUE"""),44.0)</f>
        <v>44</v>
      </c>
      <c r="N99" s="10" t="str">
        <f>IFERROR(__xludf.DUMMYFUNCTION("""COMPUTED_VALUE"""),"Mother &amp; Child")</f>
        <v>Mother &amp; Child</v>
      </c>
      <c r="O99" s="10">
        <f>IFERROR(__xludf.DUMMYFUNCTION("""COMPUTED_VALUE"""),1.0)</f>
        <v>1</v>
      </c>
      <c r="P99" s="10" t="str">
        <f>IFERROR(__xludf.DUMMYFUNCTION("""COMPUTED_VALUE"""),"ACTIVE")</f>
        <v>ACTIVE</v>
      </c>
      <c r="Q99" s="11">
        <f>IFERROR(__xludf.DUMMYFUNCTION("""COMPUTED_VALUE"""),45859.0)</f>
        <v>45859</v>
      </c>
      <c r="R99" s="9" t="str">
        <f>IFERROR(__xludf.DUMMYFUNCTION("""COMPUTED_VALUE"""),"Verified online")</f>
        <v>Verified online</v>
      </c>
      <c r="S99"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99" s="12" t="b">
        <f>IFERROR(__xludf.DUMMYFUNCTION("""COMPUTED_VALUE"""),TRUE)</f>
        <v>1</v>
      </c>
      <c r="U99" s="12" t="b">
        <f>IFERROR(__xludf.DUMMYFUNCTION("""COMPUTED_VALUE"""),FALSE)</f>
        <v>0</v>
      </c>
      <c r="V99" s="13" t="str">
        <f>IFERROR(__xludf.DUMMYFUNCTION("""COMPUTED_VALUE"""),"https://bakerripley.org/programs-and-services/head-start/")</f>
        <v>https://bakerripley.org/programs-and-services/head-start/</v>
      </c>
      <c r="W99" s="14" t="str">
        <f>IFERROR(__xludf.DUMMYFUNCTION("""COMPUTED_VALUE"""),"https://www.google.com/maps/place/Sharpview+Head+Start/@29.7002862,-95.5980687,16z/data=!3m1!4b1!4m6!3m5!1s0x8640dd0dd5645d1d:0xcce010319c5a7018!8m2!3d29.7002816!4d-95.5954938!16s%2Fg%2F1th57cky?entry=ttu&amp;g_ep=EgoyMDI1MDcxNi4wIKXMDSoASAFQAw%3D%3D")</f>
        <v>https://www.google.com/maps/place/Sharpview+Head+Start/@29.7002862,-95.5980687,16z/data=!3m1!4b1!4m6!3m5!1s0x8640dd0dd5645d1d:0xcce010319c5a7018!8m2!3d29.7002816!4d-95.5954938!16s%2Fg%2F1th57cky?entry=ttu&amp;g_ep=EgoyMDI1MDcxNi4wIKXMDSoASAFQAw%3D%3D</v>
      </c>
      <c r="X99" s="10"/>
      <c r="Y99" s="9" t="str">
        <f>IFERROR(__xludf.DUMMYFUNCTION("""COMPUTED_VALUE"""),"Houston")</f>
        <v>Houston</v>
      </c>
      <c r="Z99" s="9" t="str">
        <f>IFERROR(__xludf.DUMMYFUNCTION("""COMPUTED_VALUE"""),"Alief")</f>
        <v>Alief</v>
      </c>
      <c r="AA99" s="9" t="str">
        <f>IFERROR(__xludf.DUMMYFUNCTION("""COMPUTED_VALUE"""),"BakerRipley")</f>
        <v>BakerRipley</v>
      </c>
      <c r="AB99" s="9" t="str">
        <f>IFERROR(__xludf.DUMMYFUNCTION("""COMPUTED_VALUE"""),"Alief")</f>
        <v>Alief</v>
      </c>
    </row>
    <row r="100" ht="30.0" customHeight="1">
      <c r="A100" s="17">
        <v>99.0</v>
      </c>
      <c r="B100" s="8" t="str">
        <f>IFERROR(__xludf.DUMMYFUNCTION("""COMPUTED_VALUE"""),"[""99999""]")</f>
        <v>["99999"]</v>
      </c>
      <c r="C100" s="9" t="str">
        <f>IFERROR(__xludf.DUMMYFUNCTION("""COMPUTED_VALUE"""),"BakerRipley Head Start Spring Branch")</f>
        <v>BakerRipley Head Start Spring Branch</v>
      </c>
      <c r="D100" s="9" t="str">
        <f>IFERROR(__xludf.DUMMYFUNCTION("""COMPUTED_VALUE"""),"9655 Long Point Road")</f>
        <v>9655 Long Point Road</v>
      </c>
      <c r="E100" s="9"/>
      <c r="F100" s="9" t="str">
        <f>IFERROR(__xludf.DUMMYFUNCTION("""COMPUTED_VALUE"""),"Houston")</f>
        <v>Houston</v>
      </c>
      <c r="G100" s="9" t="str">
        <f>IFERROR(__xludf.DUMMYFUNCTION("""COMPUTED_VALUE"""),"TX")</f>
        <v>TX</v>
      </c>
      <c r="H100" s="9" t="str">
        <f>IFERROR(__xludf.DUMMYFUNCTION("""COMPUTED_VALUE"""),"77055")</f>
        <v>77055</v>
      </c>
      <c r="I100" s="9" t="str">
        <f>IFERROR(__xludf.DUMMYFUNCTION("""COMPUTED_VALUE"""),"713-464-8401")</f>
        <v>713-464-8401</v>
      </c>
      <c r="J100" s="9" t="str">
        <f>IFERROR(__xludf.DUMMYFUNCTION("""COMPUTED_VALUE"""),"29.79638047201359, -95.52888081552804")</f>
        <v>29.79638047201359, -95.52888081552804</v>
      </c>
      <c r="K100" s="9" t="str">
        <f>IFERROR(__xludf.DUMMYFUNCTION("""COMPUTED_VALUE"""),"{""regular"":[{""days"":[""Mo"",""Tu"",""We"",""Th"",""Fr""],""open"":""07:00"",""close"":""15:00""}]}")</f>
        <v>{"regular":[{"days":["Mo","Tu","We","Th","Fr"],"open":"07:00","close":"15:00"}]}</v>
      </c>
      <c r="L100" s="9"/>
      <c r="M100" s="10">
        <f>IFERROR(__xludf.DUMMYFUNCTION("""COMPUTED_VALUE"""),44.0)</f>
        <v>44</v>
      </c>
      <c r="N100" s="10" t="str">
        <f>IFERROR(__xludf.DUMMYFUNCTION("""COMPUTED_VALUE"""),"Mother &amp; Child")</f>
        <v>Mother &amp; Child</v>
      </c>
      <c r="O100" s="10">
        <f>IFERROR(__xludf.DUMMYFUNCTION("""COMPUTED_VALUE"""),1.0)</f>
        <v>1</v>
      </c>
      <c r="P100" s="10" t="str">
        <f>IFERROR(__xludf.DUMMYFUNCTION("""COMPUTED_VALUE"""),"ACTIVE")</f>
        <v>ACTIVE</v>
      </c>
      <c r="Q100" s="11">
        <f>IFERROR(__xludf.DUMMYFUNCTION("""COMPUTED_VALUE"""),45859.0)</f>
        <v>45859</v>
      </c>
      <c r="R100" s="9" t="str">
        <f>IFERROR(__xludf.DUMMYFUNCTION("""COMPUTED_VALUE"""),"Verified online")</f>
        <v>Verified online</v>
      </c>
      <c r="S100"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100" s="12" t="b">
        <f>IFERROR(__xludf.DUMMYFUNCTION("""COMPUTED_VALUE"""),TRUE)</f>
        <v>1</v>
      </c>
      <c r="U100" s="12" t="b">
        <f>IFERROR(__xludf.DUMMYFUNCTION("""COMPUTED_VALUE"""),FALSE)</f>
        <v>0</v>
      </c>
      <c r="V100" s="13" t="str">
        <f>IFERROR(__xludf.DUMMYFUNCTION("""COMPUTED_VALUE"""),"https://bakerripley.org/programs-and-services/head-start/")</f>
        <v>https://bakerripley.org/programs-and-services/head-start/</v>
      </c>
      <c r="W100" s="14" t="str">
        <f>IFERROR(__xludf.DUMMYFUNCTION("""COMPUTED_VALUE"""),"https://www.google.com/maps/place/BakerRipley+Head+Start+-+Spring+Branch/@29.7959661,-95.5314128,17z/data=!3m1!4b1!4m6!3m5!1s0x8640c4f1ed305b2d:0x3700b398a0857bef!8m2!3d29.7959615!4d-95.5288379!16s%2Fg%2F1tdjrjds?entry=ttu&amp;g_ep=EgoyMDI1MDcxNi4wIKXMDSoASAF"&amp;"QAw%3D%3D")</f>
        <v>https://www.google.com/maps/place/BakerRipley+Head+Start+-+Spring+Branch/@29.7959661,-95.5314128,17z/data=!3m1!4b1!4m6!3m5!1s0x8640c4f1ed305b2d:0x3700b398a0857bef!8m2!3d29.7959615!4d-95.5288379!16s%2Fg%2F1tdjrjds?entry=ttu&amp;g_ep=EgoyMDI1MDcxNi4wIKXMDSoASAFQAw%3D%3D</v>
      </c>
      <c r="X100" s="10"/>
      <c r="Y100" s="9" t="str">
        <f>IFERROR(__xludf.DUMMYFUNCTION("""COMPUTED_VALUE"""),"Houston")</f>
        <v>Houston</v>
      </c>
      <c r="Z100" s="9" t="str">
        <f>IFERROR(__xludf.DUMMYFUNCTION("""COMPUTED_VALUE"""),"Hilshire Village, Montrose, Northwest Houston, Spring Branch East, Washington Avenue Coalition / Memorial Park")</f>
        <v>Hilshire Village, Montrose, Northwest Houston, Spring Branch East, Washington Avenue Coalition / Memorial Park</v>
      </c>
      <c r="AA100" s="9" t="str">
        <f>IFERROR(__xludf.DUMMYFUNCTION("""COMPUTED_VALUE"""),"BakerRipley")</f>
        <v>BakerRipley</v>
      </c>
      <c r="AB100" s="9" t="str">
        <f>IFERROR(__xludf.DUMMYFUNCTION("""COMPUTED_VALUE"""),"Northwest Houston")</f>
        <v>Northwest Houston</v>
      </c>
    </row>
    <row r="101" ht="30.0" customHeight="1">
      <c r="A101" s="17">
        <v>100.0</v>
      </c>
      <c r="B101" s="8" t="str">
        <f>IFERROR(__xludf.DUMMYFUNCTION("""COMPUTED_VALUE"""),"[""99999""]")</f>
        <v>["99999"]</v>
      </c>
      <c r="C101" s="9" t="str">
        <f>IFERROR(__xludf.DUMMYFUNCTION("""COMPUTED_VALUE"""),"BakerRipley Head Start Stafford")</f>
        <v>BakerRipley Head Start Stafford</v>
      </c>
      <c r="D101" s="9" t="str">
        <f>IFERROR(__xludf.DUMMYFUNCTION("""COMPUTED_VALUE"""),"1350 Constitution Avenue")</f>
        <v>1350 Constitution Avenue</v>
      </c>
      <c r="E101" s="9"/>
      <c r="F101" s="10" t="str">
        <f>IFERROR(__xludf.DUMMYFUNCTION("""COMPUTED_VALUE"""),"Stafford")</f>
        <v>Stafford</v>
      </c>
      <c r="G101" s="9" t="str">
        <f>IFERROR(__xludf.DUMMYFUNCTION("""COMPUTED_VALUE"""),"TX")</f>
        <v>TX</v>
      </c>
      <c r="H101" s="9" t="str">
        <f>IFERROR(__xludf.DUMMYFUNCTION("""COMPUTED_VALUE"""),"77477")</f>
        <v>77477</v>
      </c>
      <c r="I101" s="9" t="str">
        <f>IFERROR(__xludf.DUMMYFUNCTION("""COMPUTED_VALUE"""),"281-969-1959")</f>
        <v>281-969-1959</v>
      </c>
      <c r="J101" s="9" t="str">
        <f>IFERROR(__xludf.DUMMYFUNCTION("""COMPUTED_VALUE"""),"29.605104852696392, -95.54365698037152")</f>
        <v>29.605104852696392, -95.54365698037152</v>
      </c>
      <c r="K101" s="9" t="str">
        <f>IFERROR(__xludf.DUMMYFUNCTION("""COMPUTED_VALUE"""),"{""regular"":[{""days"":[""Mo"",""Tu"",""We"",""Th"",""Fr""],""open"":""07:00"",""close"":""15:00""}]}")</f>
        <v>{"regular":[{"days":["Mo","Tu","We","Th","Fr"],"open":"07:00","close":"15:00"}]}</v>
      </c>
      <c r="L101" s="9"/>
      <c r="M101" s="10">
        <f>IFERROR(__xludf.DUMMYFUNCTION("""COMPUTED_VALUE"""),44.0)</f>
        <v>44</v>
      </c>
      <c r="N101" s="10" t="str">
        <f>IFERROR(__xludf.DUMMYFUNCTION("""COMPUTED_VALUE"""),"Mother &amp; Child")</f>
        <v>Mother &amp; Child</v>
      </c>
      <c r="O101" s="10">
        <f>IFERROR(__xludf.DUMMYFUNCTION("""COMPUTED_VALUE"""),1.0)</f>
        <v>1</v>
      </c>
      <c r="P101" s="10" t="str">
        <f>IFERROR(__xludf.DUMMYFUNCTION("""COMPUTED_VALUE"""),"ACTIVE")</f>
        <v>ACTIVE</v>
      </c>
      <c r="Q101" s="11">
        <f>IFERROR(__xludf.DUMMYFUNCTION("""COMPUTED_VALUE"""),45859.0)</f>
        <v>45859</v>
      </c>
      <c r="R101" s="9" t="str">
        <f>IFERROR(__xludf.DUMMYFUNCTION("""COMPUTED_VALUE"""),"Verified online")</f>
        <v>Verified online</v>
      </c>
      <c r="S101" s="9" t="str">
        <f>IFERROR(__xludf.DUMMYFUNCTION("""COMPUTED_VALUE"""),"Childcare
Free, federally funded program covering children from birth to age five.
Must meet income eligibility requirements.")</f>
        <v>Childcare
Free, federally funded program covering children from birth to age five.
Must meet income eligibility requirements.</v>
      </c>
      <c r="T101" s="12" t="b">
        <f>IFERROR(__xludf.DUMMYFUNCTION("""COMPUTED_VALUE"""),TRUE)</f>
        <v>1</v>
      </c>
      <c r="U101" s="12" t="b">
        <f>IFERROR(__xludf.DUMMYFUNCTION("""COMPUTED_VALUE"""),FALSE)</f>
        <v>0</v>
      </c>
      <c r="V101" s="13" t="str">
        <f>IFERROR(__xludf.DUMMYFUNCTION("""COMPUTED_VALUE"""),"https://bakerripley.org/programs-and-services/head-start/")</f>
        <v>https://bakerripley.org/programs-and-services/head-start/</v>
      </c>
      <c r="W101" s="14" t="str">
        <f>IFERROR(__xludf.DUMMYFUNCTION("""COMPUTED_VALUE"""),"https://www.google.com/maps/place/Stafford+early+childhood+center/@29.6053812,-95.5434129,19z/data=!4m10!1m2!2m1!1sstafford+head+start!3m6!1s0x8640e95995dcac2d:0x84e0a518b33fff72!8m2!3d29.605063!4d-95.5436774!15sChNzdGFmZm9yZCBoZWFkIHN0YXJ0WhUiE3N0YWZmb3J"&amp;"kIGhlYWQgc3RhcnSSAQZzY2hvb2yaASRDaGREU1VoTk1HOW5TMFZKUTBGblNVUlNiMXAyUzNCM1JSQUKqAVUQASoXIhNzdGFmZm9yZCBoZWFkIHN0YXJ0KAAyHxABIhtFxnW10jTXhWNJabHYZAV3bLl_r3xLKjCU3JgyFxACIhNzdGFmZm9yZCBoZWFkIHN0YXJ04AEA-gEECAoQLA!16s%2Fg%2F11gtymnjqd?entry=ttu&amp;g_ep=EgoyMDI"&amp;"1MDcxNi4wIKXMDSoASAFQAw%3D%3D")</f>
        <v>https://www.google.com/maps/place/Stafford+early+childhood+center/@29.6053812,-95.5434129,19z/data=!4m10!1m2!2m1!1sstafford+head+start!3m6!1s0x8640e95995dcac2d:0x84e0a518b33fff72!8m2!3d29.605063!4d-95.5436774!15sChNzdGFmZm9yZCBoZWFkIHN0YXJ0WhUiE3N0YWZmb3JkIGhlYWQgc3RhcnSSAQZzY2hvb2yaASRDaGREU1VoTk1HOW5TMFZKUTBGblNVUlNiMXAyUzNCM1JSQUKqAVUQASoXIhNzdGFmZm9yZCBoZWFkIHN0YXJ0KAAyHxABIhtFxnW10jTXhWNJabHYZAV3bLl_r3xLKjCU3JgyFxACIhNzdGFmZm9yZCBoZWFkIHN0YXJ04AEA-gEECAoQLA!16s%2Fg%2F11gtymnjqd?entry=ttu&amp;g_ep=EgoyMDI1MDcxNi4wIKXMDSoASAFQAw%3D%3D</v>
      </c>
      <c r="X101" s="10"/>
      <c r="Y101" s="9" t="str">
        <f>IFERROR(__xludf.DUMMYFUNCTION("""COMPUTED_VALUE"""),"Stafford")</f>
        <v>Stafford</v>
      </c>
      <c r="Z101" s="9" t="str">
        <f>IFERROR(__xludf.DUMMYFUNCTION("""COMPUTED_VALUE"""),"Clark Plaza One, Corporate Bus Park, Greenbriar Southwest, Stafford, The Fountains")</f>
        <v>Clark Plaza One, Corporate Bus Park, Greenbriar Southwest, Stafford, The Fountains</v>
      </c>
      <c r="AA101" s="9" t="str">
        <f>IFERROR(__xludf.DUMMYFUNCTION("""COMPUTED_VALUE"""),"BakerRipley")</f>
        <v>BakerRipley</v>
      </c>
      <c r="AB101" s="9" t="str">
        <f>IFERROR(__xludf.DUMMYFUNCTION("""COMPUTED_VALUE"""),"Stafford")</f>
        <v>Stafford</v>
      </c>
    </row>
    <row r="102" ht="30.0" customHeight="1">
      <c r="A102" s="17">
        <v>101.0</v>
      </c>
      <c r="B102" s="8" t="str">
        <f>IFERROR(__xludf.DUMMYFUNCTION("""COMPUTED_VALUE"""),"[""99999""]")</f>
        <v>["99999"]</v>
      </c>
      <c r="C102" s="9" t="str">
        <f>IFERROR(__xludf.DUMMYFUNCTION("""COMPUTED_VALUE"""),"BakerRipley Pasadena")</f>
        <v>BakerRipley Pasadena</v>
      </c>
      <c r="D102" s="9" t="str">
        <f>IFERROR(__xludf.DUMMYFUNCTION("""COMPUTED_VALUE"""),"720 Fairmont Parkway")</f>
        <v>720 Fairmont Parkway</v>
      </c>
      <c r="E102" s="9"/>
      <c r="F102" s="9" t="str">
        <f>IFERROR(__xludf.DUMMYFUNCTION("""COMPUTED_VALUE"""),"Houston")</f>
        <v>Houston</v>
      </c>
      <c r="G102" s="9" t="str">
        <f>IFERROR(__xludf.DUMMYFUNCTION("""COMPUTED_VALUE"""),"TX")</f>
        <v>TX</v>
      </c>
      <c r="H102" s="9" t="str">
        <f>IFERROR(__xludf.DUMMYFUNCTION("""COMPUTED_VALUE"""),"77504")</f>
        <v>77504</v>
      </c>
      <c r="I102" s="9" t="str">
        <f>IFERROR(__xludf.DUMMYFUNCTION("""COMPUTED_VALUE"""),"713-944-9186")</f>
        <v>713-944-9186</v>
      </c>
      <c r="J102" s="9" t="str">
        <f>IFERROR(__xludf.DUMMYFUNCTION("""COMPUTED_VALUE"""),"29.650727117796862, -95.20147757114398")</f>
        <v>29.650727117796862, -95.20147757114398</v>
      </c>
      <c r="K102" s="9" t="str">
        <f>IFERROR(__xludf.DUMMYFUNCTION("""COMPUTED_VALUE"""),"{""special"":[{""pattern"":""1st Tu"",""open"":""08:00"",""close"":""11:00""}]}")</f>
        <v>{"special":[{"pattern":"1st Tu","open":"08:00","close":"11:00"}]}</v>
      </c>
      <c r="L102" s="9"/>
      <c r="M102" s="10">
        <f>IFERROR(__xludf.DUMMYFUNCTION("""COMPUTED_VALUE"""),13.0)</f>
        <v>13</v>
      </c>
      <c r="N102" s="10" t="str">
        <f>IFERROR(__xludf.DUMMYFUNCTION("""COMPUTED_VALUE"""),"Food")</f>
        <v>Food</v>
      </c>
      <c r="O102" s="10">
        <f>IFERROR(__xludf.DUMMYFUNCTION("""COMPUTED_VALUE"""),1.0)</f>
        <v>1</v>
      </c>
      <c r="P102" s="10" t="str">
        <f>IFERROR(__xludf.DUMMYFUNCTION("""COMPUTED_VALUE"""),"ACTIVE")</f>
        <v>ACTIVE</v>
      </c>
      <c r="Q102" s="11">
        <f>IFERROR(__xludf.DUMMYFUNCTION("""COMPUTED_VALUE"""),45859.0)</f>
        <v>45859</v>
      </c>
      <c r="R102" s="9" t="str">
        <f>IFERROR(__xludf.DUMMYFUNCTION("""COMPUTED_VALUE"""),"Verified online")</f>
        <v>Verified online</v>
      </c>
      <c r="S102" s="9" t="str">
        <f>IFERROR(__xludf.DUMMYFUNCTION("""COMPUTED_VALUE"""),"Food Fairs held every month at each BakerRipley Community Center.  But it is very difficult to tell from the website the dates, times and locations of the Food Fairs.
Must meet Houston Food Bank income guidelines and complete a registration form.")</f>
        <v>Food Fairs held every month at each BakerRipley Community Center.  But it is very difficult to tell from the website the dates, times and locations of the Food Fairs.
Must meet Houston Food Bank income guidelines and complete a registration form.</v>
      </c>
      <c r="T102" s="12" t="b">
        <f>IFERROR(__xludf.DUMMYFUNCTION("""COMPUTED_VALUE"""),FALSE)</f>
        <v>0</v>
      </c>
      <c r="U102" s="12" t="b">
        <f>IFERROR(__xludf.DUMMYFUNCTION("""COMPUTED_VALUE"""),FALSE)</f>
        <v>0</v>
      </c>
      <c r="V102" s="13" t="str">
        <f>IFERROR(__xludf.DUMMYFUNCTION("""COMPUTED_VALUE"""),"https://bakerripley.org/programs-and-services/food-and-nutrition/")</f>
        <v>https://bakerripley.org/programs-and-services/food-and-nutrition/</v>
      </c>
      <c r="W102" s="14" t="str">
        <f>IFERROR(__xludf.DUMMYFUNCTION("""COMPUTED_VALUE"""),"https://www.google.com/maps/place/BakerRipley+Pasadena+Campus/@29.6505499,-95.2040632,16z/data=!3m1!4b1!4m6!3m5!1s0x86409848be95e3f9:0xf225e90340c412f3!8m2!3d29.6505453!4d-95.2014883!16s%2Fg%2F1tkc2h2x?entry=ttu&amp;g_ep=EgoyMDI1MDcxNi4wIKXMDSoASAFQAw%3D%3D")</f>
        <v>https://www.google.com/maps/place/BakerRipley+Pasadena+Campus/@29.6505499,-95.2040632,16z/data=!3m1!4b1!4m6!3m5!1s0x86409848be95e3f9:0xf225e90340c412f3!8m2!3d29.6505453!4d-95.2014883!16s%2Fg%2F1tkc2h2x?entry=ttu&amp;g_ep=EgoyMDI1MDcxNi4wIKXMDSoASAFQAw%3D%3D</v>
      </c>
      <c r="X102" s="10"/>
      <c r="Y102" s="9" t="str">
        <f>IFERROR(__xludf.DUMMYFUNCTION("""COMPUTED_VALUE"""),"Pasadena")</f>
        <v>Pasadena</v>
      </c>
      <c r="Z102" s="9" t="str">
        <f>IFERROR(__xludf.DUMMYFUNCTION("""COMPUTED_VALUE"""),"Highland Farms, Pasadena")</f>
        <v>Highland Farms, Pasadena</v>
      </c>
      <c r="AA102" s="9" t="str">
        <f>IFERROR(__xludf.DUMMYFUNCTION("""COMPUTED_VALUE"""),"BakerRipley")</f>
        <v>BakerRipley</v>
      </c>
      <c r="AB102" s="9" t="str">
        <f>IFERROR(__xludf.DUMMYFUNCTION("""COMPUTED_VALUE"""),"Pasadena")</f>
        <v>Pasadena</v>
      </c>
    </row>
    <row r="103" ht="30.0" customHeight="1">
      <c r="A103" s="17">
        <v>102.0</v>
      </c>
      <c r="B103" s="8" t="str">
        <f>IFERROR(__xludf.DUMMYFUNCTION("""COMPUTED_VALUE"""),"[""99999""]")</f>
        <v>["99999"]</v>
      </c>
      <c r="C103" s="9" t="str">
        <f>IFERROR(__xludf.DUMMYFUNCTION("""COMPUTED_VALUE"""),"BakerRipley Pasadena")</f>
        <v>BakerRipley Pasadena</v>
      </c>
      <c r="D103" s="9" t="str">
        <f>IFERROR(__xludf.DUMMYFUNCTION("""COMPUTED_VALUE"""),"720 Fairmont Parkway")</f>
        <v>720 Fairmont Parkway</v>
      </c>
      <c r="E103" s="9"/>
      <c r="F103" s="9" t="str">
        <f>IFERROR(__xludf.DUMMYFUNCTION("""COMPUTED_VALUE"""),"Houston")</f>
        <v>Houston</v>
      </c>
      <c r="G103" s="9" t="str">
        <f>IFERROR(__xludf.DUMMYFUNCTION("""COMPUTED_VALUE"""),"TX")</f>
        <v>TX</v>
      </c>
      <c r="H103" s="9" t="str">
        <f>IFERROR(__xludf.DUMMYFUNCTION("""COMPUTED_VALUE"""),"77504")</f>
        <v>77504</v>
      </c>
      <c r="I103" s="9" t="str">
        <f>IFERROR(__xludf.DUMMYFUNCTION("""COMPUTED_VALUE"""),"713-944-9186")</f>
        <v>713-944-9186</v>
      </c>
      <c r="J103" s="9" t="str">
        <f>IFERROR(__xludf.DUMMYFUNCTION("""COMPUTED_VALUE"""),"29.650727117796862, -95.20147757114398")</f>
        <v>29.650727117796862, -95.20147757114398</v>
      </c>
      <c r="K103" s="9" t="str">
        <f>IFERROR(__xludf.DUMMYFUNCTION("""COMPUTED_VALUE"""),"{""special"":[{""pattern"":""1st &amp; 3rd Tu"",""open"":""09:30"",""close"":""16:30""}]}")</f>
        <v>{"special":[{"pattern":"1st &amp; 3rd Tu","open":"09:30","close":"16:30"}]}</v>
      </c>
      <c r="L103" s="9"/>
      <c r="M103" s="10">
        <f>IFERROR(__xludf.DUMMYFUNCTION("""COMPUTED_VALUE"""),35.0)</f>
        <v>35</v>
      </c>
      <c r="N103" s="10" t="str">
        <f>IFERROR(__xludf.DUMMYFUNCTION("""COMPUTED_VALUE"""),"Medical - Program Enrollment")</f>
        <v>Medical - Program Enrollment</v>
      </c>
      <c r="O103" s="10">
        <f>IFERROR(__xludf.DUMMYFUNCTION("""COMPUTED_VALUE"""),1.0)</f>
        <v>1</v>
      </c>
      <c r="P103" s="10" t="str">
        <f>IFERROR(__xludf.DUMMYFUNCTION("""COMPUTED_VALUE"""),"ACTIVE")</f>
        <v>ACTIVE</v>
      </c>
      <c r="Q103" s="11">
        <f>IFERROR(__xludf.DUMMYFUNCTION("""COMPUTED_VALUE"""),46033.0)</f>
        <v>46033</v>
      </c>
      <c r="R103" s="9" t="str">
        <f>IFERROR(__xludf.DUMMYFUNCTION("""COMPUTED_VALUE"""),"Verified online")</f>
        <v>Verified online</v>
      </c>
      <c r="S103" s="9" t="str">
        <f>IFERROR(__xludf.DUMMYFUNCTION("""COMPUTED_VALUE"""),"Assistance with Medicaid and SNAP applications.")</f>
        <v>Assistance with Medicaid and SNAP applications.</v>
      </c>
      <c r="T103" s="12" t="b">
        <f>IFERROR(__xludf.DUMMYFUNCTION("""COMPUTED_VALUE"""),FALSE)</f>
        <v>0</v>
      </c>
      <c r="U103" s="12" t="b">
        <f>IFERROR(__xludf.DUMMYFUNCTION("""COMPUTED_VALUE"""),FALSE)</f>
        <v>0</v>
      </c>
      <c r="V103" s="13" t="str">
        <f>IFERROR(__xludf.DUMMYFUNCTION("""COMPUTED_VALUE"""),"https://bakerripley.org/locations/pasadena-campus/")</f>
        <v>https://bakerripley.org/locations/pasadena-campus/</v>
      </c>
      <c r="W103" s="14" t="str">
        <f>IFERROR(__xludf.DUMMYFUNCTION("""COMPUTED_VALUE"""),"https://www.google.com/maps/place/BakerRipley+Pasadena+Campus/@29.6505499,-95.2040632,16z/data=!3m1!4b1!4m6!3m5!1s0x86409848be95e3f9:0xf225e90340c412f3!8m2!3d29.6505453!4d-95.2014883!16s%2Fg%2F1tkc2h2x?entry=ttu&amp;g_ep=EgoyMDI1MDcxNi4wIKXMDSoASAFQAw%3D%3D")</f>
        <v>https://www.google.com/maps/place/BakerRipley+Pasadena+Campus/@29.6505499,-95.2040632,16z/data=!3m1!4b1!4m6!3m5!1s0x86409848be95e3f9:0xf225e90340c412f3!8m2!3d29.6505453!4d-95.2014883!16s%2Fg%2F1tkc2h2x?entry=ttu&amp;g_ep=EgoyMDI1MDcxNi4wIKXMDSoASAFQAw%3D%3D</v>
      </c>
      <c r="X103" s="10"/>
      <c r="Y103" s="9" t="str">
        <f>IFERROR(__xludf.DUMMYFUNCTION("""COMPUTED_VALUE"""),"Pasadena")</f>
        <v>Pasadena</v>
      </c>
      <c r="Z103" s="9" t="str">
        <f>IFERROR(__xludf.DUMMYFUNCTION("""COMPUTED_VALUE"""),"Highland Farms, Pasadena")</f>
        <v>Highland Farms, Pasadena</v>
      </c>
      <c r="AA103" s="9" t="str">
        <f>IFERROR(__xludf.DUMMYFUNCTION("""COMPUTED_VALUE"""),"BakerRipley")</f>
        <v>BakerRipley</v>
      </c>
      <c r="AB103" s="9" t="str">
        <f>IFERROR(__xludf.DUMMYFUNCTION("""COMPUTED_VALUE"""),"Pasadena")</f>
        <v>Pasadena</v>
      </c>
    </row>
    <row r="104" ht="30.0" customHeight="1">
      <c r="A104" s="17">
        <v>103.0</v>
      </c>
      <c r="B104" s="8" t="str">
        <f>IFERROR(__xludf.DUMMYFUNCTION("""COMPUTED_VALUE"""),"[""99999""]")</f>
        <v>["99999"]</v>
      </c>
      <c r="C104" s="9" t="str">
        <f>IFERROR(__xludf.DUMMYFUNCTION("""COMPUTED_VALUE"""),"BakerRipley Pasadena")</f>
        <v>BakerRipley Pasadena</v>
      </c>
      <c r="D104" s="9" t="str">
        <f>IFERROR(__xludf.DUMMYFUNCTION("""COMPUTED_VALUE"""),"720 Fairmont Parkway")</f>
        <v>720 Fairmont Parkway</v>
      </c>
      <c r="E104" s="9"/>
      <c r="F104" s="9" t="str">
        <f>IFERROR(__xludf.DUMMYFUNCTION("""COMPUTED_VALUE"""),"Houston")</f>
        <v>Houston</v>
      </c>
      <c r="G104" s="9" t="str">
        <f>IFERROR(__xludf.DUMMYFUNCTION("""COMPUTED_VALUE"""),"TX")</f>
        <v>TX</v>
      </c>
      <c r="H104" s="9" t="str">
        <f>IFERROR(__xludf.DUMMYFUNCTION("""COMPUTED_VALUE"""),"77504")</f>
        <v>77504</v>
      </c>
      <c r="I104" s="9" t="str">
        <f>IFERROR(__xludf.DUMMYFUNCTION("""COMPUTED_VALUE"""),"713-944-9186")</f>
        <v>713-944-9186</v>
      </c>
      <c r="J104" s="9" t="str">
        <f>IFERROR(__xludf.DUMMYFUNCTION("""COMPUTED_VALUE"""),"29.650727117796862, -95.20147757114398")</f>
        <v>29.650727117796862, -95.20147757114398</v>
      </c>
      <c r="K104" s="9" t="str">
        <f>IFERROR(__xludf.DUMMYFUNCTION("""COMPUTED_VALUE"""),"{""regular"":[{""days"":[""We""],""open"":""09:00"",""close"":""11:00""}]}")</f>
        <v>{"regular":[{"days":["We"],"open":"09:00","close":"11:00"}]}</v>
      </c>
      <c r="L104" s="9"/>
      <c r="M104" s="10">
        <f>IFERROR(__xludf.DUMMYFUNCTION("""COMPUTED_VALUE"""),35.0)</f>
        <v>35</v>
      </c>
      <c r="N104" s="10" t="str">
        <f>IFERROR(__xludf.DUMMYFUNCTION("""COMPUTED_VALUE"""),"Medical - Program Enrollment")</f>
        <v>Medical - Program Enrollment</v>
      </c>
      <c r="O104" s="10">
        <f>IFERROR(__xludf.DUMMYFUNCTION("""COMPUTED_VALUE"""),1.0)</f>
        <v>1</v>
      </c>
      <c r="P104" s="10" t="str">
        <f>IFERROR(__xludf.DUMMYFUNCTION("""COMPUTED_VALUE"""),"ACTIVE")</f>
        <v>ACTIVE</v>
      </c>
      <c r="Q104" s="11">
        <f>IFERROR(__xludf.DUMMYFUNCTION("""COMPUTED_VALUE"""),46033.0)</f>
        <v>46033</v>
      </c>
      <c r="R104" s="9" t="str">
        <f>IFERROR(__xludf.DUMMYFUNCTION("""COMPUTED_VALUE"""),"Verified online")</f>
        <v>Verified online</v>
      </c>
      <c r="S104" s="9" t="str">
        <f>IFERROR(__xludf.DUMMYFUNCTION("""COMPUTED_VALUE"""),"Assistance with Harris County's Gold Card application.")</f>
        <v>Assistance with Harris County's Gold Card application.</v>
      </c>
      <c r="T104" s="12" t="b">
        <f>IFERROR(__xludf.DUMMYFUNCTION("""COMPUTED_VALUE"""),FALSE)</f>
        <v>0</v>
      </c>
      <c r="U104" s="12" t="b">
        <f>IFERROR(__xludf.DUMMYFUNCTION("""COMPUTED_VALUE"""),FALSE)</f>
        <v>0</v>
      </c>
      <c r="V104" s="13" t="str">
        <f>IFERROR(__xludf.DUMMYFUNCTION("""COMPUTED_VALUE"""),"https://bakerripley.org/locations/pasadena-campus/")</f>
        <v>https://bakerripley.org/locations/pasadena-campus/</v>
      </c>
      <c r="W104" s="14" t="str">
        <f>IFERROR(__xludf.DUMMYFUNCTION("""COMPUTED_VALUE"""),"https://www.google.com/maps/place/BakerRipley+Pasadena+Campus/@29.6505499,-95.2040632,16z/data=!3m1!4b1!4m6!3m5!1s0x86409848be95e3f9:0xf225e90340c412f3!8m2!3d29.6505453!4d-95.2014883!16s%2Fg%2F1tkc2h2x?entry=ttu&amp;g_ep=EgoyMDI1MDcxNi4wIKXMDSoASAFQAw%3D%3D")</f>
        <v>https://www.google.com/maps/place/BakerRipley+Pasadena+Campus/@29.6505499,-95.2040632,16z/data=!3m1!4b1!4m6!3m5!1s0x86409848be95e3f9:0xf225e90340c412f3!8m2!3d29.6505453!4d-95.2014883!16s%2Fg%2F1tkc2h2x?entry=ttu&amp;g_ep=EgoyMDI1MDcxNi4wIKXMDSoASAFQAw%3D%3D</v>
      </c>
      <c r="X104" s="10"/>
      <c r="Y104" s="9" t="str">
        <f>IFERROR(__xludf.DUMMYFUNCTION("""COMPUTED_VALUE"""),"Pasadena")</f>
        <v>Pasadena</v>
      </c>
      <c r="Z104" s="9" t="str">
        <f>IFERROR(__xludf.DUMMYFUNCTION("""COMPUTED_VALUE"""),"Highland Farms, Pasadena")</f>
        <v>Highland Farms, Pasadena</v>
      </c>
      <c r="AA104" s="9" t="str">
        <f>IFERROR(__xludf.DUMMYFUNCTION("""COMPUTED_VALUE"""),"BakerRipley")</f>
        <v>BakerRipley</v>
      </c>
      <c r="AB104" s="9" t="str">
        <f>IFERROR(__xludf.DUMMYFUNCTION("""COMPUTED_VALUE"""),"Pasadena")</f>
        <v>Pasadena</v>
      </c>
    </row>
    <row r="105" ht="30.0" customHeight="1">
      <c r="A105" s="17">
        <v>104.0</v>
      </c>
      <c r="B105" s="8" t="str">
        <f>IFERROR(__xludf.DUMMYFUNCTION("""COMPUTED_VALUE"""),"[""99999""]")</f>
        <v>["99999"]</v>
      </c>
      <c r="C105" s="9" t="str">
        <f>IFERROR(__xludf.DUMMYFUNCTION("""COMPUTED_VALUE"""),"BakerRipley Pasadena")</f>
        <v>BakerRipley Pasadena</v>
      </c>
      <c r="D105" s="9" t="str">
        <f>IFERROR(__xludf.DUMMYFUNCTION("""COMPUTED_VALUE"""),"720 Fairmont Parkway")</f>
        <v>720 Fairmont Parkway</v>
      </c>
      <c r="E105" s="9"/>
      <c r="F105" s="9" t="str">
        <f>IFERROR(__xludf.DUMMYFUNCTION("""COMPUTED_VALUE"""),"Houston")</f>
        <v>Houston</v>
      </c>
      <c r="G105" s="9" t="str">
        <f>IFERROR(__xludf.DUMMYFUNCTION("""COMPUTED_VALUE"""),"TX")</f>
        <v>TX</v>
      </c>
      <c r="H105" s="9" t="str">
        <f>IFERROR(__xludf.DUMMYFUNCTION("""COMPUTED_VALUE"""),"77504")</f>
        <v>77504</v>
      </c>
      <c r="I105" s="9" t="str">
        <f>IFERROR(__xludf.DUMMYFUNCTION("""COMPUTED_VALUE"""),"713-944-9186")</f>
        <v>713-944-9186</v>
      </c>
      <c r="J105" s="9" t="str">
        <f>IFERROR(__xludf.DUMMYFUNCTION("""COMPUTED_VALUE"""),"29.650727117796862, -95.20147757114398")</f>
        <v>29.650727117796862, -95.20147757114398</v>
      </c>
      <c r="K105" s="9" t="str">
        <f>IFERROR(__xludf.DUMMYFUNCTION("""COMPUTED_VALUE"""),"{""regular"":[{""days"":[""Mo"",""Tu"",""We"",""Th"",""Fr""],""open"":""10:00"",""close"":""19:00""}]}")</f>
        <v>{"regular":[{"days":["Mo","Tu","We","Th","Fr"],"open":"10:00","close":"19:00"}]}</v>
      </c>
      <c r="L105" s="9"/>
      <c r="M105" s="10">
        <f>IFERROR(__xludf.DUMMYFUNCTION("""COMPUTED_VALUE"""),65.0)</f>
        <v>65</v>
      </c>
      <c r="N105" s="10" t="str">
        <f>IFERROR(__xludf.DUMMYFUNCTION("""COMPUTED_VALUE"""),"Other")</f>
        <v>Other</v>
      </c>
      <c r="O105" s="10">
        <f>IFERROR(__xludf.DUMMYFUNCTION("""COMPUTED_VALUE"""),1.0)</f>
        <v>1</v>
      </c>
      <c r="P105" s="10" t="str">
        <f>IFERROR(__xludf.DUMMYFUNCTION("""COMPUTED_VALUE"""),"ACTIVE")</f>
        <v>ACTIVE</v>
      </c>
      <c r="Q105" s="11">
        <f>IFERROR(__xludf.DUMMYFUNCTION("""COMPUTED_VALUE"""),45859.0)</f>
        <v>45859</v>
      </c>
      <c r="R105" s="9" t="str">
        <f>IFERROR(__xludf.DUMMYFUNCTION("""COMPUTED_VALUE"""),"Verified online")</f>
        <v>Verified online</v>
      </c>
      <c r="S105" s="9" t="str">
        <f>IFERROR(__xludf.DUMMYFUNCTION("""COMPUTED_VALUE"""),"Entrepreneur Connection helps starting a business.
Includes providing education, business coaching, networking events, resources and access to capital.  ")</f>
        <v>Entrepreneur Connection helps starting a business.
Includes providing education, business coaching, networking events, resources and access to capital.  </v>
      </c>
      <c r="T105" s="12" t="b">
        <f>IFERROR(__xludf.DUMMYFUNCTION("""COMPUTED_VALUE"""),FALSE)</f>
        <v>0</v>
      </c>
      <c r="U105" s="12" t="b">
        <f>IFERROR(__xludf.DUMMYFUNCTION("""COMPUTED_VALUE"""),FALSE)</f>
        <v>0</v>
      </c>
      <c r="V105" s="13" t="str">
        <f>IFERROR(__xludf.DUMMYFUNCTION("""COMPUTED_VALUE"""),"https://bakerripley.org/programs-and-services/food-and-nutrition/")</f>
        <v>https://bakerripley.org/programs-and-services/food-and-nutrition/</v>
      </c>
      <c r="W105" s="14" t="str">
        <f>IFERROR(__xludf.DUMMYFUNCTION("""COMPUTED_VALUE"""),"https://www.google.com/maps/place/BakerRipley+Pasadena+Campus/@29.6505499,-95.2040632,16z/data=!3m1!4b1!4m6!3m5!1s0x86409848be95e3f9:0xf225e90340c412f3!8m2!3d29.6505453!4d-95.2014883!16s%2Fg%2F1tkc2h2x?entry=ttu&amp;g_ep=EgoyMDI1MDcxNi4wIKXMDSoASAFQAw%3D%3D")</f>
        <v>https://www.google.com/maps/place/BakerRipley+Pasadena+Campus/@29.6505499,-95.2040632,16z/data=!3m1!4b1!4m6!3m5!1s0x86409848be95e3f9:0xf225e90340c412f3!8m2!3d29.6505453!4d-95.2014883!16s%2Fg%2F1tkc2h2x?entry=ttu&amp;g_ep=EgoyMDI1MDcxNi4wIKXMDSoASAFQAw%3D%3D</v>
      </c>
      <c r="X105" s="10"/>
      <c r="Y105" s="9" t="str">
        <f>IFERROR(__xludf.DUMMYFUNCTION("""COMPUTED_VALUE"""),"Pasadena")</f>
        <v>Pasadena</v>
      </c>
      <c r="Z105" s="9" t="str">
        <f>IFERROR(__xludf.DUMMYFUNCTION("""COMPUTED_VALUE"""),"Highland Farms, Pasadena")</f>
        <v>Highland Farms, Pasadena</v>
      </c>
      <c r="AA105" s="9" t="str">
        <f>IFERROR(__xludf.DUMMYFUNCTION("""COMPUTED_VALUE"""),"BakerRipley")</f>
        <v>BakerRipley</v>
      </c>
      <c r="AB105" s="9" t="str">
        <f>IFERROR(__xludf.DUMMYFUNCTION("""COMPUTED_VALUE"""),"Pasadena")</f>
        <v>Pasadena</v>
      </c>
    </row>
    <row r="106" ht="30.0" customHeight="1">
      <c r="A106" s="17">
        <v>105.0</v>
      </c>
      <c r="B106" s="8" t="str">
        <f>IFERROR(__xludf.DUMMYFUNCTION("""COMPUTED_VALUE"""),"[""99999""]")</f>
        <v>["99999"]</v>
      </c>
      <c r="C106" s="9" t="str">
        <f>IFERROR(__xludf.DUMMYFUNCTION("""COMPUTED_VALUE"""),"BakerRipley Pasadena")</f>
        <v>BakerRipley Pasadena</v>
      </c>
      <c r="D106" s="9" t="str">
        <f>IFERROR(__xludf.DUMMYFUNCTION("""COMPUTED_VALUE"""),"720 Fairmont Parkway")</f>
        <v>720 Fairmont Parkway</v>
      </c>
      <c r="E106" s="9"/>
      <c r="F106" s="9" t="str">
        <f>IFERROR(__xludf.DUMMYFUNCTION("""COMPUTED_VALUE"""),"Houston")</f>
        <v>Houston</v>
      </c>
      <c r="G106" s="9" t="str">
        <f>IFERROR(__xludf.DUMMYFUNCTION("""COMPUTED_VALUE"""),"TX")</f>
        <v>TX</v>
      </c>
      <c r="H106" s="9" t="str">
        <f>IFERROR(__xludf.DUMMYFUNCTION("""COMPUTED_VALUE"""),"77504")</f>
        <v>77504</v>
      </c>
      <c r="I106" s="9" t="str">
        <f>IFERROR(__xludf.DUMMYFUNCTION("""COMPUTED_VALUE"""),"713-944-9186")</f>
        <v>713-944-9186</v>
      </c>
      <c r="J106" s="9" t="str">
        <f>IFERROR(__xludf.DUMMYFUNCTION("""COMPUTED_VALUE"""),"29.650727117796862, -95.20147757114398")</f>
        <v>29.650727117796862, -95.20147757114398</v>
      </c>
      <c r="K106" s="9" t="str">
        <f>IFERROR(__xludf.DUMMYFUNCTION("""COMPUTED_VALUE"""),"{""regular"":[{""days"":[""Mo"",""Tu"",""We"",""Th"",""Fr""],""open"":""09:00"",""close"":""18:00""},{""days"":[""Sa""],""open"":""09:00"",""close"":""15:00""}]}")</f>
        <v>{"regular":[{"days":["Mo","Tu","We","Th","Fr"],"open":"09:00","close":"18:00"},{"days":["Sa"],"open":"09:00","close":"15:00"}]}</v>
      </c>
      <c r="L106" s="9" t="str">
        <f>IFERROR(__xludf.DUMMYFUNCTION("""COMPUTED_VALUE"""),"Feb 2nd thru Apr 15th.  Walk-ins only")</f>
        <v>Feb 2nd thru Apr 15th.  Walk-ins only</v>
      </c>
      <c r="M106" s="10">
        <f>IFERROR(__xludf.DUMMYFUNCTION("""COMPUTED_VALUE"""),65.0)</f>
        <v>65</v>
      </c>
      <c r="N106" s="10" t="str">
        <f>IFERROR(__xludf.DUMMYFUNCTION("""COMPUTED_VALUE"""),"Other")</f>
        <v>Other</v>
      </c>
      <c r="O106" s="10">
        <f>IFERROR(__xludf.DUMMYFUNCTION("""COMPUTED_VALUE"""),1.0)</f>
        <v>1</v>
      </c>
      <c r="P106" s="10" t="str">
        <f>IFERROR(__xludf.DUMMYFUNCTION("""COMPUTED_VALUE"""),"ACTIVE")</f>
        <v>ACTIVE</v>
      </c>
      <c r="Q106" s="11">
        <f>IFERROR(__xludf.DUMMYFUNCTION("""COMPUTED_VALUE"""),45859.0)</f>
        <v>45859</v>
      </c>
      <c r="R106" s="9" t="str">
        <f>IFERROR(__xludf.DUMMYFUNCTION("""COMPUTED_VALUE"""),"Verified online")</f>
        <v>Verified online</v>
      </c>
      <c r="S106" s="9" t="str">
        <f>IFERROR(__xludf.DUMMYFUNCTION("""COMPUTED_VALUE"""),"Free income tax preparation assistance.
Must make less than $58,000 per year.
Check website for 18 other locations.")</f>
        <v>Free income tax preparation assistance.
Must make less than $58,000 per year.
Check website for 18 other locations.</v>
      </c>
      <c r="T106" s="12" t="b">
        <f>IFERROR(__xludf.DUMMYFUNCTION("""COMPUTED_VALUE"""),FALSE)</f>
        <v>0</v>
      </c>
      <c r="U106" s="12" t="b">
        <f>IFERROR(__xludf.DUMMYFUNCTION("""COMPUTED_VALUE"""),FALSE)</f>
        <v>0</v>
      </c>
      <c r="V106" s="13" t="str">
        <f>IFERROR(__xludf.DUMMYFUNCTION("""COMPUTED_VALUE"""),"https://bakerripley.org/programs-and-services/tax-assistance/")</f>
        <v>https://bakerripley.org/programs-and-services/tax-assistance/</v>
      </c>
      <c r="W106" s="14" t="str">
        <f>IFERROR(__xludf.DUMMYFUNCTION("""COMPUTED_VALUE"""),"https://www.google.com/maps/place/BakerRipley+Pasadena+Campus/@29.6505499,-95.2040632,16z/data=!3m1!4b1!4m6!3m5!1s0x86409848be95e3f9:0xf225e90340c412f3!8m2!3d29.6505453!4d-95.2014883!16s%2Fg%2F1tkc2h2x?entry=ttu&amp;g_ep=EgoyMDI1MDcxNi4wIKXMDSoASAFQAw%3D%3D")</f>
        <v>https://www.google.com/maps/place/BakerRipley+Pasadena+Campus/@29.6505499,-95.2040632,16z/data=!3m1!4b1!4m6!3m5!1s0x86409848be95e3f9:0xf225e90340c412f3!8m2!3d29.6505453!4d-95.2014883!16s%2Fg%2F1tkc2h2x?entry=ttu&amp;g_ep=EgoyMDI1MDcxNi4wIKXMDSoASAFQAw%3D%3D</v>
      </c>
      <c r="X106" s="10"/>
      <c r="Y106" s="9" t="str">
        <f>IFERROR(__xludf.DUMMYFUNCTION("""COMPUTED_VALUE"""),"Pasadena")</f>
        <v>Pasadena</v>
      </c>
      <c r="Z106" s="9" t="str">
        <f>IFERROR(__xludf.DUMMYFUNCTION("""COMPUTED_VALUE"""),"Highland Farms, Pasadena")</f>
        <v>Highland Farms, Pasadena</v>
      </c>
      <c r="AA106" s="9" t="str">
        <f>IFERROR(__xludf.DUMMYFUNCTION("""COMPUTED_VALUE"""),"BakerRipley")</f>
        <v>BakerRipley</v>
      </c>
      <c r="AB106" s="9" t="str">
        <f>IFERROR(__xludf.DUMMYFUNCTION("""COMPUTED_VALUE"""),"Pasadena")</f>
        <v>Pasadena</v>
      </c>
    </row>
    <row r="107" ht="30.0" customHeight="1">
      <c r="A107" s="17">
        <v>106.0</v>
      </c>
      <c r="B107" s="8" t="str">
        <f>IFERROR(__xludf.DUMMYFUNCTION("""COMPUTED_VALUE"""),"[""99999""]")</f>
        <v>["99999"]</v>
      </c>
      <c r="C107" s="9" t="str">
        <f>IFERROR(__xludf.DUMMYFUNCTION("""COMPUTED_VALUE"""),"BakerRipley Ripley House")</f>
        <v>BakerRipley Ripley House</v>
      </c>
      <c r="D107" s="9" t="str">
        <f>IFERROR(__xludf.DUMMYFUNCTION("""COMPUTED_VALUE"""),"4410 Navigation Blvd")</f>
        <v>4410 Navigation Blvd</v>
      </c>
      <c r="E107" s="9"/>
      <c r="F107" s="9" t="str">
        <f>IFERROR(__xludf.DUMMYFUNCTION("""COMPUTED_VALUE"""),"Houston")</f>
        <v>Houston</v>
      </c>
      <c r="G107" s="9" t="str">
        <f>IFERROR(__xludf.DUMMYFUNCTION("""COMPUTED_VALUE"""),"TX")</f>
        <v>TX</v>
      </c>
      <c r="H107" s="9" t="str">
        <f>IFERROR(__xludf.DUMMYFUNCTION("""COMPUTED_VALUE"""),"77011")</f>
        <v>77011</v>
      </c>
      <c r="I107" s="9" t="str">
        <f>IFERROR(__xludf.DUMMYFUNCTION("""COMPUTED_VALUE"""),"713-315-6400")</f>
        <v>713-315-6400</v>
      </c>
      <c r="J107" s="9" t="str">
        <f>IFERROR(__xludf.DUMMYFUNCTION("""COMPUTED_VALUE"""),"29.752078522054966, -95.32902992682682")</f>
        <v>29.752078522054966, -95.32902992682682</v>
      </c>
      <c r="K107" s="9"/>
      <c r="L107" s="9" t="str">
        <f>IFERROR(__xludf.DUMMYFUNCTION("""COMPUTED_VALUE"""),"Check website for dates and times of Food Fair")</f>
        <v>Check website for dates and times of Food Fair</v>
      </c>
      <c r="M107" s="10">
        <f>IFERROR(__xludf.DUMMYFUNCTION("""COMPUTED_VALUE"""),13.0)</f>
        <v>13</v>
      </c>
      <c r="N107" s="10" t="str">
        <f>IFERROR(__xludf.DUMMYFUNCTION("""COMPUTED_VALUE"""),"Food")</f>
        <v>Food</v>
      </c>
      <c r="O107" s="10">
        <f>IFERROR(__xludf.DUMMYFUNCTION("""COMPUTED_VALUE"""),1.0)</f>
        <v>1</v>
      </c>
      <c r="P107" s="10" t="str">
        <f>IFERROR(__xludf.DUMMYFUNCTION("""COMPUTED_VALUE"""),"ACTIVE")</f>
        <v>ACTIVE</v>
      </c>
      <c r="Q107" s="11">
        <f>IFERROR(__xludf.DUMMYFUNCTION("""COMPUTED_VALUE"""),45859.0)</f>
        <v>45859</v>
      </c>
      <c r="R107" s="9" t="str">
        <f>IFERROR(__xludf.DUMMYFUNCTION("""COMPUTED_VALUE"""),"Verified online")</f>
        <v>Verified online</v>
      </c>
      <c r="S107" s="9" t="str">
        <f>IFERROR(__xludf.DUMMYFUNCTION("""COMPUTED_VALUE"""),"Food Fairs held every month at each BakerRipley Community Center.  But it is very difficult to tell from the website the dates, times and locations of the Food Fairs.
Must meet Houston Food Bank income guidelines and complete a registration form.")</f>
        <v>Food Fairs held every month at each BakerRipley Community Center.  But it is very difficult to tell from the website the dates, times and locations of the Food Fairs.
Must meet Houston Food Bank income guidelines and complete a registration form.</v>
      </c>
      <c r="T107" s="12" t="b">
        <f>IFERROR(__xludf.DUMMYFUNCTION("""COMPUTED_VALUE"""),FALSE)</f>
        <v>0</v>
      </c>
      <c r="U107" s="12" t="b">
        <f>IFERROR(__xludf.DUMMYFUNCTION("""COMPUTED_VALUE"""),FALSE)</f>
        <v>0</v>
      </c>
      <c r="V107" s="13" t="str">
        <f>IFERROR(__xludf.DUMMYFUNCTION("""COMPUTED_VALUE"""),"https://bakerripley.org/programs-and-services/food-and-nutrition/")</f>
        <v>https://bakerripley.org/programs-and-services/food-and-nutrition/</v>
      </c>
      <c r="W107" s="14" t="str">
        <f>IFERROR(__xludf.DUMMYFUNCTION("""COMPUTED_VALUE"""),"https://www.google.com/maps/place/BakerRipley+Ripley+House/@29.7518456,-95.3316692,17z/data=!3m1!4b1!4m6!3m5!1s0x8640bebfd5d96797:0x994dbc38517e129a!8m2!3d29.751841!4d-95.3290943!16s%2Fg%2F1vyn478z?entry=ttu&amp;g_ep=EgoyMDI1MDcxNi4wIKXMDSoASAFQAw%3D%3D")</f>
        <v>https://www.google.com/maps/place/BakerRipley+Ripley+House/@29.7518456,-95.3316692,17z/data=!3m1!4b1!4m6!3m5!1s0x8640bebfd5d96797:0x994dbc38517e129a!8m2!3d29.751841!4d-95.3290943!16s%2Fg%2F1vyn478z?entry=ttu&amp;g_ep=EgoyMDI1MDcxNi4wIKXMDSoASAFQAw%3D%3D</v>
      </c>
      <c r="X107" s="10"/>
      <c r="Y107" s="9" t="str">
        <f>IFERROR(__xludf.DUMMYFUNCTION("""COMPUTED_VALUE"""),"Houston")</f>
        <v>Houston</v>
      </c>
      <c r="Z107" s="9" t="str">
        <f>IFERROR(__xludf.DUMMYFUNCTION("""COMPUTED_VALUE"""),"Eastwood, Magnolia Park, Second Ward, South Central Houston")</f>
        <v>Eastwood, Magnolia Park, Second Ward, South Central Houston</v>
      </c>
      <c r="AA107" s="9" t="str">
        <f>IFERROR(__xludf.DUMMYFUNCTION("""COMPUTED_VALUE"""),"BakerRipley")</f>
        <v>BakerRipley</v>
      </c>
      <c r="AB107" s="9" t="str">
        <f>IFERROR(__xludf.DUMMYFUNCTION("""COMPUTED_VALUE"""),"South Central Houston")</f>
        <v>South Central Houston</v>
      </c>
    </row>
    <row r="108" ht="30.0" customHeight="1">
      <c r="A108" s="17">
        <v>107.0</v>
      </c>
      <c r="B108" s="8" t="str">
        <f>IFERROR(__xludf.DUMMYFUNCTION("""COMPUTED_VALUE"""),"[""99999""]")</f>
        <v>["99999"]</v>
      </c>
      <c r="C108" s="9" t="str">
        <f>IFERROR(__xludf.DUMMYFUNCTION("""COMPUTED_VALUE"""),"BakerRipley Ripley House")</f>
        <v>BakerRipley Ripley House</v>
      </c>
      <c r="D108" s="9" t="str">
        <f>IFERROR(__xludf.DUMMYFUNCTION("""COMPUTED_VALUE"""),"4410 Navigation Blvd")</f>
        <v>4410 Navigation Blvd</v>
      </c>
      <c r="E108" s="9"/>
      <c r="F108" s="9" t="str">
        <f>IFERROR(__xludf.DUMMYFUNCTION("""COMPUTED_VALUE"""),"Houston")</f>
        <v>Houston</v>
      </c>
      <c r="G108" s="9" t="str">
        <f>IFERROR(__xludf.DUMMYFUNCTION("""COMPUTED_VALUE"""),"TX")</f>
        <v>TX</v>
      </c>
      <c r="H108" s="9" t="str">
        <f>IFERROR(__xludf.DUMMYFUNCTION("""COMPUTED_VALUE"""),"77011")</f>
        <v>77011</v>
      </c>
      <c r="I108" s="9" t="str">
        <f>IFERROR(__xludf.DUMMYFUNCTION("""COMPUTED_VALUE"""),"346-867-3871")</f>
        <v>346-867-3871</v>
      </c>
      <c r="J108" s="9" t="str">
        <f>IFERROR(__xludf.DUMMYFUNCTION("""COMPUTED_VALUE"""),"29.752227529878382, -95.32915867530873")</f>
        <v>29.752227529878382, -95.32915867530873</v>
      </c>
      <c r="K108" s="9" t="str">
        <f>IFERROR(__xludf.DUMMYFUNCTION("""COMPUTED_VALUE"""),"{""regular"":[{""days"":[""Mo""],""open"":""09:00"",""close"":""17:00""}]}")</f>
        <v>{"regular":[{"days":["Mo"],"open":"09:00","close":"17:00"}]}</v>
      </c>
      <c r="L108" s="9" t="str">
        <f>IFERROR(__xludf.DUMMYFUNCTION("""COMPUTED_VALUE"""),"Consultations are scheduled on the last Monday of each month")</f>
        <v>Consultations are scheduled on the last Monday of each month</v>
      </c>
      <c r="M108" s="10">
        <f>IFERROR(__xludf.DUMMYFUNCTION("""COMPUTED_VALUE"""),55.0)</f>
        <v>55</v>
      </c>
      <c r="N108" s="10" t="str">
        <f>IFERROR(__xludf.DUMMYFUNCTION("""COMPUTED_VALUE"""),"Immigration")</f>
        <v>Immigration</v>
      </c>
      <c r="O108" s="10">
        <f>IFERROR(__xludf.DUMMYFUNCTION("""COMPUTED_VALUE"""),1.0)</f>
        <v>1</v>
      </c>
      <c r="P108" s="10" t="str">
        <f>IFERROR(__xludf.DUMMYFUNCTION("""COMPUTED_VALUE"""),"ACTIVE")</f>
        <v>ACTIVE</v>
      </c>
      <c r="Q108" s="11">
        <f>IFERROR(__xludf.DUMMYFUNCTION("""COMPUTED_VALUE"""),45879.0)</f>
        <v>45879</v>
      </c>
      <c r="R108" s="9" t="str">
        <f>IFERROR(__xludf.DUMMYFUNCTION("""COMPUTED_VALUE"""),"Verified online")</f>
        <v>Verified online</v>
      </c>
      <c r="S108" s="9" t="str">
        <f>IFERROR(__xludf.DUMMYFUNCTION("""COMPUTED_VALUE"""),"All new legal clients must first attend a consultation.  This is free of charge and scheduled on the last Monday of each month.
Services include, asylum seekers, permanent residents seeking citizenship, green card renewal, petition for a family member, ap"&amp;"ply for work permit, renew DACA status.
Periodic citizenship forums (limited to first 75 participants) for permanent residents.
Citizenship classes.")</f>
        <v>All new legal clients must first attend a consultation.  This is free of charge and scheduled on the last Monday of each month.
Services include, asylum seekers, permanent residents seeking citizenship, green card renewal, petition for a family member, apply for work permit, renew DACA status.
Periodic citizenship forums (limited to first 75 participants) for permanent residents.
Citizenship classes.</v>
      </c>
      <c r="T108" s="12" t="b">
        <f>IFERROR(__xludf.DUMMYFUNCTION("""COMPUTED_VALUE"""),FALSE)</f>
        <v>0</v>
      </c>
      <c r="U108" s="12" t="b">
        <f>IFERROR(__xludf.DUMMYFUNCTION("""COMPUTED_VALUE"""),FALSE)</f>
        <v>0</v>
      </c>
      <c r="V108" s="13" t="str">
        <f>IFERROR(__xludf.DUMMYFUNCTION("""COMPUTED_VALUE"""),"https://bakerripley.org/programs-and-services/immigration-and-citizenship-services/")</f>
        <v>https://bakerripley.org/programs-and-services/immigration-and-citizenship-services/</v>
      </c>
      <c r="W108" s="14" t="str">
        <f>IFERROR(__xludf.DUMMYFUNCTION("""COMPUTED_VALUE"""),"https://www.google.com/maps/place/BakerRipley+Ripley+House/@29.7518456,-95.3316692,16z/data=!3m1!4b1!4m6!3m5!1s0x8640bebfd5d96797:0x994dbc38517e129a!8m2!3d29.751841!4d-95.3290943!16s%2Fg%2F1vyn478z?entry=ttu&amp;g_ep=EgoyMDI1MDgwNi4wIKXMDSoASAFQAw%3D%3D")</f>
        <v>https://www.google.com/maps/place/BakerRipley+Ripley+House/@29.7518456,-95.3316692,16z/data=!3m1!4b1!4m6!3m5!1s0x8640bebfd5d96797:0x994dbc38517e129a!8m2!3d29.751841!4d-95.3290943!16s%2Fg%2F1vyn478z?entry=ttu&amp;g_ep=EgoyMDI1MDgwNi4wIKXMDSoASAFQAw%3D%3D</v>
      </c>
      <c r="X108" s="10"/>
      <c r="Y108" s="9" t="str">
        <f>IFERROR(__xludf.DUMMYFUNCTION("""COMPUTED_VALUE"""),"Houston")</f>
        <v>Houston</v>
      </c>
      <c r="Z108" s="9" t="str">
        <f>IFERROR(__xludf.DUMMYFUNCTION("""COMPUTED_VALUE"""),"Eastwood, Magnolia Park, Second Ward, South Central Houston")</f>
        <v>Eastwood, Magnolia Park, Second Ward, South Central Houston</v>
      </c>
      <c r="AA108" s="9" t="str">
        <f>IFERROR(__xludf.DUMMYFUNCTION("""COMPUTED_VALUE"""),"BakerRipley")</f>
        <v>BakerRipley</v>
      </c>
      <c r="AB108" s="9" t="str">
        <f>IFERROR(__xludf.DUMMYFUNCTION("""COMPUTED_VALUE"""),"South Central Houston")</f>
        <v>South Central Houston</v>
      </c>
    </row>
    <row r="109" ht="30.0" customHeight="1">
      <c r="A109" s="17">
        <v>108.0</v>
      </c>
      <c r="B109" s="8" t="str">
        <f>IFERROR(__xludf.DUMMYFUNCTION("""COMPUTED_VALUE"""),"[""99999""]")</f>
        <v>["99999"]</v>
      </c>
      <c r="C109" s="9" t="str">
        <f>IFERROR(__xludf.DUMMYFUNCTION("""COMPUTED_VALUE"""),"BakerRipley Ripley House")</f>
        <v>BakerRipley Ripley House</v>
      </c>
      <c r="D109" s="9" t="str">
        <f>IFERROR(__xludf.DUMMYFUNCTION("""COMPUTED_VALUE"""),"4410 Navigation Blvd")</f>
        <v>4410 Navigation Blvd</v>
      </c>
      <c r="E109" s="9"/>
      <c r="F109" s="9" t="str">
        <f>IFERROR(__xludf.DUMMYFUNCTION("""COMPUTED_VALUE"""),"Houston")</f>
        <v>Houston</v>
      </c>
      <c r="G109" s="9" t="str">
        <f>IFERROR(__xludf.DUMMYFUNCTION("""COMPUTED_VALUE"""),"TX")</f>
        <v>TX</v>
      </c>
      <c r="H109" s="9" t="str">
        <f>IFERROR(__xludf.DUMMYFUNCTION("""COMPUTED_VALUE"""),"77011")</f>
        <v>77011</v>
      </c>
      <c r="I109" s="9" t="str">
        <f>IFERROR(__xludf.DUMMYFUNCTION("""COMPUTED_VALUE"""),"346-867-3871")</f>
        <v>346-867-3871</v>
      </c>
      <c r="J109" s="9" t="str">
        <f>IFERROR(__xludf.DUMMYFUNCTION("""COMPUTED_VALUE"""),"29.752227529878382, -95.32915867530873")</f>
        <v>29.752227529878382, -95.32915867530873</v>
      </c>
      <c r="K109" s="9" t="str">
        <f>IFERROR(__xludf.DUMMYFUNCTION("""COMPUTED_VALUE"""),"{""regular"":[{""days"":[""Mo"",""Tu"",""We"",""Th"",""Fr""],""open"":""09:00"",""close"":""18:00""},{""days"":[""Sa""],""open"":""09:00"",""close"":""15:00""}]}")</f>
        <v>{"regular":[{"days":["Mo","Tu","We","Th","Fr"],"open":"09:00","close":"18:00"},{"days":["Sa"],"open":"09:00","close":"15:00"}]}</v>
      </c>
      <c r="L109" s="9" t="str">
        <f>IFERROR(__xludf.DUMMYFUNCTION("""COMPUTED_VALUE"""),"Feb 2nd thru Apr 15th.  Walk-ins only")</f>
        <v>Feb 2nd thru Apr 15th.  Walk-ins only</v>
      </c>
      <c r="M109" s="10">
        <f>IFERROR(__xludf.DUMMYFUNCTION("""COMPUTED_VALUE"""),65.0)</f>
        <v>65</v>
      </c>
      <c r="N109" s="10" t="str">
        <f>IFERROR(__xludf.DUMMYFUNCTION("""COMPUTED_VALUE"""),"Other")</f>
        <v>Other</v>
      </c>
      <c r="O109" s="10">
        <f>IFERROR(__xludf.DUMMYFUNCTION("""COMPUTED_VALUE"""),1.0)</f>
        <v>1</v>
      </c>
      <c r="P109" s="10" t="str">
        <f>IFERROR(__xludf.DUMMYFUNCTION("""COMPUTED_VALUE"""),"ACTIVE")</f>
        <v>ACTIVE</v>
      </c>
      <c r="Q109" s="11">
        <f>IFERROR(__xludf.DUMMYFUNCTION("""COMPUTED_VALUE"""),46033.0)</f>
        <v>46033</v>
      </c>
      <c r="R109" s="9" t="str">
        <f>IFERROR(__xludf.DUMMYFUNCTION("""COMPUTED_VALUE"""),"Verified online")</f>
        <v>Verified online</v>
      </c>
      <c r="S109" s="9" t="str">
        <f>IFERROR(__xludf.DUMMYFUNCTION("""COMPUTED_VALUE"""),"Free income tax preparation assistance.
Must make less than $58,000 per year.
Check website for 18 other locations.")</f>
        <v>Free income tax preparation assistance.
Must make less than $58,000 per year.
Check website for 18 other locations.</v>
      </c>
      <c r="T109" s="12" t="b">
        <f>IFERROR(__xludf.DUMMYFUNCTION("""COMPUTED_VALUE"""),FALSE)</f>
        <v>0</v>
      </c>
      <c r="U109" s="12" t="b">
        <f>IFERROR(__xludf.DUMMYFUNCTION("""COMPUTED_VALUE"""),FALSE)</f>
        <v>0</v>
      </c>
      <c r="V109" s="13" t="str">
        <f>IFERROR(__xludf.DUMMYFUNCTION("""COMPUTED_VALUE"""),"https://bakerripley.org/programs-and-services/tax-assistance/")</f>
        <v>https://bakerripley.org/programs-and-services/tax-assistance/</v>
      </c>
      <c r="W109" s="14" t="str">
        <f>IFERROR(__xludf.DUMMYFUNCTION("""COMPUTED_VALUE"""),"https://www.google.com/maps/place/BakerRipley+Ripley+House/@29.7518456,-95.3316692,16z/data=!3m1!4b1!4m6!3m5!1s0x8640bebfd5d96797:0x994dbc38517e129a!8m2!3d29.751841!4d-95.3290943!16s%2Fg%2F1vyn478z?entry=ttu&amp;g_ep=EgoyMDI1MDgwNi4wIKXMDSoASAFQAw%3D%3D")</f>
        <v>https://www.google.com/maps/place/BakerRipley+Ripley+House/@29.7518456,-95.3316692,16z/data=!3m1!4b1!4m6!3m5!1s0x8640bebfd5d96797:0x994dbc38517e129a!8m2!3d29.751841!4d-95.3290943!16s%2Fg%2F1vyn478z?entry=ttu&amp;g_ep=EgoyMDI1MDgwNi4wIKXMDSoASAFQAw%3D%3D</v>
      </c>
      <c r="X109" s="10"/>
      <c r="Y109" s="9" t="str">
        <f>IFERROR(__xludf.DUMMYFUNCTION("""COMPUTED_VALUE"""),"Houston")</f>
        <v>Houston</v>
      </c>
      <c r="Z109" s="9" t="str">
        <f>IFERROR(__xludf.DUMMYFUNCTION("""COMPUTED_VALUE"""),"Eastwood, Magnolia Park, Second Ward, South Central Houston")</f>
        <v>Eastwood, Magnolia Park, Second Ward, South Central Houston</v>
      </c>
      <c r="AA109" s="9" t="str">
        <f>IFERROR(__xludf.DUMMYFUNCTION("""COMPUTED_VALUE"""),"BakerRipley")</f>
        <v>BakerRipley</v>
      </c>
      <c r="AB109" s="9" t="str">
        <f>IFERROR(__xludf.DUMMYFUNCTION("""COMPUTED_VALUE"""),"South Central Houston")</f>
        <v>South Central Houston</v>
      </c>
    </row>
    <row r="110" ht="30.0" customHeight="1">
      <c r="A110" s="17">
        <v>109.0</v>
      </c>
      <c r="B110" s="8" t="str">
        <f>IFERROR(__xludf.DUMMYFUNCTION("""COMPUTED_VALUE"""),"[""99999""]")</f>
        <v>["99999"]</v>
      </c>
      <c r="C110" s="9" t="str">
        <f>IFERROR(__xludf.DUMMYFUNCTION("""COMPUTED_VALUE"""),"BakerRipley Ripley House")</f>
        <v>BakerRipley Ripley House</v>
      </c>
      <c r="D110" s="9" t="str">
        <f>IFERROR(__xludf.DUMMYFUNCTION("""COMPUTED_VALUE"""),"4410 Navigation Blvd")</f>
        <v>4410 Navigation Blvd</v>
      </c>
      <c r="E110" s="9"/>
      <c r="F110" s="9" t="str">
        <f>IFERROR(__xludf.DUMMYFUNCTION("""COMPUTED_VALUE"""),"Houston")</f>
        <v>Houston</v>
      </c>
      <c r="G110" s="9" t="str">
        <f>IFERROR(__xludf.DUMMYFUNCTION("""COMPUTED_VALUE"""),"TX")</f>
        <v>TX</v>
      </c>
      <c r="H110" s="9" t="str">
        <f>IFERROR(__xludf.DUMMYFUNCTION("""COMPUTED_VALUE"""),"77011")</f>
        <v>77011</v>
      </c>
      <c r="I110" s="9" t="str">
        <f>IFERROR(__xludf.DUMMYFUNCTION("""COMPUTED_VALUE"""),"346-867-3871")</f>
        <v>346-867-3871</v>
      </c>
      <c r="J110" s="9" t="str">
        <f>IFERROR(__xludf.DUMMYFUNCTION("""COMPUTED_VALUE"""),"29.752227529878382, -95.32915867530873")</f>
        <v>29.752227529878382, -95.32915867530873</v>
      </c>
      <c r="K110" s="9" t="str">
        <f>IFERROR(__xludf.DUMMYFUNCTION("""COMPUTED_VALUE"""),"{""regular"":[{""days"":[""Mo"",""Tu"",""We"",""Th"",""Fr""],""open"":""10:00"",""close"":""19:00""}]}")</f>
        <v>{"regular":[{"days":["Mo","Tu","We","Th","Fr"],"open":"10:00","close":"19:00"}]}</v>
      </c>
      <c r="L110" s="9"/>
      <c r="M110" s="10">
        <f>IFERROR(__xludf.DUMMYFUNCTION("""COMPUTED_VALUE"""),65.0)</f>
        <v>65</v>
      </c>
      <c r="N110" s="10" t="str">
        <f>IFERROR(__xludf.DUMMYFUNCTION("""COMPUTED_VALUE"""),"Other")</f>
        <v>Other</v>
      </c>
      <c r="O110" s="10">
        <f>IFERROR(__xludf.DUMMYFUNCTION("""COMPUTED_VALUE"""),1.0)</f>
        <v>1</v>
      </c>
      <c r="P110" s="10" t="str">
        <f>IFERROR(__xludf.DUMMYFUNCTION("""COMPUTED_VALUE"""),"ACTIVE")</f>
        <v>ACTIVE</v>
      </c>
      <c r="Q110" s="11">
        <f>IFERROR(__xludf.DUMMYFUNCTION("""COMPUTED_VALUE"""),46033.0)</f>
        <v>46033</v>
      </c>
      <c r="R110" s="9" t="str">
        <f>IFERROR(__xludf.DUMMYFUNCTION("""COMPUTED_VALUE"""),"Verified online")</f>
        <v>Verified online</v>
      </c>
      <c r="S110" s="9" t="str">
        <f>IFERROR(__xludf.DUMMYFUNCTION("""COMPUTED_VALUE"""),"Entrepreneur Connection helps starting a business.
Includes providing education, business coaching, networking events, resources and access to capital.  ")</f>
        <v>Entrepreneur Connection helps starting a business.
Includes providing education, business coaching, networking events, resources and access to capital.  </v>
      </c>
      <c r="T110" s="12" t="b">
        <f>IFERROR(__xludf.DUMMYFUNCTION("""COMPUTED_VALUE"""),FALSE)</f>
        <v>0</v>
      </c>
      <c r="U110" s="12" t="b">
        <f>IFERROR(__xludf.DUMMYFUNCTION("""COMPUTED_VALUE"""),FALSE)</f>
        <v>0</v>
      </c>
      <c r="V110" s="13" t="str">
        <f>IFERROR(__xludf.DUMMYFUNCTION("""COMPUTED_VALUE"""),"https://bakerripley.org/locations/ripley-house/")</f>
        <v>https://bakerripley.org/locations/ripley-house/</v>
      </c>
      <c r="W110" s="14" t="str">
        <f>IFERROR(__xludf.DUMMYFUNCTION("""COMPUTED_VALUE"""),"https://www.google.com/maps/place/BakerRipley+Ripley+House/@29.7518456,-95.3316692,16z/data=!3m1!4b1!4m6!3m5!1s0x8640bebfd5d96797:0x994dbc38517e129a!8m2!3d29.751841!4d-95.3290943!16s%2Fg%2F1vyn478z?entry=ttu&amp;g_ep=EgoyMDI1MDgwNi4wIKXMDSoASAFQAw%3D%3D")</f>
        <v>https://www.google.com/maps/place/BakerRipley+Ripley+House/@29.7518456,-95.3316692,16z/data=!3m1!4b1!4m6!3m5!1s0x8640bebfd5d96797:0x994dbc38517e129a!8m2!3d29.751841!4d-95.3290943!16s%2Fg%2F1vyn478z?entry=ttu&amp;g_ep=EgoyMDI1MDgwNi4wIKXMDSoASAFQAw%3D%3D</v>
      </c>
      <c r="X110" s="10"/>
      <c r="Y110" s="9" t="str">
        <f>IFERROR(__xludf.DUMMYFUNCTION("""COMPUTED_VALUE"""),"Houston")</f>
        <v>Houston</v>
      </c>
      <c r="Z110" s="9" t="str">
        <f>IFERROR(__xludf.DUMMYFUNCTION("""COMPUTED_VALUE"""),"Eastwood, Magnolia Park, Second Ward, South Central Houston")</f>
        <v>Eastwood, Magnolia Park, Second Ward, South Central Houston</v>
      </c>
      <c r="AA110" s="9" t="str">
        <f>IFERROR(__xludf.DUMMYFUNCTION("""COMPUTED_VALUE"""),"BakerRipley")</f>
        <v>BakerRipley</v>
      </c>
      <c r="AB110" s="9" t="str">
        <f>IFERROR(__xludf.DUMMYFUNCTION("""COMPUTED_VALUE"""),"South Central Houston")</f>
        <v>South Central Houston</v>
      </c>
    </row>
    <row r="111" ht="30.0" customHeight="1">
      <c r="A111" s="17">
        <v>110.0</v>
      </c>
      <c r="B111" s="8" t="str">
        <f>IFERROR(__xludf.DUMMYFUNCTION("""COMPUTED_VALUE"""),"[""99999""]")</f>
        <v>["99999"]</v>
      </c>
      <c r="C111" s="9" t="str">
        <f>IFERROR(__xludf.DUMMYFUNCTION("""COMPUTED_VALUE"""),"Bammel Church of Christ")</f>
        <v>Bammel Church of Christ</v>
      </c>
      <c r="D111" s="9" t="str">
        <f>IFERROR(__xludf.DUMMYFUNCTION("""COMPUTED_VALUE"""),"3118 Blodgett Street")</f>
        <v>3118 Blodgett Street</v>
      </c>
      <c r="E111" s="9"/>
      <c r="F111" s="9" t="str">
        <f>IFERROR(__xludf.DUMMYFUNCTION("""COMPUTED_VALUE"""),"Houston")</f>
        <v>Houston</v>
      </c>
      <c r="G111" s="9" t="str">
        <f>IFERROR(__xludf.DUMMYFUNCTION("""COMPUTED_VALUE"""),"TX")</f>
        <v>TX</v>
      </c>
      <c r="H111" s="9" t="str">
        <f>IFERROR(__xludf.DUMMYFUNCTION("""COMPUTED_VALUE"""),"77004")</f>
        <v>77004</v>
      </c>
      <c r="I111" s="9" t="str">
        <f>IFERROR(__xludf.DUMMYFUNCTION("""COMPUTED_VALUE"""),"713-529-3381")</f>
        <v>713-529-3381</v>
      </c>
      <c r="J111" s="9" t="str">
        <f>IFERROR(__xludf.DUMMYFUNCTION("""COMPUTED_VALUE"""),"29.7213168585859, -95.3664092929293")</f>
        <v>29.7213168585859, -95.3664092929293</v>
      </c>
      <c r="K111" s="9" t="str">
        <f>IFERROR(__xludf.DUMMYFUNCTION("""COMPUTED_VALUE"""),"{""regular"":[{""days"":[""Sa""],""open"":""10:00"",""close"":""12:00""}]}")</f>
        <v>{"regular":[{"days":["Sa"],"open":"10:00","close":"12:00"}]}</v>
      </c>
      <c r="L111" s="9"/>
      <c r="M111" s="10">
        <f>IFERROR(__xludf.DUMMYFUNCTION("""COMPUTED_VALUE"""),13.0)</f>
        <v>13</v>
      </c>
      <c r="N111" s="10" t="str">
        <f>IFERROR(__xludf.DUMMYFUNCTION("""COMPUTED_VALUE"""),"Food")</f>
        <v>Food</v>
      </c>
      <c r="O111" s="10">
        <f>IFERROR(__xludf.DUMMYFUNCTION("""COMPUTED_VALUE"""),1.0)</f>
        <v>1</v>
      </c>
      <c r="P111" s="10" t="str">
        <f>IFERROR(__xludf.DUMMYFUNCTION("""COMPUTED_VALUE"""),"ACTIVE")</f>
        <v>ACTIVE</v>
      </c>
      <c r="Q111" s="11">
        <f>IFERROR(__xludf.DUMMYFUNCTION("""COMPUTED_VALUE"""),45637.0)</f>
        <v>45637</v>
      </c>
      <c r="R111" s="9"/>
      <c r="S111" s="9" t="str">
        <f>IFERROR(__xludf.DUMMYFUNCTION("""COMPUTED_VALUE"""),"Also known as The Manna House.
ID not required
Assistance once every two months.")</f>
        <v>Also known as The Manna House.
ID not required
Assistance once every two months.</v>
      </c>
      <c r="T111" s="12" t="b">
        <f>IFERROR(__xludf.DUMMYFUNCTION("""COMPUTED_VALUE"""),FALSE)</f>
        <v>0</v>
      </c>
      <c r="U111" s="12" t="b">
        <f>IFERROR(__xludf.DUMMYFUNCTION("""COMPUTED_VALUE"""),FALSE)</f>
        <v>0</v>
      </c>
      <c r="V111" s="13" t="str">
        <f>IFERROR(__xludf.DUMMYFUNCTION("""COMPUTED_VALUE"""),"https://www.bammel.org/mannapantry")</f>
        <v>https://www.bammel.org/mannapantry</v>
      </c>
      <c r="W111" s="14" t="str">
        <f>IFERROR(__xludf.DUMMYFUNCTION("""COMPUTED_VALUE"""),"https://www.google.com/maps/place/Manna+House/@29.7209358,-95.3687566,17z/data=!3m1!4b1!4m6!3m5!1s0x8640bfa420ee30cf:0xccef13e174be7a2!8m2!3d29.7209358!4d-95.3661817!16s%2Fg%2F1tqty7xv?entry=ttu&amp;g_ep=EgoyMDI0MTIwOS4wIKXMDSoASAFQAw%3D%3D")</f>
        <v>https://www.google.com/maps/place/Manna+House/@29.7209358,-95.3687566,17z/data=!3m1!4b1!4m6!3m5!1s0x8640bfa420ee30cf:0xccef13e174be7a2!8m2!3d29.7209358!4d-95.3661817!16s%2Fg%2F1tqty7xv?entry=ttu&amp;g_ep=EgoyMDI0MTIwOS4wIKXMDSoASAFQAw%3D%3D</v>
      </c>
      <c r="X111" s="10"/>
      <c r="Y111" s="9" t="str">
        <f>IFERROR(__xludf.DUMMYFUNCTION("""COMPUTED_VALUE"""),"Houston")</f>
        <v>Houston</v>
      </c>
      <c r="Z111"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111" s="9" t="str">
        <f>IFERROR(__xludf.DUMMYFUNCTION("""COMPUTED_VALUE"""),"Bammel Church of Christ")</f>
        <v>Bammel Church of Christ</v>
      </c>
      <c r="AB111" s="9" t="str">
        <f>IFERROR(__xludf.DUMMYFUNCTION("""COMPUTED_VALUE"""),"South Side")</f>
        <v>South Side</v>
      </c>
    </row>
    <row r="112" ht="30.0" customHeight="1">
      <c r="A112" s="17">
        <v>111.0</v>
      </c>
      <c r="B112" s="8" t="str">
        <f>IFERROR(__xludf.DUMMYFUNCTION("""COMPUTED_VALUE"""),"[""99999""]")</f>
        <v>["99999"]</v>
      </c>
      <c r="C112" s="9" t="str">
        <f>IFERROR(__xludf.DUMMYFUNCTION("""COMPUTED_VALUE"""),"Bammel Church of Christ")</f>
        <v>Bammel Church of Christ</v>
      </c>
      <c r="D112" s="9" t="str">
        <f>IFERROR(__xludf.DUMMYFUNCTION("""COMPUTED_VALUE"""),"3118 Blodgett Street")</f>
        <v>3118 Blodgett Street</v>
      </c>
      <c r="E112" s="9"/>
      <c r="F112" s="9" t="str">
        <f>IFERROR(__xludf.DUMMYFUNCTION("""COMPUTED_VALUE"""),"Houston")</f>
        <v>Houston</v>
      </c>
      <c r="G112" s="9" t="str">
        <f>IFERROR(__xludf.DUMMYFUNCTION("""COMPUTED_VALUE"""),"TX")</f>
        <v>TX</v>
      </c>
      <c r="H112" s="9" t="str">
        <f>IFERROR(__xludf.DUMMYFUNCTION("""COMPUTED_VALUE"""),"77004")</f>
        <v>77004</v>
      </c>
      <c r="I112" s="9" t="str">
        <f>IFERROR(__xludf.DUMMYFUNCTION("""COMPUTED_VALUE"""),"713-529-3381")</f>
        <v>713-529-3381</v>
      </c>
      <c r="J112" s="9" t="str">
        <f>IFERROR(__xludf.DUMMYFUNCTION("""COMPUTED_VALUE"""),"29.7213168585859, -95.3664092929293")</f>
        <v>29.7213168585859, -95.3664092929293</v>
      </c>
      <c r="K112" s="9" t="str">
        <f>IFERROR(__xludf.DUMMYFUNCTION("""COMPUTED_VALUE"""),"{""regular"":[{""days"":[""Mo"",""Tu"",""We"",""Th""],""open"":""09:00"",""close"":""17:00""},{""days"":[""Fr""],""open"":""09:00"",""close"":""15:00""}]}")</f>
        <v>{"regular":[{"days":["Mo","Tu","We","Th"],"open":"09:00","close":"17:00"},{"days":["Fr"],"open":"09:00","close":"15:00"}]}</v>
      </c>
      <c r="L112" s="9"/>
      <c r="M112" s="10">
        <f>IFERROR(__xludf.DUMMYFUNCTION("""COMPUTED_VALUE"""),14.0)</f>
        <v>14</v>
      </c>
      <c r="N112" s="10" t="str">
        <f>IFERROR(__xludf.DUMMYFUNCTION("""COMPUTED_VALUE"""),"Clothing")</f>
        <v>Clothing</v>
      </c>
      <c r="O112" s="10">
        <f>IFERROR(__xludf.DUMMYFUNCTION("""COMPUTED_VALUE"""),1.0)</f>
        <v>1</v>
      </c>
      <c r="P112" s="10" t="str">
        <f>IFERROR(__xludf.DUMMYFUNCTION("""COMPUTED_VALUE"""),"ACTIVE")</f>
        <v>ACTIVE</v>
      </c>
      <c r="Q112" s="11">
        <f>IFERROR(__xludf.DUMMYFUNCTION("""COMPUTED_VALUE"""),45637.0)</f>
        <v>45637</v>
      </c>
      <c r="R112" s="9"/>
      <c r="S112" s="9" t="str">
        <f>IFERROR(__xludf.DUMMYFUNCTION("""COMPUTED_VALUE"""),"ID not required
Assistance once every two months.")</f>
        <v>ID not required
Assistance once every two months.</v>
      </c>
      <c r="T112" s="12" t="b">
        <f>IFERROR(__xludf.DUMMYFUNCTION("""COMPUTED_VALUE"""),FALSE)</f>
        <v>0</v>
      </c>
      <c r="U112" s="12" t="b">
        <f>IFERROR(__xludf.DUMMYFUNCTION("""COMPUTED_VALUE"""),FALSE)</f>
        <v>0</v>
      </c>
      <c r="V112" s="13" t="str">
        <f>IFERROR(__xludf.DUMMYFUNCTION("""COMPUTED_VALUE"""),"https://www.bammel.org/mannapantry")</f>
        <v>https://www.bammel.org/mannapantry</v>
      </c>
      <c r="W112" s="14" t="str">
        <f>IFERROR(__xludf.DUMMYFUNCTION("""COMPUTED_VALUE"""),"https://www.google.com/maps/place/Manna+House/@29.7209358,-95.3687566,17z/data=!3m1!4b1!4m6!3m5!1s0x8640bfa420ee30cf:0xccef13e174be7a2!8m2!3d29.7209358!4d-95.3661817!16s%2Fg%2F1tqty7xv?entry=ttu&amp;g_ep=EgoyMDI0MTIwOS4wIKXMDSoASAFQAw%3D%3D")</f>
        <v>https://www.google.com/maps/place/Manna+House/@29.7209358,-95.3687566,17z/data=!3m1!4b1!4m6!3m5!1s0x8640bfa420ee30cf:0xccef13e174be7a2!8m2!3d29.7209358!4d-95.3661817!16s%2Fg%2F1tqty7xv?entry=ttu&amp;g_ep=EgoyMDI0MTIwOS4wIKXMDSoASAFQAw%3D%3D</v>
      </c>
      <c r="X112" s="10"/>
      <c r="Y112" s="9" t="str">
        <f>IFERROR(__xludf.DUMMYFUNCTION("""COMPUTED_VALUE"""),"Houston")</f>
        <v>Houston</v>
      </c>
      <c r="Z112"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112" s="9" t="str">
        <f>IFERROR(__xludf.DUMMYFUNCTION("""COMPUTED_VALUE"""),"Bammel Church of Christ")</f>
        <v>Bammel Church of Christ</v>
      </c>
      <c r="AB112" s="9" t="str">
        <f>IFERROR(__xludf.DUMMYFUNCTION("""COMPUTED_VALUE"""),"South Side")</f>
        <v>South Side</v>
      </c>
    </row>
    <row r="113" ht="30.0" customHeight="1">
      <c r="A113" s="17">
        <v>112.0</v>
      </c>
      <c r="B113" s="8" t="str">
        <f>IFERROR(__xludf.DUMMYFUNCTION("""COMPUTED_VALUE"""),"[""99999""]")</f>
        <v>["99999"]</v>
      </c>
      <c r="C113" s="9" t="str">
        <f>IFERROR(__xludf.DUMMYFUNCTION("""COMPUTED_VALUE"""),"BARC Animal Shelter &amp; Adoptions")</f>
        <v>BARC Animal Shelter &amp; Adoptions</v>
      </c>
      <c r="D113" s="9" t="str">
        <f>IFERROR(__xludf.DUMMYFUNCTION("""COMPUTED_VALUE"""),"3300 Carr Street")</f>
        <v>3300 Carr Street</v>
      </c>
      <c r="E113" s="9"/>
      <c r="F113" s="9" t="str">
        <f>IFERROR(__xludf.DUMMYFUNCTION("""COMPUTED_VALUE"""),"Houston")</f>
        <v>Houston</v>
      </c>
      <c r="G113" s="9" t="str">
        <f>IFERROR(__xludf.DUMMYFUNCTION("""COMPUTED_VALUE"""),"TX")</f>
        <v>TX</v>
      </c>
      <c r="H113" s="9" t="str">
        <f>IFERROR(__xludf.DUMMYFUNCTION("""COMPUTED_VALUE"""),"77026")</f>
        <v>77026</v>
      </c>
      <c r="I113" s="9" t="str">
        <f>IFERROR(__xludf.DUMMYFUNCTION("""COMPUTED_VALUE"""),"832-395-9084")</f>
        <v>832-395-9084</v>
      </c>
      <c r="J113" s="9" t="str">
        <f>IFERROR(__xludf.DUMMYFUNCTION("""COMPUTED_VALUE"""),"29.79262986853065, -95.34475090216688")</f>
        <v>29.79262986853065, -95.34475090216688</v>
      </c>
      <c r="K113" s="9" t="str">
        <f>IFERROR(__xludf.DUMMYFUNCTION("""COMPUTED_VALUE"""),"{""regular"":[{""days"":[""Tu"",""We"",""Th"",""Fr"",""Sa"",""Su""],""open"":""12:00"",""close"":""17:00""}]}")</f>
        <v>{"regular":[{"days":["Tu","We","Th","Fr","Sa","Su"],"open":"12:00","close":"17:00"}]}</v>
      </c>
      <c r="L113" s="9" t="str">
        <f>IFERROR(__xludf.DUMMYFUNCTION("""COMPUTED_VALUE"""),"Appointment required")</f>
        <v>Appointment required</v>
      </c>
      <c r="M113" s="10">
        <f>IFERROR(__xludf.DUMMYFUNCTION("""COMPUTED_VALUE"""),63.0)</f>
        <v>63</v>
      </c>
      <c r="N113" s="10" t="str">
        <f>IFERROR(__xludf.DUMMYFUNCTION("""COMPUTED_VALUE"""),"Animals")</f>
        <v>Animals</v>
      </c>
      <c r="O113" s="10">
        <f>IFERROR(__xludf.DUMMYFUNCTION("""COMPUTED_VALUE"""),1.0)</f>
        <v>1</v>
      </c>
      <c r="P113" s="10" t="str">
        <f>IFERROR(__xludf.DUMMYFUNCTION("""COMPUTED_VALUE"""),"ACTIVE")</f>
        <v>ACTIVE</v>
      </c>
      <c r="Q113" s="11">
        <f>IFERROR(__xludf.DUMMYFUNCTION("""COMPUTED_VALUE"""),45925.0)</f>
        <v>45925</v>
      </c>
      <c r="R113" s="9"/>
      <c r="S113" s="9" t="str">
        <f>IFERROR(__xludf.DUMMYFUNCTION("""COMPUTED_VALUE"""),"City of Houston Animal Shelter that provides low cost vaccinations, flea, tick and heartworm preventatives and microchips for cats and dogs.
Appointments made online only.")</f>
        <v>City of Houston Animal Shelter that provides low cost vaccinations, flea, tick and heartworm preventatives and microchips for cats and dogs.
Appointments made online only.</v>
      </c>
      <c r="T113" s="12" t="b">
        <f>IFERROR(__xludf.DUMMYFUNCTION("""COMPUTED_VALUE"""),FALSE)</f>
        <v>0</v>
      </c>
      <c r="U113" s="12" t="b">
        <f>IFERROR(__xludf.DUMMYFUNCTION("""COMPUTED_VALUE"""),FALSE)</f>
        <v>0</v>
      </c>
      <c r="V113" s="13" t="str">
        <f>IFERROR(__xludf.DUMMYFUNCTION("""COMPUTED_VALUE"""),"https://www.houstontx.gov/barc/wellnesscenter.html")</f>
        <v>https://www.houstontx.gov/barc/wellnesscenter.html</v>
      </c>
      <c r="W113" s="14" t="str">
        <f>IFERROR(__xludf.DUMMYFUNCTION("""COMPUTED_VALUE"""),"https://www.google.com/maps/place/BARC+Adoption+Center/@29.7920619,-95.3472829,16z/data=!4m15!1m8!3m7!1s0x8640b9239b0f7fe7:0x59d2b7e00f2f5e59!2s3300+Carr+St,+Houston,+TX+77026!3b1!8m2!3d29.7920573!4d-95.344708!16s%2Fg%2F11c5jmk8gg!3m5!1s0x8640b9238e2ab50f"&amp;":0x63f064148ef9dc9c!8m2!3d29.7920573!4d-95.344708!16s%2Fg%2F11fnnnmmgx?entry=ttu&amp;g_ep=EgoyMDI1MDkyMi4wIKXMDSoASAFQAw%3D%3D")</f>
        <v>https://www.google.com/maps/place/BARC+Adoption+Center/@29.7920619,-95.3472829,16z/data=!4m15!1m8!3m7!1s0x8640b9239b0f7fe7:0x59d2b7e00f2f5e59!2s3300+Carr+St,+Houston,+TX+77026!3b1!8m2!3d29.7920573!4d-95.344708!16s%2Fg%2F11c5jmk8gg!3m5!1s0x8640b9238e2ab50f:0x63f064148ef9dc9c!8m2!3d29.7920573!4d-95.344708!16s%2Fg%2F11fnnnmmgx?entry=ttu&amp;g_ep=EgoyMDI1MDkyMi4wIKXMDSoASAFQAw%3D%3D</v>
      </c>
      <c r="X113" s="10"/>
      <c r="Y113" s="9" t="str">
        <f>IFERROR(__xludf.DUMMYFUNCTION("""COMPUTED_VALUE"""),"Houston")</f>
        <v>Houston</v>
      </c>
      <c r="Z113" s="9" t="str">
        <f>IFERROR(__xludf.DUMMYFUNCTION("""COMPUTED_VALUE"""),"Kashmere Gardens, Northside, Trinity / Houston Gardens")</f>
        <v>Kashmere Gardens, Northside, Trinity / Houston Gardens</v>
      </c>
      <c r="AA113" s="9" t="str">
        <f>IFERROR(__xludf.DUMMYFUNCTION("""COMPUTED_VALUE"""),"BARC Animal Shelter &amp; Adoptions")</f>
        <v>BARC Animal Shelter &amp; Adoptions</v>
      </c>
      <c r="AB113" s="9" t="str">
        <f>IFERROR(__xludf.DUMMYFUNCTION("""COMPUTED_VALUE"""),"Northside")</f>
        <v>Northside</v>
      </c>
    </row>
    <row r="114" ht="30.0" customHeight="1">
      <c r="A114" s="17">
        <v>113.0</v>
      </c>
      <c r="B114" s="8" t="str">
        <f>IFERROR(__xludf.DUMMYFUNCTION("""COMPUTED_VALUE"""),"[""77015"", ""77028"", ""77029"", ""77032"", ""77039"", ""77044"", ""77049"", ""77050"", ""77093"", ""77327"", ""77501"", ""77502"", ""77503"", ""77504"", ""77505"", ""77506"", ""77507"", ""77517"", ""77520"", ""77521"", ""77530"", ""77532"", ""77533"", "&amp;"""77546"", ""77547"", ""77550"", ""77562"", ""77563"", ""77571"", ""77575"", ""77586"", ""77591"", ""77596""]")</f>
        <v>["77015", "77028", "77029", "77032", "77039", "77044", "77049", "77050", "77093", "77327", "77501", "77502", "77503", "77504", "77505", "77506", "77507", "77517", "77520", "77521", "77530", "77532", "77533", "77546", "77547", "77550", "77562", "77563", "77571", "77575", "77586", "77591", "77596"]</v>
      </c>
      <c r="C114" s="9" t="str">
        <f>IFERROR(__xludf.DUMMYFUNCTION("""COMPUTED_VALUE"""),"Bay Area Homeless Services")</f>
        <v>Bay Area Homeless Services</v>
      </c>
      <c r="D114" s="9" t="str">
        <f>IFERROR(__xludf.DUMMYFUNCTION("""COMPUTED_VALUE"""),"3406 Wisconsin Street")</f>
        <v>3406 Wisconsin Street</v>
      </c>
      <c r="E114" s="9"/>
      <c r="F114" s="9" t="str">
        <f>IFERROR(__xludf.DUMMYFUNCTION("""COMPUTED_VALUE"""),"Baytown")</f>
        <v>Baytown</v>
      </c>
      <c r="G114" s="9" t="str">
        <f>IFERROR(__xludf.DUMMYFUNCTION("""COMPUTED_VALUE"""),"TX")</f>
        <v>TX</v>
      </c>
      <c r="H114" s="9" t="str">
        <f>IFERROR(__xludf.DUMMYFUNCTION("""COMPUTED_VALUE"""),"77520")</f>
        <v>77520</v>
      </c>
      <c r="I114" s="9" t="str">
        <f>IFERROR(__xludf.DUMMYFUNCTION("""COMPUTED_VALUE"""),"281-837-1654")</f>
        <v>281-837-1654</v>
      </c>
      <c r="J114" s="9" t="str">
        <f>IFERROR(__xludf.DUMMYFUNCTION("""COMPUTED_VALUE"""),"29.729556533582716, -95.00838996734987")</f>
        <v>29.729556533582716, -95.00838996734987</v>
      </c>
      <c r="K114" s="9" t="str">
        <f>IFERROR(__xludf.DUMMYFUNCTION("""COMPUTED_VALUE"""),"{""regular"":[{""days"":[""Mo"",""Tu"",""We"",""Th"",""Fr"",""Sa"",""Su""],""open"":""00:00"",""close"":""23:59""}]}")</f>
        <v>{"regular":[{"days":["Mo","Tu","We","Th","Fr","Sa","Su"],"open":"00:00","close":"23:59"}]}</v>
      </c>
      <c r="L114" s="9"/>
      <c r="M114" s="10">
        <f>IFERROR(__xludf.DUMMYFUNCTION("""COMPUTED_VALUE"""),21.0)</f>
        <v>21</v>
      </c>
      <c r="N114" s="10" t="str">
        <f>IFERROR(__xludf.DUMMYFUNCTION("""COMPUTED_VALUE"""),"Homeless - Shelters")</f>
        <v>Homeless - Shelters</v>
      </c>
      <c r="O114" s="10">
        <f>IFERROR(__xludf.DUMMYFUNCTION("""COMPUTED_VALUE"""),1.0)</f>
        <v>1</v>
      </c>
      <c r="P114" s="10" t="str">
        <f>IFERROR(__xludf.DUMMYFUNCTION("""COMPUTED_VALUE"""),"ACTIVE")</f>
        <v>ACTIVE</v>
      </c>
      <c r="Q114" s="11">
        <f>IFERROR(__xludf.DUMMYFUNCTION("""COMPUTED_VALUE"""),45941.0)</f>
        <v>45941</v>
      </c>
      <c r="R114" s="9" t="str">
        <f>IFERROR(__xludf.DUMMYFUNCTION("""COMPUTED_VALUE"""),"Verified online")</f>
        <v>Verified online</v>
      </c>
      <c r="S114" s="9" t="str">
        <f>IFERROR(__xludf.DUMMYFUNCTION("""COMPUTED_VALUE"""),"Coalition for the Homeless (CFTH) Partner/Rapid Rehousing
Temporary shelter for families for upto 60 days.
Must be willing to work or seek work.
Three meals a day, financial literacy, referrals to local employment.")</f>
        <v>Coalition for the Homeless (CFTH) Partner/Rapid Rehousing
Temporary shelter for families for upto 60 days.
Must be willing to work or seek work.
Three meals a day, financial literacy, referrals to local employment.</v>
      </c>
      <c r="T114" s="12" t="b">
        <f>IFERROR(__xludf.DUMMYFUNCTION("""COMPUTED_VALUE"""),FALSE)</f>
        <v>0</v>
      </c>
      <c r="U114" s="12" t="b">
        <f>IFERROR(__xludf.DUMMYFUNCTION("""COMPUTED_VALUE"""),FALSE)</f>
        <v>0</v>
      </c>
      <c r="V114" s="13" t="str">
        <f>IFERROR(__xludf.DUMMYFUNCTION("""COMPUTED_VALUE"""),"https://bahs-shelter.org")</f>
        <v>https://bahs-shelter.org</v>
      </c>
      <c r="W114" s="14" t="str">
        <f>IFERROR(__xludf.DUMMYFUNCTION("""COMPUTED_VALUE"""),"https://www.google.com/maps/place/Bay+Area+Homeless+Services/@29.7294028,-95.0109756,17z/data=!3m1!4b1!4m6!3m5!1s0x863f5e500370e147:0x76860ff198a252a8!8m2!3d29.7293982!4d-95.0084007!16s%2Fg%2F1thx4fbd?entry=ttu&amp;g_ep=EgoyMDI1MTAwOC4wIKXMDSoASAFQAw%3D%3D")</f>
        <v>https://www.google.com/maps/place/Bay+Area+Homeless+Services/@29.7294028,-95.0109756,17z/data=!3m1!4b1!4m6!3m5!1s0x863f5e500370e147:0x76860ff198a252a8!8m2!3d29.7293982!4d-95.0084007!16s%2Fg%2F1thx4fbd?entry=ttu&amp;g_ep=EgoyMDI1MTAwOC4wIKXMDSoASAFQAw%3D%3D</v>
      </c>
      <c r="X114" s="10"/>
      <c r="Y114" s="9" t="str">
        <f>IFERROR(__xludf.DUMMYFUNCTION("""COMPUTED_VALUE"""),"Baytown")</f>
        <v>Baytown</v>
      </c>
      <c r="Z114" s="9" t="str">
        <f>IFERROR(__xludf.DUMMYFUNCTION("""COMPUTED_VALUE"""),"Amelia Airhart, Baytown, East Baytown")</f>
        <v>Amelia Airhart, Baytown, East Baytown</v>
      </c>
      <c r="AA114" s="9" t="str">
        <f>IFERROR(__xludf.DUMMYFUNCTION("""COMPUTED_VALUE"""),"Bay Area Homeless Services")</f>
        <v>Bay Area Homeless Services</v>
      </c>
      <c r="AB114" s="9" t="str">
        <f>IFERROR(__xludf.DUMMYFUNCTION("""COMPUTED_VALUE"""),"East Baytown")</f>
        <v>East Baytown</v>
      </c>
    </row>
    <row r="115" ht="30.0" customHeight="1">
      <c r="A115" s="17">
        <v>114.0</v>
      </c>
      <c r="B115" s="8" t="str">
        <f>IFERROR(__xludf.DUMMYFUNCTION("""COMPUTED_VALUE"""),"[""99999""]")</f>
        <v>["99999"]</v>
      </c>
      <c r="C115" s="9" t="str">
        <f>IFERROR(__xludf.DUMMYFUNCTION("""COMPUTED_VALUE"""),"Bay Area Turning Point")</f>
        <v>Bay Area Turning Point</v>
      </c>
      <c r="D115" s="9" t="str">
        <f>IFERROR(__xludf.DUMMYFUNCTION("""COMPUTED_VALUE"""),"210 S Walnut Street")</f>
        <v>210 S Walnut Street</v>
      </c>
      <c r="E115" s="9"/>
      <c r="F115" s="9" t="str">
        <f>IFERROR(__xludf.DUMMYFUNCTION("""COMPUTED_VALUE"""),"Webster")</f>
        <v>Webster</v>
      </c>
      <c r="G115" s="9" t="str">
        <f>IFERROR(__xludf.DUMMYFUNCTION("""COMPUTED_VALUE"""),"TX")</f>
        <v>TX</v>
      </c>
      <c r="H115" s="9" t="str">
        <f>IFERROR(__xludf.DUMMYFUNCTION("""COMPUTED_VALUE"""),"77598")</f>
        <v>77598</v>
      </c>
      <c r="I115" s="9" t="str">
        <f>IFERROR(__xludf.DUMMYFUNCTION("""COMPUTED_VALUE"""),"281-286-2525 (Emergency),
281-338-7600 (Non-Emergency)")</f>
        <v>281-286-2525 (Emergency),
281-338-7600 (Non-Emergency)</v>
      </c>
      <c r="J115" s="9" t="str">
        <f>IFERROR(__xludf.DUMMYFUNCTION("""COMPUTED_VALUE"""),"29.534106638191, -95.1215789497487")</f>
        <v>29.534106638191, -95.1215789497487</v>
      </c>
      <c r="K115" s="9" t="str">
        <f>IFERROR(__xludf.DUMMYFUNCTION("""COMPUTED_VALUE"""),"{""regular"":[{""days"":[""Mo"",""Tu"",""We"",""Th"",""Fr"",""Sa"",""Su""],""open"":""00:00"",""close"":""23:59""}]}")</f>
        <v>{"regular":[{"days":["Mo","Tu","We","Th","Fr","Sa","Su"],"open":"00:00","close":"23:59"}]}</v>
      </c>
      <c r="L115" s="9"/>
      <c r="M115" s="10">
        <f>IFERROR(__xludf.DUMMYFUNCTION("""COMPUTED_VALUE"""),41.0)</f>
        <v>41</v>
      </c>
      <c r="N115" s="10" t="str">
        <f>IFERROR(__xludf.DUMMYFUNCTION("""COMPUTED_VALUE"""),"Domestic Abuse - Shelters")</f>
        <v>Domestic Abuse - Shelters</v>
      </c>
      <c r="O115" s="10">
        <f>IFERROR(__xludf.DUMMYFUNCTION("""COMPUTED_VALUE"""),1.0)</f>
        <v>1</v>
      </c>
      <c r="P115" s="10" t="str">
        <f>IFERROR(__xludf.DUMMYFUNCTION("""COMPUTED_VALUE"""),"ACTIVE")</f>
        <v>ACTIVE</v>
      </c>
      <c r="Q115" s="11"/>
      <c r="R115" s="9"/>
      <c r="S115" s="9" t="str">
        <f>IFERROR(__xludf.DUMMYFUNCTION("""COMPUTED_VALUE"""),"Coalition for the Homeless (CFTH) Partner/Rapid Rehousing
Advocacy
Counseling
Outreach, Education and Prevention Program")</f>
        <v>Coalition for the Homeless (CFTH) Partner/Rapid Rehousing
Advocacy
Counseling
Outreach, Education and Prevention Program</v>
      </c>
      <c r="T115" s="12" t="b">
        <f>IFERROR(__xludf.DUMMYFUNCTION("""COMPUTED_VALUE"""),FALSE)</f>
        <v>0</v>
      </c>
      <c r="U115" s="12" t="b">
        <f>IFERROR(__xludf.DUMMYFUNCTION("""COMPUTED_VALUE"""),FALSE)</f>
        <v>0</v>
      </c>
      <c r="V115" s="13" t="str">
        <f>IFERROR(__xludf.DUMMYFUNCTION("""COMPUTED_VALUE"""),"https://www.bayareaturningpoint.org/what-we-do/")</f>
        <v>https://www.bayareaturningpoint.org/what-we-do/</v>
      </c>
      <c r="W115" s="10"/>
      <c r="X115" s="10"/>
      <c r="Y115" s="9" t="str">
        <f>IFERROR(__xludf.DUMMYFUNCTION("""COMPUTED_VALUE"""),"Webster")</f>
        <v>Webster</v>
      </c>
      <c r="Z115" s="9" t="str">
        <f>IFERROR(__xludf.DUMMYFUNCTION("""COMPUTED_VALUE"""),"Clear Lake, Webster")</f>
        <v>Clear Lake, Webster</v>
      </c>
      <c r="AA115" s="9" t="str">
        <f>IFERROR(__xludf.DUMMYFUNCTION("""COMPUTED_VALUE"""),"Bay Area Turning Point")</f>
        <v>Bay Area Turning Point</v>
      </c>
      <c r="AB115" s="9" t="str">
        <f>IFERROR(__xludf.DUMMYFUNCTION("""COMPUTED_VALUE"""),"Webster")</f>
        <v>Webster</v>
      </c>
    </row>
    <row r="116" ht="30.0" customHeight="1">
      <c r="A116" s="17">
        <v>115.0</v>
      </c>
      <c r="B116" s="8" t="str">
        <f>IFERROR(__xludf.DUMMYFUNCTION("""COMPUTED_VALUE"""),"[""99999""]")</f>
        <v>["99999"]</v>
      </c>
      <c r="C116" s="9" t="str">
        <f>IFERROR(__xludf.DUMMYFUNCTION("""COMPUTED_VALUE"""),"Baylor Teen Health Clinic")</f>
        <v>Baylor Teen Health Clinic</v>
      </c>
      <c r="D116" s="9" t="str">
        <f>IFERROR(__xludf.DUMMYFUNCTION("""COMPUTED_VALUE"""),"3815 Cavalcade Street")</f>
        <v>3815 Cavalcade Street</v>
      </c>
      <c r="E116" s="9"/>
      <c r="F116" s="9" t="str">
        <f>IFERROR(__xludf.DUMMYFUNCTION("""COMPUTED_VALUE"""),"Houston")</f>
        <v>Houston</v>
      </c>
      <c r="G116" s="9" t="str">
        <f>IFERROR(__xludf.DUMMYFUNCTION("""COMPUTED_VALUE"""),"TX")</f>
        <v>TX</v>
      </c>
      <c r="H116" s="9" t="str">
        <f>IFERROR(__xludf.DUMMYFUNCTION("""COMPUTED_VALUE"""),"77026")</f>
        <v>77026</v>
      </c>
      <c r="I116" s="9" t="str">
        <f>IFERROR(__xludf.DUMMYFUNCTION("""COMPUTED_VALUE"""),"713-999-6980")</f>
        <v>713-999-6980</v>
      </c>
      <c r="J116" s="9" t="str">
        <f>IFERROR(__xludf.DUMMYFUNCTION("""COMPUTED_VALUE"""),"29.799971059908, -95.3331160358055")</f>
        <v>29.799971059908, -95.3331160358055</v>
      </c>
      <c r="K116" s="9" t="str">
        <f>IFERROR(__xludf.DUMMYFUNCTION("""COMPUTED_VALUE"""),"{""regular"":[{""days"":[""Mo"",""Tu"",""We""],""open"":""08:00"",""close"":""17:00""}]}")</f>
        <v>{"regular":[{"days":["Mo","Tu","We"],"open":"08:00","close":"17:00"}]}</v>
      </c>
      <c r="L116" s="9"/>
      <c r="M116" s="10">
        <f>IFERROR(__xludf.DUMMYFUNCTION("""COMPUTED_VALUE"""),31.0)</f>
        <v>31</v>
      </c>
      <c r="N116" s="10" t="str">
        <f>IFERROR(__xludf.DUMMYFUNCTION("""COMPUTED_VALUE"""),"Medical - Primary Care")</f>
        <v>Medical - Primary Care</v>
      </c>
      <c r="O116" s="10">
        <f>IFERROR(__xludf.DUMMYFUNCTION("""COMPUTED_VALUE"""),1.0)</f>
        <v>1</v>
      </c>
      <c r="P116" s="10" t="str">
        <f>IFERROR(__xludf.DUMMYFUNCTION("""COMPUTED_VALUE"""),"ACTIVE")</f>
        <v>ACTIVE</v>
      </c>
      <c r="Q116" s="11"/>
      <c r="R116" s="9"/>
      <c r="S116" s="9"/>
      <c r="T116" s="12" t="b">
        <f>IFERROR(__xludf.DUMMYFUNCTION("""COMPUTED_VALUE"""),FALSE)</f>
        <v>0</v>
      </c>
      <c r="U116" s="12" t="b">
        <f>IFERROR(__xludf.DUMMYFUNCTION("""COMPUTED_VALUE"""),FALSE)</f>
        <v>0</v>
      </c>
      <c r="V116" s="13" t="str">
        <f>IFERROR(__xludf.DUMMYFUNCTION("""COMPUTED_VALUE"""),"https://www.bcm.edu/community/healthcare-outreach/teen-health-clinic")</f>
        <v>https://www.bcm.edu/community/healthcare-outreach/teen-health-clinic</v>
      </c>
      <c r="W116" s="14" t="str">
        <f>IFERROR(__xludf.DUMMYFUNCTION("""COMPUTED_VALUE"""),"https://www.google.com/maps/search/baylor+teen+health+clinic/@29.7350036,-95.4772327,13z/data=!3m1!4b1?entry=ttu&amp;g_ep=EgoyMDI0MTIxMS4wIKXMDSoASAFQAw%3D%3D")</f>
        <v>https://www.google.com/maps/search/baylor+teen+health+clinic/@29.7350036,-95.4772327,13z/data=!3m1!4b1?entry=ttu&amp;g_ep=EgoyMDI0MTIxMS4wIKXMDSoASAFQAw%3D%3D</v>
      </c>
      <c r="X116" s="10"/>
      <c r="Y116" s="9" t="str">
        <f>IFERROR(__xludf.DUMMYFUNCTION("""COMPUTED_VALUE"""),"Houston")</f>
        <v>Houston</v>
      </c>
      <c r="Z116" s="9" t="str">
        <f>IFERROR(__xludf.DUMMYFUNCTION("""COMPUTED_VALUE"""),"Kashmere Gardens, Northside, Trinity / Houston Gardens")</f>
        <v>Kashmere Gardens, Northside, Trinity / Houston Gardens</v>
      </c>
      <c r="AA116" s="9" t="str">
        <f>IFERROR(__xludf.DUMMYFUNCTION("""COMPUTED_VALUE"""),"Baylor Teen Health Clinic")</f>
        <v>Baylor Teen Health Clinic</v>
      </c>
      <c r="AB116" s="9" t="str">
        <f>IFERROR(__xludf.DUMMYFUNCTION("""COMPUTED_VALUE"""),"Northside")</f>
        <v>Northside</v>
      </c>
    </row>
    <row r="117" ht="30.0" customHeight="1">
      <c r="A117" s="17">
        <v>116.0</v>
      </c>
      <c r="B11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117" s="9" t="str">
        <f>IFERROR(__xludf.DUMMYFUNCTION("""COMPUTED_VALUE"""),"Baytown Clinic")</f>
        <v>Baytown Clinic</v>
      </c>
      <c r="D117" s="9" t="str">
        <f>IFERROR(__xludf.DUMMYFUNCTION("""COMPUTED_VALUE"""),"1000 Lee Drive")</f>
        <v>1000 Lee Drive</v>
      </c>
      <c r="E117" s="9"/>
      <c r="F117" s="10" t="str">
        <f>IFERROR(__xludf.DUMMYFUNCTION("""COMPUTED_VALUE"""),"Baytown")</f>
        <v>Baytown</v>
      </c>
      <c r="G117" s="9" t="str">
        <f>IFERROR(__xludf.DUMMYFUNCTION("""COMPUTED_VALUE"""),"TX")</f>
        <v>TX</v>
      </c>
      <c r="H117" s="9" t="str">
        <f>IFERROR(__xludf.DUMMYFUNCTION("""COMPUTED_VALUE"""),"77520")</f>
        <v>77520</v>
      </c>
      <c r="I117" s="9" t="str">
        <f>IFERROR(__xludf.DUMMYFUNCTION("""COMPUTED_VALUE"""),"713-274-7155")</f>
        <v>713-274-7155</v>
      </c>
      <c r="J117" s="9" t="str">
        <f>IFERROR(__xludf.DUMMYFUNCTION("""COMPUTED_VALUE"""),"29.726774659777295, -94.97791113342325")</f>
        <v>29.726774659777295, -94.97791113342325</v>
      </c>
      <c r="K117" s="9" t="str">
        <f>IFERROR(__xludf.DUMMYFUNCTION("""COMPUTED_VALUE"""),"{""regular"":[{""days"":[""Mo"",""Tu"",""We"",""Th""],""open"":""08:00"",""close"":""17:00""}]}")</f>
        <v>{"regular":[{"days":["Mo","Tu","We","Th"],"open":"08:00","close":"17:00"}]}</v>
      </c>
      <c r="L117" s="9"/>
      <c r="M117" s="10">
        <f>IFERROR(__xludf.DUMMYFUNCTION("""COMPUTED_VALUE"""),32.0)</f>
        <v>32</v>
      </c>
      <c r="N117" s="10" t="str">
        <f>IFERROR(__xludf.DUMMYFUNCTION("""COMPUTED_VALUE"""),"Medical - Dental &amp; Vision")</f>
        <v>Medical - Dental &amp; Vision</v>
      </c>
      <c r="O117" s="10">
        <f>IFERROR(__xludf.DUMMYFUNCTION("""COMPUTED_VALUE"""),1.0)</f>
        <v>1</v>
      </c>
      <c r="P117" s="10" t="str">
        <f>IFERROR(__xludf.DUMMYFUNCTION("""COMPUTED_VALUE"""),"ACTIVE")</f>
        <v>ACTIVE</v>
      </c>
      <c r="Q117" s="11">
        <f>IFERROR(__xludf.DUMMYFUNCTION("""COMPUTED_VALUE"""),46040.0)</f>
        <v>46040</v>
      </c>
      <c r="R117" s="9" t="str">
        <f>IFERROR(__xludf.DUMMYFUNCTION("""COMPUTED_VALUE"""),"Verified online")</f>
        <v>Verified online</v>
      </c>
      <c r="S117" s="9" t="str">
        <f>IFERROR(__xludf.DUMMYFUNCTION("""COMPUTED_VALUE"""),"Dental
Free or low-cost dental services for adults (18 years and older).
Services include exams. x-rays, cleanings, sealants, oral hygiene counseling, fillings, pulpotomy, crowns and extractions")</f>
        <v>Dental
Free or low-cost dental services for adults (18 years and older).
Services include exams. x-rays, cleanings, sealants, oral hygiene counseling, fillings, pulpotomy, crowns and extractions</v>
      </c>
      <c r="T117" s="12" t="b">
        <f>IFERROR(__xludf.DUMMYFUNCTION("""COMPUTED_VALUE"""),TRUE)</f>
        <v>1</v>
      </c>
      <c r="U117" s="12" t="b">
        <f>IFERROR(__xludf.DUMMYFUNCTION("""COMPUTED_VALUE"""),FALSE)</f>
        <v>0</v>
      </c>
      <c r="V117" s="13" t="str">
        <f>IFERROR(__xludf.DUMMYFUNCTION("""COMPUTED_VALUE"""),"https://publichealth.harriscountytx.gov/Divisions-Offices/Divisions/Community-Health-Wellness-Division/Dental-Health-Prevention/Dental-Clinics")</f>
        <v>https://publichealth.harriscountytx.gov/Divisions-Offices/Divisions/Community-Health-Wellness-Division/Dental-Health-Prevention/Dental-Clinics</v>
      </c>
      <c r="W117" s="14" t="str">
        <f>IFERROR(__xludf.DUMMYFUNCTION("""COMPUTED_VALUE"""),"https://www.google.com/maps/place/1000+Lee+Dr,+Baytown,+TX+77520/@29.7265884,-94.9828089,17z/data=!4m15!1m8!3m7!1s0x863f5e7638779e7b:0xefc888dfd7a142ac!2s1000+Lee+Dr,+Baytown,+TX+77520!3b1!8m2!3d29.7265885!4d-94.9779326!16s%2Fg%2F11bw3y03hz!3m5!1s0x863f5e"&amp;"7638779e7b:0xefc888dfd7a142ac!8m2!3d29.7265885!4d-94.9779326!16s%2Fg%2F11bw3y03hz?entry=ttu&amp;g_ep=EgoyMDI2MDEyNS4wIKXMDSoKLDEwMDc5MjA2OUgBUAM%3D")</f>
        <v>https://www.google.com/maps/place/1000+Lee+Dr,+Baytown,+TX+77520/@29.7265884,-94.9828089,17z/data=!4m15!1m8!3m7!1s0x863f5e7638779e7b:0xefc888dfd7a142ac!2s1000+Lee+Dr,+Baytown,+TX+77520!3b1!8m2!3d29.7265885!4d-94.9779326!16s%2Fg%2F11bw3y03hz!3m5!1s0x863f5e7638779e7b:0xefc888dfd7a142ac!8m2!3d29.7265885!4d-94.9779326!16s%2Fg%2F11bw3y03hz?entry=ttu&amp;g_ep=EgoyMDI2MDEyNS4wIKXMDSoKLDEwMDc5MjA2OUgBUAM%3D</v>
      </c>
      <c r="X117" s="10"/>
      <c r="Y117" s="9" t="str">
        <f>IFERROR(__xludf.DUMMYFUNCTION("""COMPUTED_VALUE"""),"Baytown")</f>
        <v>Baytown</v>
      </c>
      <c r="Z117" s="9" t="str">
        <f>IFERROR(__xludf.DUMMYFUNCTION("""COMPUTED_VALUE"""),"Amelia Airhart, Baytown, East Baytown")</f>
        <v>Amelia Airhart, Baytown, East Baytown</v>
      </c>
      <c r="AA117" s="9" t="str">
        <f>IFERROR(__xludf.DUMMYFUNCTION("""COMPUTED_VALUE"""),"Harris County Public Health")</f>
        <v>Harris County Public Health</v>
      </c>
      <c r="AB117" s="9" t="str">
        <f>IFERROR(__xludf.DUMMYFUNCTION("""COMPUTED_VALUE"""),"Baytown")</f>
        <v>Baytown</v>
      </c>
    </row>
    <row r="118" ht="30.0" customHeight="1">
      <c r="A118" s="17">
        <v>117.0</v>
      </c>
      <c r="B118" s="8" t="str">
        <f>IFERROR(__xludf.DUMMYFUNCTION("""COMPUTED_VALUE"""),"[""99999""]")</f>
        <v>["99999"]</v>
      </c>
      <c r="C118" s="9" t="str">
        <f>IFERROR(__xludf.DUMMYFUNCTION("""COMPUTED_VALUE"""),"Be An Angel")</f>
        <v>Be An Angel</v>
      </c>
      <c r="D118" s="9" t="str">
        <f>IFERROR(__xludf.DUMMYFUNCTION("""COMPUTED_VALUE"""),"21755 I-45 North")</f>
        <v>21755 I-45 North</v>
      </c>
      <c r="E118" s="9" t="str">
        <f>IFERROR(__xludf.DUMMYFUNCTION("""COMPUTED_VALUE"""),"Building 7")</f>
        <v>Building 7</v>
      </c>
      <c r="F118" s="10" t="str">
        <f>IFERROR(__xludf.DUMMYFUNCTION("""COMPUTED_VALUE"""),"Spring")</f>
        <v>Spring</v>
      </c>
      <c r="G118" s="9" t="str">
        <f>IFERROR(__xludf.DUMMYFUNCTION("""COMPUTED_VALUE"""),"TX")</f>
        <v>TX</v>
      </c>
      <c r="H118" s="9" t="str">
        <f>IFERROR(__xludf.DUMMYFUNCTION("""COMPUTED_VALUE"""),"77388")</f>
        <v>77388</v>
      </c>
      <c r="I118" s="9" t="str">
        <f>IFERROR(__xludf.DUMMYFUNCTION("""COMPUTED_VALUE"""),"281-219-3313")</f>
        <v>281-219-3313</v>
      </c>
      <c r="J118" s="9" t="str">
        <f>IFERROR(__xludf.DUMMYFUNCTION("""COMPUTED_VALUE"""),"30.080166632647078, -95.43936195046545")</f>
        <v>30.080166632647078, -95.43936195046545</v>
      </c>
      <c r="K118" s="9" t="str">
        <f>IFERROR(__xludf.DUMMYFUNCTION("""COMPUTED_VALUE"""),"{""regular"":[{""days"":[""Mo"",""Tu"",""We"",""Th"",""Fr""],""open"":""09:00"",""close"":""17:00""}]}")</f>
        <v>{"regular":[{"days":["Mo","Tu","We","Th","Fr"],"open":"09:00","close":"17:00"}]}</v>
      </c>
      <c r="L118" s="9" t="str">
        <f>IFERROR(__xludf.DUMMYFUNCTION("""COMPUTED_VALUE"""),"Apply online")</f>
        <v>Apply online</v>
      </c>
      <c r="M118" s="10">
        <f>IFERROR(__xludf.DUMMYFUNCTION("""COMPUTED_VALUE"""),31.0)</f>
        <v>31</v>
      </c>
      <c r="N118" s="10" t="str">
        <f>IFERROR(__xludf.DUMMYFUNCTION("""COMPUTED_VALUE"""),"Medical - Primary Care")</f>
        <v>Medical - Primary Care</v>
      </c>
      <c r="O118" s="10">
        <f>IFERROR(__xludf.DUMMYFUNCTION("""COMPUTED_VALUE"""),1.0)</f>
        <v>1</v>
      </c>
      <c r="P118" s="10" t="str">
        <f>IFERROR(__xludf.DUMMYFUNCTION("""COMPUTED_VALUE"""),"ACTIVE")</f>
        <v>ACTIVE</v>
      </c>
      <c r="Q118" s="11">
        <f>IFERROR(__xludf.DUMMYFUNCTION("""COMPUTED_VALUE"""),46019.0)</f>
        <v>46019</v>
      </c>
      <c r="R118" s="9" t="str">
        <f>IFERROR(__xludf.DUMMYFUNCTION("""COMPUTED_VALUE"""),"Verified online")</f>
        <v>Verified online</v>
      </c>
      <c r="S118" s="9" t="str">
        <f>IFERROR(__xludf.DUMMYFUNCTION("""COMPUTED_VALUE"""),"Provides personal adaptive equipment to children with special needs including wheelchairs, medical trikes/strollers, feeding and hearing devices, etc.
Van conversions to handle wheelchairs and lift systems for the home.")</f>
        <v>Provides personal adaptive equipment to children with special needs including wheelchairs, medical trikes/strollers, feeding and hearing devices, etc.
Van conversions to handle wheelchairs and lift systems for the home.</v>
      </c>
      <c r="T118" s="12" t="b">
        <f>IFERROR(__xludf.DUMMYFUNCTION("""COMPUTED_VALUE"""),FALSE)</f>
        <v>0</v>
      </c>
      <c r="U118" s="12" t="b">
        <f>IFERROR(__xludf.DUMMYFUNCTION("""COMPUTED_VALUE"""),FALSE)</f>
        <v>0</v>
      </c>
      <c r="V118" s="13" t="str">
        <f>IFERROR(__xludf.DUMMYFUNCTION("""COMPUTED_VALUE"""),"https://beanangel.org/how-we-help/")</f>
        <v>https://beanangel.org/how-we-help/</v>
      </c>
      <c r="W118" s="14" t="str">
        <f>IFERROR(__xludf.DUMMYFUNCTION("""COMPUTED_VALUE"""),"https://www.google.com/maps/place/Be+An+Angel/@30.0800043,-95.4442114,17z/data=!3m1!4b1!4m6!3m5!1s0x8640b65ef32a029f:0xfb3e902cd13dd03f!8m2!3d30.0799997!4d-95.4393405!16s%2Fg%2F1tf1p6jm?entry=ttu&amp;g_ep=EgoyMDI1MTIwOS4wIKXMDSoKLDEwMDc5MjA2OUgBUAM%3D")</f>
        <v>https://www.google.com/maps/place/Be+An+Angel/@30.0800043,-95.4442114,17z/data=!3m1!4b1!4m6!3m5!1s0x8640b65ef32a029f:0xfb3e902cd13dd03f!8m2!3d30.0799997!4d-95.4393405!16s%2Fg%2F1tf1p6jm?entry=ttu&amp;g_ep=EgoyMDI1MTIwOS4wIKXMDSoKLDEwMDc5MjA2OUgBUAM%3D</v>
      </c>
      <c r="X118" s="10"/>
      <c r="Y118" s="9" t="str">
        <f>IFERROR(__xludf.DUMMYFUNCTION("""COMPUTED_VALUE"""),"Spring")</f>
        <v>Spring</v>
      </c>
      <c r="Z118" s="9" t="str">
        <f>IFERROR(__xludf.DUMMYFUNCTION("""COMPUTED_VALUE"""),"Cypresswood, Spring")</f>
        <v>Cypresswood, Spring</v>
      </c>
      <c r="AA118" s="9" t="str">
        <f>IFERROR(__xludf.DUMMYFUNCTION("""COMPUTED_VALUE"""),"Be An Angel")</f>
        <v>Be An Angel</v>
      </c>
      <c r="AB118" s="9" t="str">
        <f>IFERROR(__xludf.DUMMYFUNCTION("""COMPUTED_VALUE"""),"Spring")</f>
        <v>Spring</v>
      </c>
    </row>
    <row r="119" ht="30.0" customHeight="1">
      <c r="A119" s="17">
        <v>118.0</v>
      </c>
      <c r="B119" s="8" t="str">
        <f>IFERROR(__xludf.DUMMYFUNCTION("""COMPUTED_VALUE"""),"[""99999""]")</f>
        <v>["99999"]</v>
      </c>
      <c r="C119" s="9" t="str">
        <f>IFERROR(__xludf.DUMMYFUNCTION("""COMPUTED_VALUE"""),"Be An Angel")</f>
        <v>Be An Angel</v>
      </c>
      <c r="D119" s="9" t="str">
        <f>IFERROR(__xludf.DUMMYFUNCTION("""COMPUTED_VALUE"""),"21755 I-45 North")</f>
        <v>21755 I-45 North</v>
      </c>
      <c r="E119" s="9" t="str">
        <f>IFERROR(__xludf.DUMMYFUNCTION("""COMPUTED_VALUE"""),"Building 7")</f>
        <v>Building 7</v>
      </c>
      <c r="F119" s="9" t="str">
        <f>IFERROR(__xludf.DUMMYFUNCTION("""COMPUTED_VALUE"""),"Spring")</f>
        <v>Spring</v>
      </c>
      <c r="G119" s="9" t="str">
        <f>IFERROR(__xludf.DUMMYFUNCTION("""COMPUTED_VALUE"""),"TX")</f>
        <v>TX</v>
      </c>
      <c r="H119" s="9" t="str">
        <f>IFERROR(__xludf.DUMMYFUNCTION("""COMPUTED_VALUE"""),"77388")</f>
        <v>77388</v>
      </c>
      <c r="I119" s="9" t="str">
        <f>IFERROR(__xludf.DUMMYFUNCTION("""COMPUTED_VALUE"""),"281-219-3313")</f>
        <v>281-219-3313</v>
      </c>
      <c r="J119" s="9" t="str">
        <f>IFERROR(__xludf.DUMMYFUNCTION("""COMPUTED_VALUE"""),"30.080166632647078, -95.43936195046545")</f>
        <v>30.080166632647078, -95.43936195046545</v>
      </c>
      <c r="K119" s="9" t="str">
        <f>IFERROR(__xludf.DUMMYFUNCTION("""COMPUTED_VALUE"""),"{""regular"":[{""days"":[""Mo"",""Tu"",""We"",""Th"",""Fr""],""open"":""09:00"",""close"":""17:00""}]}")</f>
        <v>{"regular":[{"days":["Mo","Tu","We","Th","Fr"],"open":"09:00","close":"17:00"}]}</v>
      </c>
      <c r="L119" s="9" t="str">
        <f>IFERROR(__xludf.DUMMYFUNCTION("""COMPUTED_VALUE"""),"Call for information")</f>
        <v>Call for information</v>
      </c>
      <c r="M119" s="10">
        <f>IFERROR(__xludf.DUMMYFUNCTION("""COMPUTED_VALUE"""),64.0)</f>
        <v>64</v>
      </c>
      <c r="N119" s="10" t="str">
        <f>IFERROR(__xludf.DUMMYFUNCTION("""COMPUTED_VALUE"""),"Christmas")</f>
        <v>Christmas</v>
      </c>
      <c r="O119" s="10">
        <f>IFERROR(__xludf.DUMMYFUNCTION("""COMPUTED_VALUE"""),1.0)</f>
        <v>1</v>
      </c>
      <c r="P119" s="10" t="str">
        <f>IFERROR(__xludf.DUMMYFUNCTION("""COMPUTED_VALUE"""),"ACTIVE")</f>
        <v>ACTIVE</v>
      </c>
      <c r="Q119" s="11">
        <f>IFERROR(__xludf.DUMMYFUNCTION("""COMPUTED_VALUE"""),46019.0)</f>
        <v>46019</v>
      </c>
      <c r="R119" s="9" t="str">
        <f>IFERROR(__xludf.DUMMYFUNCTION("""COMPUTED_VALUE"""),"Verified online")</f>
        <v>Verified online</v>
      </c>
      <c r="S119" s="9" t="str">
        <f>IFERROR(__xludf.DUMMYFUNCTION("""COMPUTED_VALUE"""),"Deliver Christmas gifts to children with special needs.")</f>
        <v>Deliver Christmas gifts to children with special needs.</v>
      </c>
      <c r="T119" s="12" t="b">
        <f>IFERROR(__xludf.DUMMYFUNCTION("""COMPUTED_VALUE"""),FALSE)</f>
        <v>0</v>
      </c>
      <c r="U119" s="12" t="b">
        <f>IFERROR(__xludf.DUMMYFUNCTION("""COMPUTED_VALUE"""),FALSE)</f>
        <v>0</v>
      </c>
      <c r="V119" s="13" t="str">
        <f>IFERROR(__xludf.DUMMYFUNCTION("""COMPUTED_VALUE"""),"https://beanangel.org/how-we-help/")</f>
        <v>https://beanangel.org/how-we-help/</v>
      </c>
      <c r="W119" s="14" t="str">
        <f>IFERROR(__xludf.DUMMYFUNCTION("""COMPUTED_VALUE"""),"https://www.google.com/maps/place/Be+An+Angel/@30.0800043,-95.4442114,17z/data=!3m1!4b1!4m6!3m5!1s0x8640b65ef32a029f:0xfb3e902cd13dd03f!8m2!3d30.0799997!4d-95.4393405!16s%2Fg%2F1tf1p6jm?entry=ttu&amp;g_ep=EgoyMDI1MTIwOS4wIKXMDSoKLDEwMDc5MjA2OUgBUAM%3D")</f>
        <v>https://www.google.com/maps/place/Be+An+Angel/@30.0800043,-95.4442114,17z/data=!3m1!4b1!4m6!3m5!1s0x8640b65ef32a029f:0xfb3e902cd13dd03f!8m2!3d30.0799997!4d-95.4393405!16s%2Fg%2F1tf1p6jm?entry=ttu&amp;g_ep=EgoyMDI1MTIwOS4wIKXMDSoKLDEwMDc5MjA2OUgBUAM%3D</v>
      </c>
      <c r="X119" s="10"/>
      <c r="Y119" s="9" t="str">
        <f>IFERROR(__xludf.DUMMYFUNCTION("""COMPUTED_VALUE"""),"Spring")</f>
        <v>Spring</v>
      </c>
      <c r="Z119" s="9" t="str">
        <f>IFERROR(__xludf.DUMMYFUNCTION("""COMPUTED_VALUE"""),"Cypresswood, Spring")</f>
        <v>Cypresswood, Spring</v>
      </c>
      <c r="AA119" s="9" t="str">
        <f>IFERROR(__xludf.DUMMYFUNCTION("""COMPUTED_VALUE"""),"Be An Angel")</f>
        <v>Be An Angel</v>
      </c>
      <c r="AB119" s="9" t="str">
        <f>IFERROR(__xludf.DUMMYFUNCTION("""COMPUTED_VALUE"""),"Spring")</f>
        <v>Spring</v>
      </c>
    </row>
    <row r="120" ht="30.0" customHeight="1">
      <c r="A120" s="17">
        <v>119.0</v>
      </c>
      <c r="B120" s="8" t="str">
        <f>IFERROR(__xludf.DUMMYFUNCTION("""COMPUTED_VALUE"""),"[""99999""]")</f>
        <v>["99999"]</v>
      </c>
      <c r="C120" s="9" t="str">
        <f>IFERROR(__xludf.DUMMYFUNCTION("""COMPUTED_VALUE"""),"Be An Angel")</f>
        <v>Be An Angel</v>
      </c>
      <c r="D120" s="9" t="str">
        <f>IFERROR(__xludf.DUMMYFUNCTION("""COMPUTED_VALUE"""),"21755 I-45 North")</f>
        <v>21755 I-45 North</v>
      </c>
      <c r="E120" s="9" t="str">
        <f>IFERROR(__xludf.DUMMYFUNCTION("""COMPUTED_VALUE"""),"Building 7")</f>
        <v>Building 7</v>
      </c>
      <c r="F120" s="9" t="str">
        <f>IFERROR(__xludf.DUMMYFUNCTION("""COMPUTED_VALUE"""),"Spring")</f>
        <v>Spring</v>
      </c>
      <c r="G120" s="9" t="str">
        <f>IFERROR(__xludf.DUMMYFUNCTION("""COMPUTED_VALUE"""),"TX")</f>
        <v>TX</v>
      </c>
      <c r="H120" s="9" t="str">
        <f>IFERROR(__xludf.DUMMYFUNCTION("""COMPUTED_VALUE"""),"77388")</f>
        <v>77388</v>
      </c>
      <c r="I120" s="9" t="str">
        <f>IFERROR(__xludf.DUMMYFUNCTION("""COMPUTED_VALUE"""),"281-219-3313")</f>
        <v>281-219-3313</v>
      </c>
      <c r="J120" s="9" t="str">
        <f>IFERROR(__xludf.DUMMYFUNCTION("""COMPUTED_VALUE"""),"30.080166632647078, -95.43936195046545")</f>
        <v>30.080166632647078, -95.43936195046545</v>
      </c>
      <c r="K120" s="9" t="str">
        <f>IFERROR(__xludf.DUMMYFUNCTION("""COMPUTED_VALUE"""),"{""regular"":[{""days"":[""Mo"",""Tu"",""We"",""Th"",""Fr""],""open"":""09:00"",""close"":""17:00""}]}")</f>
        <v>{"regular":[{"days":["Mo","Tu","We","Th","Fr"],"open":"09:00","close":"17:00"}]}</v>
      </c>
      <c r="L120" s="9" t="str">
        <f>IFERROR(__xludf.DUMMYFUNCTION("""COMPUTED_VALUE"""),"Apply online")</f>
        <v>Apply online</v>
      </c>
      <c r="M120" s="10">
        <f>IFERROR(__xludf.DUMMYFUNCTION("""COMPUTED_VALUE"""),65.0)</f>
        <v>65</v>
      </c>
      <c r="N120" s="10" t="str">
        <f>IFERROR(__xludf.DUMMYFUNCTION("""COMPUTED_VALUE"""),"Other")</f>
        <v>Other</v>
      </c>
      <c r="O120" s="10">
        <f>IFERROR(__xludf.DUMMYFUNCTION("""COMPUTED_VALUE"""),1.0)</f>
        <v>1</v>
      </c>
      <c r="P120" s="10" t="str">
        <f>IFERROR(__xludf.DUMMYFUNCTION("""COMPUTED_VALUE"""),"ACTIVE")</f>
        <v>ACTIVE</v>
      </c>
      <c r="Q120" s="11">
        <f>IFERROR(__xludf.DUMMYFUNCTION("""COMPUTED_VALUE"""),46019.0)</f>
        <v>46019</v>
      </c>
      <c r="R120" s="9" t="str">
        <f>IFERROR(__xludf.DUMMYFUNCTION("""COMPUTED_VALUE"""),"Verified online")</f>
        <v>Verified online</v>
      </c>
      <c r="S120" s="9" t="str">
        <f>IFERROR(__xludf.DUMMYFUNCTION("""COMPUTED_VALUE"""),"Respite care for families with special needs children.
This is upto 12 hours of at home care service per month by skilled, screened experienced and CPR certified caregivers.  May include physical and occupational therapies for children.")</f>
        <v>Respite care for families with special needs children.
This is upto 12 hours of at home care service per month by skilled, screened experienced and CPR certified caregivers.  May include physical and occupational therapies for children.</v>
      </c>
      <c r="T120" s="12" t="b">
        <f>IFERROR(__xludf.DUMMYFUNCTION("""COMPUTED_VALUE"""),FALSE)</f>
        <v>0</v>
      </c>
      <c r="U120" s="12" t="b">
        <f>IFERROR(__xludf.DUMMYFUNCTION("""COMPUTED_VALUE"""),FALSE)</f>
        <v>0</v>
      </c>
      <c r="V120" s="13" t="str">
        <f>IFERROR(__xludf.DUMMYFUNCTION("""COMPUTED_VALUE"""),"https://beanangel.org/how-we-help/")</f>
        <v>https://beanangel.org/how-we-help/</v>
      </c>
      <c r="W120" s="14" t="str">
        <f>IFERROR(__xludf.DUMMYFUNCTION("""COMPUTED_VALUE"""),"https://www.google.com/maps/place/Be+An+Angel/@30.0800043,-95.4442114,17z/data=!3m1!4b1!4m6!3m5!1s0x8640b65ef32a029f:0xfb3e902cd13dd03f!8m2!3d30.0799997!4d-95.4393405!16s%2Fg%2F1tf1p6jm?entry=ttu&amp;g_ep=EgoyMDI1MTIwOS4wIKXMDSoKLDEwMDc5MjA2OUgBUAM%3D")</f>
        <v>https://www.google.com/maps/place/Be+An+Angel/@30.0800043,-95.4442114,17z/data=!3m1!4b1!4m6!3m5!1s0x8640b65ef32a029f:0xfb3e902cd13dd03f!8m2!3d30.0799997!4d-95.4393405!16s%2Fg%2F1tf1p6jm?entry=ttu&amp;g_ep=EgoyMDI1MTIwOS4wIKXMDSoKLDEwMDc5MjA2OUgBUAM%3D</v>
      </c>
      <c r="X120" s="10"/>
      <c r="Y120" s="9" t="str">
        <f>IFERROR(__xludf.DUMMYFUNCTION("""COMPUTED_VALUE"""),"Spring")</f>
        <v>Spring</v>
      </c>
      <c r="Z120" s="9" t="str">
        <f>IFERROR(__xludf.DUMMYFUNCTION("""COMPUTED_VALUE"""),"Cypresswood, Spring")</f>
        <v>Cypresswood, Spring</v>
      </c>
      <c r="AA120" s="9" t="str">
        <f>IFERROR(__xludf.DUMMYFUNCTION("""COMPUTED_VALUE"""),"Be An Angel")</f>
        <v>Be An Angel</v>
      </c>
      <c r="AB120" s="9" t="str">
        <f>IFERROR(__xludf.DUMMYFUNCTION("""COMPUTED_VALUE"""),"Spring")</f>
        <v>Spring</v>
      </c>
    </row>
    <row r="121" ht="30.0" customHeight="1">
      <c r="A121" s="17">
        <v>120.0</v>
      </c>
      <c r="B12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C121" s="9" t="str">
        <f>IFERROR(__xludf.DUMMYFUNCTION("""COMPUTED_VALUE"""),"Bee Busy Wellness Center")</f>
        <v>Bee Busy Wellness Center</v>
      </c>
      <c r="D121" s="9" t="str">
        <f>IFERROR(__xludf.DUMMYFUNCTION("""COMPUTED_VALUE"""),"8785 W Bellfort Avenue")</f>
        <v>8785 W Bellfort Avenue</v>
      </c>
      <c r="E121" s="9"/>
      <c r="F121" s="9" t="str">
        <f>IFERROR(__xludf.DUMMYFUNCTION("""COMPUTED_VALUE"""),"Houston")</f>
        <v>Houston</v>
      </c>
      <c r="G121" s="9" t="str">
        <f>IFERROR(__xludf.DUMMYFUNCTION("""COMPUTED_VALUE"""),"TX")</f>
        <v>TX</v>
      </c>
      <c r="H121" s="9" t="str">
        <f>IFERROR(__xludf.DUMMYFUNCTION("""COMPUTED_VALUE"""),"77031")</f>
        <v>77031</v>
      </c>
      <c r="I121" s="9" t="str">
        <f>IFERROR(__xludf.DUMMYFUNCTION("""COMPUTED_VALUE"""),"713-771-2292")</f>
        <v>713-771-2292</v>
      </c>
      <c r="J121" s="9" t="str">
        <f>IFERROR(__xludf.DUMMYFUNCTION("""COMPUTED_VALUE"""),"29.656091, -95.531451")</f>
        <v>29.656091, -95.531451</v>
      </c>
      <c r="K121" s="9" t="str">
        <f>IFERROR(__xludf.DUMMYFUNCTION("""COMPUTED_VALUE"""),"{""regular"":[{""days"":[""Mo"",""Tu"",""We"",""Th"",""Fr""],""open"":""08:00"",""close"":""18:00""},{""days"":[""Sa""],""open"":""08:00"",""close"":""15:00""}]}")</f>
        <v>{"regular":[{"days":["Mo","Tu","We","Th","Fr"],"open":"08:00","close":"18:00"},{"days":["Sa"],"open":"08:00","close":"15:00"}]}</v>
      </c>
      <c r="L121" s="9"/>
      <c r="M121" s="10">
        <f>IFERROR(__xludf.DUMMYFUNCTION("""COMPUTED_VALUE"""),31.0)</f>
        <v>31</v>
      </c>
      <c r="N121" s="10" t="str">
        <f>IFERROR(__xludf.DUMMYFUNCTION("""COMPUTED_VALUE"""),"Medical - Primary Care")</f>
        <v>Medical - Primary Care</v>
      </c>
      <c r="O121" s="10">
        <f>IFERROR(__xludf.DUMMYFUNCTION("""COMPUTED_VALUE"""),1.0)</f>
        <v>1</v>
      </c>
      <c r="P121" s="10" t="str">
        <f>IFERROR(__xludf.DUMMYFUNCTION("""COMPUTED_VALUE"""),"ACTIVE")</f>
        <v>ACTIVE</v>
      </c>
      <c r="Q121" s="11">
        <f>IFERROR(__xludf.DUMMYFUNCTION("""COMPUTED_VALUE"""),46049.0)</f>
        <v>46049</v>
      </c>
      <c r="R121" s="9" t="str">
        <f>IFERROR(__xludf.DUMMYFUNCTION("""COMPUTED_VALUE"""),"Verified online")</f>
        <v>Verified online</v>
      </c>
      <c r="S121" s="9" t="str">
        <f>IFERROR(__xludf.DUMMYFUNCTION("""COMPUTED_VALUE"""),"Family medicine, pediatric care, women's health, men's health, screenings, pharmacy services, radiology, immunizations..
Services provided regardless of ability to pay.
Proof of income and photo ID required.")</f>
        <v>Family medicine, pediatric care, women's health, men's health, screenings, pharmacy services, radiology, immunizations..
Services provided regardless of ability to pay.
Proof of income and photo ID required.</v>
      </c>
      <c r="T121" s="12" t="b">
        <f>IFERROR(__xludf.DUMMYFUNCTION("""COMPUTED_VALUE"""),FALSE)</f>
        <v>0</v>
      </c>
      <c r="U121" s="12" t="b">
        <f>IFERROR(__xludf.DUMMYFUNCTION("""COMPUTED_VALUE"""),FALSE)</f>
        <v>0</v>
      </c>
      <c r="V121" s="13" t="str">
        <f>IFERROR(__xludf.DUMMYFUNCTION("""COMPUTED_VALUE"""),"https://mybbwc.org/")</f>
        <v>https://mybbwc.org/</v>
      </c>
      <c r="W121" s="14" t="str">
        <f>IFERROR(__xludf.DUMMYFUNCTION("""COMPUTED_VALUE"""),"https://www.google.com/maps/place/Bee+Busy+Wellness+Center/@29.6551599,-95.535136,17z/data=!3m1!4b1!4m6!3m5!1s0x8640e839f37ef8db:0x4926b02a82126fa!8m2!3d29.6551553!4d-95.5302597!16s%2Fg%2F11bwn5gt5t?entry=ttu&amp;g_ep=EgoyMDI1MDUwNy4wIKXMDSoASAFQAw%3D%3D")</f>
        <v>https://www.google.com/maps/place/Bee+Busy+Wellness+Center/@29.6551599,-95.535136,17z/data=!3m1!4b1!4m6!3m5!1s0x8640e839f37ef8db:0x4926b02a82126fa!8m2!3d29.6551553!4d-95.5302597!16s%2Fg%2F11bwn5gt5t?entry=ttu&amp;g_ep=EgoyMDI1MDUwNy4wIKXMDSoASAFQAw%3D%3D</v>
      </c>
      <c r="X121" s="10"/>
      <c r="Y121" s="9" t="str">
        <f>IFERROR(__xludf.DUMMYFUNCTION("""COMPUTED_VALUE"""),"Houston")</f>
        <v>Houston</v>
      </c>
      <c r="Z121" s="9" t="str">
        <f>IFERROR(__xludf.DUMMYFUNCTION("""COMPUTED_VALUE"""),"Brays Oaks, Fondren Southwest")</f>
        <v>Brays Oaks, Fondren Southwest</v>
      </c>
      <c r="AA121" s="9" t="str">
        <f>IFERROR(__xludf.DUMMYFUNCTION("""COMPUTED_VALUE"""),"Bee Busy Wellness Center")</f>
        <v>Bee Busy Wellness Center</v>
      </c>
      <c r="AB121" s="9" t="str">
        <f>IFERROR(__xludf.DUMMYFUNCTION("""COMPUTED_VALUE"""),"Brays Oaks")</f>
        <v>Brays Oaks</v>
      </c>
    </row>
    <row r="122" ht="30.0" customHeight="1">
      <c r="A122" s="17">
        <v>121.0</v>
      </c>
      <c r="B12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C122" s="9" t="str">
        <f>IFERROR(__xludf.DUMMYFUNCTION("""COMPUTED_VALUE"""),"Bee Busy Wellness Center")</f>
        <v>Bee Busy Wellness Center</v>
      </c>
      <c r="D122" s="9" t="str">
        <f>IFERROR(__xludf.DUMMYFUNCTION("""COMPUTED_VALUE"""),"8785 W Bellfort Avenue")</f>
        <v>8785 W Bellfort Avenue</v>
      </c>
      <c r="E122" s="9"/>
      <c r="F122" s="9" t="str">
        <f>IFERROR(__xludf.DUMMYFUNCTION("""COMPUTED_VALUE"""),"Houston")</f>
        <v>Houston</v>
      </c>
      <c r="G122" s="9" t="str">
        <f>IFERROR(__xludf.DUMMYFUNCTION("""COMPUTED_VALUE"""),"TX")</f>
        <v>TX</v>
      </c>
      <c r="H122" s="9" t="str">
        <f>IFERROR(__xludf.DUMMYFUNCTION("""COMPUTED_VALUE"""),"77031")</f>
        <v>77031</v>
      </c>
      <c r="I122" s="9" t="str">
        <f>IFERROR(__xludf.DUMMYFUNCTION("""COMPUTED_VALUE"""),"713-771-2292")</f>
        <v>713-771-2292</v>
      </c>
      <c r="J122" s="9" t="str">
        <f>IFERROR(__xludf.DUMMYFUNCTION("""COMPUTED_VALUE"""),"29.656091, -95.531451")</f>
        <v>29.656091, -95.531451</v>
      </c>
      <c r="K122" s="9" t="str">
        <f>IFERROR(__xludf.DUMMYFUNCTION("""COMPUTED_VALUE"""),"{""regular"":[{""days"":[""Mo"",""Tu"",""We"",""Th"",""Fr""],""open"":""08:00"",""close"":""18:00""},{""days"":[""Sa""],""open"":""08:00"",""close"":""15:00""}]}")</f>
        <v>{"regular":[{"days":["Mo","Tu","We","Th","Fr"],"open":"08:00","close":"18:00"},{"days":["Sa"],"open":"08:00","close":"15:00"}]}</v>
      </c>
      <c r="L122" s="9"/>
      <c r="M122" s="10">
        <f>IFERROR(__xludf.DUMMYFUNCTION("""COMPUTED_VALUE"""),32.0)</f>
        <v>32</v>
      </c>
      <c r="N122" s="10" t="str">
        <f>IFERROR(__xludf.DUMMYFUNCTION("""COMPUTED_VALUE"""),"Medical - Dental &amp; Vision")</f>
        <v>Medical - Dental &amp; Vision</v>
      </c>
      <c r="O122" s="10">
        <f>IFERROR(__xludf.DUMMYFUNCTION("""COMPUTED_VALUE"""),4.0)</f>
        <v>4</v>
      </c>
      <c r="P122" s="10" t="str">
        <f>IFERROR(__xludf.DUMMYFUNCTION("""COMPUTED_VALUE"""),"CLOSED")</f>
        <v>CLOSED</v>
      </c>
      <c r="Q122" s="11">
        <f>IFERROR(__xludf.DUMMYFUNCTION("""COMPUTED_VALUE"""),46049.0)</f>
        <v>46049</v>
      </c>
      <c r="R122" s="9" t="str">
        <f>IFERROR(__xludf.DUMMYFUNCTION("""COMPUTED_VALUE"""),"Coming soon")</f>
        <v>Coming soon</v>
      </c>
      <c r="S122" s="9" t="str">
        <f>IFERROR(__xludf.DUMMYFUNCTION("""COMPUTED_VALUE"""),"Services provided regardless of ability to pay.
Proof of income and photo ID required.")</f>
        <v>Services provided regardless of ability to pay.
Proof of income and photo ID required.</v>
      </c>
      <c r="T122" s="12" t="b">
        <f>IFERROR(__xludf.DUMMYFUNCTION("""COMPUTED_VALUE"""),FALSE)</f>
        <v>0</v>
      </c>
      <c r="U122" s="12" t="b">
        <f>IFERROR(__xludf.DUMMYFUNCTION("""COMPUTED_VALUE"""),FALSE)</f>
        <v>0</v>
      </c>
      <c r="V122" s="13" t="str">
        <f>IFERROR(__xludf.DUMMYFUNCTION("""COMPUTED_VALUE"""),"https://mybbwc.org/")</f>
        <v>https://mybbwc.org/</v>
      </c>
      <c r="W122" s="14" t="str">
        <f>IFERROR(__xludf.DUMMYFUNCTION("""COMPUTED_VALUE"""),"https://www.google.com/maps/place/Bee+Busy+Wellness+Center/@29.6551599,-95.535136,17z/data=!3m1!4b1!4m6!3m5!1s0x8640e839f37ef8db:0x4926b02a82126fa!8m2!3d29.6551553!4d-95.5302597!16s%2Fg%2F11bwn5gt5t?entry=ttu&amp;g_ep=EgoyMDI1MDUwNy4wIKXMDSoASAFQAw%3D%3D")</f>
        <v>https://www.google.com/maps/place/Bee+Busy+Wellness+Center/@29.6551599,-95.535136,17z/data=!3m1!4b1!4m6!3m5!1s0x8640e839f37ef8db:0x4926b02a82126fa!8m2!3d29.6551553!4d-95.5302597!16s%2Fg%2F11bwn5gt5t?entry=ttu&amp;g_ep=EgoyMDI1MDUwNy4wIKXMDSoASAFQAw%3D%3D</v>
      </c>
      <c r="X122" s="10"/>
      <c r="Y122" s="9" t="str">
        <f>IFERROR(__xludf.DUMMYFUNCTION("""COMPUTED_VALUE"""),"Houston")</f>
        <v>Houston</v>
      </c>
      <c r="Z122" s="9" t="str">
        <f>IFERROR(__xludf.DUMMYFUNCTION("""COMPUTED_VALUE"""),"Brays Oaks, Fondren Southwest")</f>
        <v>Brays Oaks, Fondren Southwest</v>
      </c>
      <c r="AA122" s="9" t="str">
        <f>IFERROR(__xludf.DUMMYFUNCTION("""COMPUTED_VALUE"""),"Bee Busy Wellness Center")</f>
        <v>Bee Busy Wellness Center</v>
      </c>
      <c r="AB122" s="9" t="str">
        <f>IFERROR(__xludf.DUMMYFUNCTION("""COMPUTED_VALUE"""),"Brays Oaks")</f>
        <v>Brays Oaks</v>
      </c>
    </row>
    <row r="123" ht="30.0" customHeight="1">
      <c r="A123" s="17">
        <v>122.0</v>
      </c>
      <c r="B12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C123" s="9" t="str">
        <f>IFERROR(__xludf.DUMMYFUNCTION("""COMPUTED_VALUE"""),"Bee Busy Wellness Center")</f>
        <v>Bee Busy Wellness Center</v>
      </c>
      <c r="D123" s="9" t="str">
        <f>IFERROR(__xludf.DUMMYFUNCTION("""COMPUTED_VALUE"""),"8785 W Bellfort Avenue")</f>
        <v>8785 W Bellfort Avenue</v>
      </c>
      <c r="E123" s="9"/>
      <c r="F123" s="10" t="str">
        <f>IFERROR(__xludf.DUMMYFUNCTION("""COMPUTED_VALUE"""),"Houston")</f>
        <v>Houston</v>
      </c>
      <c r="G123" s="9" t="str">
        <f>IFERROR(__xludf.DUMMYFUNCTION("""COMPUTED_VALUE"""),"TX")</f>
        <v>TX</v>
      </c>
      <c r="H123" s="9" t="str">
        <f>IFERROR(__xludf.DUMMYFUNCTION("""COMPUTED_VALUE"""),"77031")</f>
        <v>77031</v>
      </c>
      <c r="I123" s="9" t="str">
        <f>IFERROR(__xludf.DUMMYFUNCTION("""COMPUTED_VALUE"""),"713-771-2292")</f>
        <v>713-771-2292</v>
      </c>
      <c r="J123" s="9" t="str">
        <f>IFERROR(__xludf.DUMMYFUNCTION("""COMPUTED_VALUE"""),"29.656091, -95.531451")</f>
        <v>29.656091, -95.531451</v>
      </c>
      <c r="K123" s="9" t="str">
        <f>IFERROR(__xludf.DUMMYFUNCTION("""COMPUTED_VALUE"""),"{""regular"":[{""days"":[""Mo"",""Tu"",""We"",""Th"",""Fr""],""open"":""08:00"",""close"":""18:00""},{""days"":[""Sa""],""open"":""08:00"",""close"":""15:00""}]}")</f>
        <v>{"regular":[{"days":["Mo","Tu","We","Th","Fr"],"open":"08:00","close":"18:00"},{"days":["Sa"],"open":"08:00","close":"15:00"}]}</v>
      </c>
      <c r="L123" s="9"/>
      <c r="M123" s="10">
        <f>IFERROR(__xludf.DUMMYFUNCTION("""COMPUTED_VALUE"""),33.0)</f>
        <v>33</v>
      </c>
      <c r="N123" s="10" t="str">
        <f>IFERROR(__xludf.DUMMYFUNCTION("""COMPUTED_VALUE"""),"Medical - Behavioral Health")</f>
        <v>Medical - Behavioral Health</v>
      </c>
      <c r="O123" s="10">
        <f>IFERROR(__xludf.DUMMYFUNCTION("""COMPUTED_VALUE"""),1.0)</f>
        <v>1</v>
      </c>
      <c r="P123" s="10" t="str">
        <f>IFERROR(__xludf.DUMMYFUNCTION("""COMPUTED_VALUE"""),"ACTIVE")</f>
        <v>ACTIVE</v>
      </c>
      <c r="Q123" s="11">
        <f>IFERROR(__xludf.DUMMYFUNCTION("""COMPUTED_VALUE"""),45789.0)</f>
        <v>45789</v>
      </c>
      <c r="R123" s="9" t="str">
        <f>IFERROR(__xludf.DUMMYFUNCTION("""COMPUTED_VALUE"""),"Verified online")</f>
        <v>Verified online</v>
      </c>
      <c r="S123" s="9" t="str">
        <f>IFERROR(__xludf.DUMMYFUNCTION("""COMPUTED_VALUE"""),"Including evaluations counseling, anger management, tailored medication therapy.
Services provided regardless of ability to pay.
Proof of income and photo ID required.")</f>
        <v>Including evaluations counseling, anger management, tailored medication therapy.
Services provided regardless of ability to pay.
Proof of income and photo ID required.</v>
      </c>
      <c r="T123" s="12" t="b">
        <f>IFERROR(__xludf.DUMMYFUNCTION("""COMPUTED_VALUE"""),FALSE)</f>
        <v>0</v>
      </c>
      <c r="U123" s="12" t="b">
        <f>IFERROR(__xludf.DUMMYFUNCTION("""COMPUTED_VALUE"""),FALSE)</f>
        <v>0</v>
      </c>
      <c r="V123" s="13" t="str">
        <f>IFERROR(__xludf.DUMMYFUNCTION("""COMPUTED_VALUE"""),"https://mybbwc.org/")</f>
        <v>https://mybbwc.org/</v>
      </c>
      <c r="W123" s="14" t="str">
        <f>IFERROR(__xludf.DUMMYFUNCTION("""COMPUTED_VALUE"""),"https://www.google.com/maps/place/Bee+Busy+Wellness+Center/@29.6551599,-95.535136,17z/data=!3m1!4b1!4m6!3m5!1s0x8640e839f37ef8db:0x4926b02a82126fa!8m2!3d29.6551553!4d-95.5302597!16s%2Fg%2F11bwn5gt5t?entry=ttu&amp;g_ep=EgoyMDI1MDUwNy4wIKXMDSoASAFQAw%3D%3D")</f>
        <v>https://www.google.com/maps/place/Bee+Busy+Wellness+Center/@29.6551599,-95.535136,17z/data=!3m1!4b1!4m6!3m5!1s0x8640e839f37ef8db:0x4926b02a82126fa!8m2!3d29.6551553!4d-95.5302597!16s%2Fg%2F11bwn5gt5t?entry=ttu&amp;g_ep=EgoyMDI1MDUwNy4wIKXMDSoASAFQAw%3D%3D</v>
      </c>
      <c r="X123" s="10"/>
      <c r="Y123" s="9" t="str">
        <f>IFERROR(__xludf.DUMMYFUNCTION("""COMPUTED_VALUE"""),"Houston")</f>
        <v>Houston</v>
      </c>
      <c r="Z123" s="9" t="str">
        <f>IFERROR(__xludf.DUMMYFUNCTION("""COMPUTED_VALUE"""),"Brays Oaks, Fondren Southwest")</f>
        <v>Brays Oaks, Fondren Southwest</v>
      </c>
      <c r="AA123" s="9" t="str">
        <f>IFERROR(__xludf.DUMMYFUNCTION("""COMPUTED_VALUE"""),"Bee Busy Wellness Center")</f>
        <v>Bee Busy Wellness Center</v>
      </c>
      <c r="AB123" s="9" t="str">
        <f>IFERROR(__xludf.DUMMYFUNCTION("""COMPUTED_VALUE"""),"Brays Oaks")</f>
        <v>Brays Oaks</v>
      </c>
    </row>
    <row r="124" ht="30.0" customHeight="1">
      <c r="A124" s="17">
        <v>123.0</v>
      </c>
      <c r="B124" s="8" t="str">
        <f>IFERROR(__xludf.DUMMYFUNCTION("""COMPUTED_VALUE"""),"[""99999""]")</f>
        <v>["99999"]</v>
      </c>
      <c r="C124" s="9" t="str">
        <f>IFERROR(__xludf.DUMMYFUNCTION("""COMPUTED_VALUE"""),"Bethel Heavenly Hands")</f>
        <v>Bethel Heavenly Hands</v>
      </c>
      <c r="D124" s="9" t="str">
        <f>IFERROR(__xludf.DUMMYFUNCTION("""COMPUTED_VALUE"""),"12660 Sandpiper Drive")</f>
        <v>12660 Sandpiper Drive</v>
      </c>
      <c r="E124" s="9"/>
      <c r="F124" s="10" t="str">
        <f>IFERROR(__xludf.DUMMYFUNCTION("""COMPUTED_VALUE"""),"Houston")</f>
        <v>Houston</v>
      </c>
      <c r="G124" s="9" t="str">
        <f>IFERROR(__xludf.DUMMYFUNCTION("""COMPUTED_VALUE"""),"TX")</f>
        <v>TX</v>
      </c>
      <c r="H124" s="9" t="str">
        <f>IFERROR(__xludf.DUMMYFUNCTION("""COMPUTED_VALUE"""),"77035")</f>
        <v>77035</v>
      </c>
      <c r="I124" s="9" t="str">
        <f>IFERROR(__xludf.DUMMYFUNCTION("""COMPUTED_VALUE"""),"281-271-4290")</f>
        <v>281-271-4290</v>
      </c>
      <c r="J124" s="9" t="str">
        <f>IFERROR(__xludf.DUMMYFUNCTION("""COMPUTED_VALUE"""),"29.6395601, -95.5038954748198")</f>
        <v>29.6395601, -95.5038954748198</v>
      </c>
      <c r="K124" s="9" t="str">
        <f>IFERROR(__xludf.DUMMYFUNCTION("""COMPUTED_VALUE"""),"{""regular"":[{""days"":[""Tu""],""open"":""07:30"",""close"":""11:30""}]}")</f>
        <v>{"regular":[{"days":["Tu"],"open":"07:30","close":"11:30"}]}</v>
      </c>
      <c r="L124" s="9"/>
      <c r="M124" s="10">
        <f>IFERROR(__xludf.DUMMYFUNCTION("""COMPUTED_VALUE"""),13.0)</f>
        <v>13</v>
      </c>
      <c r="N124" s="10" t="str">
        <f>IFERROR(__xludf.DUMMYFUNCTION("""COMPUTED_VALUE"""),"Food")</f>
        <v>Food</v>
      </c>
      <c r="O124" s="10">
        <f>IFERROR(__xludf.DUMMYFUNCTION("""COMPUTED_VALUE"""),1.0)</f>
        <v>1</v>
      </c>
      <c r="P124" s="10" t="str">
        <f>IFERROR(__xludf.DUMMYFUNCTION("""COMPUTED_VALUE"""),"ACTIVE")</f>
        <v>ACTIVE</v>
      </c>
      <c r="Q124" s="11"/>
      <c r="R124" s="9"/>
      <c r="S124" s="9" t="str">
        <f>IFERROR(__xludf.DUMMYFUNCTION("""COMPUTED_VALUE"""),"Call ahead. 
Long term food programs in addition to the food pantry. Check website for details.")</f>
        <v>Call ahead. 
Long term food programs in addition to the food pantry. Check website for details.</v>
      </c>
      <c r="T124" s="12" t="b">
        <f>IFERROR(__xludf.DUMMYFUNCTION("""COMPUTED_VALUE"""),FALSE)</f>
        <v>0</v>
      </c>
      <c r="U124" s="12" t="b">
        <f>IFERROR(__xludf.DUMMYFUNCTION("""COMPUTED_VALUE"""),FALSE)</f>
        <v>0</v>
      </c>
      <c r="V124" s="13" t="str">
        <f>IFERROR(__xludf.DUMMYFUNCTION("""COMPUTED_VALUE"""),"https://www.bethelsheavenlyhands.org/")</f>
        <v>https://www.bethelsheavenlyhands.org/</v>
      </c>
      <c r="W124" s="14" t="str">
        <f>IFERROR(__xludf.DUMMYFUNCTION("""COMPUTED_VALUE"""),"https://maps.google.com/?q=Bethel%20Heavenly%20Hands%2012660%20Sandpiper%20Dr%20Houston%20TX%2077035")</f>
        <v>https://maps.google.com/?q=Bethel%20Heavenly%20Hands%2012660%20Sandpiper%20Dr%20Houston%20TX%2077035</v>
      </c>
      <c r="X124" s="10"/>
      <c r="Y124" s="9" t="str">
        <f>IFERROR(__xludf.DUMMYFUNCTION("""COMPUTED_VALUE"""),"Houston")</f>
        <v>Houston</v>
      </c>
      <c r="Z124" s="9" t="str">
        <f>IFERROR(__xludf.DUMMYFUNCTION("""COMPUTED_VALUE"""),"Bellaire, Brays Oaks, Fondren Gardens, Westbury, Willow Meadows/ Willowbend Area, Willowbend")</f>
        <v>Bellaire, Brays Oaks, Fondren Gardens, Westbury, Willow Meadows/ Willowbend Area, Willowbend</v>
      </c>
      <c r="AA124" s="9" t="str">
        <f>IFERROR(__xludf.DUMMYFUNCTION("""COMPUTED_VALUE"""),"Bethel Heavenly Hands")</f>
        <v>Bethel Heavenly Hands</v>
      </c>
      <c r="AB124" s="9" t="str">
        <f>IFERROR(__xludf.DUMMYFUNCTION("""COMPUTED_VALUE"""),"Brays Oaks")</f>
        <v>Brays Oaks</v>
      </c>
    </row>
    <row r="125" ht="30.0" customHeight="1">
      <c r="A125" s="17">
        <v>124.0</v>
      </c>
      <c r="B125" s="8" t="str">
        <f>IFERROR(__xludf.DUMMYFUNCTION("""COMPUTED_VALUE"""),"[""99999""]")</f>
        <v>["99999"]</v>
      </c>
      <c r="C125" s="9" t="str">
        <f>IFERROR(__xludf.DUMMYFUNCTION("""COMPUTED_VALUE"""),"Bethel Heavenly Hands")</f>
        <v>Bethel Heavenly Hands</v>
      </c>
      <c r="D125" s="9" t="str">
        <f>IFERROR(__xludf.DUMMYFUNCTION("""COMPUTED_VALUE"""),"12660 Sandpiper Drive")</f>
        <v>12660 Sandpiper Drive</v>
      </c>
      <c r="E125" s="9"/>
      <c r="F125" s="10" t="str">
        <f>IFERROR(__xludf.DUMMYFUNCTION("""COMPUTED_VALUE"""),"Houston")</f>
        <v>Houston</v>
      </c>
      <c r="G125" s="9" t="str">
        <f>IFERROR(__xludf.DUMMYFUNCTION("""COMPUTED_VALUE"""),"TX")</f>
        <v>TX</v>
      </c>
      <c r="H125" s="9" t="str">
        <f>IFERROR(__xludf.DUMMYFUNCTION("""COMPUTED_VALUE"""),"77035")</f>
        <v>77035</v>
      </c>
      <c r="I125" s="9" t="str">
        <f>IFERROR(__xludf.DUMMYFUNCTION("""COMPUTED_VALUE"""),"281-271-4290")</f>
        <v>281-271-4290</v>
      </c>
      <c r="J125" s="9" t="str">
        <f>IFERROR(__xludf.DUMMYFUNCTION("""COMPUTED_VALUE"""),"29.6395601, -95.5038954748198")</f>
        <v>29.6395601, -95.5038954748198</v>
      </c>
      <c r="K125" s="9" t="str">
        <f>IFERROR(__xludf.DUMMYFUNCTION("""COMPUTED_VALUE"""),"{""regular"":[{""days"":[""Tu""],""open"":""07:30"",""close"":""11:30""}]}")</f>
        <v>{"regular":[{"days":["Tu"],"open":"07:30","close":"11:30"}]}</v>
      </c>
      <c r="L125" s="9"/>
      <c r="M125" s="10">
        <f>IFERROR(__xludf.DUMMYFUNCTION("""COMPUTED_VALUE"""),61.0)</f>
        <v>61</v>
      </c>
      <c r="N125" s="10" t="str">
        <f>IFERROR(__xludf.DUMMYFUNCTION("""COMPUTED_VALUE"""),"Seniors")</f>
        <v>Seniors</v>
      </c>
      <c r="O125" s="10">
        <f>IFERROR(__xludf.DUMMYFUNCTION("""COMPUTED_VALUE"""),1.0)</f>
        <v>1</v>
      </c>
      <c r="P125" s="10" t="str">
        <f>IFERROR(__xludf.DUMMYFUNCTION("""COMPUTED_VALUE"""),"ACTIVE")</f>
        <v>ACTIVE</v>
      </c>
      <c r="Q125" s="11"/>
      <c r="R125" s="9"/>
      <c r="S125" s="9" t="str">
        <f>IFERROR(__xludf.DUMMYFUNCTION("""COMPUTED_VALUE"""),"Distribute special boxes of groceries and household products to specific seniors on the 1st Friday of the month.
Must meet TX Dept of Agriculture Income Eligibility requirements.")</f>
        <v>Distribute special boxes of groceries and household products to specific seniors on the 1st Friday of the month.
Must meet TX Dept of Agriculture Income Eligibility requirements.</v>
      </c>
      <c r="T125" s="12" t="b">
        <f>IFERROR(__xludf.DUMMYFUNCTION("""COMPUTED_VALUE"""),FALSE)</f>
        <v>0</v>
      </c>
      <c r="U125" s="12" t="b">
        <f>IFERROR(__xludf.DUMMYFUNCTION("""COMPUTED_VALUE"""),FALSE)</f>
        <v>0</v>
      </c>
      <c r="V125" s="13" t="str">
        <f>IFERROR(__xludf.DUMMYFUNCTION("""COMPUTED_VALUE"""),"https://www.bethelsheavenlyhands.org/")</f>
        <v>https://www.bethelsheavenlyhands.org/</v>
      </c>
      <c r="W125" s="14" t="str">
        <f>IFERROR(__xludf.DUMMYFUNCTION("""COMPUTED_VALUE"""),"https://maps.google.com/?q=Bethel%20Heavenly%20Hands%2012660%20Sandpiper%20Dr%20Houston%20TX%2077035")</f>
        <v>https://maps.google.com/?q=Bethel%20Heavenly%20Hands%2012660%20Sandpiper%20Dr%20Houston%20TX%2077035</v>
      </c>
      <c r="X125" s="10"/>
      <c r="Y125" s="9" t="str">
        <f>IFERROR(__xludf.DUMMYFUNCTION("""COMPUTED_VALUE"""),"Houston")</f>
        <v>Houston</v>
      </c>
      <c r="Z125" s="9" t="str">
        <f>IFERROR(__xludf.DUMMYFUNCTION("""COMPUTED_VALUE"""),"Bellaire, Brays Oaks, Fondren Gardens, Westbury, Willow Meadows/ Willowbend Area, Willowbend")</f>
        <v>Bellaire, Brays Oaks, Fondren Gardens, Westbury, Willow Meadows/ Willowbend Area, Willowbend</v>
      </c>
      <c r="AA125" s="9" t="str">
        <f>IFERROR(__xludf.DUMMYFUNCTION("""COMPUTED_VALUE"""),"Bethel Heavenly Hands")</f>
        <v>Bethel Heavenly Hands</v>
      </c>
      <c r="AB125" s="9" t="str">
        <f>IFERROR(__xludf.DUMMYFUNCTION("""COMPUTED_VALUE"""),"Brays Oaks")</f>
        <v>Brays Oaks</v>
      </c>
    </row>
    <row r="126" ht="30.0" customHeight="1">
      <c r="A126" s="17">
        <v>125.0</v>
      </c>
      <c r="B126" s="8" t="str">
        <f>IFERROR(__xludf.DUMMYFUNCTION("""COMPUTED_VALUE"""),"[""99999""]")</f>
        <v>["99999"]</v>
      </c>
      <c r="C126" s="9" t="str">
        <f>IFERROR(__xludf.DUMMYFUNCTION("""COMPUTED_VALUE"""),"Bezos Academy Denver Harbor")</f>
        <v>Bezos Academy Denver Harbor</v>
      </c>
      <c r="D126" s="9" t="str">
        <f>IFERROR(__xludf.DUMMYFUNCTION("""COMPUTED_VALUE"""),"6402 Market Street")</f>
        <v>6402 Market Street</v>
      </c>
      <c r="E126" s="9"/>
      <c r="F126" s="10" t="str">
        <f>IFERROR(__xludf.DUMMYFUNCTION("""COMPUTED_VALUE"""),"Houston")</f>
        <v>Houston</v>
      </c>
      <c r="G126" s="9" t="str">
        <f>IFERROR(__xludf.DUMMYFUNCTION("""COMPUTED_VALUE"""),"TX")</f>
        <v>TX</v>
      </c>
      <c r="H126" s="9" t="str">
        <f>IFERROR(__xludf.DUMMYFUNCTION("""COMPUTED_VALUE"""),"77020")</f>
        <v>77020</v>
      </c>
      <c r="I126" s="9" t="str">
        <f>IFERROR(__xludf.DUMMYFUNCTION("""COMPUTED_VALUE"""),"346-466-4030")</f>
        <v>346-466-4030</v>
      </c>
      <c r="J126" s="9" t="str">
        <f>IFERROR(__xludf.DUMMYFUNCTION("""COMPUTED_VALUE"""),"29.7727809795918, -95.306162755102")</f>
        <v>29.7727809795918, -95.306162755102</v>
      </c>
      <c r="K126" s="9" t="str">
        <f>IFERROR(__xludf.DUMMYFUNCTION("""COMPUTED_VALUE"""),"{""regular"":[{""days"":[""Mo"",""Tu"",""We"",""Th""],""open"":""08:30"",""close"":""15:30""},{""days"":[""Fr""],""open"":""08:30"",""close"":""14:30""}]}")</f>
        <v>{"regular":[{"days":["Mo","Tu","We","Th"],"open":"08:30","close":"15:30"},{"days":["Fr"],"open":"08:30","close":"14:30"}]}</v>
      </c>
      <c r="L126" s="9" t="str">
        <f>IFERROR(__xludf.DUMMYFUNCTION("""COMPUTED_VALUE"""),"Application Deadline:  04/20/2026")</f>
        <v>Application Deadline:  04/20/2026</v>
      </c>
      <c r="M126" s="10">
        <f>IFERROR(__xludf.DUMMYFUNCTION("""COMPUTED_VALUE"""),44.0)</f>
        <v>44</v>
      </c>
      <c r="N126" s="10" t="str">
        <f>IFERROR(__xludf.DUMMYFUNCTION("""COMPUTED_VALUE"""),"Mother &amp; Child")</f>
        <v>Mother &amp; Child</v>
      </c>
      <c r="O126" s="10">
        <f>IFERROR(__xludf.DUMMYFUNCTION("""COMPUTED_VALUE"""),1.0)</f>
        <v>1</v>
      </c>
      <c r="P126" s="10" t="str">
        <f>IFERROR(__xludf.DUMMYFUNCTION("""COMPUTED_VALUE"""),"ACTIVE")</f>
        <v>ACTIVE</v>
      </c>
      <c r="Q126" s="11">
        <f>IFERROR(__xludf.DUMMYFUNCTION("""COMPUTED_VALUE"""),45817.0)</f>
        <v>45817</v>
      </c>
      <c r="R126" s="9" t="str">
        <f>IFERROR(__xludf.DUMMYFUNCTION("""COMPUTED_VALUE"""),"Verified online")</f>
        <v>Verified online</v>
      </c>
      <c r="S126" s="9" t="str">
        <f>IFERROR(__xludf.DUMMYFUNCTION("""COMPUTED_VALUE"""),"Childcare
Applications for 2026-2027 accepted 01/27/2026 thru 04/20/2026.
Tuition-free five days a week preschool for children ages 3-5 years old.
Must meet age and income requirements.  Eligible applicants entered into lottery for admission.
Denver Harbo"&amp;"r is a two classroom preschool located in the Denver Harbor Multi-Service Center.
Capacity = 40")</f>
        <v>Childcare
Applications for 2026-2027 accepted 01/27/2026 thru 04/20/2026.
Tuition-free five days a week preschool for children ages 3-5 years old.
Must meet age and income requirements.  Eligible applicants entered into lottery for admission.
Denver Harbor is a two classroom preschool located in the Denver Harbor Multi-Service Center.
Capacity = 40</v>
      </c>
      <c r="T126" s="12" t="b">
        <f>IFERROR(__xludf.DUMMYFUNCTION("""COMPUTED_VALUE"""),TRUE)</f>
        <v>1</v>
      </c>
      <c r="U126" s="12" t="b">
        <f>IFERROR(__xludf.DUMMYFUNCTION("""COMPUTED_VALUE"""),FALSE)</f>
        <v>0</v>
      </c>
      <c r="V126" s="13" t="str">
        <f>IFERROR(__xludf.DUMMYFUNCTION("""COMPUTED_VALUE"""),"https://bezosacademy.org/schools/houston-denver-harbor-tx/")</f>
        <v>https://bezosacademy.org/schools/houston-denver-harbor-tx/</v>
      </c>
      <c r="W126" s="14" t="str">
        <f>IFERROR(__xludf.DUMMYFUNCTION("""COMPUTED_VALUE"""),"https://www.google.com/maps/place/Bezos+Academy+Houston+-+Denver+Harbor/@29.7720759,-95.307358,17z/data=!3m1!4b1!4m6!3m5!1s0x8640bdc4fd0ad2c5:0x535fb4d7020ebfeb!8m2!3d29.7720713!4d-95.3047777!16s%2Fg%2F11scvtk94z?entry=ttu&amp;g_ep=EgoyMDI1MDYwNC4wIKXMDSoASAF"&amp;"QAw%3D%3D")</f>
        <v>https://www.google.com/maps/place/Bezos+Academy+Houston+-+Denver+Harbor/@29.7720759,-95.307358,17z/data=!3m1!4b1!4m6!3m5!1s0x8640bdc4fd0ad2c5:0x535fb4d7020ebfeb!8m2!3d29.7720713!4d-95.3047777!16s%2Fg%2F11scvtk94z?entry=ttu&amp;g_ep=EgoyMDI1MDYwNC4wIKXMDSoASAFQAw%3D%3D</v>
      </c>
      <c r="X126" s="10"/>
      <c r="Y126" s="9" t="str">
        <f>IFERROR(__xludf.DUMMYFUNCTION("""COMPUTED_VALUE"""),"Houston")</f>
        <v>Houston</v>
      </c>
      <c r="Z126" s="9" t="str">
        <f>IFERROR(__xludf.DUMMYFUNCTION("""COMPUTED_VALUE"""),"Denver Harbor / Port Houston, Fifth Ward, Northside")</f>
        <v>Denver Harbor / Port Houston, Fifth Ward, Northside</v>
      </c>
      <c r="AA126" s="9" t="str">
        <f>IFERROR(__xludf.DUMMYFUNCTION("""COMPUTED_VALUE"""),"Bezos Academy")</f>
        <v>Bezos Academy</v>
      </c>
      <c r="AB126" s="9" t="str">
        <f>IFERROR(__xludf.DUMMYFUNCTION("""COMPUTED_VALUE"""),"Denver Harbor / Port Houston")</f>
        <v>Denver Harbor / Port Houston</v>
      </c>
    </row>
    <row r="127" ht="30.0" customHeight="1">
      <c r="A127" s="17">
        <v>126.0</v>
      </c>
      <c r="B127" s="8" t="str">
        <f>IFERROR(__xludf.DUMMYFUNCTION("""COMPUTED_VALUE"""),"[""99999""]")</f>
        <v>["99999"]</v>
      </c>
      <c r="C127" s="9" t="str">
        <f>IFERROR(__xludf.DUMMYFUNCTION("""COMPUTED_VALUE"""),"Bezos Academy Magnolia Park")</f>
        <v>Bezos Academy Magnolia Park</v>
      </c>
      <c r="D127" s="9" t="str">
        <f>IFERROR(__xludf.DUMMYFUNCTION("""COMPUTED_VALUE"""),"7524 Avenue E")</f>
        <v>7524 Avenue E</v>
      </c>
      <c r="E127" s="9"/>
      <c r="F127" s="9" t="str">
        <f>IFERROR(__xludf.DUMMYFUNCTION("""COMPUTED_VALUE"""),"Houston")</f>
        <v>Houston</v>
      </c>
      <c r="G127" s="9" t="str">
        <f>IFERROR(__xludf.DUMMYFUNCTION("""COMPUTED_VALUE"""),"TX")</f>
        <v>TX</v>
      </c>
      <c r="H127" s="9" t="str">
        <f>IFERROR(__xludf.DUMMYFUNCTION("""COMPUTED_VALUE"""),"77012")</f>
        <v>77012</v>
      </c>
      <c r="I127" s="9" t="str">
        <f>IFERROR(__xludf.DUMMYFUNCTION("""COMPUTED_VALUE"""),"346-463-7997")</f>
        <v>346-463-7997</v>
      </c>
      <c r="J127" s="9" t="str">
        <f>IFERROR(__xludf.DUMMYFUNCTION("""COMPUTED_VALUE"""),"29.7348118932521, -95.2905836787996")</f>
        <v>29.7348118932521, -95.2905836787996</v>
      </c>
      <c r="K127" s="9" t="str">
        <f>IFERROR(__xludf.DUMMYFUNCTION("""COMPUTED_VALUE"""),"{""regular"":[{""days"":[""Mo"",""Tu"",""We"",""Th""],""open"":""08:00"",""close"":""17:00""}]}")</f>
        <v>{"regular":[{"days":["Mo","Tu","We","Th"],"open":"08:00","close":"17:00"}]}</v>
      </c>
      <c r="L127" s="9" t="str">
        <f>IFERROR(__xludf.DUMMYFUNCTION("""COMPUTED_VALUE"""),"Application Deadline:  04/20/2026")</f>
        <v>Application Deadline:  04/20/2026</v>
      </c>
      <c r="M127" s="10">
        <f>IFERROR(__xludf.DUMMYFUNCTION("""COMPUTED_VALUE"""),44.0)</f>
        <v>44</v>
      </c>
      <c r="N127" s="10" t="str">
        <f>IFERROR(__xludf.DUMMYFUNCTION("""COMPUTED_VALUE"""),"Mother &amp; Child")</f>
        <v>Mother &amp; Child</v>
      </c>
      <c r="O127" s="10">
        <f>IFERROR(__xludf.DUMMYFUNCTION("""COMPUTED_VALUE"""),1.0)</f>
        <v>1</v>
      </c>
      <c r="P127" s="10" t="str">
        <f>IFERROR(__xludf.DUMMYFUNCTION("""COMPUTED_VALUE"""),"ACTIVE")</f>
        <v>ACTIVE</v>
      </c>
      <c r="Q127" s="11">
        <f>IFERROR(__xludf.DUMMYFUNCTION("""COMPUTED_VALUE"""),45817.0)</f>
        <v>45817</v>
      </c>
      <c r="R127" s="9" t="str">
        <f>IFERROR(__xludf.DUMMYFUNCTION("""COMPUTED_VALUE"""),"Verified online")</f>
        <v>Verified online</v>
      </c>
      <c r="S127" s="9" t="str">
        <f>IFERROR(__xludf.DUMMYFUNCTION("""COMPUTED_VALUE"""),"Childcare
Applications for 2026-2027 accepted 01/27/2026 thru 04/20/2026.
Tuition-free five days a week preschool for children ages 3-5 years old.
Must meet age and income requirements.  Eligible applicants entered into lottery for admission.
Magnolia Par"&amp;"k is a four classroom preschool located in the Magnolia Park Community Family Center.
Capacity = 80")</f>
        <v>Childcare
Applications for 2026-2027 accepted 01/27/2026 thru 04/20/2026.
Tuition-free five days a week preschool for children ages 3-5 years old.
Must meet age and income requirements.  Eligible applicants entered into lottery for admission.
Magnolia Park is a four classroom preschool located in the Magnolia Park Community Family Center.
Capacity = 80</v>
      </c>
      <c r="T127" s="12" t="b">
        <f>IFERROR(__xludf.DUMMYFUNCTION("""COMPUTED_VALUE"""),TRUE)</f>
        <v>1</v>
      </c>
      <c r="U127" s="12" t="b">
        <f>IFERROR(__xludf.DUMMYFUNCTION("""COMPUTED_VALUE"""),FALSE)</f>
        <v>0</v>
      </c>
      <c r="V127" s="13" t="str">
        <f>IFERROR(__xludf.DUMMYFUNCTION("""COMPUTED_VALUE"""),"https://bezosacademy.org/schools/houston-magnolia-park-tx/")</f>
        <v>https://bezosacademy.org/schools/houston-magnolia-park-tx/</v>
      </c>
      <c r="W127" s="14" t="str">
        <f>IFERROR(__xludf.DUMMYFUNCTION("""COMPUTED_VALUE"""),"https://www.google.com/maps/place/Bezos+Academy+Houston+-+Magnolia+Park/@29.734426,-95.2932709,17z/data=!3m1!4b1!4m6!3m5!1s0x8640bd0a1e9c7623:0xf334a3ae7443db1e!8m2!3d29.7344214!4d-95.2906906!16s%2Fg%2F11kpd0gr3w?entry=ttu&amp;g_ep=EgoyMDI1MDYwNC4wIKXMDSoASAF"&amp;"QAw%3D%3D")</f>
        <v>https://www.google.com/maps/place/Bezos+Academy+Houston+-+Magnolia+Park/@29.734426,-95.2932709,17z/data=!3m1!4b1!4m6!3m5!1s0x8640bd0a1e9c7623:0xf334a3ae7443db1e!8m2!3d29.7344214!4d-95.2906906!16s%2Fg%2F11kpd0gr3w?entry=ttu&amp;g_ep=EgoyMDI1MDYwNC4wIKXMDSoASAFQAw%3D%3D</v>
      </c>
      <c r="X127" s="10"/>
      <c r="Y127" s="9" t="str">
        <f>IFERROR(__xludf.DUMMYFUNCTION("""COMPUTED_VALUE"""),"Houston")</f>
        <v>Houston</v>
      </c>
      <c r="Z127" s="9" t="str">
        <f>IFERROR(__xludf.DUMMYFUNCTION("""COMPUTED_VALUE"""),"Greater East End, Harrisburg, Magnolia Park")</f>
        <v>Greater East End, Harrisburg, Magnolia Park</v>
      </c>
      <c r="AA127" s="9" t="str">
        <f>IFERROR(__xludf.DUMMYFUNCTION("""COMPUTED_VALUE"""),"Bezos Academy")</f>
        <v>Bezos Academy</v>
      </c>
      <c r="AB127" s="9" t="str">
        <f>IFERROR(__xludf.DUMMYFUNCTION("""COMPUTED_VALUE"""),"Magnolia Park")</f>
        <v>Magnolia Park</v>
      </c>
    </row>
    <row r="128" ht="30.0" customHeight="1">
      <c r="A128" s="17">
        <v>127.0</v>
      </c>
      <c r="B128" s="8" t="str">
        <f>IFERROR(__xludf.DUMMYFUNCTION("""COMPUTED_VALUE"""),"[""99999""]")</f>
        <v>["99999"]</v>
      </c>
      <c r="C128" s="9" t="str">
        <f>IFERROR(__xludf.DUMMYFUNCTION("""COMPUTED_VALUE"""),"Bezos Academy North Shore")</f>
        <v>Bezos Academy North Shore</v>
      </c>
      <c r="D128" s="9" t="str">
        <f>IFERROR(__xludf.DUMMYFUNCTION("""COMPUTED_VALUE"""),"5800 Uvalde Road")</f>
        <v>5800 Uvalde Road</v>
      </c>
      <c r="E128" s="9" t="str">
        <f>IFERROR(__xludf.DUMMYFUNCTION("""COMPUTED_VALUE"""),"Building 11")</f>
        <v>Building 11</v>
      </c>
      <c r="F128" s="9" t="str">
        <f>IFERROR(__xludf.DUMMYFUNCTION("""COMPUTED_VALUE"""),"Houston")</f>
        <v>Houston</v>
      </c>
      <c r="G128" s="9" t="str">
        <f>IFERROR(__xludf.DUMMYFUNCTION("""COMPUTED_VALUE"""),"TX")</f>
        <v>TX</v>
      </c>
      <c r="H128" s="9" t="str">
        <f>IFERROR(__xludf.DUMMYFUNCTION("""COMPUTED_VALUE"""),"77049")</f>
        <v>77049</v>
      </c>
      <c r="I128" s="9" t="str">
        <f>IFERROR(__xludf.DUMMYFUNCTION("""COMPUTED_VALUE"""),"346-466-4155")</f>
        <v>346-466-4155</v>
      </c>
      <c r="J128" s="9" t="str">
        <f>IFERROR(__xludf.DUMMYFUNCTION("""COMPUTED_VALUE"""),"29.8087511971831, -95.1822405492958")</f>
        <v>29.8087511971831, -95.1822405492958</v>
      </c>
      <c r="K128" s="9" t="str">
        <f>IFERROR(__xludf.DUMMYFUNCTION("""COMPUTED_VALUE"""),"{""regular"":[{""days"":[""Mo"",""Tu"",""We"",""Th""],""open"":""08:30"",""close"":""15:30""},{""days"":[""Fr""],""open"":""08:30"",""close"":""14:30""}]}")</f>
        <v>{"regular":[{"days":["Mo","Tu","We","Th"],"open":"08:30","close":"15:30"},{"days":["Fr"],"open":"08:30","close":"14:30"}]}</v>
      </c>
      <c r="L128" s="9" t="str">
        <f>IFERROR(__xludf.DUMMYFUNCTION("""COMPUTED_VALUE"""),"Application Deadline:  04/20/2026")</f>
        <v>Application Deadline:  04/20/2026</v>
      </c>
      <c r="M128" s="10">
        <f>IFERROR(__xludf.DUMMYFUNCTION("""COMPUTED_VALUE"""),44.0)</f>
        <v>44</v>
      </c>
      <c r="N128" s="10" t="str">
        <f>IFERROR(__xludf.DUMMYFUNCTION("""COMPUTED_VALUE"""),"Mother &amp; Child")</f>
        <v>Mother &amp; Child</v>
      </c>
      <c r="O128" s="10">
        <f>IFERROR(__xludf.DUMMYFUNCTION("""COMPUTED_VALUE"""),1.0)</f>
        <v>1</v>
      </c>
      <c r="P128" s="10" t="str">
        <f>IFERROR(__xludf.DUMMYFUNCTION("""COMPUTED_VALUE"""),"ACTIVE")</f>
        <v>ACTIVE</v>
      </c>
      <c r="Q128" s="11">
        <f>IFERROR(__xludf.DUMMYFUNCTION("""COMPUTED_VALUE"""),45817.0)</f>
        <v>45817</v>
      </c>
      <c r="R128" s="9" t="str">
        <f>IFERROR(__xludf.DUMMYFUNCTION("""COMPUTED_VALUE"""),"Verified online")</f>
        <v>Verified online</v>
      </c>
      <c r="S128" s="9" t="str">
        <f>IFERROR(__xludf.DUMMYFUNCTION("""COMPUTED_VALUE"""),"Childcare
Applications for 2026-2027 accepted 01/27/2026 thru 04/20/2026.
Tuition-free five days a week preschool for children ages 3-5 years old.
Must meet age and income requirements.  Eligible applicants entered into lottery for admission.
Magnolia Par"&amp;"k is a four classroom preschool located on the San Jacinto College North Campus.
Capacity = 80")</f>
        <v>Childcare
Applications for 2026-2027 accepted 01/27/2026 thru 04/20/2026.
Tuition-free five days a week preschool for children ages 3-5 years old.
Must meet age and income requirements.  Eligible applicants entered into lottery for admission.
Magnolia Park is a four classroom preschool located on the San Jacinto College North Campus.
Capacity = 80</v>
      </c>
      <c r="T128" s="12" t="b">
        <f>IFERROR(__xludf.DUMMYFUNCTION("""COMPUTED_VALUE"""),TRUE)</f>
        <v>1</v>
      </c>
      <c r="U128" s="12" t="b">
        <f>IFERROR(__xludf.DUMMYFUNCTION("""COMPUTED_VALUE"""),FALSE)</f>
        <v>0</v>
      </c>
      <c r="V128" s="13" t="str">
        <f>IFERROR(__xludf.DUMMYFUNCTION("""COMPUTED_VALUE"""),"https://bezosacademy.org/schools/houston-north-shore-tx/")</f>
        <v>https://bezosacademy.org/schools/houston-north-shore-tx/</v>
      </c>
      <c r="W128" s="14" t="str">
        <f>IFERROR(__xludf.DUMMYFUNCTION("""COMPUTED_VALUE"""),"https://www.google.com/maps/place/Bezos+Academy+Houston+-+North+Shore/@29.8107826,-95.1845091,17z/data=!3m1!4b1!4m6!3m5!1s0x8640a5d9638816b3:0x13bc14c068b8a7b9!8m2!3d29.810778!4d-95.1819288!16s%2Fg%2F11tjj8sfy9?entry=ttu&amp;g_ep=EgoyMDI1MDYwNC4wIKXMDSoASAFQA"&amp;"w%3D%3D")</f>
        <v>https://www.google.com/maps/place/Bezos+Academy+Houston+-+North+Shore/@29.8107826,-95.1845091,17z/data=!3m1!4b1!4m6!3m5!1s0x8640a5d9638816b3:0x13bc14c068b8a7b9!8m2!3d29.810778!4d-95.1819288!16s%2Fg%2F11tjj8sfy9?entry=ttu&amp;g_ep=EgoyMDI1MDYwNC4wIKXMDSoASAFQAw%3D%3D</v>
      </c>
      <c r="X128" s="10"/>
      <c r="Y128" s="9" t="str">
        <f>IFERROR(__xludf.DUMMYFUNCTION("""COMPUTED_VALUE"""),"Houston")</f>
        <v>Houston</v>
      </c>
      <c r="Z128" s="9" t="str">
        <f>IFERROR(__xludf.DUMMYFUNCTION("""COMPUTED_VALUE"""),"Cloverleaf, Hunterwood, Sheldon")</f>
        <v>Cloverleaf, Hunterwood, Sheldon</v>
      </c>
      <c r="AA128" s="9" t="str">
        <f>IFERROR(__xludf.DUMMYFUNCTION("""COMPUTED_VALUE"""),"Bezos Academy")</f>
        <v>Bezos Academy</v>
      </c>
      <c r="AB128" s="9" t="str">
        <f>IFERROR(__xludf.DUMMYFUNCTION("""COMPUTED_VALUE"""),"Cloverleaf")</f>
        <v>Cloverleaf</v>
      </c>
    </row>
    <row r="129" ht="30.0" customHeight="1">
      <c r="A129" s="17">
        <v>128.0</v>
      </c>
      <c r="B129" s="8" t="str">
        <f>IFERROR(__xludf.DUMMYFUNCTION("""COMPUTED_VALUE"""),"[""99999""]")</f>
        <v>["99999"]</v>
      </c>
      <c r="C129" s="9" t="str">
        <f>IFERROR(__xludf.DUMMYFUNCTION("""COMPUTED_VALUE"""),"Bezos Academy Northside")</f>
        <v>Bezos Academy Northside</v>
      </c>
      <c r="D129" s="9" t="str">
        <f>IFERROR(__xludf.DUMMYFUNCTION("""COMPUTED_VALUE"""),"8855 McGallion Road")</f>
        <v>8855 McGallion Road</v>
      </c>
      <c r="E129" s="9"/>
      <c r="F129" s="9" t="str">
        <f>IFERROR(__xludf.DUMMYFUNCTION("""COMPUTED_VALUE"""),"Houston")</f>
        <v>Houston</v>
      </c>
      <c r="G129" s="9" t="str">
        <f>IFERROR(__xludf.DUMMYFUNCTION("""COMPUTED_VALUE"""),"TX")</f>
        <v>TX</v>
      </c>
      <c r="H129" s="9" t="str">
        <f>IFERROR(__xludf.DUMMYFUNCTION("""COMPUTED_VALUE"""),"77022")</f>
        <v>77022</v>
      </c>
      <c r="I129" s="9"/>
      <c r="J129" s="9" t="str">
        <f>IFERROR(__xludf.DUMMYFUNCTION("""COMPUTED_VALUE"""),"29.8403340469027, -95.3683265864661")</f>
        <v>29.8403340469027, -95.3683265864661</v>
      </c>
      <c r="K129" s="9"/>
      <c r="L129" s="9" t="str">
        <f>IFERROR(__xludf.DUMMYFUNCTION("""COMPUTED_VALUE"""),"Application Deadline:  04/20/2026")</f>
        <v>Application Deadline:  04/20/2026</v>
      </c>
      <c r="M129" s="10">
        <f>IFERROR(__xludf.DUMMYFUNCTION("""COMPUTED_VALUE"""),44.0)</f>
        <v>44</v>
      </c>
      <c r="N129" s="10" t="str">
        <f>IFERROR(__xludf.DUMMYFUNCTION("""COMPUTED_VALUE"""),"Mother &amp; Child")</f>
        <v>Mother &amp; Child</v>
      </c>
      <c r="O129" s="10">
        <f>IFERROR(__xludf.DUMMYFUNCTION("""COMPUTED_VALUE"""),1.0)</f>
        <v>1</v>
      </c>
      <c r="P129" s="10" t="str">
        <f>IFERROR(__xludf.DUMMYFUNCTION("""COMPUTED_VALUE"""),"ACTIVE")</f>
        <v>ACTIVE</v>
      </c>
      <c r="Q129" s="11">
        <f>IFERROR(__xludf.DUMMYFUNCTION("""COMPUTED_VALUE"""),46020.0)</f>
        <v>46020</v>
      </c>
      <c r="R129" s="9" t="str">
        <f>IFERROR(__xludf.DUMMYFUNCTION("""COMPUTED_VALUE"""),"Verified online")</f>
        <v>Verified online</v>
      </c>
      <c r="S129" s="9" t="str">
        <f>IFERROR(__xludf.DUMMYFUNCTION("""COMPUTED_VALUE"""),"Childcare
Applications for 2026-2027 accepted 01/27/2026 thru 04/20/2026.
Tuition-free five days a week preschool for children ages 3-5 years old.
Must meet age and income requirements.  Eligible applicants entered into lottery for admission.
To be locate"&amp;"d at New Hope Housing Berry, an affordable housing development.
Capacity = ")</f>
        <v>Childcare
Applications for 2026-2027 accepted 01/27/2026 thru 04/20/2026.
Tuition-free five days a week preschool for children ages 3-5 years old.
Must meet age and income requirements.  Eligible applicants entered into lottery for admission.
To be located at New Hope Housing Berry, an affordable housing development.
Capacity = </v>
      </c>
      <c r="T129" s="12" t="b">
        <f>IFERROR(__xludf.DUMMYFUNCTION("""COMPUTED_VALUE"""),TRUE)</f>
        <v>1</v>
      </c>
      <c r="U129" s="12" t="b">
        <f>IFERROR(__xludf.DUMMYFUNCTION("""COMPUTED_VALUE"""),FALSE)</f>
        <v>0</v>
      </c>
      <c r="V129" s="12"/>
      <c r="W129" s="10"/>
      <c r="X129" s="10"/>
      <c r="Y129" s="9" t="str">
        <f>IFERROR(__xludf.DUMMYFUNCTION("""COMPUTED_VALUE"""),"Houston")</f>
        <v>Houston</v>
      </c>
      <c r="Z129" s="9" t="str">
        <f>IFERROR(__xludf.DUMMYFUNCTION("""COMPUTED_VALUE"""),"Independence Heights, Northline, Northside / Northline")</f>
        <v>Independence Heights, Northline, Northside / Northline</v>
      </c>
      <c r="AA129" s="9" t="str">
        <f>IFERROR(__xludf.DUMMYFUNCTION("""COMPUTED_VALUE"""),"Bezos Academy")</f>
        <v>Bezos Academy</v>
      </c>
      <c r="AB129" s="9" t="str">
        <f>IFERROR(__xludf.DUMMYFUNCTION("""COMPUTED_VALUE"""),"Northside / Northline")</f>
        <v>Northside / Northline</v>
      </c>
    </row>
    <row r="130" ht="30.0" customHeight="1">
      <c r="A130" s="17">
        <v>129.0</v>
      </c>
      <c r="B130" s="8" t="str">
        <f>IFERROR(__xludf.DUMMYFUNCTION("""COMPUTED_VALUE"""),"[""99999""]")</f>
        <v>["99999"]</v>
      </c>
      <c r="C130" s="9" t="str">
        <f>IFERROR(__xludf.DUMMYFUNCTION("""COMPUTED_VALUE"""),"Bezos Academy South Side")</f>
        <v>Bezos Academy South Side</v>
      </c>
      <c r="D130" s="9" t="str">
        <f>IFERROR(__xludf.DUMMYFUNCTION("""COMPUTED_VALUE"""),"2605 Reed Road")</f>
        <v>2605 Reed Road</v>
      </c>
      <c r="E130" s="9"/>
      <c r="F130" s="9" t="str">
        <f>IFERROR(__xludf.DUMMYFUNCTION("""COMPUTED_VALUE"""),"Houston")</f>
        <v>Houston</v>
      </c>
      <c r="G130" s="9" t="str">
        <f>IFERROR(__xludf.DUMMYFUNCTION("""COMPUTED_VALUE"""),"TX")</f>
        <v>TX</v>
      </c>
      <c r="H130" s="9" t="str">
        <f>IFERROR(__xludf.DUMMYFUNCTION("""COMPUTED_VALUE"""),"77051")</f>
        <v>77051</v>
      </c>
      <c r="I130" s="9" t="str">
        <f>IFERROR(__xludf.DUMMYFUNCTION("""COMPUTED_VALUE"""),"346-466-4020")</f>
        <v>346-466-4020</v>
      </c>
      <c r="J130" s="9" t="str">
        <f>IFERROR(__xludf.DUMMYFUNCTION("""COMPUTED_VALUE"""),"29.6575551735336, -95.3863521185914")</f>
        <v>29.6575551735336, -95.3863521185914</v>
      </c>
      <c r="K130" s="9" t="str">
        <f>IFERROR(__xludf.DUMMYFUNCTION("""COMPUTED_VALUE"""),"{""regular"":[{""days"":[""Mo"",""Tu"",""We"",""Th""],""open"":""08:30"",""close"":""15:00""},{""days"":[""Fr""],""open"":""08:30"",""close"":""14:00""}]}")</f>
        <v>{"regular":[{"days":["Mo","Tu","We","Th"],"open":"08:30","close":"15:00"},{"days":["Fr"],"open":"08:30","close":"14:00"}]}</v>
      </c>
      <c r="L130" s="9" t="str">
        <f>IFERROR(__xludf.DUMMYFUNCTION("""COMPUTED_VALUE"""),"Application Deadline:  04/20/2026")</f>
        <v>Application Deadline:  04/20/2026</v>
      </c>
      <c r="M130" s="10">
        <f>IFERROR(__xludf.DUMMYFUNCTION("""COMPUTED_VALUE"""),44.0)</f>
        <v>44</v>
      </c>
      <c r="N130" s="10" t="str">
        <f>IFERROR(__xludf.DUMMYFUNCTION("""COMPUTED_VALUE"""),"Mother &amp; Child")</f>
        <v>Mother &amp; Child</v>
      </c>
      <c r="O130" s="10">
        <f>IFERROR(__xludf.DUMMYFUNCTION("""COMPUTED_VALUE"""),1.0)</f>
        <v>1</v>
      </c>
      <c r="P130" s="10" t="str">
        <f>IFERROR(__xludf.DUMMYFUNCTION("""COMPUTED_VALUE"""),"ACTIVE")</f>
        <v>ACTIVE</v>
      </c>
      <c r="Q130" s="11">
        <f>IFERROR(__xludf.DUMMYFUNCTION("""COMPUTED_VALUE"""),45817.0)</f>
        <v>45817</v>
      </c>
      <c r="R130" s="9" t="str">
        <f>IFERROR(__xludf.DUMMYFUNCTION("""COMPUTED_VALUE"""),"Verified online")</f>
        <v>Verified online</v>
      </c>
      <c r="S130" s="9" t="str">
        <f>IFERROR(__xludf.DUMMYFUNCTION("""COMPUTED_VALUE"""),"Childcare
Applications for 2026-2027 accepted 01/27/2026 thru 04/20/2026.
Tuition-free five days a week preschool for children ages 3-5 years old.
Must meet age and income requirements.  Eligible applicants entered into lottery for admission.
South Side i"&amp;"s a two classroom preschool at the New Hope Housing Reed Family Services Center.
Capacity = 40")</f>
        <v>Childcare
Applications for 2026-2027 accepted 01/27/2026 thru 04/20/2026.
Tuition-free five days a week preschool for children ages 3-5 years old.
Must meet age and income requirements.  Eligible applicants entered into lottery for admission.
South Side is a two classroom preschool at the New Hope Housing Reed Family Services Center.
Capacity = 40</v>
      </c>
      <c r="T130" s="12" t="b">
        <f>IFERROR(__xludf.DUMMYFUNCTION("""COMPUTED_VALUE"""),TRUE)</f>
        <v>1</v>
      </c>
      <c r="U130" s="12" t="b">
        <f>IFERROR(__xludf.DUMMYFUNCTION("""COMPUTED_VALUE"""),FALSE)</f>
        <v>0</v>
      </c>
      <c r="V130" s="12"/>
      <c r="W130" s="10"/>
      <c r="X130" s="10"/>
      <c r="Y130" s="9" t="str">
        <f>IFERROR(__xludf.DUMMYFUNCTION("""COMPUTED_VALUE"""),"Houston")</f>
        <v>Houston</v>
      </c>
      <c r="Z130" s="9" t="str">
        <f>IFERROR(__xludf.DUMMYFUNCTION("""COMPUTED_VALUE"""),"Central Southwest, South Park, South Side, Sunnyside")</f>
        <v>Central Southwest, South Park, South Side, Sunnyside</v>
      </c>
      <c r="AA130" s="9" t="str">
        <f>IFERROR(__xludf.DUMMYFUNCTION("""COMPUTED_VALUE"""),"Bezos Academy")</f>
        <v>Bezos Academy</v>
      </c>
      <c r="AB130" s="9" t="str">
        <f>IFERROR(__xludf.DUMMYFUNCTION("""COMPUTED_VALUE"""),"South Side")</f>
        <v>South Side</v>
      </c>
    </row>
    <row r="131" ht="30.0" customHeight="1">
      <c r="A131" s="17">
        <v>130.0</v>
      </c>
      <c r="B131" s="8" t="str">
        <f>IFERROR(__xludf.DUMMYFUNCTION("""COMPUTED_VALUE"""),"[""99999""]")</f>
        <v>["99999"]</v>
      </c>
      <c r="C131" s="9" t="str">
        <f>IFERROR(__xludf.DUMMYFUNCTION("""COMPUTED_VALUE"""),"Bezos Academy Third Ward")</f>
        <v>Bezos Academy Third Ward</v>
      </c>
      <c r="D131" s="9" t="str">
        <f>IFERROR(__xludf.DUMMYFUNCTION("""COMPUTED_VALUE"""),"2604 Gray Street")</f>
        <v>2604 Gray Street</v>
      </c>
      <c r="E131" s="9"/>
      <c r="F131" s="9" t="str">
        <f>IFERROR(__xludf.DUMMYFUNCTION("""COMPUTED_VALUE"""),"Houston")</f>
        <v>Houston</v>
      </c>
      <c r="G131" s="9" t="str">
        <f>IFERROR(__xludf.DUMMYFUNCTION("""COMPUTED_VALUE"""),"TX")</f>
        <v>TX</v>
      </c>
      <c r="H131" s="9" t="str">
        <f>IFERROR(__xludf.DUMMYFUNCTION("""COMPUTED_VALUE"""),"77003")</f>
        <v>77003</v>
      </c>
      <c r="I131" s="9"/>
      <c r="J131" s="9" t="str">
        <f>IFERROR(__xludf.DUMMYFUNCTION("""COMPUTED_VALUE"""),"29.7402750174058, -95.3576583075059")</f>
        <v>29.7402750174058, -95.3576583075059</v>
      </c>
      <c r="K131" s="9"/>
      <c r="L131" s="9" t="str">
        <f>IFERROR(__xludf.DUMMYFUNCTION("""COMPUTED_VALUE"""),"Application Deadline:  04/20/2026")</f>
        <v>Application Deadline:  04/20/2026</v>
      </c>
      <c r="M131" s="10">
        <f>IFERROR(__xludf.DUMMYFUNCTION("""COMPUTED_VALUE"""),44.0)</f>
        <v>44</v>
      </c>
      <c r="N131" s="10" t="str">
        <f>IFERROR(__xludf.DUMMYFUNCTION("""COMPUTED_VALUE"""),"Mother &amp; Child")</f>
        <v>Mother &amp; Child</v>
      </c>
      <c r="O131" s="10">
        <f>IFERROR(__xludf.DUMMYFUNCTION("""COMPUTED_VALUE"""),1.0)</f>
        <v>1</v>
      </c>
      <c r="P131" s="10" t="str">
        <f>IFERROR(__xludf.DUMMYFUNCTION("""COMPUTED_VALUE"""),"ACTIVE")</f>
        <v>ACTIVE</v>
      </c>
      <c r="Q131" s="11">
        <f>IFERROR(__xludf.DUMMYFUNCTION("""COMPUTED_VALUE"""),46020.0)</f>
        <v>46020</v>
      </c>
      <c r="R131" s="9" t="str">
        <f>IFERROR(__xludf.DUMMYFUNCTION("""COMPUTED_VALUE"""),"Verified online")</f>
        <v>Verified online</v>
      </c>
      <c r="S131" s="9" t="str">
        <f>IFERROR(__xludf.DUMMYFUNCTION("""COMPUTED_VALUE"""),"Childcare
Applications for 2026-2027 accepted 01/27/2026 thru 04/20/2026.
Tuition-free five days a week preschool for children ages 3-5 years old.
Must meet age and income requirements.  Eligible applicants entered into lottery for admission.
To be locate"&amp;"d at the New Hope Housing Gray, an affordable housing development.
Capacity = ")</f>
        <v>Childcare
Applications for 2026-2027 accepted 01/27/2026 thru 04/20/2026.
Tuition-free five days a week preschool for children ages 3-5 years old.
Must meet age and income requirements.  Eligible applicants entered into lottery for admission.
To be located at the New Hope Housing Gray, an affordable housing development.
Capacity = </v>
      </c>
      <c r="T131" s="12" t="b">
        <f>IFERROR(__xludf.DUMMYFUNCTION("""COMPUTED_VALUE"""),TRUE)</f>
        <v>1</v>
      </c>
      <c r="U131" s="12" t="b">
        <f>IFERROR(__xludf.DUMMYFUNCTION("""COMPUTED_VALUE"""),FALSE)</f>
        <v>0</v>
      </c>
      <c r="V131" s="12"/>
      <c r="W131" s="10"/>
      <c r="X131" s="10"/>
      <c r="Y131" s="9" t="str">
        <f>IFERROR(__xludf.DUMMYFUNCTION("""COMPUTED_VALUE"""),"Houston")</f>
        <v>Houston</v>
      </c>
      <c r="Z131" s="9" t="str">
        <f>IFERROR(__xludf.DUMMYFUNCTION("""COMPUTED_VALUE"""),"East Downtown, Downtown Houston, Second Ward, South Central Houston, South Side")</f>
        <v>East Downtown, Downtown Houston, Second Ward, South Central Houston, South Side</v>
      </c>
      <c r="AA131" s="9" t="str">
        <f>IFERROR(__xludf.DUMMYFUNCTION("""COMPUTED_VALUE"""),"Bezos Academy")</f>
        <v>Bezos Academy</v>
      </c>
      <c r="AB131" s="9" t="str">
        <f>IFERROR(__xludf.DUMMYFUNCTION("""COMPUTED_VALUE"""),"South Side")</f>
        <v>South Side</v>
      </c>
    </row>
    <row r="132" ht="30.0" customHeight="1">
      <c r="A132" s="17">
        <v>131.0</v>
      </c>
      <c r="B132" s="8" t="str">
        <f>IFERROR(__xludf.DUMMYFUNCTION("""COMPUTED_VALUE"""),"[""99999""]")</f>
        <v>["99999"]</v>
      </c>
      <c r="C132" s="9" t="str">
        <f>IFERROR(__xludf.DUMMYFUNCTION("""COMPUTED_VALUE"""),"Blessed Beginnings Life Center")</f>
        <v>Blessed Beginnings Life Center</v>
      </c>
      <c r="D132" s="9" t="str">
        <f>IFERROR(__xludf.DUMMYFUNCTION("""COMPUTED_VALUE"""),"2900 Louisiana Street")</f>
        <v>2900 Louisiana Street</v>
      </c>
      <c r="E132" s="9"/>
      <c r="F132" s="9" t="str">
        <f>IFERROR(__xludf.DUMMYFUNCTION("""COMPUTED_VALUE"""),"Houston")</f>
        <v>Houston</v>
      </c>
      <c r="G132" s="9" t="str">
        <f>IFERROR(__xludf.DUMMYFUNCTION("""COMPUTED_VALUE"""),"TX")</f>
        <v>TX</v>
      </c>
      <c r="H132" s="9" t="str">
        <f>IFERROR(__xludf.DUMMYFUNCTION("""COMPUTED_VALUE"""),"77006")</f>
        <v>77006</v>
      </c>
      <c r="I132" s="9" t="str">
        <f>IFERROR(__xludf.DUMMYFUNCTION("""COMPUTED_VALUE"""),"713-874-6760
713-874-6860
713-526-4611")</f>
        <v>713-874-6760
713-874-6860
713-526-4611</v>
      </c>
      <c r="J132" s="9" t="str">
        <f>IFERROR(__xludf.DUMMYFUNCTION("""COMPUTED_VALUE"""),"29.745023, -95.378312")</f>
        <v>29.745023, -95.378312</v>
      </c>
      <c r="K132" s="9" t="str">
        <f>IFERROR(__xludf.DUMMYFUNCTION("""COMPUTED_VALUE"""),"{""regular"":[{""days"":[""Mo"",""Tu"",""We"",""Th"",""Fr""],""open"":null,""close"":null}]}")</f>
        <v>{"regular":[{"days":["Mo","Tu","We","Th","Fr"],"open":null,"close":null}]}</v>
      </c>
      <c r="L132" s="9"/>
      <c r="M132" s="10">
        <f>IFERROR(__xludf.DUMMYFUNCTION("""COMPUTED_VALUE"""),44.0)</f>
        <v>44</v>
      </c>
      <c r="N132" s="10" t="str">
        <f>IFERROR(__xludf.DUMMYFUNCTION("""COMPUTED_VALUE"""),"Mother &amp; Child")</f>
        <v>Mother &amp; Child</v>
      </c>
      <c r="O132" s="10">
        <f>IFERROR(__xludf.DUMMYFUNCTION("""COMPUTED_VALUE"""),1.0)</f>
        <v>1</v>
      </c>
      <c r="P132" s="10" t="str">
        <f>IFERROR(__xludf.DUMMYFUNCTION("""COMPUTED_VALUE"""),"ACTIVE")</f>
        <v>ACTIVE</v>
      </c>
      <c r="Q132" s="11">
        <f>IFERROR(__xludf.DUMMYFUNCTION("""COMPUTED_VALUE"""),45761.0)</f>
        <v>45761</v>
      </c>
      <c r="R132" s="9" t="str">
        <f>IFERROR(__xludf.DUMMYFUNCTION("""COMPUTED_VALUE"""),"SVdP Church Help for Moms Ministry")</f>
        <v>SVdP Church Help for Moms Ministry</v>
      </c>
      <c r="S132" s="9" t="str">
        <f>IFERROR(__xludf.DUMMYFUNCTION("""COMPUTED_VALUE"""),"Through Catholic Charities
Online parenting and prenatal classes
Self administered pregnancy tests
Focus from pregnancy thru the age of three")</f>
        <v>Through Catholic Charities
Online parenting and prenatal classes
Self administered pregnancy tests
Focus from pregnancy thru the age of three</v>
      </c>
      <c r="T132" s="12" t="b">
        <f>IFERROR(__xludf.DUMMYFUNCTION("""COMPUTED_VALUE"""),FALSE)</f>
        <v>0</v>
      </c>
      <c r="U132" s="12" t="b">
        <f>IFERROR(__xludf.DUMMYFUNCTION("""COMPUTED_VALUE"""),FALSE)</f>
        <v>0</v>
      </c>
      <c r="V132" s="13" t="str">
        <f>IFERROR(__xludf.DUMMYFUNCTION("""COMPUTED_VALUE"""),"https://catholiccharities.org/blessedbeginnings/")</f>
        <v>https://catholiccharities.org/blessedbeginnings/</v>
      </c>
      <c r="W132" s="14" t="str">
        <f>IFERROR(__xludf.DUMMYFUNCTION("""COMPUTED_VALUE"""),"https://www.google.com/maps/place/Catholic+Charities+Of+The+Archdiocese+Of+Galveston-houston+-+Food+Distribution+Center/@29.745009,-95.379207,20z/data=!4m15!1m8!3m7!1s0x8640bf69681d9e43:0x382d59fae97ad960!2s2900+Louisiana+St,+Houston,+TX+77006!3b1!8m2!3d2"&amp;"9.745009!4d-95.3788798!16s%2Fg%2F11c29dwbzd!3m5!1s0x8640bf6bdfc34773:0x2b84611752be86c0!8m2!3d29.7450184!4d-95.3786806!16s%2Fg%2F11jppvxk_x?entry=ttu&amp;g_ep=EgoyMDI1MDQwOS4wIKXMDSoASAFQAw%3D%3D")</f>
        <v>https://www.google.com/maps/place/Catholic+Charities+Of+The+Archdiocese+Of+Galveston-houston+-+Food+Distribution+Center/@29.745009,-95.379207,20z/data=!4m15!1m8!3m7!1s0x8640bf69681d9e43:0x382d59fae97ad960!2s2900+Louisiana+St,+Houston,+TX+77006!3b1!8m2!3d29.745009!4d-95.3788798!16s%2Fg%2F11c29dwbzd!3m5!1s0x8640bf6bdfc34773:0x2b84611752be86c0!8m2!3d29.7450184!4d-95.3786806!16s%2Fg%2F11jppvxk_x?entry=ttu&amp;g_ep=EgoyMDI1MDQwOS4wIKXMDSoASAFQAw%3D%3D</v>
      </c>
      <c r="X132" s="10"/>
      <c r="Y132" s="9" t="str">
        <f>IFERROR(__xludf.DUMMYFUNCTION("""COMPUTED_VALUE"""),"Houston")</f>
        <v>Houston</v>
      </c>
      <c r="Z132" s="9" t="str">
        <f>IFERROR(__xludf.DUMMYFUNCTION("""COMPUTED_VALUE"""),"Hyde Park, Montrose, South Central Houston")</f>
        <v>Hyde Park, Montrose, South Central Houston</v>
      </c>
      <c r="AA132" s="9" t="str">
        <f>IFERROR(__xludf.DUMMYFUNCTION("""COMPUTED_VALUE"""),"Blessed Beginnings Life Center")</f>
        <v>Blessed Beginnings Life Center</v>
      </c>
      <c r="AB132" s="9" t="str">
        <f>IFERROR(__xludf.DUMMYFUNCTION("""COMPUTED_VALUE"""),"South Central Houston")</f>
        <v>South Central Houston</v>
      </c>
    </row>
    <row r="133" ht="30.0" customHeight="1">
      <c r="A133" s="17">
        <v>132.0</v>
      </c>
      <c r="B133" s="8" t="str">
        <f>IFERROR(__xludf.DUMMYFUNCTION("""COMPUTED_VALUE"""),"[""77503""]")</f>
        <v>["77503"]</v>
      </c>
      <c r="C133" s="9" t="str">
        <f>IFERROR(__xludf.DUMMYFUNCTION("""COMPUTED_VALUE"""),"Blessed Juan Diego")</f>
        <v>Blessed Juan Diego</v>
      </c>
      <c r="D133" s="9" t="str">
        <f>IFERROR(__xludf.DUMMYFUNCTION("""COMPUTED_VALUE"""),"3301 Pasadena Blvd")</f>
        <v>3301 Pasadena Blvd</v>
      </c>
      <c r="E133" s="9"/>
      <c r="F133" s="9" t="str">
        <f>IFERROR(__xludf.DUMMYFUNCTION("""COMPUTED_VALUE"""),"Pasadena")</f>
        <v>Pasadena</v>
      </c>
      <c r="G133" s="9" t="str">
        <f>IFERROR(__xludf.DUMMYFUNCTION("""COMPUTED_VALUE"""),"TX")</f>
        <v>TX</v>
      </c>
      <c r="H133" s="9" t="str">
        <f>IFERROR(__xludf.DUMMYFUNCTION("""COMPUTED_VALUE"""),"77503")</f>
        <v>77503</v>
      </c>
      <c r="I133" s="9" t="str">
        <f>IFERROR(__xludf.DUMMYFUNCTION("""COMPUTED_VALUE"""),"713-477-7027")</f>
        <v>713-477-7027</v>
      </c>
      <c r="J133" s="9" t="str">
        <f>IFERROR(__xludf.DUMMYFUNCTION("""COMPUTED_VALUE"""),"29.681505, -95.165575")</f>
        <v>29.681505, -95.165575</v>
      </c>
      <c r="K133" s="9" t="str">
        <f>IFERROR(__xludf.DUMMYFUNCTION("""COMPUTED_VALUE"""),"{""special"":[{""pattern"":""2nd Tu"",""open"":null,""close"":null}]}")</f>
        <v>{"special":[{"pattern":"2nd Tu","open":null,"close":null}]}</v>
      </c>
      <c r="L133" s="9"/>
      <c r="M133" s="10">
        <f>IFERROR(__xludf.DUMMYFUNCTION("""COMPUTED_VALUE"""),13.0)</f>
        <v>13</v>
      </c>
      <c r="N133" s="10" t="str">
        <f>IFERROR(__xludf.DUMMYFUNCTION("""COMPUTED_VALUE"""),"Food")</f>
        <v>Food</v>
      </c>
      <c r="O133" s="10">
        <f>IFERROR(__xludf.DUMMYFUNCTION("""COMPUTED_VALUE"""),1.0)</f>
        <v>1</v>
      </c>
      <c r="P133" s="10" t="str">
        <f>IFERROR(__xludf.DUMMYFUNCTION("""COMPUTED_VALUE"""),"ACTIVE")</f>
        <v>ACTIVE</v>
      </c>
      <c r="Q133" s="11"/>
      <c r="R133" s="9"/>
      <c r="S133" s="9"/>
      <c r="T133" s="12" t="b">
        <f>IFERROR(__xludf.DUMMYFUNCTION("""COMPUTED_VALUE"""),FALSE)</f>
        <v>0</v>
      </c>
      <c r="U133" s="12" t="b">
        <f>IFERROR(__xludf.DUMMYFUNCTION("""COMPUTED_VALUE"""),FALSE)</f>
        <v>0</v>
      </c>
      <c r="V133" s="13" t="str">
        <f>IFERROR(__xludf.DUMMYFUNCTION("""COMPUTED_VALUE"""),"https://stjuandiegochurch.org/")</f>
        <v>https://stjuandiegochurch.org/</v>
      </c>
      <c r="W133" s="14" t="str">
        <f>IFERROR(__xludf.DUMMYFUNCTION("""COMPUTED_VALUE"""),"https://maps.google.com/?q=Blessed%20Juan%20Diego%203301%20Pasadena%20Blvd%20Pasadena%20TX%2077503")</f>
        <v>https://maps.google.com/?q=Blessed%20Juan%20Diego%203301%20Pasadena%20Blvd%20Pasadena%20TX%2077503</v>
      </c>
      <c r="X133" s="10"/>
      <c r="Y133" s="9" t="str">
        <f>IFERROR(__xludf.DUMMYFUNCTION("""COMPUTED_VALUE"""),"Pasadena")</f>
        <v>Pasadena</v>
      </c>
      <c r="Z133" s="9" t="str">
        <f>IFERROR(__xludf.DUMMYFUNCTION("""COMPUTED_VALUE"""),"Pasadena")</f>
        <v>Pasadena</v>
      </c>
      <c r="AA133" s="9" t="str">
        <f>IFERROR(__xludf.DUMMYFUNCTION("""COMPUTED_VALUE"""),"Blessed Juan Diego")</f>
        <v>Blessed Juan Diego</v>
      </c>
      <c r="AB133" s="9" t="str">
        <f>IFERROR(__xludf.DUMMYFUNCTION("""COMPUTED_VALUE"""),"Pasadena")</f>
        <v>Pasadena</v>
      </c>
    </row>
    <row r="134" ht="30.0" customHeight="1">
      <c r="A134" s="17">
        <v>133.0</v>
      </c>
      <c r="B134" s="8" t="str">
        <f>IFERROR(__xludf.DUMMYFUNCTION("""COMPUTED_VALUE"""),"[""77003"", ""77011"", ""77023""]")</f>
        <v>["77003", "77011", "77023"]</v>
      </c>
      <c r="C134" s="9" t="str">
        <f>IFERROR(__xludf.DUMMYFUNCTION("""COMPUTED_VALUE"""),"Blessed Sacrament (SVdP D5)")</f>
        <v>Blessed Sacrament (SVdP D5)</v>
      </c>
      <c r="D134" s="9" t="str">
        <f>IFERROR(__xludf.DUMMYFUNCTION("""COMPUTED_VALUE"""),"4015 Sherman Street")</f>
        <v>4015 Sherman Street</v>
      </c>
      <c r="E134" s="9"/>
      <c r="F134" s="9" t="str">
        <f>IFERROR(__xludf.DUMMYFUNCTION("""COMPUTED_VALUE"""),"Houston")</f>
        <v>Houston</v>
      </c>
      <c r="G134" s="9" t="str">
        <f>IFERROR(__xludf.DUMMYFUNCTION("""COMPUTED_VALUE"""),"TX")</f>
        <v>TX</v>
      </c>
      <c r="H134" s="9" t="str">
        <f>IFERROR(__xludf.DUMMYFUNCTION("""COMPUTED_VALUE"""),"77003")</f>
        <v>77003</v>
      </c>
      <c r="I134" s="9" t="str">
        <f>IFERROR(__xludf.DUMMYFUNCTION("""COMPUTED_VALUE"""),"713-224-5291")</f>
        <v>713-224-5291</v>
      </c>
      <c r="J134" s="9" t="str">
        <f>IFERROR(__xludf.DUMMYFUNCTION("""COMPUTED_VALUE"""),"29.7482788571429, -95.3348247142857")</f>
        <v>29.7482788571429, -95.3348247142857</v>
      </c>
      <c r="K134" s="9" t="str">
        <f>IFERROR(__xludf.DUMMYFUNCTION("""COMPUTED_VALUE"""),"{""special"":[{""pattern"":""2nd Tu"",""open"":null,""close"":null},{""pattern"":""4th Sa"",""open"":""10:00"",""close"":""12:00""}]}")</f>
        <v>{"special":[{"pattern":"2nd Tu","open":null,"close":null},{"pattern":"4th Sa","open":"10:00","close":"12:00"}]}</v>
      </c>
      <c r="L134" s="9"/>
      <c r="M134" s="10">
        <f>IFERROR(__xludf.DUMMYFUNCTION("""COMPUTED_VALUE"""),13.0)</f>
        <v>13</v>
      </c>
      <c r="N134" s="10" t="str">
        <f>IFERROR(__xludf.DUMMYFUNCTION("""COMPUTED_VALUE"""),"Food")</f>
        <v>Food</v>
      </c>
      <c r="O134" s="10">
        <f>IFERROR(__xludf.DUMMYFUNCTION("""COMPUTED_VALUE"""),4.0)</f>
        <v>4</v>
      </c>
      <c r="P134" s="10" t="str">
        <f>IFERROR(__xludf.DUMMYFUNCTION("""COMPUTED_VALUE"""),"CLOSED")</f>
        <v>CLOSED</v>
      </c>
      <c r="Q134" s="11">
        <f>IFERROR(__xludf.DUMMYFUNCTION("""COMPUTED_VALUE"""),45637.0)</f>
        <v>45637</v>
      </c>
      <c r="R134" s="9" t="str">
        <f>IFERROR(__xludf.DUMMYFUNCTION("""COMPUTED_VALUE"""),"No financial assistance or food pantry. Refer to other SVdP conferences or organizations.")</f>
        <v>No financial assistance or food pantry. Refer to other SVdP conferences or organizations.</v>
      </c>
      <c r="S134" s="9"/>
      <c r="T134" s="12" t="b">
        <f>IFERROR(__xludf.DUMMYFUNCTION("""COMPUTED_VALUE"""),FALSE)</f>
        <v>0</v>
      </c>
      <c r="U134" s="12" t="b">
        <f>IFERROR(__xludf.DUMMYFUNCTION("""COMPUTED_VALUE"""),FALSE)</f>
        <v>0</v>
      </c>
      <c r="V134" s="13" t="str">
        <f>IFERROR(__xludf.DUMMYFUNCTION("""COMPUTED_VALUE"""),"https://bsccarchgh.org/")</f>
        <v>https://bsccarchgh.org/</v>
      </c>
      <c r="W134" s="14" t="str">
        <f>IFERROR(__xludf.DUMMYFUNCTION("""COMPUTED_VALUE"""),"https://maps.google.com/?q=Blessed%20Sacrament%20(SVdP%20D5)%204015%20Sherman%20St%20Houston%20TX%2077003")</f>
        <v>https://maps.google.com/?q=Blessed%20Sacrament%20(SVdP%20D5)%204015%20Sherman%20St%20Houston%20TX%2077003</v>
      </c>
      <c r="X134" s="10"/>
      <c r="Y134" s="9" t="str">
        <f>IFERROR(__xludf.DUMMYFUNCTION("""COMPUTED_VALUE"""),"Houston")</f>
        <v>Houston</v>
      </c>
      <c r="Z134" s="9" t="str">
        <f>IFERROR(__xludf.DUMMYFUNCTION("""COMPUTED_VALUE"""),"East Downtown, Downtown Houston, Second Ward, South Central Houston, South Side")</f>
        <v>East Downtown, Downtown Houston, Second Ward, South Central Houston, South Side</v>
      </c>
      <c r="AA134" s="9" t="str">
        <f>IFERROR(__xludf.DUMMYFUNCTION("""COMPUTED_VALUE"""),"Society of St Vincent de Paul")</f>
        <v>Society of St Vincent de Paul</v>
      </c>
      <c r="AB134" s="9" t="str">
        <f>IFERROR(__xludf.DUMMYFUNCTION("""COMPUTED_VALUE"""),"South Central Houston")</f>
        <v>South Central Houston</v>
      </c>
    </row>
    <row r="135" ht="30.0" customHeight="1">
      <c r="A135" s="17">
        <v>134.0</v>
      </c>
      <c r="B135" s="8" t="str">
        <f>IFERROR(__xludf.DUMMYFUNCTION("""COMPUTED_VALUE"""),"[""99999""]")</f>
        <v>["99999"]</v>
      </c>
      <c r="C135" s="9" t="str">
        <f>IFERROR(__xludf.DUMMYFUNCTION("""COMPUTED_VALUE"""),"Bo's Place")</f>
        <v>Bo's Place</v>
      </c>
      <c r="D135" s="9" t="str">
        <f>IFERROR(__xludf.DUMMYFUNCTION("""COMPUTED_VALUE"""),"10050 Buffalo Speedway")</f>
        <v>10050 Buffalo Speedway</v>
      </c>
      <c r="E135" s="9"/>
      <c r="F135" s="9" t="str">
        <f>IFERROR(__xludf.DUMMYFUNCTION("""COMPUTED_VALUE"""),"Houston")</f>
        <v>Houston</v>
      </c>
      <c r="G135" s="9" t="str">
        <f>IFERROR(__xludf.DUMMYFUNCTION("""COMPUTED_VALUE"""),"TX")</f>
        <v>TX</v>
      </c>
      <c r="H135" s="9" t="str">
        <f>IFERROR(__xludf.DUMMYFUNCTION("""COMPUTED_VALUE"""),"77054")</f>
        <v>77054</v>
      </c>
      <c r="I135" s="9" t="str">
        <f>IFERROR(__xludf.DUMMYFUNCTION("""COMPUTED_VALUE"""),"713-942-8339")</f>
        <v>713-942-8339</v>
      </c>
      <c r="J135" s="9" t="str">
        <f>IFERROR(__xludf.DUMMYFUNCTION("""COMPUTED_VALUE"""),"29.673187156741474, -95.42531764136271")</f>
        <v>29.673187156741474, -95.42531764136271</v>
      </c>
      <c r="K135" s="9" t="str">
        <f>IFERROR(__xludf.DUMMYFUNCTION("""COMPUTED_VALUE"""),"{""regular"":[{""days"":[""Mo"",""Tu"",""We"",""Th""],""open"":""08:30"",""close"":""17:30""},{""days"":[""Fr""],""open"":""08:30"",""close"":""16:30""}]}")</f>
        <v>{"regular":[{"days":["Mo","Tu","We","Th"],"open":"08:30","close":"17:30"},{"days":["Fr"],"open":"08:30","close":"16:30"}]}</v>
      </c>
      <c r="L135" s="9"/>
      <c r="M135" s="10">
        <f>IFERROR(__xludf.DUMMYFUNCTION("""COMPUTED_VALUE"""),65.0)</f>
        <v>65</v>
      </c>
      <c r="N135" s="10" t="str">
        <f>IFERROR(__xludf.DUMMYFUNCTION("""COMPUTED_VALUE"""),"Other")</f>
        <v>Other</v>
      </c>
      <c r="O135" s="10">
        <f>IFERROR(__xludf.DUMMYFUNCTION("""COMPUTED_VALUE"""),1.0)</f>
        <v>1</v>
      </c>
      <c r="P135" s="10" t="str">
        <f>IFERROR(__xludf.DUMMYFUNCTION("""COMPUTED_VALUE"""),"ACTIVE")</f>
        <v>ACTIVE</v>
      </c>
      <c r="Q135" s="11">
        <f>IFERROR(__xludf.DUMMYFUNCTION("""COMPUTED_VALUE"""),46018.0)</f>
        <v>46018</v>
      </c>
      <c r="R135" s="9" t="str">
        <f>IFERROR(__xludf.DUMMYFUNCTION("""COMPUTED_VALUE"""),"Verified online")</f>
        <v>Verified online</v>
      </c>
      <c r="S135" s="9" t="str">
        <f>IFERROR(__xludf.DUMMYFUNCTION("""COMPUTED_VALUE"""),"A free of charge bereavement center providing grief support to children, families and adults.
Group support as well as one-on-one meetings.
They also hold professional workshops and training for professionals and volunteers who work in grief support.")</f>
        <v>A free of charge bereavement center providing grief support to children, families and adults.
Group support as well as one-on-one meetings.
They also hold professional workshops and training for professionals and volunteers who work in grief support.</v>
      </c>
      <c r="T135" s="12" t="b">
        <f>IFERROR(__xludf.DUMMYFUNCTION("""COMPUTED_VALUE"""),FALSE)</f>
        <v>0</v>
      </c>
      <c r="U135" s="12" t="b">
        <f>IFERROR(__xludf.DUMMYFUNCTION("""COMPUTED_VALUE"""),FALSE)</f>
        <v>0</v>
      </c>
      <c r="V135" s="13" t="str">
        <f>IFERROR(__xludf.DUMMYFUNCTION("""COMPUTED_VALUE"""),"https://bosplace.org/en/for-those-grieving/")</f>
        <v>https://bosplace.org/en/for-those-grieving/</v>
      </c>
      <c r="W135" s="14" t="str">
        <f>IFERROR(__xludf.DUMMYFUNCTION("""COMPUTED_VALUE"""),"https://www.google.com/maps/place/Bo's+Place/@29.6729774,-95.4277638,17z/data=!3m1!4b1!4m6!3m5!1s0x8640ea9cad353625:0x755930ca4a53a7e6!8m2!3d29.6729728!4d-95.4251889!16s%2Fg%2F1tcv1v4h?entry=ttu&amp;g_ep=EgoyMDI1MTIwOS4wIKXMDSoKLDEwMDc5MjA2OUgBUAM%3D")</f>
        <v>https://www.google.com/maps/place/Bo's+Place/@29.6729774,-95.4277638,17z/data=!3m1!4b1!4m6!3m5!1s0x8640ea9cad353625:0x755930ca4a53a7e6!8m2!3d29.6729728!4d-95.4251889!16s%2Fg%2F1tcv1v4h?entry=ttu&amp;g_ep=EgoyMDI1MTIwOS4wIKXMDSoKLDEwMDc5MjA2OUgBUAM%3D</v>
      </c>
      <c r="X135" s="10"/>
      <c r="Y135" s="9" t="str">
        <f>IFERROR(__xludf.DUMMYFUNCTION("""COMPUTED_VALUE"""),"Houston")</f>
        <v>Houston</v>
      </c>
      <c r="Z135" s="9" t="str">
        <f>IFERROR(__xludf.DUMMYFUNCTION("""COMPUTED_VALUE"""),"Astrodome Area, Medical Center South, NRG Park area, South Main")</f>
        <v>Astrodome Area, Medical Center South, NRG Park area, South Main</v>
      </c>
      <c r="AA135" s="9" t="str">
        <f>IFERROR(__xludf.DUMMYFUNCTION("""COMPUTED_VALUE"""),"Bo's Place")</f>
        <v>Bo's Place</v>
      </c>
      <c r="AB135" s="9" t="str">
        <f>IFERROR(__xludf.DUMMYFUNCTION("""COMPUTED_VALUE"""),"South Main")</f>
        <v>South Main</v>
      </c>
    </row>
    <row r="136" ht="30.0" customHeight="1">
      <c r="A136" s="17">
        <v>135.0</v>
      </c>
      <c r="B136" s="8" t="str">
        <f>IFERROR(__xludf.DUMMYFUNCTION("""COMPUTED_VALUE"""),"[""99999""]")</f>
        <v>["99999"]</v>
      </c>
      <c r="C136" s="9" t="str">
        <f>IFERROR(__xludf.DUMMYFUNCTION("""COMPUTED_VALUE"""),"Boat People SOS")</f>
        <v>Boat People SOS</v>
      </c>
      <c r="D136" s="9" t="str">
        <f>IFERROR(__xludf.DUMMYFUNCTION("""COMPUTED_VALUE"""),"11360 Bellaire Blvd")</f>
        <v>11360 Bellaire Blvd</v>
      </c>
      <c r="E136" s="9" t="str">
        <f>IFERROR(__xludf.DUMMYFUNCTION("""COMPUTED_VALUE"""),"Suite 910")</f>
        <v>Suite 910</v>
      </c>
      <c r="F136" s="9" t="str">
        <f>IFERROR(__xludf.DUMMYFUNCTION("""COMPUTED_VALUE"""),"Houston")</f>
        <v>Houston</v>
      </c>
      <c r="G136" s="9" t="str">
        <f>IFERROR(__xludf.DUMMYFUNCTION("""COMPUTED_VALUE"""),"TX")</f>
        <v>TX</v>
      </c>
      <c r="H136" s="9" t="str">
        <f>IFERROR(__xludf.DUMMYFUNCTION("""COMPUTED_VALUE"""),"77072")</f>
        <v>77072</v>
      </c>
      <c r="I136" s="9" t="str">
        <f>IFERROR(__xludf.DUMMYFUNCTION("""COMPUTED_VALUE"""),"281-530-6888")</f>
        <v>281-530-6888</v>
      </c>
      <c r="J136" s="9" t="str">
        <f>IFERROR(__xludf.DUMMYFUNCTION("""COMPUTED_VALUE"""),"29.70511842945363, -95.5799507817955")</f>
        <v>29.70511842945363, -95.5799507817955</v>
      </c>
      <c r="K136" s="9" t="str">
        <f>IFERROR(__xludf.DUMMYFUNCTION("""COMPUTED_VALUE"""),"{""regular"":[{""days"":[""Mo"",""Tu"",""We"",""Th"",""Fr""],""open"":null,""close"":null}]}")</f>
        <v>{"regular":[{"days":["Mo","Tu","We","Th","Fr"],"open":null,"close":null}]}</v>
      </c>
      <c r="L136" s="9"/>
      <c r="M136" s="10">
        <f>IFERROR(__xludf.DUMMYFUNCTION("""COMPUTED_VALUE"""),55.0)</f>
        <v>55</v>
      </c>
      <c r="N136" s="10" t="str">
        <f>IFERROR(__xludf.DUMMYFUNCTION("""COMPUTED_VALUE"""),"Immigration")</f>
        <v>Immigration</v>
      </c>
      <c r="O136" s="10">
        <f>IFERROR(__xludf.DUMMYFUNCTION("""COMPUTED_VALUE"""),2.0)</f>
        <v>2</v>
      </c>
      <c r="P136" s="10" t="str">
        <f>IFERROR(__xludf.DUMMYFUNCTION("""COMPUTED_VALUE"""),"LIMITED")</f>
        <v>LIMITED</v>
      </c>
      <c r="Q136" s="11">
        <f>IFERROR(__xludf.DUMMYFUNCTION("""COMPUTED_VALUE"""),45893.0)</f>
        <v>45893</v>
      </c>
      <c r="R136" s="9"/>
      <c r="S136" s="9" t="str">
        <f>IFERROR(__xludf.DUMMYFUNCTION("""COMPUTED_VALUE"""),"Unable to verify if services still available")</f>
        <v>Unable to verify if services still available</v>
      </c>
      <c r="T136" s="12" t="b">
        <f>IFERROR(__xludf.DUMMYFUNCTION("""COMPUTED_VALUE"""),FALSE)</f>
        <v>0</v>
      </c>
      <c r="U136" s="12" t="b">
        <f>IFERROR(__xludf.DUMMYFUNCTION("""COMPUTED_VALUE"""),FALSE)</f>
        <v>0</v>
      </c>
      <c r="V136" s="13" t="str">
        <f>IFERROR(__xludf.DUMMYFUNCTION("""COMPUTED_VALUE"""),"https://bpsos.org/texas")</f>
        <v>https://bpsos.org/texas</v>
      </c>
      <c r="W136" s="10"/>
      <c r="X136" s="10"/>
      <c r="Y136" s="9" t="str">
        <f>IFERROR(__xludf.DUMMYFUNCTION("""COMPUTED_VALUE"""),"Houston")</f>
        <v>Houston</v>
      </c>
      <c r="Z136" s="9" t="str">
        <f>IFERROR(__xludf.DUMMYFUNCTION("""COMPUTED_VALUE"""),"Alief")</f>
        <v>Alief</v>
      </c>
      <c r="AA136" s="9" t="str">
        <f>IFERROR(__xludf.DUMMYFUNCTION("""COMPUTED_VALUE"""),"Boat People SOS")</f>
        <v>Boat People SOS</v>
      </c>
      <c r="AB136" s="9" t="str">
        <f>IFERROR(__xludf.DUMMYFUNCTION("""COMPUTED_VALUE"""),"Alief")</f>
        <v>Alief</v>
      </c>
    </row>
    <row r="137" ht="30.0" customHeight="1">
      <c r="A137" s="17">
        <v>136.0</v>
      </c>
      <c r="B137" s="8" t="str">
        <f>IFERROR(__xludf.DUMMYFUNCTION("""COMPUTED_VALUE"""),"[""77025"", ""77035"", ""77045"", ""77051"", ""77053"", ""77054"", ""77071"", ""77085"", ""77096""]")</f>
        <v>["77025", "77035", "77045", "77051", "77053", "77054", "77071", "77085", "77096"]</v>
      </c>
      <c r="C137" s="9" t="str">
        <f>IFERROR(__xludf.DUMMYFUNCTION("""COMPUTED_VALUE"""),"Braes Interfaith Ministries")</f>
        <v>Braes Interfaith Ministries</v>
      </c>
      <c r="D137" s="9" t="str">
        <f>IFERROR(__xludf.DUMMYFUNCTION("""COMPUTED_VALUE"""),"4300 W. Bellfort Blvd")</f>
        <v>4300 W. Bellfort Blvd</v>
      </c>
      <c r="E137" s="9"/>
      <c r="F137" s="9" t="str">
        <f>IFERROR(__xludf.DUMMYFUNCTION("""COMPUTED_VALUE"""),"Houston")</f>
        <v>Houston</v>
      </c>
      <c r="G137" s="9" t="str">
        <f>IFERROR(__xludf.DUMMYFUNCTION("""COMPUTED_VALUE"""),"TX")</f>
        <v>TX</v>
      </c>
      <c r="H137" s="9" t="str">
        <f>IFERROR(__xludf.DUMMYFUNCTION("""COMPUTED_VALUE"""),"77035")</f>
        <v>77035</v>
      </c>
      <c r="I137" s="9" t="str">
        <f>IFERROR(__xludf.DUMMYFUNCTION("""COMPUTED_VALUE"""),"713-723-2671")</f>
        <v>713-723-2671</v>
      </c>
      <c r="J137" s="9" t="str">
        <f>IFERROR(__xludf.DUMMYFUNCTION("""COMPUTED_VALUE"""),"29.67387315, -95.4493923896501")</f>
        <v>29.67387315, -95.4493923896501</v>
      </c>
      <c r="K137" s="9" t="str">
        <f>IFERROR(__xludf.DUMMYFUNCTION("""COMPUTED_VALUE"""),"{""regular"":[{""days"":[""Mo"",""We"",""Fr""],""open"":""10:00"",""close"":""14:00""}]}")</f>
        <v>{"regular":[{"days":["Mo","We","Fr"],"open":"10:00","close":"14:00"}]}</v>
      </c>
      <c r="L137" s="9"/>
      <c r="M137" s="10">
        <f>IFERROR(__xludf.DUMMYFUNCTION("""COMPUTED_VALUE"""),12.0)</f>
        <v>12</v>
      </c>
      <c r="N137" s="10" t="str">
        <f>IFERROR(__xludf.DUMMYFUNCTION("""COMPUTED_VALUE"""),"Utilities")</f>
        <v>Utilities</v>
      </c>
      <c r="O137" s="10">
        <f>IFERROR(__xludf.DUMMYFUNCTION("""COMPUTED_VALUE"""),1.0)</f>
        <v>1</v>
      </c>
      <c r="P137" s="10" t="str">
        <f>IFERROR(__xludf.DUMMYFUNCTION("""COMPUTED_VALUE"""),"ACTIVE")</f>
        <v>ACTIVE</v>
      </c>
      <c r="Q137" s="11">
        <f>IFERROR(__xludf.DUMMYFUNCTION("""COMPUTED_VALUE"""),46052.0)</f>
        <v>46052</v>
      </c>
      <c r="R137" s="9" t="str">
        <f>IFERROR(__xludf.DUMMYFUNCTION("""COMPUTED_VALUE"""),"Verified by phone")</f>
        <v>Verified by phone</v>
      </c>
      <c r="S137" s="9" t="str">
        <f>IFERROR(__xludf.DUMMYFUNCTION("""COMPUTED_VALUE"""),"No Appointments needed
Help with upto $100 for some utilities companies. Not all electric companies.
Proof of address.
Once every 12 months.")</f>
        <v>No Appointments needed
Help with upto $100 for some utilities companies. Not all electric companies.
Proof of address.
Once every 12 months.</v>
      </c>
      <c r="T137" s="12" t="b">
        <f>IFERROR(__xludf.DUMMYFUNCTION("""COMPUTED_VALUE"""),FALSE)</f>
        <v>0</v>
      </c>
      <c r="U137" s="12" t="b">
        <f>IFERROR(__xludf.DUMMYFUNCTION("""COMPUTED_VALUE"""),FALSE)</f>
        <v>0</v>
      </c>
      <c r="V137" s="13" t="str">
        <f>IFERROR(__xludf.DUMMYFUNCTION("""COMPUTED_VALUE"""),"https://braesinterfaithministries.org/")</f>
        <v>https://braesinterfaithministries.org/</v>
      </c>
      <c r="W137" s="14" t="str">
        <f>IFERROR(__xludf.DUMMYFUNCTION("""COMPUTED_VALUE"""),"https://maps.google.com/?q=Braes%20Interfaith%20Ministries%204300%20W.%20Bellfort%20Blvd%20Houston%20TX%2077035")</f>
        <v>https://maps.google.com/?q=Braes%20Interfaith%20Ministries%204300%20W.%20Bellfort%20Blvd%20Houston%20TX%2077035</v>
      </c>
      <c r="X137" s="10"/>
      <c r="Y137" s="9" t="str">
        <f>IFERROR(__xludf.DUMMYFUNCTION("""COMPUTED_VALUE"""),"Houston")</f>
        <v>Houston</v>
      </c>
      <c r="Z137" s="9" t="str">
        <f>IFERROR(__xludf.DUMMYFUNCTION("""COMPUTED_VALUE"""),"Bellaire, Brays Oaks, Fondren Gardens, Westbury, Willow Meadows/ Willowbend Area, Willowbend")</f>
        <v>Bellaire, Brays Oaks, Fondren Gardens, Westbury, Willow Meadows/ Willowbend Area, Willowbend</v>
      </c>
      <c r="AA137" s="9" t="str">
        <f>IFERROR(__xludf.DUMMYFUNCTION("""COMPUTED_VALUE"""),"Braes Interfaith Ministries")</f>
        <v>Braes Interfaith Ministries</v>
      </c>
      <c r="AB137" s="9" t="str">
        <f>IFERROR(__xludf.DUMMYFUNCTION("""COMPUTED_VALUE"""),"Willow Meadows/ Willowbend Area")</f>
        <v>Willow Meadows/ Willowbend Area</v>
      </c>
    </row>
    <row r="138" ht="30.0" customHeight="1">
      <c r="A138" s="17">
        <v>137.0</v>
      </c>
      <c r="B138" s="8" t="str">
        <f>IFERROR(__xludf.DUMMYFUNCTION("""COMPUTED_VALUE"""),"[""77025"", ""77035"", ""77045"", ""77051"", ""77053"", ""77054"", ""77071"", ""77085"", ""77096""]")</f>
        <v>["77025", "77035", "77045", "77051", "77053", "77054", "77071", "77085", "77096"]</v>
      </c>
      <c r="C138" s="9" t="str">
        <f>IFERROR(__xludf.DUMMYFUNCTION("""COMPUTED_VALUE"""),"Braes Interfaith Ministries")</f>
        <v>Braes Interfaith Ministries</v>
      </c>
      <c r="D138" s="9" t="str">
        <f>IFERROR(__xludf.DUMMYFUNCTION("""COMPUTED_VALUE"""),"4300 W. Bellfort Blvd")</f>
        <v>4300 W. Bellfort Blvd</v>
      </c>
      <c r="E138" s="9"/>
      <c r="F138" s="9" t="str">
        <f>IFERROR(__xludf.DUMMYFUNCTION("""COMPUTED_VALUE"""),"Houston")</f>
        <v>Houston</v>
      </c>
      <c r="G138" s="9" t="str">
        <f>IFERROR(__xludf.DUMMYFUNCTION("""COMPUTED_VALUE"""),"TX")</f>
        <v>TX</v>
      </c>
      <c r="H138" s="9" t="str">
        <f>IFERROR(__xludf.DUMMYFUNCTION("""COMPUTED_VALUE"""),"77035")</f>
        <v>77035</v>
      </c>
      <c r="I138" s="9" t="str">
        <f>IFERROR(__xludf.DUMMYFUNCTION("""COMPUTED_VALUE"""),"713-723-2671")</f>
        <v>713-723-2671</v>
      </c>
      <c r="J138" s="9" t="str">
        <f>IFERROR(__xludf.DUMMYFUNCTION("""COMPUTED_VALUE"""),"29.67387315, -95.4493923896501")</f>
        <v>29.67387315, -95.4493923896501</v>
      </c>
      <c r="K138" s="9" t="str">
        <f>IFERROR(__xludf.DUMMYFUNCTION("""COMPUTED_VALUE"""),"{""regular"":[{""days"":[""Mo"",""We"",""Fr""],""open"":""10:00"",""close"":""14:00""}]}")</f>
        <v>{"regular":[{"days":["Mo","We","Fr"],"open":"10:00","close":"14:00"}]}</v>
      </c>
      <c r="L138" s="9"/>
      <c r="M138" s="10">
        <f>IFERROR(__xludf.DUMMYFUNCTION("""COMPUTED_VALUE"""),13.0)</f>
        <v>13</v>
      </c>
      <c r="N138" s="10" t="str">
        <f>IFERROR(__xludf.DUMMYFUNCTION("""COMPUTED_VALUE"""),"Food")</f>
        <v>Food</v>
      </c>
      <c r="O138" s="10">
        <f>IFERROR(__xludf.DUMMYFUNCTION("""COMPUTED_VALUE"""),1.0)</f>
        <v>1</v>
      </c>
      <c r="P138" s="10" t="str">
        <f>IFERROR(__xludf.DUMMYFUNCTION("""COMPUTED_VALUE"""),"ACTIVE")</f>
        <v>ACTIVE</v>
      </c>
      <c r="Q138" s="11"/>
      <c r="R138" s="9"/>
      <c r="S138" s="9" t="str">
        <f>IFERROR(__xludf.DUMMYFUNCTION("""COMPUTED_VALUE"""),"No appointment needed.
Proof of current address.
Picture ID.")</f>
        <v>No appointment needed.
Proof of current address.
Picture ID.</v>
      </c>
      <c r="T138" s="12" t="b">
        <f>IFERROR(__xludf.DUMMYFUNCTION("""COMPUTED_VALUE"""),FALSE)</f>
        <v>0</v>
      </c>
      <c r="U138" s="12" t="b">
        <f>IFERROR(__xludf.DUMMYFUNCTION("""COMPUTED_VALUE"""),FALSE)</f>
        <v>0</v>
      </c>
      <c r="V138" s="13" t="str">
        <f>IFERROR(__xludf.DUMMYFUNCTION("""COMPUTED_VALUE"""),"https://braesinterfaithministries.org/")</f>
        <v>https://braesinterfaithministries.org/</v>
      </c>
      <c r="W138" s="14" t="str">
        <f>IFERROR(__xludf.DUMMYFUNCTION("""COMPUTED_VALUE"""),"https://maps.google.com/?q=Braes%20Interfaith%20Ministries%204300%20W.%20Bellfort%20Blvd%20Houston%20TX%2077035")</f>
        <v>https://maps.google.com/?q=Braes%20Interfaith%20Ministries%204300%20W.%20Bellfort%20Blvd%20Houston%20TX%2077035</v>
      </c>
      <c r="X138" s="10"/>
      <c r="Y138" s="9" t="str">
        <f>IFERROR(__xludf.DUMMYFUNCTION("""COMPUTED_VALUE"""),"Houston")</f>
        <v>Houston</v>
      </c>
      <c r="Z138" s="9" t="str">
        <f>IFERROR(__xludf.DUMMYFUNCTION("""COMPUTED_VALUE"""),"Bellaire, Brays Oaks, Fondren Gardens, Westbury, Willow Meadows/ Willowbend Area, Willowbend")</f>
        <v>Bellaire, Brays Oaks, Fondren Gardens, Westbury, Willow Meadows/ Willowbend Area, Willowbend</v>
      </c>
      <c r="AA138" s="9" t="str">
        <f>IFERROR(__xludf.DUMMYFUNCTION("""COMPUTED_VALUE"""),"Braes Interfaith Ministries")</f>
        <v>Braes Interfaith Ministries</v>
      </c>
      <c r="AB138" s="9" t="str">
        <f>IFERROR(__xludf.DUMMYFUNCTION("""COMPUTED_VALUE"""),"Willow Meadows/ Willowbend Area")</f>
        <v>Willow Meadows/ Willowbend Area</v>
      </c>
    </row>
    <row r="139" ht="30.0" customHeight="1">
      <c r="A139" s="17">
        <v>138.0</v>
      </c>
      <c r="B139" s="8" t="str">
        <f>IFERROR(__xludf.DUMMYFUNCTION("""COMPUTED_VALUE"""),"[""77025"", ""77035"", ""77045"", ""77051"", ""77053"", ""77054"", ""77071"", ""77085"", ""77096""]")</f>
        <v>["77025", "77035", "77045", "77051", "77053", "77054", "77071", "77085", "77096"]</v>
      </c>
      <c r="C139" s="9" t="str">
        <f>IFERROR(__xludf.DUMMYFUNCTION("""COMPUTED_VALUE"""),"Braes Interfaith Ministries")</f>
        <v>Braes Interfaith Ministries</v>
      </c>
      <c r="D139" s="9" t="str">
        <f>IFERROR(__xludf.DUMMYFUNCTION("""COMPUTED_VALUE"""),"4300 W. Bellfort Blvd")</f>
        <v>4300 W. Bellfort Blvd</v>
      </c>
      <c r="E139" s="9"/>
      <c r="F139" s="9" t="str">
        <f>IFERROR(__xludf.DUMMYFUNCTION("""COMPUTED_VALUE"""),"Houston")</f>
        <v>Houston</v>
      </c>
      <c r="G139" s="9" t="str">
        <f>IFERROR(__xludf.DUMMYFUNCTION("""COMPUTED_VALUE"""),"TX")</f>
        <v>TX</v>
      </c>
      <c r="H139" s="9" t="str">
        <f>IFERROR(__xludf.DUMMYFUNCTION("""COMPUTED_VALUE"""),"77035")</f>
        <v>77035</v>
      </c>
      <c r="I139" s="9" t="str">
        <f>IFERROR(__xludf.DUMMYFUNCTION("""COMPUTED_VALUE"""),"713-723-2671")</f>
        <v>713-723-2671</v>
      </c>
      <c r="J139" s="9" t="str">
        <f>IFERROR(__xludf.DUMMYFUNCTION("""COMPUTED_VALUE"""),"29.67387315, -95.4493923896501")</f>
        <v>29.67387315, -95.4493923896501</v>
      </c>
      <c r="K139" s="9" t="str">
        <f>IFERROR(__xludf.DUMMYFUNCTION("""COMPUTED_VALUE"""),"{""regular"":[{""days"":[""Mo"",""We"",""Fr""],""open"":""10:00"",""close"":""14:00""}]}")</f>
        <v>{"regular":[{"days":["Mo","We","Fr"],"open":"10:00","close":"14:00"}]}</v>
      </c>
      <c r="L139" s="9"/>
      <c r="M139" s="10">
        <f>IFERROR(__xludf.DUMMYFUNCTION("""COMPUTED_VALUE"""),14.0)</f>
        <v>14</v>
      </c>
      <c r="N139" s="10" t="str">
        <f>IFERROR(__xludf.DUMMYFUNCTION("""COMPUTED_VALUE"""),"Clothing")</f>
        <v>Clothing</v>
      </c>
      <c r="O139" s="10">
        <f>IFERROR(__xludf.DUMMYFUNCTION("""COMPUTED_VALUE"""),1.0)</f>
        <v>1</v>
      </c>
      <c r="P139" s="10" t="str">
        <f>IFERROR(__xludf.DUMMYFUNCTION("""COMPUTED_VALUE"""),"ACTIVE")</f>
        <v>ACTIVE</v>
      </c>
      <c r="Q139" s="11"/>
      <c r="R139" s="9"/>
      <c r="S139" s="9" t="str">
        <f>IFERROR(__xludf.DUMMYFUNCTION("""COMPUTED_VALUE"""),"Including toiletries/hygiene kit..
No Appointments needed.
Proof of current address.
Picture ID")</f>
        <v>Including toiletries/hygiene kit..
No Appointments needed.
Proof of current address.
Picture ID</v>
      </c>
      <c r="T139" s="12" t="b">
        <f>IFERROR(__xludf.DUMMYFUNCTION("""COMPUTED_VALUE"""),FALSE)</f>
        <v>0</v>
      </c>
      <c r="U139" s="12" t="b">
        <f>IFERROR(__xludf.DUMMYFUNCTION("""COMPUTED_VALUE"""),FALSE)</f>
        <v>0</v>
      </c>
      <c r="V139" s="13" t="str">
        <f>IFERROR(__xludf.DUMMYFUNCTION("""COMPUTED_VALUE"""),"https://braesinterfaithministries.org/")</f>
        <v>https://braesinterfaithministries.org/</v>
      </c>
      <c r="W139" s="14" t="str">
        <f>IFERROR(__xludf.DUMMYFUNCTION("""COMPUTED_VALUE"""),"https://maps.google.com/?q=Braes%20Interfaith%20Ministries%204300%20W.%20Bellfort%20Blvd%20Houston%20TX%2077035")</f>
        <v>https://maps.google.com/?q=Braes%20Interfaith%20Ministries%204300%20W.%20Bellfort%20Blvd%20Houston%20TX%2077035</v>
      </c>
      <c r="X139" s="10"/>
      <c r="Y139" s="9" t="str">
        <f>IFERROR(__xludf.DUMMYFUNCTION("""COMPUTED_VALUE"""),"Houston")</f>
        <v>Houston</v>
      </c>
      <c r="Z139" s="9" t="str">
        <f>IFERROR(__xludf.DUMMYFUNCTION("""COMPUTED_VALUE"""),"Bellaire, Brays Oaks, Fondren Gardens, Westbury, Willow Meadows/ Willowbend Area, Willowbend")</f>
        <v>Bellaire, Brays Oaks, Fondren Gardens, Westbury, Willow Meadows/ Willowbend Area, Willowbend</v>
      </c>
      <c r="AA139" s="9" t="str">
        <f>IFERROR(__xludf.DUMMYFUNCTION("""COMPUTED_VALUE"""),"Braes Interfaith Ministries")</f>
        <v>Braes Interfaith Ministries</v>
      </c>
      <c r="AB139" s="9" t="str">
        <f>IFERROR(__xludf.DUMMYFUNCTION("""COMPUTED_VALUE"""),"Willow Meadows/ Willowbend Area")</f>
        <v>Willow Meadows/ Willowbend Area</v>
      </c>
    </row>
    <row r="140" ht="30.0" customHeight="1">
      <c r="A140" s="17">
        <v>139.0</v>
      </c>
      <c r="B140" s="8" t="str">
        <f>IFERROR(__xludf.DUMMYFUNCTION("""COMPUTED_VALUE"""),"[""77025"", ""77035"", ""77045"", ""77051"", ""77053"", ""77054"", ""77071"", ""77085"", ""77096""]")</f>
        <v>["77025", "77035", "77045", "77051", "77053", "77054", "77071", "77085", "77096"]</v>
      </c>
      <c r="C140" s="9" t="str">
        <f>IFERROR(__xludf.DUMMYFUNCTION("""COMPUTED_VALUE"""),"Braes Interfaith Ministries")</f>
        <v>Braes Interfaith Ministries</v>
      </c>
      <c r="D140" s="9" t="str">
        <f>IFERROR(__xludf.DUMMYFUNCTION("""COMPUTED_VALUE"""),"4300 W. Bellfort Blvd")</f>
        <v>4300 W. Bellfort Blvd</v>
      </c>
      <c r="E140" s="9"/>
      <c r="F140" s="9" t="str">
        <f>IFERROR(__xludf.DUMMYFUNCTION("""COMPUTED_VALUE"""),"Houston")</f>
        <v>Houston</v>
      </c>
      <c r="G140" s="9" t="str">
        <f>IFERROR(__xludf.DUMMYFUNCTION("""COMPUTED_VALUE"""),"TX")</f>
        <v>TX</v>
      </c>
      <c r="H140" s="9" t="str">
        <f>IFERROR(__xludf.DUMMYFUNCTION("""COMPUTED_VALUE"""),"77035")</f>
        <v>77035</v>
      </c>
      <c r="I140" s="9" t="str">
        <f>IFERROR(__xludf.DUMMYFUNCTION("""COMPUTED_VALUE"""),"713-723-2671")</f>
        <v>713-723-2671</v>
      </c>
      <c r="J140" s="9" t="str">
        <f>IFERROR(__xludf.DUMMYFUNCTION("""COMPUTED_VALUE"""),"29.67387315, -95.4493923896501")</f>
        <v>29.67387315, -95.4493923896501</v>
      </c>
      <c r="K140" s="9" t="str">
        <f>IFERROR(__xludf.DUMMYFUNCTION("""COMPUTED_VALUE"""),"{""regular"":[{""days"":[""Mo"",""We"",""Fr""],""open"":""10:00"",""close"":""14:00""}]}")</f>
        <v>{"regular":[{"days":["Mo","We","Fr"],"open":"10:00","close":"14:00"}]}</v>
      </c>
      <c r="L140" s="9"/>
      <c r="M140" s="10">
        <f>IFERROR(__xludf.DUMMYFUNCTION("""COMPUTED_VALUE"""),64.0)</f>
        <v>64</v>
      </c>
      <c r="N140" s="10" t="str">
        <f>IFERROR(__xludf.DUMMYFUNCTION("""COMPUTED_VALUE"""),"Christmas")</f>
        <v>Christmas</v>
      </c>
      <c r="O140" s="10">
        <f>IFERROR(__xludf.DUMMYFUNCTION("""COMPUTED_VALUE"""),1.0)</f>
        <v>1</v>
      </c>
      <c r="P140" s="10" t="str">
        <f>IFERROR(__xludf.DUMMYFUNCTION("""COMPUTED_VALUE"""),"ACTIVE")</f>
        <v>ACTIVE</v>
      </c>
      <c r="Q140" s="11"/>
      <c r="R140" s="9"/>
      <c r="S140" s="9" t="str">
        <f>IFERROR(__xludf.DUMMYFUNCTION("""COMPUTED_VALUE"""),"Food only.")</f>
        <v>Food only.</v>
      </c>
      <c r="T140" s="12" t="b">
        <f>IFERROR(__xludf.DUMMYFUNCTION("""COMPUTED_VALUE"""),FALSE)</f>
        <v>0</v>
      </c>
      <c r="U140" s="12" t="b">
        <f>IFERROR(__xludf.DUMMYFUNCTION("""COMPUTED_VALUE"""),FALSE)</f>
        <v>0</v>
      </c>
      <c r="V140" s="13" t="str">
        <f>IFERROR(__xludf.DUMMYFUNCTION("""COMPUTED_VALUE"""),"https://braesinterfaithministries.org/")</f>
        <v>https://braesinterfaithministries.org/</v>
      </c>
      <c r="W140" s="14" t="str">
        <f>IFERROR(__xludf.DUMMYFUNCTION("""COMPUTED_VALUE"""),"https://maps.google.com/?q=Braes%20Interfaith%20Ministries%204300%20W.%20Bellfort%20Blvd%20Houston%20TX%2077035")</f>
        <v>https://maps.google.com/?q=Braes%20Interfaith%20Ministries%204300%20W.%20Bellfort%20Blvd%20Houston%20TX%2077035</v>
      </c>
      <c r="X140" s="10"/>
      <c r="Y140" s="9" t="str">
        <f>IFERROR(__xludf.DUMMYFUNCTION("""COMPUTED_VALUE"""),"Houston")</f>
        <v>Houston</v>
      </c>
      <c r="Z140" s="9" t="str">
        <f>IFERROR(__xludf.DUMMYFUNCTION("""COMPUTED_VALUE"""),"Bellaire, Brays Oaks, Fondren Gardens, Westbury, Willow Meadows/ Willowbend Area, Willowbend")</f>
        <v>Bellaire, Brays Oaks, Fondren Gardens, Westbury, Willow Meadows/ Willowbend Area, Willowbend</v>
      </c>
      <c r="AA140" s="9" t="str">
        <f>IFERROR(__xludf.DUMMYFUNCTION("""COMPUTED_VALUE"""),"Braes Interfaith Ministries")</f>
        <v>Braes Interfaith Ministries</v>
      </c>
      <c r="AB140" s="9" t="str">
        <f>IFERROR(__xludf.DUMMYFUNCTION("""COMPUTED_VALUE"""),"Willow Meadows/ Willowbend Area")</f>
        <v>Willow Meadows/ Willowbend Area</v>
      </c>
    </row>
    <row r="141" ht="30.0" customHeight="1">
      <c r="A141" s="17">
        <v>140.0</v>
      </c>
      <c r="B141" s="8" t="str">
        <f>IFERROR(__xludf.DUMMYFUNCTION("""COMPUTED_VALUE"""),"[""99999""]")</f>
        <v>["99999"]</v>
      </c>
      <c r="C141" s="9" t="str">
        <f>IFERROR(__xludf.DUMMYFUNCTION("""COMPUTED_VALUE"""),"Bread of Life Inc.")</f>
        <v>Bread of Life Inc.</v>
      </c>
      <c r="D141" s="9" t="str">
        <f>IFERROR(__xludf.DUMMYFUNCTION("""COMPUTED_VALUE"""),"2019 Crawford Street")</f>
        <v>2019 Crawford Street</v>
      </c>
      <c r="E141" s="9"/>
      <c r="F141" s="10" t="str">
        <f>IFERROR(__xludf.DUMMYFUNCTION("""COMPUTED_VALUE"""),"Houston")</f>
        <v>Houston</v>
      </c>
      <c r="G141" s="9" t="str">
        <f>IFERROR(__xludf.DUMMYFUNCTION("""COMPUTED_VALUE"""),"TX")</f>
        <v>TX</v>
      </c>
      <c r="H141" s="9" t="str">
        <f>IFERROR(__xludf.DUMMYFUNCTION("""COMPUTED_VALUE"""),"77002")</f>
        <v>77002</v>
      </c>
      <c r="I141" s="9" t="str">
        <f>IFERROR(__xludf.DUMMYFUNCTION("""COMPUTED_VALUE"""),"832-939-7477")</f>
        <v>832-939-7477</v>
      </c>
      <c r="J141" s="9" t="str">
        <f>IFERROR(__xludf.DUMMYFUNCTION("""COMPUTED_VALUE"""),"29.7463642755102, -95.3657899795918")</f>
        <v>29.7463642755102, -95.3657899795918</v>
      </c>
      <c r="K141" s="9" t="str">
        <f>IFERROR(__xludf.DUMMYFUNCTION("""COMPUTED_VALUE"""),"{""special"":[{""pattern"":""1st Sa"",""open"":""10:00"",""close"":""12:00""},{""pattern"":""3rd Sa"",""open"":""08:00"",""close"":""12:00""}]}")</f>
        <v>{"special":[{"pattern":"1st Sa","open":"10:00","close":"12:00"},{"pattern":"3rd Sa","open":"08:00","close":"12:00"}]}</v>
      </c>
      <c r="L141" s="9" t="str">
        <f>IFERROR(__xludf.DUMMYFUNCTION("""COMPUTED_VALUE"""),"Register online")</f>
        <v>Register online</v>
      </c>
      <c r="M141" s="10">
        <f>IFERROR(__xludf.DUMMYFUNCTION("""COMPUTED_VALUE"""),13.0)</f>
        <v>13</v>
      </c>
      <c r="N141" s="10" t="str">
        <f>IFERROR(__xludf.DUMMYFUNCTION("""COMPUTED_VALUE"""),"Food")</f>
        <v>Food</v>
      </c>
      <c r="O141" s="10">
        <f>IFERROR(__xludf.DUMMYFUNCTION("""COMPUTED_VALUE"""),1.0)</f>
        <v>1</v>
      </c>
      <c r="P141" s="10" t="str">
        <f>IFERROR(__xludf.DUMMYFUNCTION("""COMPUTED_VALUE"""),"ACTIVE")</f>
        <v>ACTIVE</v>
      </c>
      <c r="Q141" s="11">
        <f>IFERROR(__xludf.DUMMYFUNCTION("""COMPUTED_VALUE"""),46050.0)</f>
        <v>46050</v>
      </c>
      <c r="R141" s="9" t="str">
        <f>IFERROR(__xludf.DUMMYFUNCTION("""COMPUTED_VALUE"""),"Verified by phone")</f>
        <v>Verified by phone</v>
      </c>
      <c r="S141" s="9" t="str">
        <f>IFERROR(__xludf.DUMMYFUNCTION("""COMPUTED_VALUE"""),"Food distribution is behind the downtown campus of St John's United Methodist Church, underneath the Pierce Elevated.
Proof of address required.
Verify dates and times online.
Food only on 1st Saturday , food and supplies on 3rd Saturday.")</f>
        <v>Food distribution is behind the downtown campus of St John's United Methodist Church, underneath the Pierce Elevated.
Proof of address required.
Verify dates and times online.
Food only on 1st Saturday , food and supplies on 3rd Saturday.</v>
      </c>
      <c r="T141" s="12" t="b">
        <f>IFERROR(__xludf.DUMMYFUNCTION("""COMPUTED_VALUE"""),FALSE)</f>
        <v>0</v>
      </c>
      <c r="U141" s="12" t="b">
        <f>IFERROR(__xludf.DUMMYFUNCTION("""COMPUTED_VALUE"""),FALSE)</f>
        <v>0</v>
      </c>
      <c r="V141" s="13" t="str">
        <f>IFERROR(__xludf.DUMMYFUNCTION("""COMPUTED_VALUE"""),"https://www.breadoflifeinc.org/")</f>
        <v>https://www.breadoflifeinc.org/</v>
      </c>
      <c r="W141" s="14" t="str">
        <f>IFERROR(__xludf.DUMMYFUNCTION("""COMPUTED_VALUE"""),"https://maps.google.com/?q=Bread%20of%20Life%20%20%20TX%20")</f>
        <v>https://maps.google.com/?q=Bread%20of%20Life%20%20%20TX%20</v>
      </c>
      <c r="X141" s="10"/>
      <c r="Y141" s="9" t="str">
        <f>IFERROR(__xludf.DUMMYFUNCTION("""COMPUTED_VALUE"""),"Houston")</f>
        <v>Houston</v>
      </c>
      <c r="Z141"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141" s="9" t="str">
        <f>IFERROR(__xludf.DUMMYFUNCTION("""COMPUTED_VALUE"""),"Bread of Life Inc.")</f>
        <v>Bread of Life Inc.</v>
      </c>
      <c r="AB141" s="9" t="str">
        <f>IFERROR(__xludf.DUMMYFUNCTION("""COMPUTED_VALUE"""),"Downtown Houston")</f>
        <v>Downtown Houston</v>
      </c>
    </row>
    <row r="142" ht="30.0" customHeight="1">
      <c r="A142" s="17">
        <v>141.0</v>
      </c>
      <c r="B142" s="8" t="str">
        <f>IFERROR(__xludf.DUMMYFUNCTION("""COMPUTED_VALUE"""),"[""99999""]")</f>
        <v>["99999"]</v>
      </c>
      <c r="C142" s="9" t="str">
        <f>IFERROR(__xludf.DUMMYFUNCTION("""COMPUTED_VALUE"""),"Bread of Life Inc.")</f>
        <v>Bread of Life Inc.</v>
      </c>
      <c r="D142" s="9" t="str">
        <f>IFERROR(__xludf.DUMMYFUNCTION("""COMPUTED_VALUE"""),"2019 Crawford Street")</f>
        <v>2019 Crawford Street</v>
      </c>
      <c r="E142" s="9"/>
      <c r="F142" s="9" t="str">
        <f>IFERROR(__xludf.DUMMYFUNCTION("""COMPUTED_VALUE"""),"Houston")</f>
        <v>Houston</v>
      </c>
      <c r="G142" s="9" t="str">
        <f>IFERROR(__xludf.DUMMYFUNCTION("""COMPUTED_VALUE"""),"TX")</f>
        <v>TX</v>
      </c>
      <c r="H142" s="9" t="str">
        <f>IFERROR(__xludf.DUMMYFUNCTION("""COMPUTED_VALUE"""),"77002")</f>
        <v>77002</v>
      </c>
      <c r="I142" s="9" t="str">
        <f>IFERROR(__xludf.DUMMYFUNCTION("""COMPUTED_VALUE"""),"832-939-7477")</f>
        <v>832-939-7477</v>
      </c>
      <c r="J142" s="9" t="str">
        <f>IFERROR(__xludf.DUMMYFUNCTION("""COMPUTED_VALUE"""),"29.7463642755102, -95.3657899795918")</f>
        <v>29.7463642755102, -95.3657899795918</v>
      </c>
      <c r="K142" s="9" t="str">
        <f>IFERROR(__xludf.DUMMYFUNCTION("""COMPUTED_VALUE"""),"{""regular"":[{""days"":[""Mo"",""Tu"",""We"",""Th"",""Fr""],""open"":""09:00"",""close"":""15:00""}]}")</f>
        <v>{"regular":[{"days":["Mo","Tu","We","Th","Fr"],"open":"09:00","close":"15:00"}]}</v>
      </c>
      <c r="L142" s="9" t="str">
        <f>IFERROR(__xludf.DUMMYFUNCTION("""COMPUTED_VALUE"""),"Appointment required")</f>
        <v>Appointment required</v>
      </c>
      <c r="M142" s="10">
        <f>IFERROR(__xludf.DUMMYFUNCTION("""COMPUTED_VALUE"""),35.0)</f>
        <v>35</v>
      </c>
      <c r="N142" s="10" t="str">
        <f>IFERROR(__xludf.DUMMYFUNCTION("""COMPUTED_VALUE"""),"Medical - Program Enrollment")</f>
        <v>Medical - Program Enrollment</v>
      </c>
      <c r="O142" s="10">
        <f>IFERROR(__xludf.DUMMYFUNCTION("""COMPUTED_VALUE"""),1.0)</f>
        <v>1</v>
      </c>
      <c r="P142" s="10" t="str">
        <f>IFERROR(__xludf.DUMMYFUNCTION("""COMPUTED_VALUE"""),"ACTIVE")</f>
        <v>ACTIVE</v>
      </c>
      <c r="Q142" s="11">
        <f>IFERROR(__xludf.DUMMYFUNCTION("""COMPUTED_VALUE"""),46050.0)</f>
        <v>46050</v>
      </c>
      <c r="R142" s="9" t="str">
        <f>IFERROR(__xludf.DUMMYFUNCTION("""COMPUTED_VALUE"""),"Verified by phone")</f>
        <v>Verified by phone</v>
      </c>
      <c r="S142" s="9" t="str">
        <f>IFERROR(__xludf.DUMMYFUNCTION("""COMPUTED_VALUE"""),"Navigators work one-one-one with clients to identify eligible benefits and  assist with application.
SNAP, CHIP, TANF")</f>
        <v>Navigators work one-one-one with clients to identify eligible benefits and  assist with application.
SNAP, CHIP, TANF</v>
      </c>
      <c r="T142" s="12" t="b">
        <f>IFERROR(__xludf.DUMMYFUNCTION("""COMPUTED_VALUE"""),FALSE)</f>
        <v>0</v>
      </c>
      <c r="U142" s="12" t="b">
        <f>IFERROR(__xludf.DUMMYFUNCTION("""COMPUTED_VALUE"""),FALSE)</f>
        <v>0</v>
      </c>
      <c r="V142" s="13" t="str">
        <f>IFERROR(__xludf.DUMMYFUNCTION("""COMPUTED_VALUE"""),"https://www.breadoflifeinc.org/")</f>
        <v>https://www.breadoflifeinc.org/</v>
      </c>
      <c r="W142" s="14" t="str">
        <f>IFERROR(__xludf.DUMMYFUNCTION("""COMPUTED_VALUE"""),"https://maps.google.com/?q=Bread%20of%20Life%20%20%20TX%20")</f>
        <v>https://maps.google.com/?q=Bread%20of%20Life%20%20%20TX%20</v>
      </c>
      <c r="X142" s="10"/>
      <c r="Y142" s="9" t="str">
        <f>IFERROR(__xludf.DUMMYFUNCTION("""COMPUTED_VALUE"""),"Houston")</f>
        <v>Houston</v>
      </c>
      <c r="Z14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142" s="9" t="str">
        <f>IFERROR(__xludf.DUMMYFUNCTION("""COMPUTED_VALUE"""),"Bread of Life Inc.")</f>
        <v>Bread of Life Inc.</v>
      </c>
      <c r="AB142" s="9" t="str">
        <f>IFERROR(__xludf.DUMMYFUNCTION("""COMPUTED_VALUE"""),"Downtown Houston")</f>
        <v>Downtown Houston</v>
      </c>
    </row>
    <row r="143" ht="30.0" customHeight="1">
      <c r="A143" s="17">
        <v>142.0</v>
      </c>
      <c r="B143" s="8" t="str">
        <f>IFERROR(__xludf.DUMMYFUNCTION("""COMPUTED_VALUE"""),"[""99999""]")</f>
        <v>["99999"]</v>
      </c>
      <c r="C143" s="9" t="str">
        <f>IFERROR(__xludf.DUMMYFUNCTION("""COMPUTED_VALUE"""),"Brentwood Baptist Church")</f>
        <v>Brentwood Baptist Church</v>
      </c>
      <c r="D143" s="9" t="str">
        <f>IFERROR(__xludf.DUMMYFUNCTION("""COMPUTED_VALUE"""),"13033 Landmark Street")</f>
        <v>13033 Landmark Street</v>
      </c>
      <c r="E143" s="9"/>
      <c r="F143" s="9" t="str">
        <f>IFERROR(__xludf.DUMMYFUNCTION("""COMPUTED_VALUE"""),"Houston")</f>
        <v>Houston</v>
      </c>
      <c r="G143" s="9" t="str">
        <f>IFERROR(__xludf.DUMMYFUNCTION("""COMPUTED_VALUE"""),"TX")</f>
        <v>TX</v>
      </c>
      <c r="H143" s="9" t="str">
        <f>IFERROR(__xludf.DUMMYFUNCTION("""COMPUTED_VALUE"""),"77045")</f>
        <v>77045</v>
      </c>
      <c r="I143" s="9" t="str">
        <f>IFERROR(__xludf.DUMMYFUNCTION("""COMPUTED_VALUE"""),"713-852-1400")</f>
        <v>713-852-1400</v>
      </c>
      <c r="J143" s="9" t="str">
        <f>IFERROR(__xludf.DUMMYFUNCTION("""COMPUTED_VALUE"""),"29.6375601, -95.43478415")</f>
        <v>29.6375601, -95.43478415</v>
      </c>
      <c r="K143" s="9" t="str">
        <f>IFERROR(__xludf.DUMMYFUNCTION("""COMPUTED_VALUE"""),"{""regular"":[{""days"":[""Mo""],""open"":""08:30"",""close"":""10:00""}]}")</f>
        <v>{"regular":[{"days":["Mo"],"open":"08:30","close":"10:00"}]}</v>
      </c>
      <c r="L143" s="9"/>
      <c r="M143" s="10">
        <f>IFERROR(__xludf.DUMMYFUNCTION("""COMPUTED_VALUE"""),13.0)</f>
        <v>13</v>
      </c>
      <c r="N143" s="10" t="str">
        <f>IFERROR(__xludf.DUMMYFUNCTION("""COMPUTED_VALUE"""),"Food")</f>
        <v>Food</v>
      </c>
      <c r="O143" s="10">
        <f>IFERROR(__xludf.DUMMYFUNCTION("""COMPUTED_VALUE"""),4.0)</f>
        <v>4</v>
      </c>
      <c r="P143" s="10" t="str">
        <f>IFERROR(__xludf.DUMMYFUNCTION("""COMPUTED_VALUE"""),"CLOSED")</f>
        <v>CLOSED</v>
      </c>
      <c r="Q143" s="11">
        <f>IFERROR(__xludf.DUMMYFUNCTION("""COMPUTED_VALUE"""),45788.0)</f>
        <v>45788</v>
      </c>
      <c r="R143" s="9" t="str">
        <f>IFERROR(__xludf.DUMMYFUNCTION("""COMPUTED_VALUE"""),"Verified online")</f>
        <v>Verified online</v>
      </c>
      <c r="S143" s="9" t="str">
        <f>IFERROR(__xludf.DUMMYFUNCTION("""COMPUTED_VALUE"""),"Does not appear that they have a food pantry.  Online information from other sources seem to imply that there is no food pantry but periodic food distributions.")</f>
        <v>Does not appear that they have a food pantry.  Online information from other sources seem to imply that there is no food pantry but periodic food distributions.</v>
      </c>
      <c r="T143" s="12" t="b">
        <f>IFERROR(__xludf.DUMMYFUNCTION("""COMPUTED_VALUE"""),FALSE)</f>
        <v>0</v>
      </c>
      <c r="U143" s="12" t="b">
        <f>IFERROR(__xludf.DUMMYFUNCTION("""COMPUTED_VALUE"""),FALSE)</f>
        <v>0</v>
      </c>
      <c r="V143" s="13" t="str">
        <f>IFERROR(__xludf.DUMMYFUNCTION("""COMPUTED_VALUE"""),"https://brentwoodbaptist.org/")</f>
        <v>https://brentwoodbaptist.org/</v>
      </c>
      <c r="W143" s="14" t="str">
        <f>IFERROR(__xludf.DUMMYFUNCTION("""COMPUTED_VALUE"""),"https://maps.google.com/?q=Brentwood%20Baptist%20Church%2013033%20Landmark%20St%20Houston%20TX%2077045")</f>
        <v>https://maps.google.com/?q=Brentwood%20Baptist%20Church%2013033%20Landmark%20St%20Houston%20TX%2077045</v>
      </c>
      <c r="X143" s="10"/>
      <c r="Y143" s="9" t="str">
        <f>IFERROR(__xludf.DUMMYFUNCTION("""COMPUTED_VALUE"""),"Houston")</f>
        <v>Houston</v>
      </c>
      <c r="Z143" s="9" t="str">
        <f>IFERROR(__xludf.DUMMYFUNCTION("""COMPUTED_VALUE"""),"Brentwood, Central Southwest, Hiram Clarke")</f>
        <v>Brentwood, Central Southwest, Hiram Clarke</v>
      </c>
      <c r="AA143" s="9" t="str">
        <f>IFERROR(__xludf.DUMMYFUNCTION("""COMPUTED_VALUE"""),"Brentwood Baptist Church")</f>
        <v>Brentwood Baptist Church</v>
      </c>
      <c r="AB143" s="9" t="str">
        <f>IFERROR(__xludf.DUMMYFUNCTION("""COMPUTED_VALUE"""),"Central Southwest")</f>
        <v>Central Southwest</v>
      </c>
    </row>
    <row r="144" ht="30.0" customHeight="1">
      <c r="A144" s="17">
        <v>143.0</v>
      </c>
      <c r="B144" s="8" t="str">
        <f>IFERROR(__xludf.DUMMYFUNCTION("""COMPUTED_VALUE"""),"[""99999""]")</f>
        <v>["99999"]</v>
      </c>
      <c r="C144" s="9" t="str">
        <f>IFERROR(__xludf.DUMMYFUNCTION("""COMPUTED_VALUE"""),"Brentwood Community Foundation")</f>
        <v>Brentwood Community Foundation</v>
      </c>
      <c r="D144" s="9" t="str">
        <f>IFERROR(__xludf.DUMMYFUNCTION("""COMPUTED_VALUE"""),"13033 Landmark Street")</f>
        <v>13033 Landmark Street</v>
      </c>
      <c r="E144" s="9"/>
      <c r="F144" s="9" t="str">
        <f>IFERROR(__xludf.DUMMYFUNCTION("""COMPUTED_VALUE"""),"Houston")</f>
        <v>Houston</v>
      </c>
      <c r="G144" s="9" t="str">
        <f>IFERROR(__xludf.DUMMYFUNCTION("""COMPUTED_VALUE"""),"TX")</f>
        <v>TX</v>
      </c>
      <c r="H144" s="9" t="str">
        <f>IFERROR(__xludf.DUMMYFUNCTION("""COMPUTED_VALUE"""),"77045")</f>
        <v>77045</v>
      </c>
      <c r="I144" s="9" t="str">
        <f>IFERROR(__xludf.DUMMYFUNCTION("""COMPUTED_VALUE"""),"713-852-1452")</f>
        <v>713-852-1452</v>
      </c>
      <c r="J144" s="9" t="str">
        <f>IFERROR(__xludf.DUMMYFUNCTION("""COMPUTED_VALUE"""),"29.6375601, -95.43478415")</f>
        <v>29.6375601, -95.43478415</v>
      </c>
      <c r="K144" s="9" t="str">
        <f>IFERROR(__xludf.DUMMYFUNCTION("""COMPUTED_VALUE"""),"{""regular"":[{""days"":[""Mo""],""open"":""09:00"",""close"":""17:00""}]}")</f>
        <v>{"regular":[{"days":["Mo"],"open":"09:00","close":"17:00"}]}</v>
      </c>
      <c r="L144" s="9"/>
      <c r="M144" s="10">
        <f>IFERROR(__xludf.DUMMYFUNCTION("""COMPUTED_VALUE"""),11.0)</f>
        <v>11</v>
      </c>
      <c r="N144" s="10" t="str">
        <f>IFERROR(__xludf.DUMMYFUNCTION("""COMPUTED_VALUE"""),"Rent")</f>
        <v>Rent</v>
      </c>
      <c r="O144" s="10">
        <f>IFERROR(__xludf.DUMMYFUNCTION("""COMPUTED_VALUE"""),3.0)</f>
        <v>3</v>
      </c>
      <c r="P144" s="10" t="str">
        <f>IFERROR(__xludf.DUMMYFUNCTION("""COMPUTED_VALUE"""),"INACTIVE")</f>
        <v>INACTIVE</v>
      </c>
      <c r="Q144" s="11">
        <f>IFERROR(__xludf.DUMMYFUNCTION("""COMPUTED_VALUE"""),45788.0)</f>
        <v>45788</v>
      </c>
      <c r="R144" s="9" t="str">
        <f>IFERROR(__xludf.DUMMYFUNCTION("""COMPUTED_VALUE"""),"Online - Program Full")</f>
        <v>Online - Program Full</v>
      </c>
      <c r="S144" s="9" t="str">
        <f>IFERROR(__xludf.DUMMYFUNCTION("""COMPUTED_VALUE"""),"Limited to HIV/AIDS patients")</f>
        <v>Limited to HIV/AIDS patients</v>
      </c>
      <c r="T144" s="12" t="b">
        <f>IFERROR(__xludf.DUMMYFUNCTION("""COMPUTED_VALUE"""),FALSE)</f>
        <v>0</v>
      </c>
      <c r="U144" s="12" t="b">
        <f>IFERROR(__xludf.DUMMYFUNCTION("""COMPUTED_VALUE"""),FALSE)</f>
        <v>0</v>
      </c>
      <c r="V144" s="13" t="str">
        <f>IFERROR(__xludf.DUMMYFUNCTION("""COMPUTED_VALUE"""),"https://brentwoodfoundation.org")</f>
        <v>https://brentwoodfoundation.org</v>
      </c>
      <c r="W144" s="14" t="str">
        <f>IFERROR(__xludf.DUMMYFUNCTION("""COMPUTED_VALUE"""),"https://maps.google.com/?q=Brentwood%20Baptist%20Church%2013033%20Landmark%20St%20Houston%20TX%2077045")</f>
        <v>https://maps.google.com/?q=Brentwood%20Baptist%20Church%2013033%20Landmark%20St%20Houston%20TX%2077045</v>
      </c>
      <c r="X144" s="10"/>
      <c r="Y144" s="9" t="str">
        <f>IFERROR(__xludf.DUMMYFUNCTION("""COMPUTED_VALUE"""),"Houston")</f>
        <v>Houston</v>
      </c>
      <c r="Z144" s="9" t="str">
        <f>IFERROR(__xludf.DUMMYFUNCTION("""COMPUTED_VALUE"""),"Brentwood, Central Southwest, Hiram Clarke")</f>
        <v>Brentwood, Central Southwest, Hiram Clarke</v>
      </c>
      <c r="AA144" s="9" t="str">
        <f>IFERROR(__xludf.DUMMYFUNCTION("""COMPUTED_VALUE"""),"Brentwood Community Foundation")</f>
        <v>Brentwood Community Foundation</v>
      </c>
      <c r="AB144" s="9" t="str">
        <f>IFERROR(__xludf.DUMMYFUNCTION("""COMPUTED_VALUE"""),"Central Southwest")</f>
        <v>Central Southwest</v>
      </c>
    </row>
    <row r="145" ht="30.0" customHeight="1">
      <c r="A145" s="17">
        <v>144.0</v>
      </c>
      <c r="B145" s="8" t="str">
        <f>IFERROR(__xludf.DUMMYFUNCTION("""COMPUTED_VALUE"""),"[""99999""]")</f>
        <v>["99999"]</v>
      </c>
      <c r="C145" s="9" t="str">
        <f>IFERROR(__xludf.DUMMYFUNCTION("""COMPUTED_VALUE"""),"Brentwood Community Foundation")</f>
        <v>Brentwood Community Foundation</v>
      </c>
      <c r="D145" s="9" t="str">
        <f>IFERROR(__xludf.DUMMYFUNCTION("""COMPUTED_VALUE"""),"13033 Landmark Street")</f>
        <v>13033 Landmark Street</v>
      </c>
      <c r="E145" s="9"/>
      <c r="F145" s="9" t="str">
        <f>IFERROR(__xludf.DUMMYFUNCTION("""COMPUTED_VALUE"""),"Houston")</f>
        <v>Houston</v>
      </c>
      <c r="G145" s="9" t="str">
        <f>IFERROR(__xludf.DUMMYFUNCTION("""COMPUTED_VALUE"""),"TX")</f>
        <v>TX</v>
      </c>
      <c r="H145" s="9" t="str">
        <f>IFERROR(__xludf.DUMMYFUNCTION("""COMPUTED_VALUE"""),"77045")</f>
        <v>77045</v>
      </c>
      <c r="I145" s="9" t="str">
        <f>IFERROR(__xludf.DUMMYFUNCTION("""COMPUTED_VALUE"""),"713-852-1452")</f>
        <v>713-852-1452</v>
      </c>
      <c r="J145" s="9" t="str">
        <f>IFERROR(__xludf.DUMMYFUNCTION("""COMPUTED_VALUE"""),"29.6375601, -95.43478415")</f>
        <v>29.6375601, -95.43478415</v>
      </c>
      <c r="K145" s="9" t="str">
        <f>IFERROR(__xludf.DUMMYFUNCTION("""COMPUTED_VALUE"""),"{""regular"":[{""days"":[""Mo""],""open"":""09:00"",""close"":""17:00""}]}")</f>
        <v>{"regular":[{"days":["Mo"],"open":"09:00","close":"17:00"}]}</v>
      </c>
      <c r="L145" s="9"/>
      <c r="M145" s="10">
        <f>IFERROR(__xludf.DUMMYFUNCTION("""COMPUTED_VALUE"""),12.0)</f>
        <v>12</v>
      </c>
      <c r="N145" s="10" t="str">
        <f>IFERROR(__xludf.DUMMYFUNCTION("""COMPUTED_VALUE"""),"Utilities")</f>
        <v>Utilities</v>
      </c>
      <c r="O145" s="10">
        <f>IFERROR(__xludf.DUMMYFUNCTION("""COMPUTED_VALUE"""),3.0)</f>
        <v>3</v>
      </c>
      <c r="P145" s="10" t="str">
        <f>IFERROR(__xludf.DUMMYFUNCTION("""COMPUTED_VALUE"""),"INACTIVE")</f>
        <v>INACTIVE</v>
      </c>
      <c r="Q145" s="11">
        <f>IFERROR(__xludf.DUMMYFUNCTION("""COMPUTED_VALUE"""),45788.0)</f>
        <v>45788</v>
      </c>
      <c r="R145" s="9" t="str">
        <f>IFERROR(__xludf.DUMMYFUNCTION("""COMPUTED_VALUE"""),"Online - Program Full")</f>
        <v>Online - Program Full</v>
      </c>
      <c r="S145" s="9" t="str">
        <f>IFERROR(__xludf.DUMMYFUNCTION("""COMPUTED_VALUE"""),"Limited to HIV/AIDS patients")</f>
        <v>Limited to HIV/AIDS patients</v>
      </c>
      <c r="T145" s="12" t="b">
        <f>IFERROR(__xludf.DUMMYFUNCTION("""COMPUTED_VALUE"""),FALSE)</f>
        <v>0</v>
      </c>
      <c r="U145" s="12" t="b">
        <f>IFERROR(__xludf.DUMMYFUNCTION("""COMPUTED_VALUE"""),FALSE)</f>
        <v>0</v>
      </c>
      <c r="V145" s="13" t="str">
        <f>IFERROR(__xludf.DUMMYFUNCTION("""COMPUTED_VALUE"""),"https://brentwoodfoundation.org")</f>
        <v>https://brentwoodfoundation.org</v>
      </c>
      <c r="W145" s="14" t="str">
        <f>IFERROR(__xludf.DUMMYFUNCTION("""COMPUTED_VALUE"""),"https://maps.google.com/?q=Brentwood%20Baptist%20Church%2013033%20Landmark%20St%20Houston%20TX%2077045")</f>
        <v>https://maps.google.com/?q=Brentwood%20Baptist%20Church%2013033%20Landmark%20St%20Houston%20TX%2077045</v>
      </c>
      <c r="X145" s="10"/>
      <c r="Y145" s="9" t="str">
        <f>IFERROR(__xludf.DUMMYFUNCTION("""COMPUTED_VALUE"""),"Houston")</f>
        <v>Houston</v>
      </c>
      <c r="Z145" s="9" t="str">
        <f>IFERROR(__xludf.DUMMYFUNCTION("""COMPUTED_VALUE"""),"Brentwood, Central Southwest, Hiram Clarke")</f>
        <v>Brentwood, Central Southwest, Hiram Clarke</v>
      </c>
      <c r="AA145" s="9" t="str">
        <f>IFERROR(__xludf.DUMMYFUNCTION("""COMPUTED_VALUE"""),"Brentwood Community Foundation")</f>
        <v>Brentwood Community Foundation</v>
      </c>
      <c r="AB145" s="9" t="str">
        <f>IFERROR(__xludf.DUMMYFUNCTION("""COMPUTED_VALUE"""),"Central Southwest")</f>
        <v>Central Southwest</v>
      </c>
    </row>
    <row r="146" ht="30.0" customHeight="1">
      <c r="A146" s="17">
        <v>145.0</v>
      </c>
      <c r="B146" s="8" t="str">
        <f>IFERROR(__xludf.DUMMYFUNCTION("""COMPUTED_VALUE"""),"[""99999""]")</f>
        <v>["99999"]</v>
      </c>
      <c r="C146" s="9" t="str">
        <f>IFERROR(__xludf.DUMMYFUNCTION("""COMPUTED_VALUE"""),"Brentwood Community Foundation")</f>
        <v>Brentwood Community Foundation</v>
      </c>
      <c r="D146" s="9" t="str">
        <f>IFERROR(__xludf.DUMMYFUNCTION("""COMPUTED_VALUE"""),"13033 Landmark Street")</f>
        <v>13033 Landmark Street</v>
      </c>
      <c r="E146" s="9"/>
      <c r="F146" s="9" t="str">
        <f>IFERROR(__xludf.DUMMYFUNCTION("""COMPUTED_VALUE"""),"Houston")</f>
        <v>Houston</v>
      </c>
      <c r="G146" s="9" t="str">
        <f>IFERROR(__xludf.DUMMYFUNCTION("""COMPUTED_VALUE"""),"TX")</f>
        <v>TX</v>
      </c>
      <c r="H146" s="9" t="str">
        <f>IFERROR(__xludf.DUMMYFUNCTION("""COMPUTED_VALUE"""),"77045")</f>
        <v>77045</v>
      </c>
      <c r="I146" s="9" t="str">
        <f>IFERROR(__xludf.DUMMYFUNCTION("""COMPUTED_VALUE"""),"713-852-1452")</f>
        <v>713-852-1452</v>
      </c>
      <c r="J146" s="9" t="str">
        <f>IFERROR(__xludf.DUMMYFUNCTION("""COMPUTED_VALUE"""),"29.6375601, -95.43478415")</f>
        <v>29.6375601, -95.43478415</v>
      </c>
      <c r="K146" s="9" t="str">
        <f>IFERROR(__xludf.DUMMYFUNCTION("""COMPUTED_VALUE"""),"{""regular"":[{""days"":[""Mo""],""open"":""09:00"",""close"":""17:00""}]}")</f>
        <v>{"regular":[{"days":["Mo"],"open":"09:00","close":"17:00"}]}</v>
      </c>
      <c r="L146" s="9"/>
      <c r="M146" s="10">
        <f>IFERROR(__xludf.DUMMYFUNCTION("""COMPUTED_VALUE"""),37.0)</f>
        <v>37</v>
      </c>
      <c r="N146" s="10" t="str">
        <f>IFERROR(__xludf.DUMMYFUNCTION("""COMPUTED_VALUE"""),"Medical - Housing")</f>
        <v>Medical - Housing</v>
      </c>
      <c r="O146" s="10">
        <f>IFERROR(__xludf.DUMMYFUNCTION("""COMPUTED_VALUE"""),3.0)</f>
        <v>3</v>
      </c>
      <c r="P146" s="10" t="str">
        <f>IFERROR(__xludf.DUMMYFUNCTION("""COMPUTED_VALUE"""),"INACTIVE")</f>
        <v>INACTIVE</v>
      </c>
      <c r="Q146" s="11">
        <f>IFERROR(__xludf.DUMMYFUNCTION("""COMPUTED_VALUE"""),45788.0)</f>
        <v>45788</v>
      </c>
      <c r="R146" s="9" t="str">
        <f>IFERROR(__xludf.DUMMYFUNCTION("""COMPUTED_VALUE"""),"Online - Program Full")</f>
        <v>Online - Program Full</v>
      </c>
      <c r="S146" s="9" t="str">
        <f>IFERROR(__xludf.DUMMYFUNCTION("""COMPUTED_VALUE"""),"Limited to HIV/AIDS patients
18 bed transitional housing (on-site facility)")</f>
        <v>Limited to HIV/AIDS patients
18 bed transitional housing (on-site facility)</v>
      </c>
      <c r="T146" s="12" t="b">
        <f>IFERROR(__xludf.DUMMYFUNCTION("""COMPUTED_VALUE"""),FALSE)</f>
        <v>0</v>
      </c>
      <c r="U146" s="12" t="b">
        <f>IFERROR(__xludf.DUMMYFUNCTION("""COMPUTED_VALUE"""),FALSE)</f>
        <v>0</v>
      </c>
      <c r="V146" s="13" t="str">
        <f>IFERROR(__xludf.DUMMYFUNCTION("""COMPUTED_VALUE"""),"https://brentwoodfoundation.org")</f>
        <v>https://brentwoodfoundation.org</v>
      </c>
      <c r="W146" s="14" t="str">
        <f>IFERROR(__xludf.DUMMYFUNCTION("""COMPUTED_VALUE"""),"https://maps.google.com/?q=Brentwood%20Baptist%20Church%2013033%20Landmark%20St%20Houston%20TX%2077045")</f>
        <v>https://maps.google.com/?q=Brentwood%20Baptist%20Church%2013033%20Landmark%20St%20Houston%20TX%2077045</v>
      </c>
      <c r="X146" s="10"/>
      <c r="Y146" s="9" t="str">
        <f>IFERROR(__xludf.DUMMYFUNCTION("""COMPUTED_VALUE"""),"Houston")</f>
        <v>Houston</v>
      </c>
      <c r="Z146" s="9" t="str">
        <f>IFERROR(__xludf.DUMMYFUNCTION("""COMPUTED_VALUE"""),"Brentwood, Central Southwest, Hiram Clarke")</f>
        <v>Brentwood, Central Southwest, Hiram Clarke</v>
      </c>
      <c r="AA146" s="9" t="str">
        <f>IFERROR(__xludf.DUMMYFUNCTION("""COMPUTED_VALUE"""),"Brentwood Community Foundation")</f>
        <v>Brentwood Community Foundation</v>
      </c>
      <c r="AB146" s="9" t="str">
        <f>IFERROR(__xludf.DUMMYFUNCTION("""COMPUTED_VALUE"""),"Central Southwest")</f>
        <v>Central Southwest</v>
      </c>
    </row>
    <row r="147" ht="30.0" customHeight="1">
      <c r="A147" s="17">
        <v>146.0</v>
      </c>
      <c r="B147" s="8" t="str">
        <f>IFERROR(__xludf.DUMMYFUNCTION("""COMPUTED_VALUE"""),"[""99999""]")</f>
        <v>["99999"]</v>
      </c>
      <c r="C147" s="9" t="str">
        <f>IFERROR(__xludf.DUMMYFUNCTION("""COMPUTED_VALUE"""),"Camp Shield")</f>
        <v>Camp Shield</v>
      </c>
      <c r="D147" s="9" t="str">
        <f>IFERROR(__xludf.DUMMYFUNCTION("""COMPUTED_VALUE"""),"2929 McKinney St")</f>
        <v>2929 McKinney St</v>
      </c>
      <c r="E147" s="9"/>
      <c r="F147" s="9" t="str">
        <f>IFERROR(__xludf.DUMMYFUNCTION("""COMPUTED_VALUE"""),"Houston")</f>
        <v>Houston</v>
      </c>
      <c r="G147" s="9" t="str">
        <f>IFERROR(__xludf.DUMMYFUNCTION("""COMPUTED_VALUE"""),"TX")</f>
        <v>TX</v>
      </c>
      <c r="H147" s="9" t="str">
        <f>IFERROR(__xludf.DUMMYFUNCTION("""COMPUTED_VALUE"""),"77003")</f>
        <v>77003</v>
      </c>
      <c r="I147" s="9" t="str">
        <f>IFERROR(__xludf.DUMMYFUNCTION("""COMPUTED_VALUE"""),"346-387-5808")</f>
        <v>346-387-5808</v>
      </c>
      <c r="J147" s="9" t="str">
        <f>IFERROR(__xludf.DUMMYFUNCTION("""COMPUTED_VALUE"""),"29.747445655330733, -95.34840435714703")</f>
        <v>29.747445655330733, -95.34840435714703</v>
      </c>
      <c r="K147" s="9" t="str">
        <f>IFERROR(__xludf.DUMMYFUNCTION("""COMPUTED_VALUE"""),"{""regular"":[{""days"":[""Mo"",""Tu"",""We"",""Th"",""Fr""],""open"":""09:00"",""close"":""17:00""}]}")</f>
        <v>{"regular":[{"days":["Mo","Tu","We","Th","Fr"],"open":"09:00","close":"17:00"}]}</v>
      </c>
      <c r="L147" s="9" t="str">
        <f>IFERROR(__xludf.DUMMYFUNCTION("""COMPUTED_VALUE"""),"Apply online")</f>
        <v>Apply online</v>
      </c>
      <c r="M147" s="10">
        <f>IFERROR(__xludf.DUMMYFUNCTION("""COMPUTED_VALUE"""),56.0)</f>
        <v>56</v>
      </c>
      <c r="N147" s="10" t="str">
        <f>IFERROR(__xludf.DUMMYFUNCTION("""COMPUTED_VALUE"""),"Veterans")</f>
        <v>Veterans</v>
      </c>
      <c r="O147" s="10">
        <f>IFERROR(__xludf.DUMMYFUNCTION("""COMPUTED_VALUE"""),1.0)</f>
        <v>1</v>
      </c>
      <c r="P147" s="10" t="str">
        <f>IFERROR(__xludf.DUMMYFUNCTION("""COMPUTED_VALUE"""),"ACTIVE")</f>
        <v>ACTIVE</v>
      </c>
      <c r="Q147" s="11">
        <f>IFERROR(__xludf.DUMMYFUNCTION("""COMPUTED_VALUE"""),46070.0)</f>
        <v>46070</v>
      </c>
      <c r="R147" s="9" t="str">
        <f>IFERROR(__xludf.DUMMYFUNCTION("""COMPUTED_VALUE"""),"Verified online")</f>
        <v>Verified online</v>
      </c>
      <c r="S147" s="9" t="str">
        <f>IFERROR(__xludf.DUMMYFUNCTION("""COMPUTED_VALUE"""),"Financial Assistance with rent, mortgage, utilities and transportation (vehicle payments, insurance and repairs).
Funded by the Texas Veterans Commission.  Grants awarded annually.
Eligibility:  Texas resident and Veteran, Active Duty, Reserve, National G"&amp;"uard, Dependent of Veteran or Surviving Spouse.
")</f>
        <v>Financial Assistance with rent, mortgage, utilities and transportation (vehicle payments, insurance and repairs).
Funded by the Texas Veterans Commission.  Grants awarded annually.
Eligibility:  Texas resident and Veteran, Active Duty, Reserve, National Guard, Dependent of Veteran or Surviving Spouse.
</v>
      </c>
      <c r="T147" s="12" t="b">
        <f>IFERROR(__xludf.DUMMYFUNCTION("""COMPUTED_VALUE"""),FALSE)</f>
        <v>0</v>
      </c>
      <c r="U147" s="12" t="b">
        <f>IFERROR(__xludf.DUMMYFUNCTION("""COMPUTED_VALUE"""),FALSE)</f>
        <v>0</v>
      </c>
      <c r="V147" s="13" t="str">
        <f>IFERROR(__xludf.DUMMYFUNCTION("""COMPUTED_VALUE"""),"https://www.campshield.org/tvcfund")</f>
        <v>https://www.campshield.org/tvcfund</v>
      </c>
      <c r="W147" s="14" t="str">
        <f>IFERROR(__xludf.DUMMYFUNCTION("""COMPUTED_VALUE"""),"https://www.google.com/maps/place/CAMP+SHIELD/@29.7471988,-95.3510115,17z/data=!3m1!5s0x8640bee1223a25ed:0x2959188710887784!4m10!1m2!2m1!1scamp+shield!3m6!1s0x8640bee1196c461f:0xee6fcdcb8df5928f!8m2!3d29.7471868!4d-95.3484236!15sCgtjYW1wIHNoaWVsZJIBG2Fzc2"&amp;"9jaWF0aW9uX29yX29yZ2FuaXphdGlvbuABAA!16s%2Fg%2F11vz80zcqy?entry=ttu&amp;g_ep=EgoyMDI2MDIxMS4wIKXMDSoASAFQAw%3D%3D")</f>
        <v>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v>
      </c>
      <c r="X147" s="10"/>
      <c r="Y147" s="9" t="str">
        <f>IFERROR(__xludf.DUMMYFUNCTION("""COMPUTED_VALUE"""),"Houston")</f>
        <v>Houston</v>
      </c>
      <c r="Z147" s="9" t="str">
        <f>IFERROR(__xludf.DUMMYFUNCTION("""COMPUTED_VALUE"""),"East Downtown, Downtown Houston, Second Ward, South Central Houston, South Side")</f>
        <v>East Downtown, Downtown Houston, Second Ward, South Central Houston, South Side</v>
      </c>
      <c r="AA147" s="9" t="str">
        <f>IFERROR(__xludf.DUMMYFUNCTION("""COMPUTED_VALUE"""),"Camp Shield")</f>
        <v>Camp Shield</v>
      </c>
      <c r="AB147" s="9" t="str">
        <f>IFERROR(__xludf.DUMMYFUNCTION("""COMPUTED_VALUE"""),"Downtown Houston")</f>
        <v>Downtown Houston</v>
      </c>
    </row>
    <row r="148" ht="30.0" customHeight="1">
      <c r="A148" s="17">
        <v>147.0</v>
      </c>
      <c r="B148" s="8" t="str">
        <f>IFERROR(__xludf.DUMMYFUNCTION("""COMPUTED_VALUE"""),"[""99999""]")</f>
        <v>["99999"]</v>
      </c>
      <c r="C148" s="9" t="str">
        <f>IFERROR(__xludf.DUMMYFUNCTION("""COMPUTED_VALUE"""),"Camp Shield")</f>
        <v>Camp Shield</v>
      </c>
      <c r="D148" s="9" t="str">
        <f>IFERROR(__xludf.DUMMYFUNCTION("""COMPUTED_VALUE"""),"2929 McKinney St")</f>
        <v>2929 McKinney St</v>
      </c>
      <c r="E148" s="9"/>
      <c r="F148" s="9" t="str">
        <f>IFERROR(__xludf.DUMMYFUNCTION("""COMPUTED_VALUE"""),"Houston")</f>
        <v>Houston</v>
      </c>
      <c r="G148" s="9" t="str">
        <f>IFERROR(__xludf.DUMMYFUNCTION("""COMPUTED_VALUE"""),"TX")</f>
        <v>TX</v>
      </c>
      <c r="H148" s="9" t="str">
        <f>IFERROR(__xludf.DUMMYFUNCTION("""COMPUTED_VALUE"""),"77003")</f>
        <v>77003</v>
      </c>
      <c r="I148" s="9" t="str">
        <f>IFERROR(__xludf.DUMMYFUNCTION("""COMPUTED_VALUE"""),"346-387-5808")</f>
        <v>346-387-5808</v>
      </c>
      <c r="J148" s="9" t="str">
        <f>IFERROR(__xludf.DUMMYFUNCTION("""COMPUTED_VALUE"""),"29.747445655330733, -95.34840435714703")</f>
        <v>29.747445655330733, -95.34840435714703</v>
      </c>
      <c r="K148" s="9" t="str">
        <f>IFERROR(__xludf.DUMMYFUNCTION("""COMPUTED_VALUE"""),"{""regular"":[{""days"":[""Mo"",""Tu"",""We"",""Th"",""Fr""],""open"":""09:00"",""close"":""17:00""}]}")</f>
        <v>{"regular":[{"days":["Mo","Tu","We","Th","Fr"],"open":"09:00","close":"17:00"}]}</v>
      </c>
      <c r="L148" s="9" t="str">
        <f>IFERROR(__xludf.DUMMYFUNCTION("""COMPUTED_VALUE"""),"Apply online")</f>
        <v>Apply online</v>
      </c>
      <c r="M148" s="10">
        <f>IFERROR(__xludf.DUMMYFUNCTION("""COMPUTED_VALUE"""),56.0)</f>
        <v>56</v>
      </c>
      <c r="N148" s="10" t="str">
        <f>IFERROR(__xludf.DUMMYFUNCTION("""COMPUTED_VALUE"""),"Veterans")</f>
        <v>Veterans</v>
      </c>
      <c r="O148" s="10">
        <f>IFERROR(__xludf.DUMMYFUNCTION("""COMPUTED_VALUE"""),1.0)</f>
        <v>1</v>
      </c>
      <c r="P148" s="10" t="str">
        <f>IFERROR(__xludf.DUMMYFUNCTION("""COMPUTED_VALUE"""),"ACTIVE")</f>
        <v>ACTIVE</v>
      </c>
      <c r="Q148" s="11">
        <f>IFERROR(__xludf.DUMMYFUNCTION("""COMPUTED_VALUE"""),46070.0)</f>
        <v>46070</v>
      </c>
      <c r="R148" s="9" t="str">
        <f>IFERROR(__xludf.DUMMYFUNCTION("""COMPUTED_VALUE"""),"Register on Eventbrite")</f>
        <v>Register on Eventbrite</v>
      </c>
      <c r="S148" s="9" t="str">
        <f>IFERROR(__xludf.DUMMYFUNCTION("""COMPUTED_VALUE"""),"Workshops for Women's Veterans
Covering mental health, emotional intelligence, financial fitness, how to navigate the VA, mindfulness, self-care, self-defence, art therapy and yoga.")</f>
        <v>Workshops for Women's Veterans
Covering mental health, emotional intelligence, financial fitness, how to navigate the VA, mindfulness, self-care, self-defence, art therapy and yoga.</v>
      </c>
      <c r="T148" s="12" t="b">
        <f>IFERROR(__xludf.DUMMYFUNCTION("""COMPUTED_VALUE"""),FALSE)</f>
        <v>0</v>
      </c>
      <c r="U148" s="12" t="b">
        <f>IFERROR(__xludf.DUMMYFUNCTION("""COMPUTED_VALUE"""),FALSE)</f>
        <v>0</v>
      </c>
      <c r="V148" s="13" t="str">
        <f>IFERROR(__xludf.DUMMYFUNCTION("""COMPUTED_VALUE"""),"https://www.campshield.org/tvcfund")</f>
        <v>https://www.campshield.org/tvcfund</v>
      </c>
      <c r="W148" s="14" t="str">
        <f>IFERROR(__xludf.DUMMYFUNCTION("""COMPUTED_VALUE"""),"https://www.google.com/maps/place/CAMP+SHIELD/@29.7471988,-95.3510115,17z/data=!3m1!5s0x8640bee1223a25ed:0x2959188710887784!4m10!1m2!2m1!1scamp+shield!3m6!1s0x8640bee1196c461f:0xee6fcdcb8df5928f!8m2!3d29.7471868!4d-95.3484236!15sCgtjYW1wIHNoaWVsZJIBG2Fzc2"&amp;"9jaWF0aW9uX29yX29yZ2FuaXphdGlvbuABAA!16s%2Fg%2F11vz80zcqy?entry=ttu&amp;g_ep=EgoyMDI2MDIxMS4wIKXMDSoASAFQAw%3D%3D")</f>
        <v>https://www.google.com/maps/place/CAMP+SHIELD/@29.7471988,-95.3510115,17z/data=!3m1!5s0x8640bee1223a25ed:0x2959188710887784!4m10!1m2!2m1!1scamp+shield!3m6!1s0x8640bee1196c461f:0xee6fcdcb8df5928f!8m2!3d29.7471868!4d-95.3484236!15sCgtjYW1wIHNoaWVsZJIBG2Fzc29jaWF0aW9uX29yX29yZ2FuaXphdGlvbuABAA!16s%2Fg%2F11vz80zcqy?entry=ttu&amp;g_ep=EgoyMDI2MDIxMS4wIKXMDSoASAFQAw%3D%3D</v>
      </c>
      <c r="X148" s="10"/>
      <c r="Y148" s="9" t="str">
        <f>IFERROR(__xludf.DUMMYFUNCTION("""COMPUTED_VALUE"""),"Houston")</f>
        <v>Houston</v>
      </c>
      <c r="Z148" s="9" t="str">
        <f>IFERROR(__xludf.DUMMYFUNCTION("""COMPUTED_VALUE"""),"East Downtown, Downtown Houston, Second Ward, South Central Houston, South Side")</f>
        <v>East Downtown, Downtown Houston, Second Ward, South Central Houston, South Side</v>
      </c>
      <c r="AA148" s="9" t="str">
        <f>IFERROR(__xludf.DUMMYFUNCTION("""COMPUTED_VALUE"""),"Camp Shield")</f>
        <v>Camp Shield</v>
      </c>
      <c r="AB148" s="9" t="str">
        <f>IFERROR(__xludf.DUMMYFUNCTION("""COMPUTED_VALUE"""),"Downtown Houston")</f>
        <v>Downtown Houston</v>
      </c>
    </row>
    <row r="149" ht="30.0" customHeight="1">
      <c r="A149" s="17">
        <v>148.0</v>
      </c>
      <c r="B149" s="8" t="str">
        <f>IFERROR(__xludf.DUMMYFUNCTION("""COMPUTED_VALUE"""),"[""99999""]")</f>
        <v>["99999"]</v>
      </c>
      <c r="C149" s="9" t="str">
        <f>IFERROR(__xludf.DUMMYFUNCTION("""COMPUTED_VALUE"""),"Campus of Hope")</f>
        <v>Campus of Hope</v>
      </c>
      <c r="D149" s="9" t="str">
        <f>IFERROR(__xludf.DUMMYFUNCTION("""COMPUTED_VALUE"""),"317 West Lewis Street")</f>
        <v>317 West Lewis Street</v>
      </c>
      <c r="E149" s="9"/>
      <c r="F149" s="9" t="str">
        <f>IFERROR(__xludf.DUMMYFUNCTION("""COMPUTED_VALUE"""),"Conroe")</f>
        <v>Conroe</v>
      </c>
      <c r="G149" s="9" t="str">
        <f>IFERROR(__xludf.DUMMYFUNCTION("""COMPUTED_VALUE"""),"TX")</f>
        <v>TX</v>
      </c>
      <c r="H149" s="9" t="str">
        <f>IFERROR(__xludf.DUMMYFUNCTION("""COMPUTED_VALUE"""),"77305")</f>
        <v>77305</v>
      </c>
      <c r="I149" s="9" t="str">
        <f>IFERROR(__xludf.DUMMYFUNCTION("""COMPUTED_VALUE"""),"936-521-6000")</f>
        <v>936-521-6000</v>
      </c>
      <c r="J149" s="9" t="str">
        <f>IFERROR(__xludf.DUMMYFUNCTION("""COMPUTED_VALUE"""),"30.31586448763491, -95.45882946333495")</f>
        <v>30.31586448763491, -95.45882946333495</v>
      </c>
      <c r="K149" s="9" t="str">
        <f>IFERROR(__xludf.DUMMYFUNCTION("""COMPUTED_VALUE"""),"{""regular"":[{""days"":[""Mo"",""Tu"",""We"",""Th"",""Fr""],""open"":""08:00"",""close"":""17:00""}]}")</f>
        <v>{"regular":[{"days":["Mo","Tu","We","Th","Fr"],"open":"08:00","close":"17:00"}]}</v>
      </c>
      <c r="L149" s="9"/>
      <c r="M149" s="10">
        <f>IFERROR(__xludf.DUMMYFUNCTION("""COMPUTED_VALUE"""),21.0)</f>
        <v>21</v>
      </c>
      <c r="N149" s="10" t="str">
        <f>IFERROR(__xludf.DUMMYFUNCTION("""COMPUTED_VALUE"""),"Homeless - Shelters")</f>
        <v>Homeless - Shelters</v>
      </c>
      <c r="O149" s="10">
        <f>IFERROR(__xludf.DUMMYFUNCTION("""COMPUTED_VALUE"""),1.0)</f>
        <v>1</v>
      </c>
      <c r="P149" s="10" t="str">
        <f>IFERROR(__xludf.DUMMYFUNCTION("""COMPUTED_VALUE"""),"ACTIVE")</f>
        <v>ACTIVE</v>
      </c>
      <c r="Q149" s="11">
        <f>IFERROR(__xludf.DUMMYFUNCTION("""COMPUTED_VALUE"""),46033.0)</f>
        <v>46033</v>
      </c>
      <c r="R149" s="9" t="str">
        <f>IFERROR(__xludf.DUMMYFUNCTION("""COMPUTED_VALUE"""),"Verified online")</f>
        <v>Verified online</v>
      </c>
      <c r="S149" s="9" t="str">
        <f>IFERROR(__xludf.DUMMYFUNCTION("""COMPUTED_VALUE"""),"Temporary shelter for homeless men.")</f>
        <v>Temporary shelter for homeless men.</v>
      </c>
      <c r="T149" s="12" t="b">
        <f>IFERROR(__xludf.DUMMYFUNCTION("""COMPUTED_VALUE"""),FALSE)</f>
        <v>0</v>
      </c>
      <c r="U149" s="12" t="b">
        <f>IFERROR(__xludf.DUMMYFUNCTION("""COMPUTED_VALUE"""),FALSE)</f>
        <v>0</v>
      </c>
      <c r="V149" s="13" t="str">
        <f>IFERROR(__xludf.DUMMYFUNCTION("""COMPUTED_VALUE"""),"https://campusofhopeonline.org/")</f>
        <v>https://campusofhopeonline.org/</v>
      </c>
      <c r="W149" s="14" t="str">
        <f>IFERROR(__xludf.DUMMYFUNCTION("""COMPUTED_VALUE"""),"https://www.google.com/maps/place/CAMPUS+OF+HOPE/@30.3155635,-95.4614151,17z/data=!3m1!4b1!4m6!3m5!1s0x8647399ac97d07c1:0x82af6bca49dfb47c!8m2!3d30.3155589!4d-95.4588402!16s%2Fg%2F11gslvtgz8?entry=ttu&amp;g_ep=EgoyMDI2MDEwNy4wIKXMDSoKLDEwMDc5MjA2OUgBUAM%3D")</f>
        <v>https://www.google.com/maps/place/CAMPUS+OF+HOPE/@30.3155635,-95.4614151,17z/data=!3m1!4b1!4m6!3m5!1s0x8647399ac97d07c1:0x82af6bca49dfb47c!8m2!3d30.3155589!4d-95.4588402!16s%2Fg%2F11gslvtgz8?entry=ttu&amp;g_ep=EgoyMDI2MDEwNy4wIKXMDSoKLDEwMDc5MjA2OUgBUAM%3D</v>
      </c>
      <c r="X149" s="10"/>
      <c r="Y149" s="9" t="str">
        <f>IFERROR(__xludf.DUMMYFUNCTION("""COMPUTED_VALUE"""),"Conroe")</f>
        <v>Conroe</v>
      </c>
      <c r="Z149" s="9" t="str">
        <f>IFERROR(__xludf.DUMMYFUNCTION("""COMPUTED_VALUE"""),"Conroe, River Plantation")</f>
        <v>Conroe, River Plantation</v>
      </c>
      <c r="AA149" s="9" t="str">
        <f>IFERROR(__xludf.DUMMYFUNCTION("""COMPUTED_VALUE"""),"Campus of Hope")</f>
        <v>Campus of Hope</v>
      </c>
      <c r="AB149" s="9" t="str">
        <f>IFERROR(__xludf.DUMMYFUNCTION("""COMPUTED_VALUE"""),"Conroe")</f>
        <v>Conroe</v>
      </c>
    </row>
    <row r="150" ht="30.0" customHeight="1">
      <c r="A150" s="17">
        <v>149.0</v>
      </c>
      <c r="B150" s="8" t="str">
        <f>IFERROR(__xludf.DUMMYFUNCTION("""COMPUTED_VALUE"""),"[""99999""]")</f>
        <v>["99999"]</v>
      </c>
      <c r="C150" s="9" t="str">
        <f>IFERROR(__xludf.DUMMYFUNCTION("""COMPUTED_VALUE"""),"CancerCare")</f>
        <v>CancerCare</v>
      </c>
      <c r="D150" s="9" t="str">
        <f>IFERROR(__xludf.DUMMYFUNCTION("""COMPUTED_VALUE"""),"485 Madison Avenue")</f>
        <v>485 Madison Avenue</v>
      </c>
      <c r="E150" s="9"/>
      <c r="F150" s="9" t="str">
        <f>IFERROR(__xludf.DUMMYFUNCTION("""COMPUTED_VALUE"""),"New York")</f>
        <v>New York</v>
      </c>
      <c r="G150" s="9" t="str">
        <f>IFERROR(__xludf.DUMMYFUNCTION("""COMPUTED_VALUE"""),"NY")</f>
        <v>NY</v>
      </c>
      <c r="H150" s="9" t="str">
        <f>IFERROR(__xludf.DUMMYFUNCTION("""COMPUTED_VALUE"""),"10022")</f>
        <v>10022</v>
      </c>
      <c r="I150" s="9" t="str">
        <f>IFERROR(__xludf.DUMMYFUNCTION("""COMPUTED_VALUE"""),"800-813-4673")</f>
        <v>800-813-4673</v>
      </c>
      <c r="J150" s="9" t="str">
        <f>IFERROR(__xludf.DUMMYFUNCTION("""COMPUTED_VALUE"""),"40.75895482276012, -73.97445370772381")</f>
        <v>40.75895482276012, -73.97445370772381</v>
      </c>
      <c r="K150" s="9" t="str">
        <f>IFERROR(__xludf.DUMMYFUNCTION("""COMPUTED_VALUE"""),"{""regular"":[{""days"":[""Mo"",""Tu"",""We"",""Th"",""Fr""],""open"":""09:00"",""close"":""17:00""}]}")</f>
        <v>{"regular":[{"days":["Mo","Tu","We","Th","Fr"],"open":"09:00","close":"17:00"}]}</v>
      </c>
      <c r="L150" s="9" t="str">
        <f>IFERROR(__xludf.DUMMYFUNCTION("""COMPUTED_VALUE"""),"Apply online")</f>
        <v>Apply online</v>
      </c>
      <c r="M150" s="10">
        <f>IFERROR(__xludf.DUMMYFUNCTION("""COMPUTED_VALUE"""),36.0)</f>
        <v>36</v>
      </c>
      <c r="N150" s="10" t="str">
        <f>IFERROR(__xludf.DUMMYFUNCTION("""COMPUTED_VALUE"""),"Medical - Bill Payment")</f>
        <v>Medical - Bill Payment</v>
      </c>
      <c r="O150" s="10">
        <f>IFERROR(__xludf.DUMMYFUNCTION("""COMPUTED_VALUE"""),1.0)</f>
        <v>1</v>
      </c>
      <c r="P150" s="10" t="str">
        <f>IFERROR(__xludf.DUMMYFUNCTION("""COMPUTED_VALUE"""),"ACTIVE")</f>
        <v>ACTIVE</v>
      </c>
      <c r="Q150" s="11"/>
      <c r="R150" s="9" t="str">
        <f>IFERROR(__xludf.DUMMYFUNCTION("""COMPUTED_VALUE"""),"Verified online")</f>
        <v>Verified online</v>
      </c>
      <c r="S150" s="9" t="str">
        <f>IFERROR(__xludf.DUMMYFUNCTION("""COMPUTED_VALUE"""),"Help with cancer treatment related costs, e.g. transportation, home care and childcare.
Financial assistance with copayments for prescribed cancer treatments.
Check eligibility covered diagnoses and enroll online.
A charitable patient assistance foundatio"&amp;"n.")</f>
        <v>Help with cancer treatment related costs, e.g. transportation, home care and childcare.
Financial assistance with copayments for prescribed cancer treatments.
Check eligibility covered diagnoses and enroll online.
A charitable patient assistance foundation.</v>
      </c>
      <c r="T150" s="12" t="b">
        <f>IFERROR(__xludf.DUMMYFUNCTION("""COMPUTED_VALUE"""),FALSE)</f>
        <v>0</v>
      </c>
      <c r="U150" s="12" t="b">
        <f>IFERROR(__xludf.DUMMYFUNCTION("""COMPUTED_VALUE"""),FALSE)</f>
        <v>0</v>
      </c>
      <c r="V150" s="13" t="str">
        <f>IFERROR(__xludf.DUMMYFUNCTION("""COMPUTED_VALUE"""),"https://www.cancercare.org/financial_assistance")</f>
        <v>https://www.cancercare.org/financial_assistance</v>
      </c>
      <c r="W150" s="14" t="str">
        <f>IFERROR(__xludf.DUMMYFUNCTION("""COMPUTED_VALUE"""),"https://www.google.com/maps/place/CancerCare/@40.7588086,-73.9770662,17z/data=!3m1!4b1!4m6!3m5!1s0x89c259a5490dd021:0x3bbe7b2b19568f81!8m2!3d40.7588086!4d-73.9744859!16s%2Fg%2F113gxx9fq?entry=ttu&amp;g_ep=EgoyMDI2MDEyMC4wIKXMDSoKLDEwMDc5MjA2OUgBUAM%3D")</f>
        <v>https://www.google.com/maps/place/CancerCare/@40.7588086,-73.9770662,17z/data=!3m1!4b1!4m6!3m5!1s0x89c259a5490dd021:0x3bbe7b2b19568f81!8m2!3d40.7588086!4d-73.9744859!16s%2Fg%2F113gxx9fq?entry=ttu&amp;g_ep=EgoyMDI2MDEyMC4wIKXMDSoKLDEwMDc5MjA2OUgBUAM%3D</v>
      </c>
      <c r="X150" s="10"/>
      <c r="Y150" s="9" t="str">
        <f>IFERROR(__xludf.DUMMYFUNCTION("""COMPUTED_VALUE"""),"New York")</f>
        <v>New York</v>
      </c>
      <c r="Z150" s="9" t="str">
        <f>IFERROR(__xludf.DUMMYFUNCTION("""COMPUTED_VALUE"""),"#N/A")</f>
        <v>#N/A</v>
      </c>
      <c r="AA150" s="9" t="str">
        <f>IFERROR(__xludf.DUMMYFUNCTION("""COMPUTED_VALUE"""),"CancerCare")</f>
        <v>CancerCare</v>
      </c>
      <c r="AB150" s="9" t="str">
        <f>IFERROR(__xludf.DUMMYFUNCTION("""COMPUTED_VALUE"""),"Midtown")</f>
        <v>Midtown</v>
      </c>
    </row>
    <row r="151" ht="30.0" customHeight="1">
      <c r="A151" s="17">
        <v>150.0</v>
      </c>
      <c r="B151" s="8" t="str">
        <f>IFERROR(__xludf.DUMMYFUNCTION("""COMPUTED_VALUE"""),"[""99999""]")</f>
        <v>["99999"]</v>
      </c>
      <c r="C151" s="9" t="str">
        <f>IFERROR(__xludf.DUMMYFUNCTION("""COMPUTED_VALUE"""),"Casa El Buen Samaritano Houston")</f>
        <v>Casa El Buen Samaritano Houston</v>
      </c>
      <c r="D151" s="9" t="str">
        <f>IFERROR(__xludf.DUMMYFUNCTION("""COMPUTED_VALUE"""),"14060 Dublin Street")</f>
        <v>14060 Dublin Street</v>
      </c>
      <c r="E151" s="9"/>
      <c r="F151" s="9" t="str">
        <f>IFERROR(__xludf.DUMMYFUNCTION("""COMPUTED_VALUE"""),"Houston")</f>
        <v>Houston</v>
      </c>
      <c r="G151" s="9" t="str">
        <f>IFERROR(__xludf.DUMMYFUNCTION("""COMPUTED_VALUE"""),"TX")</f>
        <v>TX</v>
      </c>
      <c r="H151" s="9" t="str">
        <f>IFERROR(__xludf.DUMMYFUNCTION("""COMPUTED_VALUE"""),"77085")</f>
        <v>77085</v>
      </c>
      <c r="I151" s="9" t="str">
        <f>IFERROR(__xludf.DUMMYFUNCTION("""COMPUTED_VALUE"""),"713-721-4101")</f>
        <v>713-721-4101</v>
      </c>
      <c r="J151" s="9" t="str">
        <f>IFERROR(__xludf.DUMMYFUNCTION("""COMPUTED_VALUE"""),"29.6319639387755, -95.4950046938776")</f>
        <v>29.6319639387755, -95.4950046938776</v>
      </c>
      <c r="K151" s="9" t="str">
        <f>IFERROR(__xludf.DUMMYFUNCTION("""COMPUTED_VALUE"""),"{""regular"":[{""days"":[""Tu"",""Th""],""open"":""09:00"",""close"":""21:00""},{""days"":[""We""],""open"":""08:00"",""close"":""16:00""}]}")</f>
        <v>{"regular":[{"days":["Tu","Th"],"open":"09:00","close":"21:00"},{"days":["We"],"open":"08:00","close":"16:00"}]}</v>
      </c>
      <c r="L151" s="9" t="str">
        <f>IFERROR(__xludf.DUMMYFUNCTION("""COMPUTED_VALUE"""),"Appointment required")</f>
        <v>Appointment required</v>
      </c>
      <c r="M151" s="10">
        <f>IFERROR(__xludf.DUMMYFUNCTION("""COMPUTED_VALUE"""),31.0)</f>
        <v>31</v>
      </c>
      <c r="N151" s="10" t="str">
        <f>IFERROR(__xludf.DUMMYFUNCTION("""COMPUTED_VALUE"""),"Medical - Primary Care")</f>
        <v>Medical - Primary Care</v>
      </c>
      <c r="O151" s="10">
        <f>IFERROR(__xludf.DUMMYFUNCTION("""COMPUTED_VALUE"""),1.0)</f>
        <v>1</v>
      </c>
      <c r="P151" s="10" t="str">
        <f>IFERROR(__xludf.DUMMYFUNCTION("""COMPUTED_VALUE"""),"ACTIVE")</f>
        <v>ACTIVE</v>
      </c>
      <c r="Q151" s="11">
        <f>IFERROR(__xludf.DUMMYFUNCTION("""COMPUTED_VALUE"""),45836.0)</f>
        <v>45836</v>
      </c>
      <c r="R151" s="9" t="str">
        <f>IFERROR(__xludf.DUMMYFUNCTION("""COMPUTED_VALUE"""),"Verified online")</f>
        <v>Verified online</v>
      </c>
      <c r="S151" s="9" t="str">
        <f>IFERROR(__xludf.DUMMYFUNCTION("""COMPUTED_VALUE"""),"Free healthcare to individuals meeting requirements.
No form of health insurance including Medicaid.
Household income at or below 200% of Federal Poverty Level.
Photo ID and proof of income.")</f>
        <v>Free healthcare to individuals meeting requirements.
No form of health insurance including Medicaid.
Household income at or below 200% of Federal Poverty Level.
Photo ID and proof of income.</v>
      </c>
      <c r="T151" s="12" t="b">
        <f>IFERROR(__xludf.DUMMYFUNCTION("""COMPUTED_VALUE"""),FALSE)</f>
        <v>0</v>
      </c>
      <c r="U151" s="12" t="b">
        <f>IFERROR(__xludf.DUMMYFUNCTION("""COMPUTED_VALUE"""),FALSE)</f>
        <v>0</v>
      </c>
      <c r="V151" s="13" t="str">
        <f>IFERROR(__xludf.DUMMYFUNCTION("""COMPUTED_VALUE"""),"https://www.casaelbuen.org/patients")</f>
        <v>https://www.casaelbuen.org/patients</v>
      </c>
      <c r="W151" s="14" t="str">
        <f>IFERROR(__xludf.DUMMYFUNCTION("""COMPUTED_VALUE"""),"https://www.google.com/maps/place/Casa+El+Buen+Samaritano/@29.6323504,-95.497137,17z/data=!3m1!4b1!4m6!3m5!1s0x8640e99e8c095555:0x199c1ed33b036a2b!8m2!3d29.6323504!4d-95.4945567!16s%2Fg%2F11sghpvnbw?entry=ttu&amp;g_ep=EgoyMDI1MDYyNi4wIKXMDSoASAFQAw%3D%3D")</f>
        <v>https://www.google.com/maps/place/Casa+El+Buen+Samaritano/@29.6323504,-95.497137,17z/data=!3m1!4b1!4m6!3m5!1s0x8640e99e8c095555:0x199c1ed33b036a2b!8m2!3d29.6323504!4d-95.4945567!16s%2Fg%2F11sghpvnbw?entry=ttu&amp;g_ep=EgoyMDI1MDYyNi4wIKXMDSoASAFQAw%3D%3D</v>
      </c>
      <c r="X151" s="10"/>
      <c r="Y151" s="9" t="str">
        <f>IFERROR(__xludf.DUMMYFUNCTION("""COMPUTED_VALUE"""),"Houston")</f>
        <v>Houston</v>
      </c>
      <c r="Z151" s="9" t="str">
        <f>IFERROR(__xludf.DUMMYFUNCTION("""COMPUTED_VALUE"""),"Central Southwest, Fondren Gardens, Hiram Clarke, Willowbend")</f>
        <v>Central Southwest, Fondren Gardens, Hiram Clarke, Willowbend</v>
      </c>
      <c r="AA151" s="9" t="str">
        <f>IFERROR(__xludf.DUMMYFUNCTION("""COMPUTED_VALUE"""),"Casa El Buen Samaritano Houston")</f>
        <v>Casa El Buen Samaritano Houston</v>
      </c>
      <c r="AB151" s="9" t="str">
        <f>IFERROR(__xludf.DUMMYFUNCTION("""COMPUTED_VALUE"""),"Fondren Gardens")</f>
        <v>Fondren Gardens</v>
      </c>
    </row>
    <row r="152" ht="30.0" customHeight="1">
      <c r="A152" s="17">
        <v>151.0</v>
      </c>
      <c r="B152" s="8" t="str">
        <f>IFERROR(__xludf.DUMMYFUNCTION("""COMPUTED_VALUE"""),"[""99999""]")</f>
        <v>["99999"]</v>
      </c>
      <c r="C152" s="9" t="str">
        <f>IFERROR(__xludf.DUMMYFUNCTION("""COMPUTED_VALUE"""),"Casa El Buen Samaritano Missouri City")</f>
        <v>Casa El Buen Samaritano Missouri City</v>
      </c>
      <c r="D152" s="9" t="str">
        <f>IFERROR(__xludf.DUMMYFUNCTION("""COMPUTED_VALUE"""),"2106 5th Street")</f>
        <v>2106 5th Street</v>
      </c>
      <c r="E152" s="9"/>
      <c r="F152" s="9" t="str">
        <f>IFERROR(__xludf.DUMMYFUNCTION("""COMPUTED_VALUE"""),"Missouri City")</f>
        <v>Missouri City</v>
      </c>
      <c r="G152" s="9" t="str">
        <f>IFERROR(__xludf.DUMMYFUNCTION("""COMPUTED_VALUE"""),"TX")</f>
        <v>TX</v>
      </c>
      <c r="H152" s="9" t="str">
        <f>IFERROR(__xludf.DUMMYFUNCTION("""COMPUTED_VALUE"""),"77489")</f>
        <v>77489</v>
      </c>
      <c r="I152" s="9" t="str">
        <f>IFERROR(__xludf.DUMMYFUNCTION("""COMPUTED_VALUE"""),"713-721-4101")</f>
        <v>713-721-4101</v>
      </c>
      <c r="J152" s="9" t="str">
        <f>IFERROR(__xludf.DUMMYFUNCTION("""COMPUTED_VALUE"""),"29.6111966122449, -95.5422377551021")</f>
        <v>29.6111966122449, -95.5422377551021</v>
      </c>
      <c r="K152" s="9" t="str">
        <f>IFERROR(__xludf.DUMMYFUNCTION("""COMPUTED_VALUE"""),"{""regular"":[{""days"":[""Tu"",""Th""],""open"":""09:00"",""close"":""21:00""},{""days"":[""We""],""open"":""08:00"",""close"":""16:00""}]}")</f>
        <v>{"regular":[{"days":["Tu","Th"],"open":"09:00","close":"21:00"},{"days":["We"],"open":"08:00","close":"16:00"}]}</v>
      </c>
      <c r="L152" s="9" t="str">
        <f>IFERROR(__xludf.DUMMYFUNCTION("""COMPUTED_VALUE"""),"Appointment required")</f>
        <v>Appointment required</v>
      </c>
      <c r="M152" s="10">
        <f>IFERROR(__xludf.DUMMYFUNCTION("""COMPUTED_VALUE"""),31.0)</f>
        <v>31</v>
      </c>
      <c r="N152" s="10" t="str">
        <f>IFERROR(__xludf.DUMMYFUNCTION("""COMPUTED_VALUE"""),"Medical - Primary Care")</f>
        <v>Medical - Primary Care</v>
      </c>
      <c r="O152" s="10">
        <f>IFERROR(__xludf.DUMMYFUNCTION("""COMPUTED_VALUE"""),1.0)</f>
        <v>1</v>
      </c>
      <c r="P152" s="10" t="str">
        <f>IFERROR(__xludf.DUMMYFUNCTION("""COMPUTED_VALUE"""),"ACTIVE")</f>
        <v>ACTIVE</v>
      </c>
      <c r="Q152" s="11">
        <f>IFERROR(__xludf.DUMMYFUNCTION("""COMPUTED_VALUE"""),45836.0)</f>
        <v>45836</v>
      </c>
      <c r="R152" s="9" t="str">
        <f>IFERROR(__xludf.DUMMYFUNCTION("""COMPUTED_VALUE"""),"Verified online")</f>
        <v>Verified online</v>
      </c>
      <c r="S152" s="9" t="str">
        <f>IFERROR(__xludf.DUMMYFUNCTION("""COMPUTED_VALUE"""),"Free healthcare to individuals meeting requirements.
No form of health insurance including Medicaid.
Household income at or below 200% of Federal Poverty Level.
Photo ID and proof of income.")</f>
        <v>Free healthcare to individuals meeting requirements.
No form of health insurance including Medicaid.
Household income at or below 200% of Federal Poverty Level.
Photo ID and proof of income.</v>
      </c>
      <c r="T152" s="12" t="b">
        <f>IFERROR(__xludf.DUMMYFUNCTION("""COMPUTED_VALUE"""),FALSE)</f>
        <v>0</v>
      </c>
      <c r="U152" s="12" t="b">
        <f>IFERROR(__xludf.DUMMYFUNCTION("""COMPUTED_VALUE"""),FALSE)</f>
        <v>0</v>
      </c>
      <c r="V152" s="13" t="str">
        <f>IFERROR(__xludf.DUMMYFUNCTION("""COMPUTED_VALUE"""),"https://www.casaelbuen.org/patients")</f>
        <v>https://www.casaelbuen.org/patients</v>
      </c>
      <c r="W152" s="14" t="str">
        <f>IFERROR(__xludf.DUMMYFUNCTION("""COMPUTED_VALUE"""),"https://www.google.com/maps/place/Casa+El+Buen+Samaritano/@29.6118196,-95.5452972,17z/data=!3m1!4b1!4m6!3m5!1s0x8640e99e8becdbcb:0xb22504de066ecaef!8m2!3d29.6118196!4d-95.5427169!16s%2Fg%2F1wyc4qlb?entry=ttu&amp;g_ep=EgoyMDI1MDYyNi4wIKXMDSoASAFQAw%3D%3D")</f>
        <v>https://www.google.com/maps/place/Casa+El+Buen+Samaritano/@29.6118196,-95.5452972,17z/data=!3m1!4b1!4m6!3m5!1s0x8640e99e8becdbcb:0xb22504de066ecaef!8m2!3d29.6118196!4d-95.5427169!16s%2Fg%2F1wyc4qlb?entry=ttu&amp;g_ep=EgoyMDI1MDYyNi4wIKXMDSoASAFQAw%3D%3D</v>
      </c>
      <c r="X152" s="10"/>
      <c r="Y152" s="9" t="str">
        <f>IFERROR(__xludf.DUMMYFUNCTION("""COMPUTED_VALUE"""),"Missouri City")</f>
        <v>Missouri City</v>
      </c>
      <c r="Z152" s="9" t="str">
        <f>IFERROR(__xludf.DUMMYFUNCTION("""COMPUTED_VALUE"""),"Missouri City, Olde Missouri City Market Place, Quail Green South, Quail Valley, Sta-mo Annex")</f>
        <v>Missouri City, Olde Missouri City Market Place, Quail Green South, Quail Valley, Sta-mo Annex</v>
      </c>
      <c r="AA152" s="9" t="str">
        <f>IFERROR(__xludf.DUMMYFUNCTION("""COMPUTED_VALUE"""),"Casa El Buen Samaritano Missouri City")</f>
        <v>Casa El Buen Samaritano Missouri City</v>
      </c>
      <c r="AB152" s="9" t="str">
        <f>IFERROR(__xludf.DUMMYFUNCTION("""COMPUTED_VALUE"""),"Sta-mo Annex")</f>
        <v>Sta-mo Annex</v>
      </c>
    </row>
    <row r="153" ht="30.0" customHeight="1">
      <c r="A153" s="17">
        <v>152.0</v>
      </c>
      <c r="B153" s="8" t="str">
        <f>IFERROR(__xludf.DUMMYFUNCTION("""COMPUTED_VALUE"""),"[""99999""]")</f>
        <v>["99999"]</v>
      </c>
      <c r="C153" s="9" t="str">
        <f>IFERROR(__xludf.DUMMYFUNCTION("""COMPUTED_VALUE"""),"Casa Juan Diego")</f>
        <v>Casa Juan Diego</v>
      </c>
      <c r="D153" s="9" t="str">
        <f>IFERROR(__xludf.DUMMYFUNCTION("""COMPUTED_VALUE"""),"4818 Rose Street")</f>
        <v>4818 Rose Street</v>
      </c>
      <c r="E153" s="9"/>
      <c r="F153" s="9" t="str">
        <f>IFERROR(__xludf.DUMMYFUNCTION("""COMPUTED_VALUE"""),"Houston")</f>
        <v>Houston</v>
      </c>
      <c r="G153" s="9" t="str">
        <f>IFERROR(__xludf.DUMMYFUNCTION("""COMPUTED_VALUE"""),"TX")</f>
        <v>TX</v>
      </c>
      <c r="H153" s="9" t="str">
        <f>IFERROR(__xludf.DUMMYFUNCTION("""COMPUTED_VALUE"""),"77007")</f>
        <v>77007</v>
      </c>
      <c r="I153" s="9" t="str">
        <f>IFERROR(__xludf.DUMMYFUNCTION("""COMPUTED_VALUE"""),"713-869-7376")</f>
        <v>713-869-7376</v>
      </c>
      <c r="J153" s="9" t="str">
        <f>IFERROR(__xludf.DUMMYFUNCTION("""COMPUTED_VALUE"""),"29.7690569183673, -95.4097439387755")</f>
        <v>29.7690569183673, -95.4097439387755</v>
      </c>
      <c r="K153" s="9" t="str">
        <f>IFERROR(__xludf.DUMMYFUNCTION("""COMPUTED_VALUE"""),"{""regular"":[{""days"":[""Tu""],""open"":""07:30"",""close"":""11:00""},{""days"":[""Th"",""Sa""],""open"":""09:00"",""close"":""11:00""}]}")</f>
        <v>{"regular":[{"days":["Tu"],"open":"07:30","close":"11:00"},{"days":["Th","Sa"],"open":"09:00","close":"11:00"}]}</v>
      </c>
      <c r="L153" s="9"/>
      <c r="M153" s="10">
        <f>IFERROR(__xludf.DUMMYFUNCTION("""COMPUTED_VALUE"""),13.0)</f>
        <v>13</v>
      </c>
      <c r="N153" s="10" t="str">
        <f>IFERROR(__xludf.DUMMYFUNCTION("""COMPUTED_VALUE"""),"Food")</f>
        <v>Food</v>
      </c>
      <c r="O153" s="10">
        <f>IFERROR(__xludf.DUMMYFUNCTION("""COMPUTED_VALUE"""),3.0)</f>
        <v>3</v>
      </c>
      <c r="P153" s="10" t="str">
        <f>IFERROR(__xludf.DUMMYFUNCTION("""COMPUTED_VALUE"""),"INACTIVE")</f>
        <v>INACTIVE</v>
      </c>
      <c r="Q153" s="11">
        <f>IFERROR(__xludf.DUMMYFUNCTION("""COMPUTED_VALUE"""),45838.0)</f>
        <v>45838</v>
      </c>
      <c r="R153" s="9" t="str">
        <f>IFERROR(__xludf.DUMMYFUNCTION("""COMPUTED_VALUE"""),"Verified by phone")</f>
        <v>Verified by phone</v>
      </c>
      <c r="S153" s="9" t="str">
        <f>IFERROR(__xludf.DUMMYFUNCTION("""COMPUTED_VALUE"""),"ACTIVE BUT REQUESTED INFO NOT BE GIVEN TO CLIENTS.
OVERWHELMED WITH REQUESTS FOR HELP.
Undocumented only.
Once a week
No appointment required.")</f>
        <v>ACTIVE BUT REQUESTED INFO NOT BE GIVEN TO CLIENTS.
OVERWHELMED WITH REQUESTS FOR HELP.
Undocumented only.
Once a week
No appointment required.</v>
      </c>
      <c r="T153" s="12" t="b">
        <f>IFERROR(__xludf.DUMMYFUNCTION("""COMPUTED_VALUE"""),FALSE)</f>
        <v>0</v>
      </c>
      <c r="U153" s="12" t="b">
        <f>IFERROR(__xludf.DUMMYFUNCTION("""COMPUTED_VALUE"""),FALSE)</f>
        <v>0</v>
      </c>
      <c r="V153" s="13" t="str">
        <f>IFERROR(__xludf.DUMMYFUNCTION("""COMPUTED_VALUE"""),"https://cjdengp.wpengine.com/about/what-is-casa-juan-diego/")</f>
        <v>https://cjdengp.wpengine.com/about/what-is-casa-juan-diego/</v>
      </c>
      <c r="W153" s="10"/>
      <c r="X153" s="10"/>
      <c r="Y153" s="9" t="str">
        <f>IFERROR(__xludf.DUMMYFUNCTION("""COMPUTED_VALUE"""),"Houston")</f>
        <v>Houston</v>
      </c>
      <c r="Z153"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153" s="9" t="str">
        <f>IFERROR(__xludf.DUMMYFUNCTION("""COMPUTED_VALUE"""),"Casa Juan Diego")</f>
        <v>Casa Juan Diego</v>
      </c>
      <c r="AB153" s="9" t="str">
        <f>IFERROR(__xludf.DUMMYFUNCTION("""COMPUTED_VALUE"""),"Rice Military")</f>
        <v>Rice Military</v>
      </c>
    </row>
    <row r="154" ht="30.0" customHeight="1">
      <c r="A154" s="17">
        <v>153.0</v>
      </c>
      <c r="B154" s="8" t="str">
        <f>IFERROR(__xludf.DUMMYFUNCTION("""COMPUTED_VALUE"""),"[""99999""]")</f>
        <v>["99999"]</v>
      </c>
      <c r="C154" s="9" t="str">
        <f>IFERROR(__xludf.DUMMYFUNCTION("""COMPUTED_VALUE"""),"Casa Juan Diego")</f>
        <v>Casa Juan Diego</v>
      </c>
      <c r="D154" s="9" t="str">
        <f>IFERROR(__xludf.DUMMYFUNCTION("""COMPUTED_VALUE"""),"4818 Rose Street")</f>
        <v>4818 Rose Street</v>
      </c>
      <c r="E154" s="9"/>
      <c r="F154" s="9" t="str">
        <f>IFERROR(__xludf.DUMMYFUNCTION("""COMPUTED_VALUE"""),"Houston")</f>
        <v>Houston</v>
      </c>
      <c r="G154" s="9" t="str">
        <f>IFERROR(__xludf.DUMMYFUNCTION("""COMPUTED_VALUE"""),"TX")</f>
        <v>TX</v>
      </c>
      <c r="H154" s="9" t="str">
        <f>IFERROR(__xludf.DUMMYFUNCTION("""COMPUTED_VALUE"""),"77007")</f>
        <v>77007</v>
      </c>
      <c r="I154" s="9" t="str">
        <f>IFERROR(__xludf.DUMMYFUNCTION("""COMPUTED_VALUE"""),"713-869-7376")</f>
        <v>713-869-7376</v>
      </c>
      <c r="J154" s="9" t="str">
        <f>IFERROR(__xludf.DUMMYFUNCTION("""COMPUTED_VALUE"""),"29.7690569183673, -95.4097439387755")</f>
        <v>29.7690569183673, -95.4097439387755</v>
      </c>
      <c r="K154" s="9" t="str">
        <f>IFERROR(__xludf.DUMMYFUNCTION("""COMPUTED_VALUE"""),"{""regular"":[{""days"":[""Mo"",""Tu"",""We"",""Th"",""Fr""],""open"":null,""close"":null}]}")</f>
        <v>{"regular":[{"days":["Mo","Tu","We","Th","Fr"],"open":null,"close":null}]}</v>
      </c>
      <c r="L154" s="9" t="str">
        <f>IFERROR(__xludf.DUMMYFUNCTION("""COMPUTED_VALUE"""),"Call for hours")</f>
        <v>Call for hours</v>
      </c>
      <c r="M154" s="10">
        <f>IFERROR(__xludf.DUMMYFUNCTION("""COMPUTED_VALUE"""),31.0)</f>
        <v>31</v>
      </c>
      <c r="N154" s="10" t="str">
        <f>IFERROR(__xludf.DUMMYFUNCTION("""COMPUTED_VALUE"""),"Medical - Primary Care")</f>
        <v>Medical - Primary Care</v>
      </c>
      <c r="O154" s="10">
        <f>IFERROR(__xludf.DUMMYFUNCTION("""COMPUTED_VALUE"""),3.0)</f>
        <v>3</v>
      </c>
      <c r="P154" s="10" t="str">
        <f>IFERROR(__xludf.DUMMYFUNCTION("""COMPUTED_VALUE"""),"INACTIVE")</f>
        <v>INACTIVE</v>
      </c>
      <c r="Q154" s="11">
        <f>IFERROR(__xludf.DUMMYFUNCTION("""COMPUTED_VALUE"""),45838.0)</f>
        <v>45838</v>
      </c>
      <c r="R154" s="9" t="str">
        <f>IFERROR(__xludf.DUMMYFUNCTION("""COMPUTED_VALUE"""),"Verified by phone")</f>
        <v>Verified by phone</v>
      </c>
      <c r="S154" s="9" t="str">
        <f>IFERROR(__xludf.DUMMYFUNCTION("""COMPUTED_VALUE"""),"ACTIVE BUT REQUESTED INFO NOT BE GIVEN TO CLIENTS.
OVERWHELMED WITH REQUESTS FOR HELP.
Undocumented only.
Hours vary.  Call to verify when open")</f>
        <v>ACTIVE BUT REQUESTED INFO NOT BE GIVEN TO CLIENTS.
OVERWHELMED WITH REQUESTS FOR HELP.
Undocumented only.
Hours vary.  Call to verify when open</v>
      </c>
      <c r="T154" s="12" t="b">
        <f>IFERROR(__xludf.DUMMYFUNCTION("""COMPUTED_VALUE"""),TRUE)</f>
        <v>1</v>
      </c>
      <c r="U154" s="12" t="b">
        <f>IFERROR(__xludf.DUMMYFUNCTION("""COMPUTED_VALUE"""),FALSE)</f>
        <v>0</v>
      </c>
      <c r="V154" s="13" t="str">
        <f>IFERROR(__xludf.DUMMYFUNCTION("""COMPUTED_VALUE"""),"https://cjdengp.wpengine.com/about/what-is-casa-juan-diego/")</f>
        <v>https://cjdengp.wpengine.com/about/what-is-casa-juan-diego/</v>
      </c>
      <c r="W154" s="10"/>
      <c r="X154" s="10"/>
      <c r="Y154" s="9" t="str">
        <f>IFERROR(__xludf.DUMMYFUNCTION("""COMPUTED_VALUE"""),"Houston")</f>
        <v>Houston</v>
      </c>
      <c r="Z154"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154" s="9" t="str">
        <f>IFERROR(__xludf.DUMMYFUNCTION("""COMPUTED_VALUE"""),"Casa Juan Diego")</f>
        <v>Casa Juan Diego</v>
      </c>
      <c r="AB154" s="9" t="str">
        <f>IFERROR(__xludf.DUMMYFUNCTION("""COMPUTED_VALUE"""),"Rice Military")</f>
        <v>Rice Military</v>
      </c>
    </row>
    <row r="155" ht="30.0" customHeight="1">
      <c r="A155" s="17">
        <v>154.0</v>
      </c>
      <c r="B15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""77053"", ""77406"", ""77407"", ""77417"", ""77430"", ""77441"", ""77444"", ""77451"", ""77459"", ""77461"", ""77464"", ""77469"", ""77471"", "&amp;"""77476"", ""77477"", ""77478"", ""77479"", ""77481"", ""77485"", ""77487"", ""77489"", ""77494"", ""77496"", ""77498"", ""77545"", ""77583"", ""77584""]")</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v>
      </c>
      <c r="C155" s="9" t="str">
        <f>IFERROR(__xludf.DUMMYFUNCTION("""COMPUTED_VALUE"""),"Catholic Charities")</f>
        <v>Catholic Charities</v>
      </c>
      <c r="D155" s="9" t="str">
        <f>IFERROR(__xludf.DUMMYFUNCTION("""COMPUTED_VALUE"""),"2900 Louisiana Street")</f>
        <v>2900 Louisiana Street</v>
      </c>
      <c r="E155" s="9"/>
      <c r="F155" s="9" t="str">
        <f>IFERROR(__xludf.DUMMYFUNCTION("""COMPUTED_VALUE"""),"Houston")</f>
        <v>Houston</v>
      </c>
      <c r="G155" s="9" t="str">
        <f>IFERROR(__xludf.DUMMYFUNCTION("""COMPUTED_VALUE"""),"TX")</f>
        <v>TX</v>
      </c>
      <c r="H155" s="9" t="str">
        <f>IFERROR(__xludf.DUMMYFUNCTION("""COMPUTED_VALUE"""),"77006")</f>
        <v>77006</v>
      </c>
      <c r="I155" s="9" t="str">
        <f>IFERROR(__xludf.DUMMYFUNCTION("""COMPUTED_VALUE"""),"713-526-4611")</f>
        <v>713-526-4611</v>
      </c>
      <c r="J155" s="9" t="str">
        <f>IFERROR(__xludf.DUMMYFUNCTION("""COMPUTED_VALUE"""),"29.74514639265169, -95.37886885207446")</f>
        <v>29.74514639265169, -95.37886885207446</v>
      </c>
      <c r="K155" s="9" t="str">
        <f>IFERROR(__xludf.DUMMYFUNCTION("""COMPUTED_VALUE"""),"{""regular"":[{""days"":[""Mo"",""Tu"",""We"",""Th"",""Fr""],""open"":""08:00"",""close"":""17:00""}]}")</f>
        <v>{"regular":[{"days":["Mo","Tu","We","Th","Fr"],"open":"08:00","close":"17:00"}]}</v>
      </c>
      <c r="L155" s="9" t="str">
        <f>IFERROR(__xludf.DUMMYFUNCTION("""COMPUTED_VALUE"""),"Applications closed")</f>
        <v>Applications closed</v>
      </c>
      <c r="M155" s="10">
        <f>IFERROR(__xludf.DUMMYFUNCTION("""COMPUTED_VALUE"""),11.0)</f>
        <v>11</v>
      </c>
      <c r="N155" s="10" t="str">
        <f>IFERROR(__xludf.DUMMYFUNCTION("""COMPUTED_VALUE"""),"Rent")</f>
        <v>Rent</v>
      </c>
      <c r="O155" s="10">
        <f>IFERROR(__xludf.DUMMYFUNCTION("""COMPUTED_VALUE"""),3.0)</f>
        <v>3</v>
      </c>
      <c r="P155" s="10" t="str">
        <f>IFERROR(__xludf.DUMMYFUNCTION("""COMPUTED_VALUE"""),"INACTIVE")</f>
        <v>INACTIVE</v>
      </c>
      <c r="Q155" s="11">
        <f>IFERROR(__xludf.DUMMYFUNCTION("""COMPUTED_VALUE"""),46071.0)</f>
        <v>46071</v>
      </c>
      <c r="R155" s="9" t="str">
        <f>IFERROR(__xludf.DUMMYFUNCTION("""COMPUTED_VALUE"""),"Verified online")</f>
        <v>Verified online</v>
      </c>
      <c r="S155" s="9" t="str">
        <f>IFERROR(__xludf.DUMMYFUNCTION("""COMPUTED_VALUE"""),"For Harris &amp; Fort Bend Counties
Must be behind on rent or mortgage payments for current month.
Must have late notice.
Supporting documents required")</f>
        <v>For Harris &amp; Fort Bend Counties
Must be behind on rent or mortgage payments for current month.
Must have late notice.
Supporting documents required</v>
      </c>
      <c r="T155" s="12" t="b">
        <f>IFERROR(__xludf.DUMMYFUNCTION("""COMPUTED_VALUE"""),TRUE)</f>
        <v>1</v>
      </c>
      <c r="U155" s="12" t="b">
        <f>IFERROR(__xludf.DUMMYFUNCTION("""COMPUTED_VALUE"""),FALSE)</f>
        <v>0</v>
      </c>
      <c r="V155" s="13" t="str">
        <f>IFERROR(__xludf.DUMMYFUNCTION("""COMPUTED_VALUE"""),"https://catholiccharities.org/housing/")</f>
        <v>https://catholiccharities.org/housing/</v>
      </c>
      <c r="W155" s="14" t="str">
        <f>IFERROR(__xludf.DUMMYFUNCTION("""COMPUTED_VALUE"""),"https://www.google.com/maps/place/Catholic+Charities+of+the+Archdiocese+of+Galveston-Houston/@29.745002,-95.3815028,17z/data=!3m1!4b1!4m6!3m5!1s0x8640bf6bdfe9c49f:0xeba07ead9060f052!8m2!3d29.7449974!4d-95.3789225!16s%2Fg%2F1tdzrjcp?entry=ttu&amp;g_ep=EgoyMDI2"&amp;"MDIwNC4wIKXMDSoKLDEwMDc5MjA2OUgBUAM%3D")</f>
        <v>https://www.google.com/maps/place/Catholic+Charities+of+the+Archdiocese+of+Galveston-Houston/@29.745002,-95.3815028,17z/data=!3m1!4b1!4m6!3m5!1s0x8640bf6bdfe9c49f:0xeba07ead9060f052!8m2!3d29.7449974!4d-95.3789225!16s%2Fg%2F1tdzrjcp?entry=ttu&amp;g_ep=EgoyMDI2MDIwNC4wIKXMDSoKLDEwMDc5MjA2OUgBUAM%3D</v>
      </c>
      <c r="X155" s="10"/>
      <c r="Y155" s="9" t="str">
        <f>IFERROR(__xludf.DUMMYFUNCTION("""COMPUTED_VALUE"""),"Houston")</f>
        <v>Houston</v>
      </c>
      <c r="Z155" s="9" t="str">
        <f>IFERROR(__xludf.DUMMYFUNCTION("""COMPUTED_VALUE"""),"Hyde Park, Montrose, South Central Houston")</f>
        <v>Hyde Park, Montrose, South Central Houston</v>
      </c>
      <c r="AA155" s="9" t="str">
        <f>IFERROR(__xludf.DUMMYFUNCTION("""COMPUTED_VALUE"""),"Catholic Charities")</f>
        <v>Catholic Charities</v>
      </c>
      <c r="AB155" s="9" t="str">
        <f>IFERROR(__xludf.DUMMYFUNCTION("""COMPUTED_VALUE"""),"South Central Houston")</f>
        <v>South Central Houston</v>
      </c>
    </row>
    <row r="156" ht="30.0" customHeight="1">
      <c r="A156" s="17">
        <v>155.0</v>
      </c>
      <c r="B156" s="8" t="str">
        <f>IFERROR(__xludf.DUMMYFUNCTION("""COMPUTED_VALUE"""),"[""77568"", ""77590"", ""77591""]")</f>
        <v>["77568", "77590", "77591"]</v>
      </c>
      <c r="C156" s="9" t="str">
        <f>IFERROR(__xludf.DUMMYFUNCTION("""COMPUTED_VALUE"""),"Catholic Charities")</f>
        <v>Catholic Charities</v>
      </c>
      <c r="D156" s="9" t="str">
        <f>IFERROR(__xludf.DUMMYFUNCTION("""COMPUTED_VALUE"""),"2900 Louisiana Street")</f>
        <v>2900 Louisiana Street</v>
      </c>
      <c r="E156" s="9"/>
      <c r="F156" s="9" t="str">
        <f>IFERROR(__xludf.DUMMYFUNCTION("""COMPUTED_VALUE"""),"Houston")</f>
        <v>Houston</v>
      </c>
      <c r="G156" s="9" t="str">
        <f>IFERROR(__xludf.DUMMYFUNCTION("""COMPUTED_VALUE"""),"TX")</f>
        <v>TX</v>
      </c>
      <c r="H156" s="9" t="str">
        <f>IFERROR(__xludf.DUMMYFUNCTION("""COMPUTED_VALUE"""),"77006")</f>
        <v>77006</v>
      </c>
      <c r="I156" s="9" t="str">
        <f>IFERROR(__xludf.DUMMYFUNCTION("""COMPUTED_VALUE"""),"713-526-4611")</f>
        <v>713-526-4611</v>
      </c>
      <c r="J156" s="9" t="str">
        <f>IFERROR(__xludf.DUMMYFUNCTION("""COMPUTED_VALUE"""),"29.74514639265169, -95.37886885207446")</f>
        <v>29.74514639265169, -95.37886885207446</v>
      </c>
      <c r="K156" s="9" t="str">
        <f>IFERROR(__xludf.DUMMYFUNCTION("""COMPUTED_VALUE"""),"{""regular"":[{""days"":[""Mo"",""Tu"",""We"",""Th"",""Fr""],""open"":""08:00"",""close"":""17:00""}]}")</f>
        <v>{"regular":[{"days":["Mo","Tu","We","Th","Fr"],"open":"08:00","close":"17:00"}]}</v>
      </c>
      <c r="L156" s="9" t="str">
        <f>IFERROR(__xludf.DUMMYFUNCTION("""COMPUTED_VALUE"""),"Apply online")</f>
        <v>Apply online</v>
      </c>
      <c r="M156" s="10">
        <f>IFERROR(__xludf.DUMMYFUNCTION("""COMPUTED_VALUE"""),11.0)</f>
        <v>11</v>
      </c>
      <c r="N156" s="10" t="str">
        <f>IFERROR(__xludf.DUMMYFUNCTION("""COMPUTED_VALUE"""),"Rent")</f>
        <v>Rent</v>
      </c>
      <c r="O156" s="10">
        <f>IFERROR(__xludf.DUMMYFUNCTION("""COMPUTED_VALUE"""),1.0)</f>
        <v>1</v>
      </c>
      <c r="P156" s="10" t="str">
        <f>IFERROR(__xludf.DUMMYFUNCTION("""COMPUTED_VALUE"""),"ACTIVE")</f>
        <v>ACTIVE</v>
      </c>
      <c r="Q156" s="11">
        <f>IFERROR(__xludf.DUMMYFUNCTION("""COMPUTED_VALUE"""),46062.0)</f>
        <v>46062</v>
      </c>
      <c r="R156" s="9" t="str">
        <f>IFERROR(__xludf.DUMMYFUNCTION("""COMPUTED_VALUE"""),"Verified online")</f>
        <v>Verified online</v>
      </c>
      <c r="S156" s="9" t="str">
        <f>IFERROR(__xludf.DUMMYFUNCTION("""COMPUTED_VALUE"""),"For Galveston County
Assistance limited to those living in Texas City ISD or La Marque
Must have court-ordered eviction, an eviction court date scheduled or an eviction/late notice from your landlord.
Must be behind in rent for current month.
Must have ha"&amp;"d loss of income or out-of-pocket expense in the last 90 days.
Supporting documents required.")</f>
        <v>For Galveston County
Assistance limited to those living in Texas City ISD or La Marque
Must have court-ordered eviction, an eviction court date scheduled or an eviction/late notice from your landlord.
Must be behind in rent for current month.
Must have had loss of income or out-of-pocket expense in the last 90 days.
Supporting documents required.</v>
      </c>
      <c r="T156" s="12" t="b">
        <f>IFERROR(__xludf.DUMMYFUNCTION("""COMPUTED_VALUE"""),TRUE)</f>
        <v>1</v>
      </c>
      <c r="U156" s="12" t="b">
        <f>IFERROR(__xludf.DUMMYFUNCTION("""COMPUTED_VALUE"""),FALSE)</f>
        <v>0</v>
      </c>
      <c r="V156" s="13" t="str">
        <f>IFERROR(__xludf.DUMMYFUNCTION("""COMPUTED_VALUE"""),"https://catholiccharities.org/housing/")</f>
        <v>https://catholiccharities.org/housing/</v>
      </c>
      <c r="W156" s="14" t="str">
        <f>IFERROR(__xludf.DUMMYFUNCTION("""COMPUTED_VALUE"""),"https://www.google.com/maps/place/Catholic+Charities+of+the+Archdiocese+of+Galveston-Houston/@29.745002,-95.3815028,17z/data=!3m1!4b1!4m6!3m5!1s0x8640bf6bdfe9c49f:0xeba07ead9060f052!8m2!3d29.7449974!4d-95.3789225!16s%2Fg%2F1tdzrjcp?entry=ttu&amp;g_ep=EgoyMDI2"&amp;"MDIwNC4wIKXMDSoKLDEwMDc5MjA2OUgBUAM%3D")</f>
        <v>https://www.google.com/maps/place/Catholic+Charities+of+the+Archdiocese+of+Galveston-Houston/@29.745002,-95.3815028,17z/data=!3m1!4b1!4m6!3m5!1s0x8640bf6bdfe9c49f:0xeba07ead9060f052!8m2!3d29.7449974!4d-95.3789225!16s%2Fg%2F1tdzrjcp?entry=ttu&amp;g_ep=EgoyMDI2MDIwNC4wIKXMDSoKLDEwMDc5MjA2OUgBUAM%3D</v>
      </c>
      <c r="X156" s="10"/>
      <c r="Y156" s="9" t="str">
        <f>IFERROR(__xludf.DUMMYFUNCTION("""COMPUTED_VALUE"""),"Houston")</f>
        <v>Houston</v>
      </c>
      <c r="Z156" s="9" t="str">
        <f>IFERROR(__xludf.DUMMYFUNCTION("""COMPUTED_VALUE"""),"Hyde Park, Montrose, South Central Houston")</f>
        <v>Hyde Park, Montrose, South Central Houston</v>
      </c>
      <c r="AA156" s="9" t="str">
        <f>IFERROR(__xludf.DUMMYFUNCTION("""COMPUTED_VALUE"""),"Catholic Charities")</f>
        <v>Catholic Charities</v>
      </c>
      <c r="AB156" s="9" t="str">
        <f>IFERROR(__xludf.DUMMYFUNCTION("""COMPUTED_VALUE"""),"South Central Houston")</f>
        <v>South Central Houston</v>
      </c>
    </row>
    <row r="157" ht="30.0" customHeight="1">
      <c r="A157" s="17">
        <v>156.0</v>
      </c>
      <c r="B157" s="8" t="str">
        <f>IFERROR(__xludf.DUMMYFUNCTION("""COMPUTED_VALUE"""),"[""99999""]")</f>
        <v>["99999"]</v>
      </c>
      <c r="C157" s="9" t="str">
        <f>IFERROR(__xludf.DUMMYFUNCTION("""COMPUTED_VALUE"""),"Catholic Charities")</f>
        <v>Catholic Charities</v>
      </c>
      <c r="D157" s="9" t="str">
        <f>IFERROR(__xludf.DUMMYFUNCTION("""COMPUTED_VALUE"""),"2900 Louisiana Street")</f>
        <v>2900 Louisiana Street</v>
      </c>
      <c r="E157" s="9"/>
      <c r="F157" s="9" t="str">
        <f>IFERROR(__xludf.DUMMYFUNCTION("""COMPUTED_VALUE"""),"Houston")</f>
        <v>Houston</v>
      </c>
      <c r="G157" s="9" t="str">
        <f>IFERROR(__xludf.DUMMYFUNCTION("""COMPUTED_VALUE"""),"TX")</f>
        <v>TX</v>
      </c>
      <c r="H157" s="9" t="str">
        <f>IFERROR(__xludf.DUMMYFUNCTION("""COMPUTED_VALUE"""),"77006")</f>
        <v>77006</v>
      </c>
      <c r="I157" s="9" t="str">
        <f>IFERROR(__xludf.DUMMYFUNCTION("""COMPUTED_VALUE"""),"713-526-4611")</f>
        <v>713-526-4611</v>
      </c>
      <c r="J157" s="9" t="str">
        <f>IFERROR(__xludf.DUMMYFUNCTION("""COMPUTED_VALUE"""),"29.74514639265169, -95.37886885207446")</f>
        <v>29.74514639265169, -95.37886885207446</v>
      </c>
      <c r="K157" s="9" t="str">
        <f>IFERROR(__xludf.DUMMYFUNCTION("""COMPUTED_VALUE"""),"{""regular"":[{""days"":[""Mo"",""Tu"",""We"",""Th"",""Fr""],""open"":""08:00"",""close"":""17:00""}]}")</f>
        <v>{"regular":[{"days":["Mo","Tu","We","Th","Fr"],"open":"08:00","close":"17:00"}]}</v>
      </c>
      <c r="L157" s="9" t="str">
        <f>IFERROR(__xludf.DUMMYFUNCTION("""COMPUTED_VALUE"""),"Applications closed")</f>
        <v>Applications closed</v>
      </c>
      <c r="M157" s="10">
        <f>IFERROR(__xludf.DUMMYFUNCTION("""COMPUTED_VALUE"""),12.0)</f>
        <v>12</v>
      </c>
      <c r="N157" s="10" t="str">
        <f>IFERROR(__xludf.DUMMYFUNCTION("""COMPUTED_VALUE"""),"Utilities")</f>
        <v>Utilities</v>
      </c>
      <c r="O157" s="10">
        <f>IFERROR(__xludf.DUMMYFUNCTION("""COMPUTED_VALUE"""),3.0)</f>
        <v>3</v>
      </c>
      <c r="P157" s="10" t="str">
        <f>IFERROR(__xludf.DUMMYFUNCTION("""COMPUTED_VALUE"""),"INACTIVE")</f>
        <v>INACTIVE</v>
      </c>
      <c r="Q157" s="11">
        <f>IFERROR(__xludf.DUMMYFUNCTION("""COMPUTED_VALUE"""),46062.0)</f>
        <v>46062</v>
      </c>
      <c r="R157" s="9" t="str">
        <f>IFERROR(__xludf.DUMMYFUNCTION("""COMPUTED_VALUE"""),"Verified online")</f>
        <v>Verified online</v>
      </c>
      <c r="S157" s="9" t="str">
        <f>IFERROR(__xludf.DUMMYFUNCTION("""COMPUTED_VALUE"""),"Limited to specific utilities (see list online)")</f>
        <v>Limited to specific utilities (see list online)</v>
      </c>
      <c r="T157" s="12" t="b">
        <f>IFERROR(__xludf.DUMMYFUNCTION("""COMPUTED_VALUE"""),FALSE)</f>
        <v>0</v>
      </c>
      <c r="U157" s="12" t="b">
        <f>IFERROR(__xludf.DUMMYFUNCTION("""COMPUTED_VALUE"""),FALSE)</f>
        <v>0</v>
      </c>
      <c r="V157" s="13" t="str">
        <f>IFERROR(__xludf.DUMMYFUNCTION("""COMPUTED_VALUE"""),"https://catholiccharities.org/housing/")</f>
        <v>https://catholiccharities.org/housing/</v>
      </c>
      <c r="W157" s="14" t="str">
        <f>IFERROR(__xludf.DUMMYFUNCTION("""COMPUTED_VALUE"""),"https://www.google.com/maps/place/Catholic+Charities+of+the+Archdiocese+of+Galveston-Houston/@29.745002,-95.3815028,17z/data=!3m1!4b1!4m6!3m5!1s0x8640bf6bdfe9c49f:0xeba07ead9060f052!8m2!3d29.7449974!4d-95.3789225!16s%2Fg%2F1tdzrjcp?entry=ttu&amp;g_ep=EgoyMDI2"&amp;"MDIwNC4wIKXMDSoKLDEwMDc5MjA2OUgBUAM%3D")</f>
        <v>https://www.google.com/maps/place/Catholic+Charities+of+the+Archdiocese+of+Galveston-Houston/@29.745002,-95.3815028,17z/data=!3m1!4b1!4m6!3m5!1s0x8640bf6bdfe9c49f:0xeba07ead9060f052!8m2!3d29.7449974!4d-95.3789225!16s%2Fg%2F1tdzrjcp?entry=ttu&amp;g_ep=EgoyMDI2MDIwNC4wIKXMDSoKLDEwMDc5MjA2OUgBUAM%3D</v>
      </c>
      <c r="X157" s="10"/>
      <c r="Y157" s="9" t="str">
        <f>IFERROR(__xludf.DUMMYFUNCTION("""COMPUTED_VALUE"""),"Houston")</f>
        <v>Houston</v>
      </c>
      <c r="Z157" s="9" t="str">
        <f>IFERROR(__xludf.DUMMYFUNCTION("""COMPUTED_VALUE"""),"Hyde Park, Montrose, South Central Houston")</f>
        <v>Hyde Park, Montrose, South Central Houston</v>
      </c>
      <c r="AA157" s="9" t="str">
        <f>IFERROR(__xludf.DUMMYFUNCTION("""COMPUTED_VALUE"""),"Catholic Charities")</f>
        <v>Catholic Charities</v>
      </c>
      <c r="AB157" s="9" t="str">
        <f>IFERROR(__xludf.DUMMYFUNCTION("""COMPUTED_VALUE"""),"South Central Houston")</f>
        <v>South Central Houston</v>
      </c>
    </row>
    <row r="158" ht="30.0" customHeight="1">
      <c r="A158" s="17">
        <v>157.0</v>
      </c>
      <c r="B158" s="8" t="str">
        <f>IFERROR(__xludf.DUMMYFUNCTION("""COMPUTED_VALUE"""),"[""99999""]")</f>
        <v>["99999"]</v>
      </c>
      <c r="C158" s="9" t="str">
        <f>IFERROR(__xludf.DUMMYFUNCTION("""COMPUTED_VALUE"""),"Catholic Charities")</f>
        <v>Catholic Charities</v>
      </c>
      <c r="D158" s="9" t="str">
        <f>IFERROR(__xludf.DUMMYFUNCTION("""COMPUTED_VALUE"""),"326 South Jensen Drive")</f>
        <v>326 South Jensen Drive</v>
      </c>
      <c r="E158" s="9"/>
      <c r="F158" s="10" t="str">
        <f>IFERROR(__xludf.DUMMYFUNCTION("""COMPUTED_VALUE"""),"Houston")</f>
        <v>Houston</v>
      </c>
      <c r="G158" s="9" t="str">
        <f>IFERROR(__xludf.DUMMYFUNCTION("""COMPUTED_VALUE"""),"TX")</f>
        <v>TX</v>
      </c>
      <c r="H158" s="9" t="str">
        <f>IFERROR(__xludf.DUMMYFUNCTION("""COMPUTED_VALUE"""),"77003")</f>
        <v>77003</v>
      </c>
      <c r="I158" s="9" t="str">
        <f>IFERROR(__xludf.DUMMYFUNCTION("""COMPUTED_VALUE"""),"713-251-6919")</f>
        <v>713-251-6919</v>
      </c>
      <c r="J158" s="9" t="str">
        <f>IFERROR(__xludf.DUMMYFUNCTION("""COMPUTED_VALUE"""),"29.7603252244898, -95.344400122449")</f>
        <v>29.7603252244898, -95.344400122449</v>
      </c>
      <c r="K158" s="9" t="str">
        <f>IFERROR(__xludf.DUMMYFUNCTION("""COMPUTED_VALUE"""),"{""regular"":[{""days"":[""We"",""Th""],""open"":""09:00"",""close"":""14:00""},{""days"":[""Tu""],""open"":""09:00"",""close"":""11:00""}]}")</f>
        <v>{"regular":[{"days":["We","Th"],"open":"09:00","close":"14:00"},{"days":["Tu"],"open":"09:00","close":"11:00"}]}</v>
      </c>
      <c r="L158" s="9"/>
      <c r="M158" s="10">
        <f>IFERROR(__xludf.DUMMYFUNCTION("""COMPUTED_VALUE"""),13.0)</f>
        <v>13</v>
      </c>
      <c r="N158" s="10" t="str">
        <f>IFERROR(__xludf.DUMMYFUNCTION("""COMPUTED_VALUE"""),"Food")</f>
        <v>Food</v>
      </c>
      <c r="O158" s="10">
        <f>IFERROR(__xludf.DUMMYFUNCTION("""COMPUTED_VALUE"""),1.0)</f>
        <v>1</v>
      </c>
      <c r="P158" s="10" t="str">
        <f>IFERROR(__xludf.DUMMYFUNCTION("""COMPUTED_VALUE"""),"ACTIVE")</f>
        <v>ACTIVE</v>
      </c>
      <c r="Q158" s="11"/>
      <c r="R158" s="9"/>
      <c r="S158" s="9" t="str">
        <f>IFERROR(__xludf.DUMMYFUNCTION("""COMPUTED_VALUE"""),"The S Jensen St address is the Houston Food Bank. Separate locations for Ft Bend and Galveston.
First time clients must bring a photo ID and proof of address.
In addition, food fairs one or two Saturdays a month starting in July.")</f>
        <v>The S Jensen St address is the Houston Food Bank. Separate locations for Ft Bend and Galveston.
First time clients must bring a photo ID and proof of address.
In addition, food fairs one or two Saturdays a month starting in July.</v>
      </c>
      <c r="T158" s="12" t="b">
        <f>IFERROR(__xludf.DUMMYFUNCTION("""COMPUTED_VALUE"""),FALSE)</f>
        <v>0</v>
      </c>
      <c r="U158" s="12" t="b">
        <f>IFERROR(__xludf.DUMMYFUNCTION("""COMPUTED_VALUE"""),FALSE)</f>
        <v>0</v>
      </c>
      <c r="V158" s="13" t="str">
        <f>IFERROR(__xludf.DUMMYFUNCTION("""COMPUTED_VALUE"""),"https://catholiccharities.org/needhelp/")</f>
        <v>https://catholiccharities.org/needhelp/</v>
      </c>
      <c r="W158" s="14" t="str">
        <f>IFERROR(__xludf.DUMMYFUNCTION("""COMPUTED_VALUE"""),"https://maps.google.com/?q=Catholic%20Charities%20326%20South%20Jensen%20Dr%20Houston%20TX%2077003")</f>
        <v>https://maps.google.com/?q=Catholic%20Charities%20326%20South%20Jensen%20Dr%20Houston%20TX%2077003</v>
      </c>
      <c r="X158" s="10"/>
      <c r="Y158" s="9" t="str">
        <f>IFERROR(__xludf.DUMMYFUNCTION("""COMPUTED_VALUE"""),"Houston")</f>
        <v>Houston</v>
      </c>
      <c r="Z158" s="9" t="str">
        <f>IFERROR(__xludf.DUMMYFUNCTION("""COMPUTED_VALUE"""),"East Downtown, Downtown Houston, Second Ward, South Central Houston, South Side")</f>
        <v>East Downtown, Downtown Houston, Second Ward, South Central Houston, South Side</v>
      </c>
      <c r="AA158" s="9" t="str">
        <f>IFERROR(__xludf.DUMMYFUNCTION("""COMPUTED_VALUE"""),"Catholic Charities")</f>
        <v>Catholic Charities</v>
      </c>
      <c r="AB158" s="9" t="str">
        <f>IFERROR(__xludf.DUMMYFUNCTION("""COMPUTED_VALUE"""),"South Central Houston")</f>
        <v>South Central Houston</v>
      </c>
    </row>
    <row r="159" ht="30.0" customHeight="1">
      <c r="A159" s="17">
        <v>158.0</v>
      </c>
      <c r="B159" s="8" t="str">
        <f>IFERROR(__xludf.DUMMYFUNCTION("""COMPUTED_VALUE"""),"[""99999""]")</f>
        <v>["99999"]</v>
      </c>
      <c r="C159" s="9" t="str">
        <f>IFERROR(__xludf.DUMMYFUNCTION("""COMPUTED_VALUE"""),"Catholic Charities")</f>
        <v>Catholic Charities</v>
      </c>
      <c r="D159" s="9" t="str">
        <f>IFERROR(__xludf.DUMMYFUNCTION("""COMPUTED_VALUE"""),"326 South Jensen Drive")</f>
        <v>326 South Jensen Drive</v>
      </c>
      <c r="E159" s="9"/>
      <c r="F159" s="10" t="str">
        <f>IFERROR(__xludf.DUMMYFUNCTION("""COMPUTED_VALUE"""),"Houston")</f>
        <v>Houston</v>
      </c>
      <c r="G159" s="9" t="str">
        <f>IFERROR(__xludf.DUMMYFUNCTION("""COMPUTED_VALUE"""),"TX")</f>
        <v>TX</v>
      </c>
      <c r="H159" s="9" t="str">
        <f>IFERROR(__xludf.DUMMYFUNCTION("""COMPUTED_VALUE"""),"77003")</f>
        <v>77003</v>
      </c>
      <c r="I159" s="9" t="str">
        <f>IFERROR(__xludf.DUMMYFUNCTION("""COMPUTED_VALUE"""),"713-526-4611")</f>
        <v>713-526-4611</v>
      </c>
      <c r="J159" s="9" t="str">
        <f>IFERROR(__xludf.DUMMYFUNCTION("""COMPUTED_VALUE"""),"29.7603252244898, -95.344400122449")</f>
        <v>29.7603252244898, -95.344400122449</v>
      </c>
      <c r="K159" s="9"/>
      <c r="L159" s="9"/>
      <c r="M159" s="10">
        <f>IFERROR(__xludf.DUMMYFUNCTION("""COMPUTED_VALUE"""),14.0)</f>
        <v>14</v>
      </c>
      <c r="N159" s="10" t="str">
        <f>IFERROR(__xludf.DUMMYFUNCTION("""COMPUTED_VALUE"""),"Clothing")</f>
        <v>Clothing</v>
      </c>
      <c r="O159" s="10">
        <f>IFERROR(__xludf.DUMMYFUNCTION("""COMPUTED_VALUE"""),1.0)</f>
        <v>1</v>
      </c>
      <c r="P159" s="10" t="str">
        <f>IFERROR(__xludf.DUMMYFUNCTION("""COMPUTED_VALUE"""),"ACTIVE")</f>
        <v>ACTIVE</v>
      </c>
      <c r="Q159" s="11"/>
      <c r="R159" s="9"/>
      <c r="S159" s="9"/>
      <c r="T159" s="12" t="b">
        <f>IFERROR(__xludf.DUMMYFUNCTION("""COMPUTED_VALUE"""),FALSE)</f>
        <v>0</v>
      </c>
      <c r="U159" s="12" t="b">
        <f>IFERROR(__xludf.DUMMYFUNCTION("""COMPUTED_VALUE"""),FALSE)</f>
        <v>0</v>
      </c>
      <c r="V159" s="13" t="str">
        <f>IFERROR(__xludf.DUMMYFUNCTION("""COMPUTED_VALUE"""),"https://catholiccharities.org/needhelp/")</f>
        <v>https://catholiccharities.org/needhelp/</v>
      </c>
      <c r="W159" s="14" t="str">
        <f>IFERROR(__xludf.DUMMYFUNCTION("""COMPUTED_VALUE"""),"https://maps.google.com/?q=Catholic%20Charities%20326%20South%20Jensen%20Dr%20Houston%20TX%2077003")</f>
        <v>https://maps.google.com/?q=Catholic%20Charities%20326%20South%20Jensen%20Dr%20Houston%20TX%2077003</v>
      </c>
      <c r="X159" s="10"/>
      <c r="Y159" s="9" t="str">
        <f>IFERROR(__xludf.DUMMYFUNCTION("""COMPUTED_VALUE"""),"Houston")</f>
        <v>Houston</v>
      </c>
      <c r="Z159" s="9" t="str">
        <f>IFERROR(__xludf.DUMMYFUNCTION("""COMPUTED_VALUE"""),"East Downtown, Downtown Houston, Second Ward, South Central Houston, South Side")</f>
        <v>East Downtown, Downtown Houston, Second Ward, South Central Houston, South Side</v>
      </c>
      <c r="AA159" s="9" t="str">
        <f>IFERROR(__xludf.DUMMYFUNCTION("""COMPUTED_VALUE"""),"Catholic Charities")</f>
        <v>Catholic Charities</v>
      </c>
      <c r="AB159" s="9" t="str">
        <f>IFERROR(__xludf.DUMMYFUNCTION("""COMPUTED_VALUE"""),"South Central Houston")</f>
        <v>South Central Houston</v>
      </c>
    </row>
    <row r="160" ht="30.0" customHeight="1">
      <c r="A160" s="17">
        <v>159.0</v>
      </c>
      <c r="B160" s="8" t="str">
        <f>IFERROR(__xludf.DUMMYFUNCTION("""COMPUTED_VALUE"""),"[""99999""]")</f>
        <v>["99999"]</v>
      </c>
      <c r="C160" s="9" t="str">
        <f>IFERROR(__xludf.DUMMYFUNCTION("""COMPUTED_VALUE"""),"Catholic Charities")</f>
        <v>Catholic Charities</v>
      </c>
      <c r="D160" s="9" t="str">
        <f>IFERROR(__xludf.DUMMYFUNCTION("""COMPUTED_VALUE"""),"5599 San Felipe Street")</f>
        <v>5599 San Felipe Street</v>
      </c>
      <c r="E160" s="9"/>
      <c r="F160" s="9" t="str">
        <f>IFERROR(__xludf.DUMMYFUNCTION("""COMPUTED_VALUE"""),"Houston")</f>
        <v>Houston</v>
      </c>
      <c r="G160" s="9" t="str">
        <f>IFERROR(__xludf.DUMMYFUNCTION("""COMPUTED_VALUE"""),"TX")</f>
        <v>TX</v>
      </c>
      <c r="H160" s="9" t="str">
        <f>IFERROR(__xludf.DUMMYFUNCTION("""COMPUTED_VALUE"""),"77056")</f>
        <v>77056</v>
      </c>
      <c r="I160" s="9" t="str">
        <f>IFERROR(__xludf.DUMMYFUNCTION("""COMPUTED_VALUE"""),"713-595-4100")</f>
        <v>713-595-4100</v>
      </c>
      <c r="J160" s="9" t="str">
        <f>IFERROR(__xludf.DUMMYFUNCTION("""COMPUTED_VALUE"""),"29.749961, -95.47434")</f>
        <v>29.749961, -95.47434</v>
      </c>
      <c r="K160" s="9" t="str">
        <f>IFERROR(__xludf.DUMMYFUNCTION("""COMPUTED_VALUE"""),"{""regular"":[{""days"":[""Mo"",""Tu"",""We"",""Th"",""Fr""],""open"":null,""close"":null}]}")</f>
        <v>{"regular":[{"days":["Mo","Tu","We","Th","Fr"],"open":null,"close":null}]}</v>
      </c>
      <c r="L160" s="9"/>
      <c r="M160" s="10">
        <f>IFERROR(__xludf.DUMMYFUNCTION("""COMPUTED_VALUE"""),54.0)</f>
        <v>54</v>
      </c>
      <c r="N160" s="10" t="str">
        <f>IFERROR(__xludf.DUMMYFUNCTION("""COMPUTED_VALUE"""),"Legal")</f>
        <v>Legal</v>
      </c>
      <c r="O160" s="10">
        <f>IFERROR(__xludf.DUMMYFUNCTION("""COMPUTED_VALUE"""),1.0)</f>
        <v>1</v>
      </c>
      <c r="P160" s="10" t="str">
        <f>IFERROR(__xludf.DUMMYFUNCTION("""COMPUTED_VALUE"""),"ACTIVE")</f>
        <v>ACTIVE</v>
      </c>
      <c r="Q160" s="11"/>
      <c r="R160" s="9"/>
      <c r="S160" s="9" t="str">
        <f>IFERROR(__xludf.DUMMYFUNCTION("""COMPUTED_VALUE"""),"Immigration related legal services.
Must make an appointment")</f>
        <v>Immigration related legal services.
Must make an appointment</v>
      </c>
      <c r="T160" s="12" t="b">
        <f>IFERROR(__xludf.DUMMYFUNCTION("""COMPUTED_VALUE"""),FALSE)</f>
        <v>0</v>
      </c>
      <c r="U160" s="12" t="b">
        <f>IFERROR(__xludf.DUMMYFUNCTION("""COMPUTED_VALUE"""),FALSE)</f>
        <v>0</v>
      </c>
      <c r="V160" s="13" t="str">
        <f>IFERROR(__xludf.DUMMYFUNCTION("""COMPUTED_VALUE"""),"https://catholiccharities.org/cabrini")</f>
        <v>https://catholiccharities.org/cabrini</v>
      </c>
      <c r="W160" s="14" t="str">
        <f>IFERROR(__xludf.DUMMYFUNCTION("""COMPUTED_VALUE"""),"https://www.google.com/maps/place/5599+San+Felipe+St,+Houston,+TX+77056/@29.7495798,-95.4765878,17z/data=!3m1!4b1!4m6!3m5!1s0x8640c15eebf5b5e1:0xed464578e0ebad5b!8m2!3d29.7495798!4d-95.4740129!16s%2Fg%2F11bw3y31dd?entry=ttu&amp;g_ep=EgoyMDI1MDMxNi4wIKXMDSoASA"&amp;"FQAw%3D%3D")</f>
        <v>https://www.google.com/maps/place/5599+San+Felipe+St,+Houston,+TX+77056/@29.7495798,-95.4765878,17z/data=!3m1!4b1!4m6!3m5!1s0x8640c15eebf5b5e1:0xed464578e0ebad5b!8m2!3d29.7495798!4d-95.4740129!16s%2Fg%2F11bw3y31dd?entry=ttu&amp;g_ep=EgoyMDI1MDMxNi4wIKXMDSoASAFQAw%3D%3D</v>
      </c>
      <c r="X160" s="10"/>
      <c r="Y160" s="9" t="str">
        <f>IFERROR(__xludf.DUMMYFUNCTION("""COMPUTED_VALUE"""),"Houston")</f>
        <v>Houston</v>
      </c>
      <c r="Z160" s="9" t="str">
        <f>IFERROR(__xludf.DUMMYFUNCTION("""COMPUTED_VALUE"""),"Galleria, Tanglewood, Uptown, Westside")</f>
        <v>Galleria, Tanglewood, Uptown, Westside</v>
      </c>
      <c r="AA160" s="9" t="str">
        <f>IFERROR(__xludf.DUMMYFUNCTION("""COMPUTED_VALUE"""),"Catholic Charities")</f>
        <v>Catholic Charities</v>
      </c>
      <c r="AB160" s="9" t="str">
        <f>IFERROR(__xludf.DUMMYFUNCTION("""COMPUTED_VALUE"""),"Westside")</f>
        <v>Westside</v>
      </c>
    </row>
    <row r="161" ht="30.0" customHeight="1">
      <c r="A161" s="17">
        <v>160.0</v>
      </c>
      <c r="B161" s="8" t="str">
        <f>IFERROR(__xludf.DUMMYFUNCTION("""COMPUTED_VALUE"""),"[""99999""]")</f>
        <v>["99999"]</v>
      </c>
      <c r="C161" s="9" t="str">
        <f>IFERROR(__xludf.DUMMYFUNCTION("""COMPUTED_VALUE"""),"Catholic Charities")</f>
        <v>Catholic Charities</v>
      </c>
      <c r="D161" s="9" t="str">
        <f>IFERROR(__xludf.DUMMYFUNCTION("""COMPUTED_VALUE"""),"5599 San Felipe Street")</f>
        <v>5599 San Felipe Street</v>
      </c>
      <c r="E161" s="9"/>
      <c r="F161" s="9" t="str">
        <f>IFERROR(__xludf.DUMMYFUNCTION("""COMPUTED_VALUE"""),"Houston")</f>
        <v>Houston</v>
      </c>
      <c r="G161" s="9" t="str">
        <f>IFERROR(__xludf.DUMMYFUNCTION("""COMPUTED_VALUE"""),"TX")</f>
        <v>TX</v>
      </c>
      <c r="H161" s="9" t="str">
        <f>IFERROR(__xludf.DUMMYFUNCTION("""COMPUTED_VALUE"""),"77056")</f>
        <v>77056</v>
      </c>
      <c r="I161" s="9" t="str">
        <f>IFERROR(__xludf.DUMMYFUNCTION("""COMPUTED_VALUE"""),"713-595-4100")</f>
        <v>713-595-4100</v>
      </c>
      <c r="J161" s="9" t="str">
        <f>IFERROR(__xludf.DUMMYFUNCTION("""COMPUTED_VALUE"""),"29.749961, -95.47434")</f>
        <v>29.749961, -95.47434</v>
      </c>
      <c r="K161" s="9" t="str">
        <f>IFERROR(__xludf.DUMMYFUNCTION("""COMPUTED_VALUE"""),"{""regular"":[{""days"":[""Mo"",""Tu"",""We"",""Th"",""Fr""],""open"":null,""close"":null}]}")</f>
        <v>{"regular":[{"days":["Mo","Tu","We","Th","Fr"],"open":null,"close":null}]}</v>
      </c>
      <c r="L161" s="9"/>
      <c r="M161" s="10">
        <f>IFERROR(__xludf.DUMMYFUNCTION("""COMPUTED_VALUE"""),55.0)</f>
        <v>55</v>
      </c>
      <c r="N161" s="10" t="str">
        <f>IFERROR(__xludf.DUMMYFUNCTION("""COMPUTED_VALUE"""),"Immigration")</f>
        <v>Immigration</v>
      </c>
      <c r="O161" s="10">
        <f>IFERROR(__xludf.DUMMYFUNCTION("""COMPUTED_VALUE"""),2.0)</f>
        <v>2</v>
      </c>
      <c r="P161" s="10" t="str">
        <f>IFERROR(__xludf.DUMMYFUNCTION("""COMPUTED_VALUE"""),"LIMITED")</f>
        <v>LIMITED</v>
      </c>
      <c r="Q161" s="11">
        <f>IFERROR(__xludf.DUMMYFUNCTION("""COMPUTED_VALUE"""),45893.0)</f>
        <v>45893</v>
      </c>
      <c r="R161" s="9"/>
      <c r="S161" s="9" t="str">
        <f>IFERROR(__xludf.DUMMYFUNCTION("""COMPUTED_VALUE"""),"Unable to verify if services still available")</f>
        <v>Unable to verify if services still available</v>
      </c>
      <c r="T161" s="12" t="b">
        <f>IFERROR(__xludf.DUMMYFUNCTION("""COMPUTED_VALUE"""),FALSE)</f>
        <v>0</v>
      </c>
      <c r="U161" s="12" t="b">
        <f>IFERROR(__xludf.DUMMYFUNCTION("""COMPUTED_VALUE"""),FALSE)</f>
        <v>0</v>
      </c>
      <c r="V161" s="13" t="str">
        <f>IFERROR(__xludf.DUMMYFUNCTION("""COMPUTED_VALUE"""),"https://catholiccharities.org/cabrini/")</f>
        <v>https://catholiccharities.org/cabrini/</v>
      </c>
      <c r="W161" s="10"/>
      <c r="X161" s="10"/>
      <c r="Y161" s="9" t="str">
        <f>IFERROR(__xludf.DUMMYFUNCTION("""COMPUTED_VALUE"""),"Houston")</f>
        <v>Houston</v>
      </c>
      <c r="Z161" s="9" t="str">
        <f>IFERROR(__xludf.DUMMYFUNCTION("""COMPUTED_VALUE"""),"Galleria, Tanglewood, Uptown, Westside")</f>
        <v>Galleria, Tanglewood, Uptown, Westside</v>
      </c>
      <c r="AA161" s="9" t="str">
        <f>IFERROR(__xludf.DUMMYFUNCTION("""COMPUTED_VALUE"""),"Catholic Charities")</f>
        <v>Catholic Charities</v>
      </c>
      <c r="AB161" s="9" t="str">
        <f>IFERROR(__xludf.DUMMYFUNCTION("""COMPUTED_VALUE"""),"Westside")</f>
        <v>Westside</v>
      </c>
    </row>
    <row r="162" ht="30.0" customHeight="1">
      <c r="A162" s="17">
        <v>161.0</v>
      </c>
      <c r="B162"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162" s="9" t="str">
        <f>IFERROR(__xludf.DUMMYFUNCTION("""COMPUTED_VALUE"""),"Catholic Charities")</f>
        <v>Catholic Charities</v>
      </c>
      <c r="D162" s="9" t="str">
        <f>IFERROR(__xludf.DUMMYFUNCTION("""COMPUTED_VALUE"""),"2900 Louisiana Street")</f>
        <v>2900 Louisiana Street</v>
      </c>
      <c r="E162" s="9"/>
      <c r="F162" s="9" t="str">
        <f>IFERROR(__xludf.DUMMYFUNCTION("""COMPUTED_VALUE"""),"Houston")</f>
        <v>Houston</v>
      </c>
      <c r="G162" s="9" t="str">
        <f>IFERROR(__xludf.DUMMYFUNCTION("""COMPUTED_VALUE"""),"TX")</f>
        <v>TX</v>
      </c>
      <c r="H162" s="9" t="str">
        <f>IFERROR(__xludf.DUMMYFUNCTION("""COMPUTED_VALUE"""),"77006")</f>
        <v>77006</v>
      </c>
      <c r="I162" s="9" t="str">
        <f>IFERROR(__xludf.DUMMYFUNCTION("""COMPUTED_VALUE"""),"713-526-4611")</f>
        <v>713-526-4611</v>
      </c>
      <c r="J162" s="9" t="str">
        <f>IFERROR(__xludf.DUMMYFUNCTION("""COMPUTED_VALUE"""),"29.74514639265169, -95.37886885207446")</f>
        <v>29.74514639265169, -95.37886885207446</v>
      </c>
      <c r="K162" s="9" t="str">
        <f>IFERROR(__xludf.DUMMYFUNCTION("""COMPUTED_VALUE"""),"{""regular"":[{""days"":[""Mo"",""Tu"",""We"",""Th"",""Fr""],""open"":""08:00"",""close"":""17:00""}]}")</f>
        <v>{"regular":[{"days":["Mo","Tu","We","Th","Fr"],"open":"08:00","close":"17:00"}]}</v>
      </c>
      <c r="L162" s="9" t="str">
        <f>IFERROR(__xludf.DUMMYFUNCTION("""COMPUTED_VALUE"""),"Apply online")</f>
        <v>Apply online</v>
      </c>
      <c r="M162" s="10">
        <f>IFERROR(__xludf.DUMMYFUNCTION("""COMPUTED_VALUE"""),56.0)</f>
        <v>56</v>
      </c>
      <c r="N162" s="10" t="str">
        <f>IFERROR(__xludf.DUMMYFUNCTION("""COMPUTED_VALUE"""),"Veterans")</f>
        <v>Veterans</v>
      </c>
      <c r="O162" s="10">
        <f>IFERROR(__xludf.DUMMYFUNCTION("""COMPUTED_VALUE"""),1.0)</f>
        <v>1</v>
      </c>
      <c r="P162" s="10" t="str">
        <f>IFERROR(__xludf.DUMMYFUNCTION("""COMPUTED_VALUE"""),"ACTIVE")</f>
        <v>ACTIVE</v>
      </c>
      <c r="Q162" s="11">
        <f>IFERROR(__xludf.DUMMYFUNCTION("""COMPUTED_VALUE"""),46062.0)</f>
        <v>46062</v>
      </c>
      <c r="R162" s="9" t="str">
        <f>IFERROR(__xludf.DUMMYFUNCTION("""COMPUTED_VALUE"""),"Verified online")</f>
        <v>Verified online</v>
      </c>
      <c r="S162" s="9" t="str">
        <f>IFERROR(__xludf.DUMMYFUNCTION("""COMPUTED_VALUE"""),"Rental or Mortgage Assistance for Veterans in Fort Bend County only.
Must have late notice and be behind on current month.
Provide DD214.
Limited funding.")</f>
        <v>Rental or Mortgage Assistance for Veterans in Fort Bend County only.
Must have late notice and be behind on current month.
Provide DD214.
Limited funding.</v>
      </c>
      <c r="T162" s="12" t="b">
        <f>IFERROR(__xludf.DUMMYFUNCTION("""COMPUTED_VALUE"""),FALSE)</f>
        <v>0</v>
      </c>
      <c r="U162" s="12" t="b">
        <f>IFERROR(__xludf.DUMMYFUNCTION("""COMPUTED_VALUE"""),FALSE)</f>
        <v>0</v>
      </c>
      <c r="V162" s="13" t="str">
        <f>IFERROR(__xludf.DUMMYFUNCTION("""COMPUTED_VALUE"""),"https://catholiccharities.org/housing/")</f>
        <v>https://catholiccharities.org/housing/</v>
      </c>
      <c r="W162" s="14" t="str">
        <f>IFERROR(__xludf.DUMMYFUNCTION("""COMPUTED_VALUE"""),"https://www.google.com/maps/place/Catholic+Charities+of+the+Archdiocese+of+Galveston-Houston/@29.745002,-95.3815028,17z/data=!3m1!4b1!4m6!3m5!1s0x8640bf6bdfe9c49f:0xeba07ead9060f052!8m2!3d29.7449974!4d-95.3789225!16s%2Fg%2F1tdzrjcp?entry=ttu&amp;g_ep=EgoyMDI2"&amp;"MDIwNC4wIKXMDSoKLDEwMDc5MjA2OUgBUAM%3D")</f>
        <v>https://www.google.com/maps/place/Catholic+Charities+of+the+Archdiocese+of+Galveston-Houston/@29.745002,-95.3815028,17z/data=!3m1!4b1!4m6!3m5!1s0x8640bf6bdfe9c49f:0xeba07ead9060f052!8m2!3d29.7449974!4d-95.3789225!16s%2Fg%2F1tdzrjcp?entry=ttu&amp;g_ep=EgoyMDI2MDIwNC4wIKXMDSoKLDEwMDc5MjA2OUgBUAM%3D</v>
      </c>
      <c r="X162" s="10"/>
      <c r="Y162" s="9" t="str">
        <f>IFERROR(__xludf.DUMMYFUNCTION("""COMPUTED_VALUE"""),"Houston")</f>
        <v>Houston</v>
      </c>
      <c r="Z162" s="9" t="str">
        <f>IFERROR(__xludf.DUMMYFUNCTION("""COMPUTED_VALUE"""),"Hyde Park, Montrose, South Central Houston")</f>
        <v>Hyde Park, Montrose, South Central Houston</v>
      </c>
      <c r="AA162" s="9" t="str">
        <f>IFERROR(__xludf.DUMMYFUNCTION("""COMPUTED_VALUE"""),"Catholic Charities")</f>
        <v>Catholic Charities</v>
      </c>
      <c r="AB162" s="9" t="str">
        <f>IFERROR(__xludf.DUMMYFUNCTION("""COMPUTED_VALUE"""),"South Central Houston")</f>
        <v>South Central Houston</v>
      </c>
    </row>
    <row r="163" ht="30.0" customHeight="1">
      <c r="A163" s="17">
        <v>162.0</v>
      </c>
      <c r="B163" s="8" t="str">
        <f>IFERROR(__xludf.DUMMYFUNCTION("""COMPUTED_VALUE"""),"[""99999""]")</f>
        <v>["99999"]</v>
      </c>
      <c r="C163" s="9" t="str">
        <f>IFERROR(__xludf.DUMMYFUNCTION("""COMPUTED_VALUE"""),"Central American Resource Center (CARECEN)")</f>
        <v>Central American Resource Center (CARECEN)</v>
      </c>
      <c r="D163" s="9" t="str">
        <f>IFERROR(__xludf.DUMMYFUNCTION("""COMPUTED_VALUE"""),"6006 Bellaire Blvd")</f>
        <v>6006 Bellaire Blvd</v>
      </c>
      <c r="E163" s="9" t="str">
        <f>IFERROR(__xludf.DUMMYFUNCTION("""COMPUTED_VALUE"""),"Suite 100")</f>
        <v>Suite 100</v>
      </c>
      <c r="F163" s="9" t="str">
        <f>IFERROR(__xludf.DUMMYFUNCTION("""COMPUTED_VALUE"""),"Houston")</f>
        <v>Houston</v>
      </c>
      <c r="G163" s="9" t="str">
        <f>IFERROR(__xludf.DUMMYFUNCTION("""COMPUTED_VALUE"""),"TX")</f>
        <v>TX</v>
      </c>
      <c r="H163" s="9" t="str">
        <f>IFERROR(__xludf.DUMMYFUNCTION("""COMPUTED_VALUE"""),"77081")</f>
        <v>77081</v>
      </c>
      <c r="I163" s="9" t="str">
        <f>IFERROR(__xludf.DUMMYFUNCTION("""COMPUTED_VALUE"""),"713-665-1284")</f>
        <v>713-665-1284</v>
      </c>
      <c r="J163" s="9" t="str">
        <f>IFERROR(__xludf.DUMMYFUNCTION("""COMPUTED_VALUE"""),"29.705602, -95.487652")</f>
        <v>29.705602, -95.487652</v>
      </c>
      <c r="K163" s="9" t="str">
        <f>IFERROR(__xludf.DUMMYFUNCTION("""COMPUTED_VALUE"""),"{""regular"":[{""days"":[""Mo"",""Tu"",""We"",""Th"",""Fr""],""open"":null,""close"":null}]}")</f>
        <v>{"regular":[{"days":["Mo","Tu","We","Th","Fr"],"open":null,"close":null}]}</v>
      </c>
      <c r="L163" s="9"/>
      <c r="M163" s="10">
        <f>IFERROR(__xludf.DUMMYFUNCTION("""COMPUTED_VALUE"""),55.0)</f>
        <v>55</v>
      </c>
      <c r="N163" s="10" t="str">
        <f>IFERROR(__xludf.DUMMYFUNCTION("""COMPUTED_VALUE"""),"Immigration")</f>
        <v>Immigration</v>
      </c>
      <c r="O163" s="10">
        <f>IFERROR(__xludf.DUMMYFUNCTION("""COMPUTED_VALUE"""),2.0)</f>
        <v>2</v>
      </c>
      <c r="P163" s="10" t="str">
        <f>IFERROR(__xludf.DUMMYFUNCTION("""COMPUTED_VALUE"""),"LIMITED")</f>
        <v>LIMITED</v>
      </c>
      <c r="Q163" s="11">
        <f>IFERROR(__xludf.DUMMYFUNCTION("""COMPUTED_VALUE"""),45893.0)</f>
        <v>45893</v>
      </c>
      <c r="R163" s="9"/>
      <c r="S163" s="9" t="str">
        <f>IFERROR(__xludf.DUMMYFUNCTION("""COMPUTED_VALUE"""),"Unable to verify if services still available")</f>
        <v>Unable to verify if services still available</v>
      </c>
      <c r="T163" s="12" t="b">
        <f>IFERROR(__xludf.DUMMYFUNCTION("""COMPUTED_VALUE"""),FALSE)</f>
        <v>0</v>
      </c>
      <c r="U163" s="12" t="b">
        <f>IFERROR(__xludf.DUMMYFUNCTION("""COMPUTED_VALUE"""),FALSE)</f>
        <v>0</v>
      </c>
      <c r="V163" s="13" t="str">
        <f>IFERROR(__xludf.DUMMYFUNCTION("""COMPUTED_VALUE"""),"https://www.immigrationadvocates.org/nonprofit/legaldirectory/organization.393389")</f>
        <v>https://www.immigrationadvocates.org/nonprofit/legaldirectory/organization.393389</v>
      </c>
      <c r="W163" s="10"/>
      <c r="X163" s="10"/>
      <c r="Y163" s="9" t="str">
        <f>IFERROR(__xludf.DUMMYFUNCTION("""COMPUTED_VALUE"""),"Houston")</f>
        <v>Houston</v>
      </c>
      <c r="Z163" s="9" t="str">
        <f>IFERROR(__xludf.DUMMYFUNCTION("""COMPUTED_VALUE"""),"Gulfton")</f>
        <v>Gulfton</v>
      </c>
      <c r="AA163" s="9" t="str">
        <f>IFERROR(__xludf.DUMMYFUNCTION("""COMPUTED_VALUE"""),"Central American Resource Center (CARECEN)")</f>
        <v>Central American Resource Center (CARECEN)</v>
      </c>
      <c r="AB163" s="9" t="str">
        <f>IFERROR(__xludf.DUMMYFUNCTION("""COMPUTED_VALUE"""),"Gulfton")</f>
        <v>Gulfton</v>
      </c>
    </row>
    <row r="164" ht="30.0" customHeight="1">
      <c r="A164" s="17">
        <v>163.0</v>
      </c>
      <c r="B164" s="8" t="str">
        <f>IFERROR(__xludf.DUMMYFUNCTION("""COMPUTED_VALUE"""),"[""99999""]")</f>
        <v>["99999"]</v>
      </c>
      <c r="C164" s="9" t="str">
        <f>IFERROR(__xludf.DUMMYFUNCTION("""COMPUTED_VALUE"""),"Children's Health Insurance Program (CHIP)")</f>
        <v>Children's Health Insurance Program (CHIP)</v>
      </c>
      <c r="D164" s="9"/>
      <c r="E164" s="9"/>
      <c r="F164" s="9" t="str">
        <f>IFERROR(__xludf.DUMMYFUNCTION("""COMPUTED_VALUE"""),"Houston")</f>
        <v>Houston</v>
      </c>
      <c r="G164" s="9" t="str">
        <f>IFERROR(__xludf.DUMMYFUNCTION("""COMPUTED_VALUE"""),"TX")</f>
        <v>TX</v>
      </c>
      <c r="H164" s="9" t="str">
        <f>IFERROR(__xludf.DUMMYFUNCTION("""COMPUTED_VALUE"""),"77023")</f>
        <v>77023</v>
      </c>
      <c r="I164" s="9" t="str">
        <f>IFERROR(__xludf.DUMMYFUNCTION("""COMPUTED_VALUE"""),"877-541-7905")</f>
        <v>877-541-7905</v>
      </c>
      <c r="J164" s="9" t="str">
        <f>IFERROR(__xludf.DUMMYFUNCTION("""COMPUTED_VALUE"""),"29.721825, -95.318275")</f>
        <v>29.721825, -95.318275</v>
      </c>
      <c r="K164" s="9" t="str">
        <f>IFERROR(__xludf.DUMMYFUNCTION("""COMPUTED_VALUE"""),"{""regular"":[{""days"":[""Mo"",""Tu"",""We"",""Th"",""Fr""],""open"":""08:00"",""close"":""17:00""}]}")</f>
        <v>{"regular":[{"days":["Mo","Tu","We","Th","Fr"],"open":"08:00","close":"17:00"}]}</v>
      </c>
      <c r="L164" s="9" t="str">
        <f>IFERROR(__xludf.DUMMYFUNCTION("""COMPUTED_VALUE"""),"Apply online")</f>
        <v>Apply online</v>
      </c>
      <c r="M164" s="10">
        <f>IFERROR(__xludf.DUMMYFUNCTION("""COMPUTED_VALUE"""),44.0)</f>
        <v>44</v>
      </c>
      <c r="N164" s="10" t="str">
        <f>IFERROR(__xludf.DUMMYFUNCTION("""COMPUTED_VALUE"""),"Mother &amp; Child")</f>
        <v>Mother &amp; Child</v>
      </c>
      <c r="O164" s="10">
        <f>IFERROR(__xludf.DUMMYFUNCTION("""COMPUTED_VALUE"""),1.0)</f>
        <v>1</v>
      </c>
      <c r="P164" s="10" t="str">
        <f>IFERROR(__xludf.DUMMYFUNCTION("""COMPUTED_VALUE"""),"ACTIVE")</f>
        <v>ACTIVE</v>
      </c>
      <c r="Q164" s="11">
        <f>IFERROR(__xludf.DUMMYFUNCTION("""COMPUTED_VALUE"""),46062.0)</f>
        <v>46062</v>
      </c>
      <c r="R164" s="9" t="str">
        <f>IFERROR(__xludf.DUMMYFUNCTION("""COMPUTED_VALUE"""),"Verified online")</f>
        <v>Verified online</v>
      </c>
      <c r="S164" s="9" t="str">
        <f>IFERROR(__xludf.DUMMYFUNCTION("""COMPUTED_VALUE"""),"CHIP Perinatal program
Available to citizens and non-citizens who are Texas residents, meet income requirements and do not have health insurance.
Provides limited coverage during pregnancy and two postpartum visits within 60 days of the end of the pregnan"&amp;"cy.")</f>
        <v>CHIP Perinatal program
Available to citizens and non-citizens who are Texas residents, meet income requirements and do not have health insurance.
Provides limited coverage during pregnancy and two postpartum visits within 60 days of the end of the pregnancy.</v>
      </c>
      <c r="T164" s="12" t="b">
        <f>IFERROR(__xludf.DUMMYFUNCTION("""COMPUTED_VALUE"""),TRUE)</f>
        <v>1</v>
      </c>
      <c r="U164" s="12" t="b">
        <f>IFERROR(__xludf.DUMMYFUNCTION("""COMPUTED_VALUE"""),FALSE)</f>
        <v>0</v>
      </c>
      <c r="V164" s="13" t="str">
        <f>IFERROR(__xludf.DUMMYFUNCTION("""COMPUTED_VALUE"""),"https://www.hhs.texas.gov/services/health/medicaid-chip/medicaid-chip-programs-services/medicaid-pregnant-women-chip-perinatal")</f>
        <v>https://www.hhs.texas.gov/services/health/medicaid-chip/medicaid-chip-programs-services/medicaid-pregnant-women-chip-perinatal</v>
      </c>
      <c r="W164" s="10"/>
      <c r="X164" s="10"/>
      <c r="Y164" s="9" t="str">
        <f>IFERROR(__xludf.DUMMYFUNCTION("""COMPUTED_VALUE"""),"Houston")</f>
        <v>Houston</v>
      </c>
      <c r="Z164" s="9" t="str">
        <f>IFERROR(__xludf.DUMMYFUNCTION("""COMPUTED_VALUE"""),"Eastwood, Gulfgate Riverview / Pine Valley, Idylwood, Lawndale / Wayside, Magnolia Park, South Central Houston")</f>
        <v>Eastwood, Gulfgate Riverview / Pine Valley, Idylwood, Lawndale / Wayside, Magnolia Park, South Central Houston</v>
      </c>
      <c r="AA164" s="9" t="str">
        <f>IFERROR(__xludf.DUMMYFUNCTION("""COMPUTED_VALUE"""),"Children's Health Insurance Program (CHIP)")</f>
        <v>Children's Health Insurance Program (CHIP)</v>
      </c>
      <c r="AB164" s="9"/>
    </row>
    <row r="165" ht="30.0" customHeight="1">
      <c r="A165" s="17">
        <v>164.0</v>
      </c>
      <c r="B16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C165" s="9" t="str">
        <f>IFERROR(__xludf.DUMMYFUNCTION("""COMPUTED_VALUE"""),"Chinese Community Service Center")</f>
        <v>Chinese Community Service Center</v>
      </c>
      <c r="D165" s="9" t="str">
        <f>IFERROR(__xludf.DUMMYFUNCTION("""COMPUTED_VALUE"""),"9800 Town Park Drive")</f>
        <v>9800 Town Park Drive</v>
      </c>
      <c r="E165" s="9"/>
      <c r="F165" s="9" t="str">
        <f>IFERROR(__xludf.DUMMYFUNCTION("""COMPUTED_VALUE"""),"Houston")</f>
        <v>Houston</v>
      </c>
      <c r="G165" s="9" t="str">
        <f>IFERROR(__xludf.DUMMYFUNCTION("""COMPUTED_VALUE"""),"TX")</f>
        <v>TX</v>
      </c>
      <c r="H165" s="9" t="str">
        <f>IFERROR(__xludf.DUMMYFUNCTION("""COMPUTED_VALUE"""),"77036")</f>
        <v>77036</v>
      </c>
      <c r="I165" s="9" t="str">
        <f>IFERROR(__xludf.DUMMYFUNCTION("""COMPUTED_VALUE"""),"713-271-6100")</f>
        <v>713-271-6100</v>
      </c>
      <c r="J165" s="9" t="str">
        <f>IFERROR(__xludf.DUMMYFUNCTION("""COMPUTED_VALUE"""),"29.711867, -95.554877")</f>
        <v>29.711867, -95.554877</v>
      </c>
      <c r="K165" s="9" t="str">
        <f>IFERROR(__xludf.DUMMYFUNCTION("""COMPUTED_VALUE"""),"{""regular"":[{""days"":[""Mo""],""open"":""09:00"",""close"":""17:00""}]}")</f>
        <v>{"regular":[{"days":["Mo"],"open":"09:00","close":"17:00"}]}</v>
      </c>
      <c r="L165" s="9" t="str">
        <f>IFERROR(__xludf.DUMMYFUNCTION("""COMPUTED_VALUE"""),"Register online or in person.  Do not call.")</f>
        <v>Register online or in person.  Do not call.</v>
      </c>
      <c r="M165" s="10">
        <f>IFERROR(__xludf.DUMMYFUNCTION("""COMPUTED_VALUE"""),12.0)</f>
        <v>12</v>
      </c>
      <c r="N165" s="10" t="str">
        <f>IFERROR(__xludf.DUMMYFUNCTION("""COMPUTED_VALUE"""),"Utilities")</f>
        <v>Utilities</v>
      </c>
      <c r="O165" s="10">
        <f>IFERROR(__xludf.DUMMYFUNCTION("""COMPUTED_VALUE"""),1.0)</f>
        <v>1</v>
      </c>
      <c r="P165" s="10" t="str">
        <f>IFERROR(__xludf.DUMMYFUNCTION("""COMPUTED_VALUE"""),"ACTIVE")</f>
        <v>ACTIVE</v>
      </c>
      <c r="Q165" s="11">
        <f>IFERROR(__xludf.DUMMYFUNCTION("""COMPUTED_VALUE"""),46026.0)</f>
        <v>46026</v>
      </c>
      <c r="R165" s="9" t="str">
        <f>IFERROR(__xludf.DUMMYFUNCTION("""COMPUTED_VALUE"""),"Verified by phone")</f>
        <v>Verified by phone</v>
      </c>
      <c r="S165" s="9" t="str">
        <f>IFERROR(__xludf.DUMMYFUNCTION("""COMPUTED_VALUE"""),"Proof of Citizenship
Valid photo ID
Proof of Income
Utility bill
Hard copies of all documents")</f>
        <v>Proof of Citizenship
Valid photo ID
Proof of Income
Utility bill
Hard copies of all documents</v>
      </c>
      <c r="T165" s="12" t="b">
        <f>IFERROR(__xludf.DUMMYFUNCTION("""COMPUTED_VALUE"""),FALSE)</f>
        <v>0</v>
      </c>
      <c r="U165" s="12" t="b">
        <f>IFERROR(__xludf.DUMMYFUNCTION("""COMPUTED_VALUE"""),FALSE)</f>
        <v>0</v>
      </c>
      <c r="V165" s="13" t="str">
        <f>IFERROR(__xludf.DUMMYFUNCTION("""COMPUTED_VALUE"""),"https://ccchouston.org/bec/ceap/")</f>
        <v>https://ccchouston.org/bec/ceap/</v>
      </c>
      <c r="W165" s="14" t="str">
        <f>IFERROR(__xludf.DUMMYFUNCTION("""COMPUTED_VALUE"""),"https://maps.google.com/?q=Chinese%20Community%20Service%20Center%209800%20Town%20Park%20Houston%20TX%2077036")</f>
        <v>https://maps.google.com/?q=Chinese%20Community%20Service%20Center%209800%20Town%20Park%20Houston%20TX%2077036</v>
      </c>
      <c r="X165" s="10"/>
      <c r="Y165" s="9" t="str">
        <f>IFERROR(__xludf.DUMMYFUNCTION("""COMPUTED_VALUE"""),"Houston")</f>
        <v>Houston</v>
      </c>
      <c r="Z165" s="9" t="str">
        <f>IFERROR(__xludf.DUMMYFUNCTION("""COMPUTED_VALUE"""),"Chinatown, Sharpstown, Westside")</f>
        <v>Chinatown, Sharpstown, Westside</v>
      </c>
      <c r="AA165" s="9" t="str">
        <f>IFERROR(__xludf.DUMMYFUNCTION("""COMPUTED_VALUE"""),"Chinese Community Service Center")</f>
        <v>Chinese Community Service Center</v>
      </c>
      <c r="AB165" s="9" t="str">
        <f>IFERROR(__xludf.DUMMYFUNCTION("""COMPUTED_VALUE"""),"Chinatown")</f>
        <v>Chinatown</v>
      </c>
    </row>
    <row r="166" ht="30.0" customHeight="1">
      <c r="A166" s="17">
        <v>165.0</v>
      </c>
      <c r="B166" s="8" t="str">
        <f>IFERROR(__xludf.DUMMYFUNCTION("""COMPUTED_VALUE"""),"[""99999""]")</f>
        <v>["99999"]</v>
      </c>
      <c r="C166" s="9" t="str">
        <f>IFERROR(__xludf.DUMMYFUNCTION("""COMPUTED_VALUE"""),"Chinese Community Service Center")</f>
        <v>Chinese Community Service Center</v>
      </c>
      <c r="D166" s="9" t="str">
        <f>IFERROR(__xludf.DUMMYFUNCTION("""COMPUTED_VALUE"""),"9800 Town Park Drive")</f>
        <v>9800 Town Park Drive</v>
      </c>
      <c r="E166" s="9"/>
      <c r="F166" s="9" t="str">
        <f>IFERROR(__xludf.DUMMYFUNCTION("""COMPUTED_VALUE"""),"Houston")</f>
        <v>Houston</v>
      </c>
      <c r="G166" s="9" t="str">
        <f>IFERROR(__xludf.DUMMYFUNCTION("""COMPUTED_VALUE"""),"TX")</f>
        <v>TX</v>
      </c>
      <c r="H166" s="9" t="str">
        <f>IFERROR(__xludf.DUMMYFUNCTION("""COMPUTED_VALUE"""),"77036")</f>
        <v>77036</v>
      </c>
      <c r="I166" s="9" t="str">
        <f>IFERROR(__xludf.DUMMYFUNCTION("""COMPUTED_VALUE"""),"713-271-6100")</f>
        <v>713-271-6100</v>
      </c>
      <c r="J166" s="9" t="str">
        <f>IFERROR(__xludf.DUMMYFUNCTION("""COMPUTED_VALUE"""),"29.711867, -95.554877")</f>
        <v>29.711867, -95.554877</v>
      </c>
      <c r="K166" s="9" t="str">
        <f>IFERROR(__xludf.DUMMYFUNCTION("""COMPUTED_VALUE"""),"{""regular"":[{""days"":[""Mo""],""open"":""09:00"",""close"":""17:00""}]}")</f>
        <v>{"regular":[{"days":["Mo"],"open":"09:00","close":"17:00"}]}</v>
      </c>
      <c r="L166" s="9"/>
      <c r="M166" s="10">
        <f>IFERROR(__xludf.DUMMYFUNCTION("""COMPUTED_VALUE"""),35.0)</f>
        <v>35</v>
      </c>
      <c r="N166" s="10" t="str">
        <f>IFERROR(__xludf.DUMMYFUNCTION("""COMPUTED_VALUE"""),"Medical - Program Enrollment")</f>
        <v>Medical - Program Enrollment</v>
      </c>
      <c r="O166" s="10">
        <f>IFERROR(__xludf.DUMMYFUNCTION("""COMPUTED_VALUE"""),1.0)</f>
        <v>1</v>
      </c>
      <c r="P166" s="10" t="str">
        <f>IFERROR(__xludf.DUMMYFUNCTION("""COMPUTED_VALUE"""),"ACTIVE")</f>
        <v>ACTIVE</v>
      </c>
      <c r="Q166" s="11">
        <f>IFERROR(__xludf.DUMMYFUNCTION("""COMPUTED_VALUE"""),46026.0)</f>
        <v>46026</v>
      </c>
      <c r="R166" s="9" t="str">
        <f>IFERROR(__xludf.DUMMYFUNCTION("""COMPUTED_VALUE"""),"Verified online")</f>
        <v>Verified online</v>
      </c>
      <c r="S166" s="9" t="str">
        <f>IFERROR(__xludf.DUMMYFUNCTION("""COMPUTED_VALUE"""),"Help in apply to social benefits programs including SNAP. Medicaid, Chip, TANF, Gold Card, WIC., Healthy Texas Women, RSDI, SSDI, SSI, etc.")</f>
        <v>Help in apply to social benefits programs including SNAP. Medicaid, Chip, TANF, Gold Card, WIC., Healthy Texas Women, RSDI, SSDI, SSI, etc.</v>
      </c>
      <c r="T166" s="12" t="b">
        <f>IFERROR(__xludf.DUMMYFUNCTION("""COMPUTED_VALUE"""),FALSE)</f>
        <v>0</v>
      </c>
      <c r="U166" s="12" t="b">
        <f>IFERROR(__xludf.DUMMYFUNCTION("""COMPUTED_VALUE"""),FALSE)</f>
        <v>0</v>
      </c>
      <c r="V166" s="13" t="str">
        <f>IFERROR(__xludf.DUMMYFUNCTION("""COMPUTED_VALUE"""),"https://ccchouston.org/bec/")</f>
        <v>https://ccchouston.org/bec/</v>
      </c>
      <c r="W166" s="14" t="str">
        <f>IFERROR(__xludf.DUMMYFUNCTION("""COMPUTED_VALUE"""),"https://maps.google.com/?q=Chinese%20Community%20Service%20Center%209800%20Town%20Park%20Houston%20TX%2077036")</f>
        <v>https://maps.google.com/?q=Chinese%20Community%20Service%20Center%209800%20Town%20Park%20Houston%20TX%2077036</v>
      </c>
      <c r="X166" s="10"/>
      <c r="Y166" s="9" t="str">
        <f>IFERROR(__xludf.DUMMYFUNCTION("""COMPUTED_VALUE"""),"Houston")</f>
        <v>Houston</v>
      </c>
      <c r="Z166" s="9" t="str">
        <f>IFERROR(__xludf.DUMMYFUNCTION("""COMPUTED_VALUE"""),"Chinatown, Sharpstown, Westside")</f>
        <v>Chinatown, Sharpstown, Westside</v>
      </c>
      <c r="AA166" s="9" t="str">
        <f>IFERROR(__xludf.DUMMYFUNCTION("""COMPUTED_VALUE"""),"Chinese Community Service Center")</f>
        <v>Chinese Community Service Center</v>
      </c>
      <c r="AB166" s="9" t="str">
        <f>IFERROR(__xludf.DUMMYFUNCTION("""COMPUTED_VALUE"""),"Chinatown")</f>
        <v>Chinatown</v>
      </c>
    </row>
    <row r="167" ht="30.0" customHeight="1">
      <c r="A167" s="17">
        <v>166.0</v>
      </c>
      <c r="B167" s="8" t="str">
        <f>IFERROR(__xludf.DUMMYFUNCTION("""COMPUTED_VALUE"""),"[""99999""]")</f>
        <v>["99999"]</v>
      </c>
      <c r="C167" s="9" t="str">
        <f>IFERROR(__xludf.DUMMYFUNCTION("""COMPUTED_VALUE"""),"Chinese Community Service Center")</f>
        <v>Chinese Community Service Center</v>
      </c>
      <c r="D167" s="9" t="str">
        <f>IFERROR(__xludf.DUMMYFUNCTION("""COMPUTED_VALUE"""),"9800 Town Park Drive")</f>
        <v>9800 Town Park Drive</v>
      </c>
      <c r="E167" s="9"/>
      <c r="F167" s="10" t="str">
        <f>IFERROR(__xludf.DUMMYFUNCTION("""COMPUTED_VALUE"""),"Houston")</f>
        <v>Houston</v>
      </c>
      <c r="G167" s="9" t="str">
        <f>IFERROR(__xludf.DUMMYFUNCTION("""COMPUTED_VALUE"""),"TX")</f>
        <v>TX</v>
      </c>
      <c r="H167" s="9" t="str">
        <f>IFERROR(__xludf.DUMMYFUNCTION("""COMPUTED_VALUE"""),"77036")</f>
        <v>77036</v>
      </c>
      <c r="I167" s="9" t="str">
        <f>IFERROR(__xludf.DUMMYFUNCTION("""COMPUTED_VALUE"""),"713-271-6100")</f>
        <v>713-271-6100</v>
      </c>
      <c r="J167" s="9" t="str">
        <f>IFERROR(__xludf.DUMMYFUNCTION("""COMPUTED_VALUE"""),"29.711867, -95.554877")</f>
        <v>29.711867, -95.554877</v>
      </c>
      <c r="K167" s="9" t="str">
        <f>IFERROR(__xludf.DUMMYFUNCTION("""COMPUTED_VALUE"""),"{""regular"":[{""days"":[""Mo""],""open"":""09:00"",""close"":""17:00""}]}")</f>
        <v>{"regular":[{"days":["Mo"],"open":"09:00","close":"17:00"}]}</v>
      </c>
      <c r="L167" s="9"/>
      <c r="M167" s="10">
        <f>IFERROR(__xludf.DUMMYFUNCTION("""COMPUTED_VALUE"""),51.0)</f>
        <v>51</v>
      </c>
      <c r="N167" s="10" t="str">
        <f>IFERROR(__xludf.DUMMYFUNCTION("""COMPUTED_VALUE"""),"Education - Adults")</f>
        <v>Education - Adults</v>
      </c>
      <c r="O167" s="10">
        <f>IFERROR(__xludf.DUMMYFUNCTION("""COMPUTED_VALUE"""),1.0)</f>
        <v>1</v>
      </c>
      <c r="P167" s="10" t="str">
        <f>IFERROR(__xludf.DUMMYFUNCTION("""COMPUTED_VALUE"""),"ACTIVE")</f>
        <v>ACTIVE</v>
      </c>
      <c r="Q167" s="11"/>
      <c r="R167" s="9"/>
      <c r="S167" s="9"/>
      <c r="T167" s="12" t="b">
        <f>IFERROR(__xludf.DUMMYFUNCTION("""COMPUTED_VALUE"""),FALSE)</f>
        <v>0</v>
      </c>
      <c r="U167" s="12" t="b">
        <f>IFERROR(__xludf.DUMMYFUNCTION("""COMPUTED_VALUE"""),FALSE)</f>
        <v>0</v>
      </c>
      <c r="V167" s="13" t="str">
        <f>IFERROR(__xludf.DUMMYFUNCTION("""COMPUTED_VALUE"""),"https://ccchouston.org/esl/")</f>
        <v>https://ccchouston.org/esl/</v>
      </c>
      <c r="W167" s="14" t="str">
        <f>IFERROR(__xludf.DUMMYFUNCTION("""COMPUTED_VALUE"""),"https://maps.google.com/?q=Chinese%20Community%20Service%20Center%209800%20Town%20Park%20Houston%20TX%2077036")</f>
        <v>https://maps.google.com/?q=Chinese%20Community%20Service%20Center%209800%20Town%20Park%20Houston%20TX%2077036</v>
      </c>
      <c r="X167" s="10"/>
      <c r="Y167" s="9" t="str">
        <f>IFERROR(__xludf.DUMMYFUNCTION("""COMPUTED_VALUE"""),"Houston")</f>
        <v>Houston</v>
      </c>
      <c r="Z167" s="9" t="str">
        <f>IFERROR(__xludf.DUMMYFUNCTION("""COMPUTED_VALUE"""),"Chinatown, Sharpstown, Westside")</f>
        <v>Chinatown, Sharpstown, Westside</v>
      </c>
      <c r="AA167" s="9" t="str">
        <f>IFERROR(__xludf.DUMMYFUNCTION("""COMPUTED_VALUE"""),"Chinese Community Service Center")</f>
        <v>Chinese Community Service Center</v>
      </c>
      <c r="AB167" s="9" t="str">
        <f>IFERROR(__xludf.DUMMYFUNCTION("""COMPUTED_VALUE"""),"Chinatown")</f>
        <v>Chinatown</v>
      </c>
    </row>
    <row r="168" ht="30.0" customHeight="1">
      <c r="A168" s="17">
        <v>167.0</v>
      </c>
      <c r="B168" s="8" t="str">
        <f>IFERROR(__xludf.DUMMYFUNCTION("""COMPUTED_VALUE"""),"[""99999""]")</f>
        <v>["99999"]</v>
      </c>
      <c r="C168" s="9" t="str">
        <f>IFERROR(__xludf.DUMMYFUNCTION("""COMPUTED_VALUE"""),"Chinese Community Service Center")</f>
        <v>Chinese Community Service Center</v>
      </c>
      <c r="D168" s="9" t="str">
        <f>IFERROR(__xludf.DUMMYFUNCTION("""COMPUTED_VALUE"""),"9800 Town Park Drive")</f>
        <v>9800 Town Park Drive</v>
      </c>
      <c r="E168" s="9"/>
      <c r="F168" s="9" t="str">
        <f>IFERROR(__xludf.DUMMYFUNCTION("""COMPUTED_VALUE"""),"Houston")</f>
        <v>Houston</v>
      </c>
      <c r="G168" s="9" t="str">
        <f>IFERROR(__xludf.DUMMYFUNCTION("""COMPUTED_VALUE"""),"TX")</f>
        <v>TX</v>
      </c>
      <c r="H168" s="9" t="str">
        <f>IFERROR(__xludf.DUMMYFUNCTION("""COMPUTED_VALUE"""),"77036")</f>
        <v>77036</v>
      </c>
      <c r="I168" s="9" t="str">
        <f>IFERROR(__xludf.DUMMYFUNCTION("""COMPUTED_VALUE"""),"713-271-6100")</f>
        <v>713-271-6100</v>
      </c>
      <c r="J168" s="9" t="str">
        <f>IFERROR(__xludf.DUMMYFUNCTION("""COMPUTED_VALUE"""),"29.711867, -95.554877")</f>
        <v>29.711867, -95.554877</v>
      </c>
      <c r="K168" s="9" t="str">
        <f>IFERROR(__xludf.DUMMYFUNCTION("""COMPUTED_VALUE"""),"{""regular"":[{""days"":[""Mo""],""open"":""09:00"",""close"":""17:00""}]}")</f>
        <v>{"regular":[{"days":["Mo"],"open":"09:00","close":"17:00"}]}</v>
      </c>
      <c r="L168" s="9"/>
      <c r="M168" s="10">
        <f>IFERROR(__xludf.DUMMYFUNCTION("""COMPUTED_VALUE"""),61.0)</f>
        <v>61</v>
      </c>
      <c r="N168" s="10" t="str">
        <f>IFERROR(__xludf.DUMMYFUNCTION("""COMPUTED_VALUE"""),"Seniors")</f>
        <v>Seniors</v>
      </c>
      <c r="O168" s="10">
        <f>IFERROR(__xludf.DUMMYFUNCTION("""COMPUTED_VALUE"""),1.0)</f>
        <v>1</v>
      </c>
      <c r="P168" s="10" t="str">
        <f>IFERROR(__xludf.DUMMYFUNCTION("""COMPUTED_VALUE"""),"ACTIVE")</f>
        <v>ACTIVE</v>
      </c>
      <c r="Q168" s="11"/>
      <c r="R168" s="9"/>
      <c r="S168" s="9" t="str">
        <f>IFERROR(__xludf.DUMMYFUNCTION("""COMPUTED_VALUE"""),"Adult Day Care
Wellness Program
Caregiver Services
Free for Medicaid clients but need physician referral.")</f>
        <v>Adult Day Care
Wellness Program
Caregiver Services
Free for Medicaid clients but need physician referral.</v>
      </c>
      <c r="T168" s="12" t="b">
        <f>IFERROR(__xludf.DUMMYFUNCTION("""COMPUTED_VALUE"""),FALSE)</f>
        <v>0</v>
      </c>
      <c r="U168" s="12" t="b">
        <f>IFERROR(__xludf.DUMMYFUNCTION("""COMPUTED_VALUE"""),FALSE)</f>
        <v>0</v>
      </c>
      <c r="V168" s="13" t="str">
        <f>IFERROR(__xludf.DUMMYFUNCTION("""COMPUTED_VALUE"""),"https://ccchouston.org/dahs/")</f>
        <v>https://ccchouston.org/dahs/</v>
      </c>
      <c r="W168" s="14" t="str">
        <f>IFERROR(__xludf.DUMMYFUNCTION("""COMPUTED_VALUE"""),"https://maps.google.com/?q=Chinese%20Community%20Service%20Center%209800%20Town%20Park%20Houston%20TX%2077036")</f>
        <v>https://maps.google.com/?q=Chinese%20Community%20Service%20Center%209800%20Town%20Park%20Houston%20TX%2077036</v>
      </c>
      <c r="X168" s="10"/>
      <c r="Y168" s="9" t="str">
        <f>IFERROR(__xludf.DUMMYFUNCTION("""COMPUTED_VALUE"""),"Houston")</f>
        <v>Houston</v>
      </c>
      <c r="Z168" s="9" t="str">
        <f>IFERROR(__xludf.DUMMYFUNCTION("""COMPUTED_VALUE"""),"Chinatown, Sharpstown, Westside")</f>
        <v>Chinatown, Sharpstown, Westside</v>
      </c>
      <c r="AA168" s="9" t="str">
        <f>IFERROR(__xludf.DUMMYFUNCTION("""COMPUTED_VALUE"""),"Chinese Community Service Center")</f>
        <v>Chinese Community Service Center</v>
      </c>
      <c r="AB168" s="9" t="str">
        <f>IFERROR(__xludf.DUMMYFUNCTION("""COMPUTED_VALUE"""),"Chinatown")</f>
        <v>Chinatown</v>
      </c>
    </row>
    <row r="169" ht="30.0" customHeight="1">
      <c r="A169" s="17">
        <v>168.0</v>
      </c>
      <c r="B169" s="8" t="str">
        <f>IFERROR(__xludf.DUMMYFUNCTION("""COMPUTED_VALUE"""),"[""77449"", ""77450"", ""77493"", ""77494""]")</f>
        <v>["77449", "77450", "77493", "77494"]</v>
      </c>
      <c r="C169" s="9" t="str">
        <f>IFERROR(__xludf.DUMMYFUNCTION("""COMPUTED_VALUE"""),"Christ Clinic")</f>
        <v>Christ Clinic</v>
      </c>
      <c r="D169" s="9" t="str">
        <f>IFERROR(__xludf.DUMMYFUNCTION("""COMPUTED_VALUE"""),"1040 Schlipf Road, Suite 217")</f>
        <v>1040 Schlipf Road, Suite 217</v>
      </c>
      <c r="E169" s="9"/>
      <c r="F169" s="9" t="str">
        <f>IFERROR(__xludf.DUMMYFUNCTION("""COMPUTED_VALUE"""),"Katy")</f>
        <v>Katy</v>
      </c>
      <c r="G169" s="9" t="str">
        <f>IFERROR(__xludf.DUMMYFUNCTION("""COMPUTED_VALUE"""),"TX")</f>
        <v>TX</v>
      </c>
      <c r="H169" s="9" t="str">
        <f>IFERROR(__xludf.DUMMYFUNCTION("""COMPUTED_VALUE"""),"77493")</f>
        <v>77493</v>
      </c>
      <c r="I169" s="9" t="str">
        <f>IFERROR(__xludf.DUMMYFUNCTION("""COMPUTED_VALUE"""),"281-391-0190")</f>
        <v>281-391-0190</v>
      </c>
      <c r="J169" s="9" t="str">
        <f>IFERROR(__xludf.DUMMYFUNCTION("""COMPUTED_VALUE"""),"29.788054, -95.870254")</f>
        <v>29.788054, -95.870254</v>
      </c>
      <c r="K169" s="9" t="str">
        <f>IFERROR(__xludf.DUMMYFUNCTION("""COMPUTED_VALUE"""),"{""regular"":[{""days"":[""Mo"",""Tu"",""We"",""Th""],""open"":""09:00"",""close"":""17:00""},{""days"":[""Fr""],""open"":""09:00"",""close"":""15:00""}]}")</f>
        <v>{"regular":[{"days":["Mo","Tu","We","Th"],"open":"09:00","close":"17:00"},{"days":["Fr"],"open":"09:00","close":"15:00"}]}</v>
      </c>
      <c r="L169" s="9"/>
      <c r="M169" s="10">
        <f>IFERROR(__xludf.DUMMYFUNCTION("""COMPUTED_VALUE"""),31.0)</f>
        <v>31</v>
      </c>
      <c r="N169" s="10" t="str">
        <f>IFERROR(__xludf.DUMMYFUNCTION("""COMPUTED_VALUE"""),"Medical - Primary Care")</f>
        <v>Medical - Primary Care</v>
      </c>
      <c r="O169" s="10">
        <f>IFERROR(__xludf.DUMMYFUNCTION("""COMPUTED_VALUE"""),1.0)</f>
        <v>1</v>
      </c>
      <c r="P169" s="10" t="str">
        <f>IFERROR(__xludf.DUMMYFUNCTION("""COMPUTED_VALUE"""),"ACTIVE")</f>
        <v>ACTIVE</v>
      </c>
      <c r="Q169" s="11">
        <f>IFERROR(__xludf.DUMMYFUNCTION("""COMPUTED_VALUE"""),45788.0)</f>
        <v>45788</v>
      </c>
      <c r="R169" s="9" t="str">
        <f>IFERROR(__xludf.DUMMYFUNCTION("""COMPUTED_VALUE"""),"Verified online")</f>
        <v>Verified online</v>
      </c>
      <c r="S169" s="9" t="str">
        <f>IFERROR(__xludf.DUMMYFUNCTION("""COMPUTED_VALUE"""),"Healthcare and healthcare related services to uninsured.
Pharmacy and medication assistance.
Income not to exceed 200% of Federal Poverty Level.
Screened for eligibility.")</f>
        <v>Healthcare and healthcare related services to uninsured.
Pharmacy and medication assistance.
Income not to exceed 200% of Federal Poverty Level.
Screened for eligibility.</v>
      </c>
      <c r="T169" s="12" t="b">
        <f>IFERROR(__xludf.DUMMYFUNCTION("""COMPUTED_VALUE"""),FALSE)</f>
        <v>0</v>
      </c>
      <c r="U169" s="12" t="b">
        <f>IFERROR(__xludf.DUMMYFUNCTION("""COMPUTED_VALUE"""),FALSE)</f>
        <v>0</v>
      </c>
      <c r="V169" s="13" t="str">
        <f>IFERROR(__xludf.DUMMYFUNCTION("""COMPUTED_VALUE"""),"https://christclinickaty.org/home")</f>
        <v>https://christclinickaty.org/home</v>
      </c>
      <c r="W169" s="14" t="str">
        <f>IFERROR(__xludf.DUMMYFUNCTION("""COMPUTED_VALUE"""),"https://www.google.com/maps/place/Christ+Clinic+-+Katy/@29.7880696,-95.8728368,17z/data=!3m1!4b1!4m6!3m5!1s0x86412425dad531a1:0x99ddee452ef42fdd!8m2!3d29.7880696!4d-95.8702565!16s%2Fg%2F1hbpwrz_r?entry=ttu&amp;g_ep=EgoyMDI1MDUwNy4wIKXMDSoASAFQAw%3D%3D")</f>
        <v>https://www.google.com/maps/place/Christ+Clinic+-+Katy/@29.7880696,-95.8728368,17z/data=!3m1!4b1!4m6!3m5!1s0x86412425dad531a1:0x99ddee452ef42fdd!8m2!3d29.7880696!4d-95.8702565!16s%2Fg%2F1hbpwrz_r?entry=ttu&amp;g_ep=EgoyMDI1MDUwNy4wIKXMDSoASAFQAw%3D%3D</v>
      </c>
      <c r="X169" s="10"/>
      <c r="Y169" s="9" t="str">
        <f>IFERROR(__xludf.DUMMYFUNCTION("""COMPUTED_VALUE"""),"Katy")</f>
        <v>Katy</v>
      </c>
      <c r="Z169" s="9" t="str">
        <f>IFERROR(__xludf.DUMMYFUNCTION("""COMPUTED_VALUE"""),"Cane Island, Katy (Old Town)")</f>
        <v>Cane Island, Katy (Old Town)</v>
      </c>
      <c r="AA169" s="9" t="str">
        <f>IFERROR(__xludf.DUMMYFUNCTION("""COMPUTED_VALUE"""),"Christ Clinic")</f>
        <v>Christ Clinic</v>
      </c>
      <c r="AB169" s="9" t="str">
        <f>IFERROR(__xludf.DUMMYFUNCTION("""COMPUTED_VALUE"""),"Katy")</f>
        <v>Katy</v>
      </c>
    </row>
    <row r="170" ht="30.0" customHeight="1">
      <c r="A170" s="17">
        <v>169.0</v>
      </c>
      <c r="B170" s="8" t="str">
        <f>IFERROR(__xludf.DUMMYFUNCTION("""COMPUTED_VALUE"""),"[""77065"", ""77429"", ""77433""]")</f>
        <v>["77065", "77429", "77433"]</v>
      </c>
      <c r="C170" s="9" t="str">
        <f>IFERROR(__xludf.DUMMYFUNCTION("""COMPUTED_VALUE"""),"Christ the Redeemer")</f>
        <v>Christ the Redeemer</v>
      </c>
      <c r="D170" s="9" t="str">
        <f>IFERROR(__xludf.DUMMYFUNCTION("""COMPUTED_VALUE"""),"11507 Huffmeister Road")</f>
        <v>11507 Huffmeister Road</v>
      </c>
      <c r="E170" s="9"/>
      <c r="F170" s="9" t="str">
        <f>IFERROR(__xludf.DUMMYFUNCTION("""COMPUTED_VALUE"""),"Houston")</f>
        <v>Houston</v>
      </c>
      <c r="G170" s="9" t="str">
        <f>IFERROR(__xludf.DUMMYFUNCTION("""COMPUTED_VALUE"""),"TX")</f>
        <v>TX</v>
      </c>
      <c r="H170" s="9" t="str">
        <f>IFERROR(__xludf.DUMMYFUNCTION("""COMPUTED_VALUE"""),"77065")</f>
        <v>77065</v>
      </c>
      <c r="I170" s="9" t="str">
        <f>IFERROR(__xludf.DUMMYFUNCTION("""COMPUTED_VALUE"""),"251-469-5533")</f>
        <v>251-469-5533</v>
      </c>
      <c r="J170" s="9" t="str">
        <f>IFERROR(__xludf.DUMMYFUNCTION("""COMPUTED_VALUE"""),"29.941876, -95.629195")</f>
        <v>29.941876, -95.629195</v>
      </c>
      <c r="K170" s="9" t="str">
        <f>IFERROR(__xludf.DUMMYFUNCTION("""COMPUTED_VALUE"""),"{""regular"":[{""days"":[""Mo"",""Tu"",""We"",""Th"",""Fr""],""open"":""09:00"",""close"":""16:00""}]}")</f>
        <v>{"regular":[{"days":["Mo","Tu","We","Th","Fr"],"open":"09:00","close":"16:00"}]}</v>
      </c>
      <c r="L170" s="9"/>
      <c r="M170" s="10">
        <f>IFERROR(__xludf.DUMMYFUNCTION("""COMPUTED_VALUE"""),11.0)</f>
        <v>11</v>
      </c>
      <c r="N170" s="10" t="str">
        <f>IFERROR(__xludf.DUMMYFUNCTION("""COMPUTED_VALUE"""),"Rent")</f>
        <v>Rent</v>
      </c>
      <c r="O170" s="10">
        <f>IFERROR(__xludf.DUMMYFUNCTION("""COMPUTED_VALUE"""),4.0)</f>
        <v>4</v>
      </c>
      <c r="P170" s="10" t="str">
        <f>IFERROR(__xludf.DUMMYFUNCTION("""COMPUTED_VALUE"""),"CLOSED")</f>
        <v>CLOSED</v>
      </c>
      <c r="Q170" s="11">
        <f>IFERROR(__xludf.DUMMYFUNCTION("""COMPUTED_VALUE"""),45637.0)</f>
        <v>45637</v>
      </c>
      <c r="R170" s="9" t="str">
        <f>IFERROR(__xludf.DUMMYFUNCTION("""COMPUTED_VALUE"""),"No direct assistance, only referrals")</f>
        <v>No direct assistance, only referrals</v>
      </c>
      <c r="S170" s="9"/>
      <c r="T170" s="12" t="b">
        <f>IFERROR(__xludf.DUMMYFUNCTION("""COMPUTED_VALUE"""),FALSE)</f>
        <v>0</v>
      </c>
      <c r="U170" s="12" t="b">
        <f>IFERROR(__xludf.DUMMYFUNCTION("""COMPUTED_VALUE"""),FALSE)</f>
        <v>0</v>
      </c>
      <c r="V170" s="13" t="str">
        <f>IFERROR(__xludf.DUMMYFUNCTION("""COMPUTED_VALUE"""),"https://ctrcc.com/help")</f>
        <v>https://ctrcc.com/help</v>
      </c>
      <c r="W170" s="14" t="str">
        <f>IFERROR(__xludf.DUMMYFUNCTION("""COMPUTED_VALUE"""),"https://maps.google.com/?q=Christ%20the%20Redeemer%20%20Houston%20TX%20")</f>
        <v>https://maps.google.com/?q=Christ%20the%20Redeemer%20%20Houston%20TX%20</v>
      </c>
      <c r="X170" s="10"/>
      <c r="Y170" s="9" t="str">
        <f>IFERROR(__xludf.DUMMYFUNCTION("""COMPUTED_VALUE"""),"Houston")</f>
        <v>Houston</v>
      </c>
      <c r="Z170" s="9" t="str">
        <f>IFERROR(__xludf.DUMMYFUNCTION("""COMPUTED_VALUE"""),"Cypress, Fairbanks")</f>
        <v>Cypress, Fairbanks</v>
      </c>
      <c r="AA170" s="9" t="str">
        <f>IFERROR(__xludf.DUMMYFUNCTION("""COMPUTED_VALUE"""),"Christ the Redeemer")</f>
        <v>Christ the Redeemer</v>
      </c>
      <c r="AB170" s="9" t="str">
        <f>IFERROR(__xludf.DUMMYFUNCTION("""COMPUTED_VALUE"""),"Cypress")</f>
        <v>Cypress</v>
      </c>
    </row>
    <row r="171" ht="30.0" customHeight="1">
      <c r="A171" s="17">
        <v>170.0</v>
      </c>
      <c r="B171" s="8" t="str">
        <f>IFERROR(__xludf.DUMMYFUNCTION("""COMPUTED_VALUE"""),"[""77065"", ""77429"", ""77433""]")</f>
        <v>["77065", "77429", "77433"]</v>
      </c>
      <c r="C171" s="9" t="str">
        <f>IFERROR(__xludf.DUMMYFUNCTION("""COMPUTED_VALUE"""),"Christ the Redeemer")</f>
        <v>Christ the Redeemer</v>
      </c>
      <c r="D171" s="9" t="str">
        <f>IFERROR(__xludf.DUMMYFUNCTION("""COMPUTED_VALUE"""),"11507 Huffmeister Road")</f>
        <v>11507 Huffmeister Road</v>
      </c>
      <c r="E171" s="9"/>
      <c r="F171" s="9" t="str">
        <f>IFERROR(__xludf.DUMMYFUNCTION("""COMPUTED_VALUE"""),"Houston")</f>
        <v>Houston</v>
      </c>
      <c r="G171" s="9" t="str">
        <f>IFERROR(__xludf.DUMMYFUNCTION("""COMPUTED_VALUE"""),"TX")</f>
        <v>TX</v>
      </c>
      <c r="H171" s="9" t="str">
        <f>IFERROR(__xludf.DUMMYFUNCTION("""COMPUTED_VALUE"""),"77065")</f>
        <v>77065</v>
      </c>
      <c r="I171" s="9" t="str">
        <f>IFERROR(__xludf.DUMMYFUNCTION("""COMPUTED_VALUE"""),"251-469-5533")</f>
        <v>251-469-5533</v>
      </c>
      <c r="J171" s="9" t="str">
        <f>IFERROR(__xludf.DUMMYFUNCTION("""COMPUTED_VALUE"""),"29.941876, -95.629195")</f>
        <v>29.941876, -95.629195</v>
      </c>
      <c r="K171" s="9" t="str">
        <f>IFERROR(__xludf.DUMMYFUNCTION("""COMPUTED_VALUE"""),"{""regular"":[{""days"":[""Mo"",""Tu"",""We"",""Th"",""Fr""],""open"":""09:00"",""close"":""16:00""}]}")</f>
        <v>{"regular":[{"days":["Mo","Tu","We","Th","Fr"],"open":"09:00","close":"16:00"}]}</v>
      </c>
      <c r="L171" s="9"/>
      <c r="M171" s="10">
        <f>IFERROR(__xludf.DUMMYFUNCTION("""COMPUTED_VALUE"""),12.0)</f>
        <v>12</v>
      </c>
      <c r="N171" s="10" t="str">
        <f>IFERROR(__xludf.DUMMYFUNCTION("""COMPUTED_VALUE"""),"Utilities")</f>
        <v>Utilities</v>
      </c>
      <c r="O171" s="10">
        <f>IFERROR(__xludf.DUMMYFUNCTION("""COMPUTED_VALUE"""),4.0)</f>
        <v>4</v>
      </c>
      <c r="P171" s="10" t="str">
        <f>IFERROR(__xludf.DUMMYFUNCTION("""COMPUTED_VALUE"""),"CLOSED")</f>
        <v>CLOSED</v>
      </c>
      <c r="Q171" s="11">
        <f>IFERROR(__xludf.DUMMYFUNCTION("""COMPUTED_VALUE"""),45637.0)</f>
        <v>45637</v>
      </c>
      <c r="R171" s="9" t="str">
        <f>IFERROR(__xludf.DUMMYFUNCTION("""COMPUTED_VALUE"""),"No direct assistance, only referrals")</f>
        <v>No direct assistance, only referrals</v>
      </c>
      <c r="S171" s="9"/>
      <c r="T171" s="12" t="b">
        <f>IFERROR(__xludf.DUMMYFUNCTION("""COMPUTED_VALUE"""),FALSE)</f>
        <v>0</v>
      </c>
      <c r="U171" s="12" t="b">
        <f>IFERROR(__xludf.DUMMYFUNCTION("""COMPUTED_VALUE"""),FALSE)</f>
        <v>0</v>
      </c>
      <c r="V171" s="13" t="str">
        <f>IFERROR(__xludf.DUMMYFUNCTION("""COMPUTED_VALUE"""),"https://ctrcc.com/help")</f>
        <v>https://ctrcc.com/help</v>
      </c>
      <c r="W171" s="14" t="str">
        <f>IFERROR(__xludf.DUMMYFUNCTION("""COMPUTED_VALUE"""),"https://maps.google.com/?q=Christ%20the%20Redeemer%20%20Houston%20TX%20")</f>
        <v>https://maps.google.com/?q=Christ%20the%20Redeemer%20%20Houston%20TX%20</v>
      </c>
      <c r="X171" s="10"/>
      <c r="Y171" s="9" t="str">
        <f>IFERROR(__xludf.DUMMYFUNCTION("""COMPUTED_VALUE"""),"Houston")</f>
        <v>Houston</v>
      </c>
      <c r="Z171" s="9" t="str">
        <f>IFERROR(__xludf.DUMMYFUNCTION("""COMPUTED_VALUE"""),"Cypress, Fairbanks")</f>
        <v>Cypress, Fairbanks</v>
      </c>
      <c r="AA171" s="9" t="str">
        <f>IFERROR(__xludf.DUMMYFUNCTION("""COMPUTED_VALUE"""),"Christ the Redeemer")</f>
        <v>Christ the Redeemer</v>
      </c>
      <c r="AB171" s="9" t="str">
        <f>IFERROR(__xludf.DUMMYFUNCTION("""COMPUTED_VALUE"""),"Cypress")</f>
        <v>Cypress</v>
      </c>
    </row>
    <row r="172" ht="30.0" customHeight="1">
      <c r="A172" s="17">
        <v>171.0</v>
      </c>
      <c r="B172" s="8" t="str">
        <f>IFERROR(__xludf.DUMMYFUNCTION("""COMPUTED_VALUE"""),"[""77065"", ""77429"", ""77433""]")</f>
        <v>["77065", "77429", "77433"]</v>
      </c>
      <c r="C172" s="9" t="str">
        <f>IFERROR(__xludf.DUMMYFUNCTION("""COMPUTED_VALUE"""),"Christ the Redeemer")</f>
        <v>Christ the Redeemer</v>
      </c>
      <c r="D172" s="9" t="str">
        <f>IFERROR(__xludf.DUMMYFUNCTION("""COMPUTED_VALUE"""),"11507 Huffmeister Road")</f>
        <v>11507 Huffmeister Road</v>
      </c>
      <c r="E172" s="9"/>
      <c r="F172" s="9" t="str">
        <f>IFERROR(__xludf.DUMMYFUNCTION("""COMPUTED_VALUE"""),"Houston")</f>
        <v>Houston</v>
      </c>
      <c r="G172" s="9" t="str">
        <f>IFERROR(__xludf.DUMMYFUNCTION("""COMPUTED_VALUE"""),"TX")</f>
        <v>TX</v>
      </c>
      <c r="H172" s="9" t="str">
        <f>IFERROR(__xludf.DUMMYFUNCTION("""COMPUTED_VALUE"""),"77065")</f>
        <v>77065</v>
      </c>
      <c r="I172" s="9" t="str">
        <f>IFERROR(__xludf.DUMMYFUNCTION("""COMPUTED_VALUE"""),"251-469-5533")</f>
        <v>251-469-5533</v>
      </c>
      <c r="J172" s="9" t="str">
        <f>IFERROR(__xludf.DUMMYFUNCTION("""COMPUTED_VALUE"""),"29.941876, -95.629195")</f>
        <v>29.941876, -95.629195</v>
      </c>
      <c r="K172" s="9" t="str">
        <f>IFERROR(__xludf.DUMMYFUNCTION("""COMPUTED_VALUE"""),"{""regular"":[{""days"":[""Mo"",""Tu"",""We"",""Th"",""Fr""],""open"":""09:00"",""close"":""16:00""}]}")</f>
        <v>{"regular":[{"days":["Mo","Tu","We","Th","Fr"],"open":"09:00","close":"16:00"}]}</v>
      </c>
      <c r="L172" s="9"/>
      <c r="M172" s="10">
        <f>IFERROR(__xludf.DUMMYFUNCTION("""COMPUTED_VALUE"""),13.0)</f>
        <v>13</v>
      </c>
      <c r="N172" s="10" t="str">
        <f>IFERROR(__xludf.DUMMYFUNCTION("""COMPUTED_VALUE"""),"Food")</f>
        <v>Food</v>
      </c>
      <c r="O172" s="10">
        <f>IFERROR(__xludf.DUMMYFUNCTION("""COMPUTED_VALUE"""),4.0)</f>
        <v>4</v>
      </c>
      <c r="P172" s="10" t="str">
        <f>IFERROR(__xludf.DUMMYFUNCTION("""COMPUTED_VALUE"""),"CLOSED")</f>
        <v>CLOSED</v>
      </c>
      <c r="Q172" s="11">
        <f>IFERROR(__xludf.DUMMYFUNCTION("""COMPUTED_VALUE"""),45637.0)</f>
        <v>45637</v>
      </c>
      <c r="R172" s="9" t="str">
        <f>IFERROR(__xludf.DUMMYFUNCTION("""COMPUTED_VALUE"""),"No direct assistance, only referrals")</f>
        <v>No direct assistance, only referrals</v>
      </c>
      <c r="S172" s="9"/>
      <c r="T172" s="12" t="b">
        <f>IFERROR(__xludf.DUMMYFUNCTION("""COMPUTED_VALUE"""),FALSE)</f>
        <v>0</v>
      </c>
      <c r="U172" s="12" t="b">
        <f>IFERROR(__xludf.DUMMYFUNCTION("""COMPUTED_VALUE"""),FALSE)</f>
        <v>0</v>
      </c>
      <c r="V172" s="13" t="str">
        <f>IFERROR(__xludf.DUMMYFUNCTION("""COMPUTED_VALUE"""),"https://ctrcc.com/help")</f>
        <v>https://ctrcc.com/help</v>
      </c>
      <c r="W172" s="14" t="str">
        <f>IFERROR(__xludf.DUMMYFUNCTION("""COMPUTED_VALUE"""),"https://maps.google.com/?q=Christ%20the%20Redeemer%20%20Houston%20TX%20")</f>
        <v>https://maps.google.com/?q=Christ%20the%20Redeemer%20%20Houston%20TX%20</v>
      </c>
      <c r="X172" s="10"/>
      <c r="Y172" s="9" t="str">
        <f>IFERROR(__xludf.DUMMYFUNCTION("""COMPUTED_VALUE"""),"Houston")</f>
        <v>Houston</v>
      </c>
      <c r="Z172" s="9" t="str">
        <f>IFERROR(__xludf.DUMMYFUNCTION("""COMPUTED_VALUE"""),"Cypress, Fairbanks")</f>
        <v>Cypress, Fairbanks</v>
      </c>
      <c r="AA172" s="9" t="str">
        <f>IFERROR(__xludf.DUMMYFUNCTION("""COMPUTED_VALUE"""),"Christ the Redeemer")</f>
        <v>Christ the Redeemer</v>
      </c>
      <c r="AB172" s="9" t="str">
        <f>IFERROR(__xludf.DUMMYFUNCTION("""COMPUTED_VALUE"""),"Cypress")</f>
        <v>Cypress</v>
      </c>
    </row>
    <row r="173" ht="30.0" customHeight="1">
      <c r="A173" s="17">
        <v>172.0</v>
      </c>
      <c r="B173" s="8" t="str">
        <f>IFERROR(__xludf.DUMMYFUNCTION("""COMPUTED_VALUE"""),"[""77065"", ""77429"", ""77433""]")</f>
        <v>["77065", "77429", "77433"]</v>
      </c>
      <c r="C173" s="9" t="str">
        <f>IFERROR(__xludf.DUMMYFUNCTION("""COMPUTED_VALUE"""),"Christ the Redeemer")</f>
        <v>Christ the Redeemer</v>
      </c>
      <c r="D173" s="9" t="str">
        <f>IFERROR(__xludf.DUMMYFUNCTION("""COMPUTED_VALUE"""),"11507 Huffmeister Road")</f>
        <v>11507 Huffmeister Road</v>
      </c>
      <c r="E173" s="9"/>
      <c r="F173" s="9" t="str">
        <f>IFERROR(__xludf.DUMMYFUNCTION("""COMPUTED_VALUE"""),"Houston")</f>
        <v>Houston</v>
      </c>
      <c r="G173" s="9" t="str">
        <f>IFERROR(__xludf.DUMMYFUNCTION("""COMPUTED_VALUE"""),"TX")</f>
        <v>TX</v>
      </c>
      <c r="H173" s="9" t="str">
        <f>IFERROR(__xludf.DUMMYFUNCTION("""COMPUTED_VALUE"""),"77065")</f>
        <v>77065</v>
      </c>
      <c r="I173" s="9" t="str">
        <f>IFERROR(__xludf.DUMMYFUNCTION("""COMPUTED_VALUE"""),"251-469-5533")</f>
        <v>251-469-5533</v>
      </c>
      <c r="J173" s="9" t="str">
        <f>IFERROR(__xludf.DUMMYFUNCTION("""COMPUTED_VALUE"""),"29.941876, -95.629195")</f>
        <v>29.941876, -95.629195</v>
      </c>
      <c r="K173" s="9" t="str">
        <f>IFERROR(__xludf.DUMMYFUNCTION("""COMPUTED_VALUE"""),"{""regular"":[{""days"":[""Mo"",""Tu"",""We"",""Th"",""Fr""],""open"":""09:00"",""close"":""16:00""}]}")</f>
        <v>{"regular":[{"days":["Mo","Tu","We","Th","Fr"],"open":"09:00","close":"16:00"}]}</v>
      </c>
      <c r="L173" s="9"/>
      <c r="M173" s="10">
        <f>IFERROR(__xludf.DUMMYFUNCTION("""COMPUTED_VALUE"""),14.0)</f>
        <v>14</v>
      </c>
      <c r="N173" s="10" t="str">
        <f>IFERROR(__xludf.DUMMYFUNCTION("""COMPUTED_VALUE"""),"Clothing")</f>
        <v>Clothing</v>
      </c>
      <c r="O173" s="10">
        <f>IFERROR(__xludf.DUMMYFUNCTION("""COMPUTED_VALUE"""),4.0)</f>
        <v>4</v>
      </c>
      <c r="P173" s="10" t="str">
        <f>IFERROR(__xludf.DUMMYFUNCTION("""COMPUTED_VALUE"""),"CLOSED")</f>
        <v>CLOSED</v>
      </c>
      <c r="Q173" s="11">
        <f>IFERROR(__xludf.DUMMYFUNCTION("""COMPUTED_VALUE"""),45637.0)</f>
        <v>45637</v>
      </c>
      <c r="R173" s="9" t="str">
        <f>IFERROR(__xludf.DUMMYFUNCTION("""COMPUTED_VALUE"""),"No direct assistance, only referrals")</f>
        <v>No direct assistance, only referrals</v>
      </c>
      <c r="S173" s="9"/>
      <c r="T173" s="12" t="b">
        <f>IFERROR(__xludf.DUMMYFUNCTION("""COMPUTED_VALUE"""),FALSE)</f>
        <v>0</v>
      </c>
      <c r="U173" s="12" t="b">
        <f>IFERROR(__xludf.DUMMYFUNCTION("""COMPUTED_VALUE"""),FALSE)</f>
        <v>0</v>
      </c>
      <c r="V173" s="13" t="str">
        <f>IFERROR(__xludf.DUMMYFUNCTION("""COMPUTED_VALUE"""),"https://ctrcc.com/help")</f>
        <v>https://ctrcc.com/help</v>
      </c>
      <c r="W173" s="14" t="str">
        <f>IFERROR(__xludf.DUMMYFUNCTION("""COMPUTED_VALUE"""),"https://maps.google.com/?q=Christ%20the%20Redeemer%20%20Houston%20TX%20")</f>
        <v>https://maps.google.com/?q=Christ%20the%20Redeemer%20%20Houston%20TX%20</v>
      </c>
      <c r="X173" s="10"/>
      <c r="Y173" s="9" t="str">
        <f>IFERROR(__xludf.DUMMYFUNCTION("""COMPUTED_VALUE"""),"Houston")</f>
        <v>Houston</v>
      </c>
      <c r="Z173" s="9" t="str">
        <f>IFERROR(__xludf.DUMMYFUNCTION("""COMPUTED_VALUE"""),"Cypress, Fairbanks")</f>
        <v>Cypress, Fairbanks</v>
      </c>
      <c r="AA173" s="9" t="str">
        <f>IFERROR(__xludf.DUMMYFUNCTION("""COMPUTED_VALUE"""),"Christ the Redeemer")</f>
        <v>Christ the Redeemer</v>
      </c>
      <c r="AB173" s="9" t="str">
        <f>IFERROR(__xludf.DUMMYFUNCTION("""COMPUTED_VALUE"""),"Cypress")</f>
        <v>Cypress</v>
      </c>
    </row>
    <row r="174" ht="30.0" customHeight="1">
      <c r="A174" s="17">
        <v>173.0</v>
      </c>
      <c r="B174" s="8" t="str">
        <f>IFERROR(__xludf.DUMMYFUNCTION("""COMPUTED_VALUE"""),"[""77065"", ""77429"", ""77433""]")</f>
        <v>["77065", "77429", "77433"]</v>
      </c>
      <c r="C174" s="9" t="str">
        <f>IFERROR(__xludf.DUMMYFUNCTION("""COMPUTED_VALUE"""),"Christ the Redeemer")</f>
        <v>Christ the Redeemer</v>
      </c>
      <c r="D174" s="9" t="str">
        <f>IFERROR(__xludf.DUMMYFUNCTION("""COMPUTED_VALUE"""),"11507 Huffmeister Road")</f>
        <v>11507 Huffmeister Road</v>
      </c>
      <c r="E174" s="9"/>
      <c r="F174" s="9" t="str">
        <f>IFERROR(__xludf.DUMMYFUNCTION("""COMPUTED_VALUE"""),"Houston")</f>
        <v>Houston</v>
      </c>
      <c r="G174" s="9" t="str">
        <f>IFERROR(__xludf.DUMMYFUNCTION("""COMPUTED_VALUE"""),"TX")</f>
        <v>TX</v>
      </c>
      <c r="H174" s="9" t="str">
        <f>IFERROR(__xludf.DUMMYFUNCTION("""COMPUTED_VALUE"""),"77065")</f>
        <v>77065</v>
      </c>
      <c r="I174" s="9" t="str">
        <f>IFERROR(__xludf.DUMMYFUNCTION("""COMPUTED_VALUE"""),"251-469-5533")</f>
        <v>251-469-5533</v>
      </c>
      <c r="J174" s="9" t="str">
        <f>IFERROR(__xludf.DUMMYFUNCTION("""COMPUTED_VALUE"""),"29.941876, -95.629195")</f>
        <v>29.941876, -95.629195</v>
      </c>
      <c r="K174" s="9" t="str">
        <f>IFERROR(__xludf.DUMMYFUNCTION("""COMPUTED_VALUE"""),"{""regular"":[{""days"":[""Mo"",""Tu"",""We"",""Th"",""Fr""],""open"":""09:00"",""close"":""16:00""}]}")</f>
        <v>{"regular":[{"days":["Mo","Tu","We","Th","Fr"],"open":"09:00","close":"16:00"}]}</v>
      </c>
      <c r="L174" s="9"/>
      <c r="M174" s="10">
        <f>IFERROR(__xludf.DUMMYFUNCTION("""COMPUTED_VALUE"""),53.0)</f>
        <v>53</v>
      </c>
      <c r="N174" s="10" t="str">
        <f>IFERROR(__xludf.DUMMYFUNCTION("""COMPUTED_VALUE"""),"Transportation")</f>
        <v>Transportation</v>
      </c>
      <c r="O174" s="10">
        <f>IFERROR(__xludf.DUMMYFUNCTION("""COMPUTED_VALUE"""),2.0)</f>
        <v>2</v>
      </c>
      <c r="P174" s="10" t="str">
        <f>IFERROR(__xludf.DUMMYFUNCTION("""COMPUTED_VALUE"""),"LIMITED")</f>
        <v>LIMITED</v>
      </c>
      <c r="Q174" s="11"/>
      <c r="R174" s="9" t="str">
        <f>IFERROR(__xludf.DUMMYFUNCTION("""COMPUTED_VALUE"""),"For parishioners only.")</f>
        <v>For parishioners only.</v>
      </c>
      <c r="S174" s="9" t="str">
        <f>IFERROR(__xludf.DUMMYFUNCTION("""COMPUTED_VALUE"""),"Fill out form on their webpage.")</f>
        <v>Fill out form on their webpage.</v>
      </c>
      <c r="T174" s="12" t="b">
        <f>IFERROR(__xludf.DUMMYFUNCTION("""COMPUTED_VALUE"""),FALSE)</f>
        <v>0</v>
      </c>
      <c r="U174" s="12" t="b">
        <f>IFERROR(__xludf.DUMMYFUNCTION("""COMPUTED_VALUE"""),FALSE)</f>
        <v>0</v>
      </c>
      <c r="V174" s="13" t="str">
        <f>IFERROR(__xludf.DUMMYFUNCTION("""COMPUTED_VALUE"""),"https://ctrcc.com/help")</f>
        <v>https://ctrcc.com/help</v>
      </c>
      <c r="W174" s="14" t="str">
        <f>IFERROR(__xludf.DUMMYFUNCTION("""COMPUTED_VALUE"""),"https://maps.google.com/?q=Christ%20the%20Redeemer%20%20Houston%20TX%20")</f>
        <v>https://maps.google.com/?q=Christ%20the%20Redeemer%20%20Houston%20TX%20</v>
      </c>
      <c r="X174" s="10"/>
      <c r="Y174" s="9" t="str">
        <f>IFERROR(__xludf.DUMMYFUNCTION("""COMPUTED_VALUE"""),"Houston")</f>
        <v>Houston</v>
      </c>
      <c r="Z174" s="9" t="str">
        <f>IFERROR(__xludf.DUMMYFUNCTION("""COMPUTED_VALUE"""),"Cypress, Fairbanks")</f>
        <v>Cypress, Fairbanks</v>
      </c>
      <c r="AA174" s="9" t="str">
        <f>IFERROR(__xludf.DUMMYFUNCTION("""COMPUTED_VALUE"""),"Christ the Redeemer")</f>
        <v>Christ the Redeemer</v>
      </c>
      <c r="AB174" s="9" t="str">
        <f>IFERROR(__xludf.DUMMYFUNCTION("""COMPUTED_VALUE"""),"Cypress")</f>
        <v>Cypress</v>
      </c>
    </row>
    <row r="175" ht="30.0" customHeight="1">
      <c r="A175" s="17">
        <v>174.0</v>
      </c>
      <c r="B175" s="8" t="str">
        <f>IFERROR(__xludf.DUMMYFUNCTION("""COMPUTED_VALUE"""),"[""77065"", ""77429"", ""77433""]")</f>
        <v>["77065", "77429", "77433"]</v>
      </c>
      <c r="C175" s="9" t="str">
        <f>IFERROR(__xludf.DUMMYFUNCTION("""COMPUTED_VALUE"""),"Christ the Redeemer")</f>
        <v>Christ the Redeemer</v>
      </c>
      <c r="D175" s="9" t="str">
        <f>IFERROR(__xludf.DUMMYFUNCTION("""COMPUTED_VALUE"""),"11507 Huffmeister Road")</f>
        <v>11507 Huffmeister Road</v>
      </c>
      <c r="E175" s="9"/>
      <c r="F175" s="9" t="str">
        <f>IFERROR(__xludf.DUMMYFUNCTION("""COMPUTED_VALUE"""),"Houston")</f>
        <v>Houston</v>
      </c>
      <c r="G175" s="9" t="str">
        <f>IFERROR(__xludf.DUMMYFUNCTION("""COMPUTED_VALUE"""),"TX")</f>
        <v>TX</v>
      </c>
      <c r="H175" s="9" t="str">
        <f>IFERROR(__xludf.DUMMYFUNCTION("""COMPUTED_VALUE"""),"77065")</f>
        <v>77065</v>
      </c>
      <c r="I175" s="9" t="str">
        <f>IFERROR(__xludf.DUMMYFUNCTION("""COMPUTED_VALUE"""),"251-469-5533")</f>
        <v>251-469-5533</v>
      </c>
      <c r="J175" s="9" t="str">
        <f>IFERROR(__xludf.DUMMYFUNCTION("""COMPUTED_VALUE"""),"29.941876, -95.629195")</f>
        <v>29.941876, -95.629195</v>
      </c>
      <c r="K175" s="9" t="str">
        <f>IFERROR(__xludf.DUMMYFUNCTION("""COMPUTED_VALUE"""),"{""regular"":[{""days"":[""Mo"",""Tu"",""We"",""Th"",""Fr""],""open"":""09:00"",""close"":""16:00""}]}")</f>
        <v>{"regular":[{"days":["Mo","Tu","We","Th","Fr"],"open":"09:00","close":"16:00"}]}</v>
      </c>
      <c r="L175" s="9"/>
      <c r="M175" s="10">
        <f>IFERROR(__xludf.DUMMYFUNCTION("""COMPUTED_VALUE"""),62.0)</f>
        <v>62</v>
      </c>
      <c r="N175" s="10" t="str">
        <f>IFERROR(__xludf.DUMMYFUNCTION("""COMPUTED_VALUE"""),"Handyman")</f>
        <v>Handyman</v>
      </c>
      <c r="O175" s="10">
        <f>IFERROR(__xludf.DUMMYFUNCTION("""COMPUTED_VALUE"""),2.0)</f>
        <v>2</v>
      </c>
      <c r="P175" s="10" t="str">
        <f>IFERROR(__xludf.DUMMYFUNCTION("""COMPUTED_VALUE"""),"LIMITED")</f>
        <v>LIMITED</v>
      </c>
      <c r="Q175" s="11"/>
      <c r="R175" s="9" t="str">
        <f>IFERROR(__xludf.DUMMYFUNCTION("""COMPUTED_VALUE"""),"For parishioners only.")</f>
        <v>For parishioners only.</v>
      </c>
      <c r="S175" s="9" t="str">
        <f>IFERROR(__xludf.DUMMYFUNCTION("""COMPUTED_VALUE"""),"Fill out form on their webpage.")</f>
        <v>Fill out form on their webpage.</v>
      </c>
      <c r="T175" s="12" t="b">
        <f>IFERROR(__xludf.DUMMYFUNCTION("""COMPUTED_VALUE"""),FALSE)</f>
        <v>0</v>
      </c>
      <c r="U175" s="12" t="b">
        <f>IFERROR(__xludf.DUMMYFUNCTION("""COMPUTED_VALUE"""),FALSE)</f>
        <v>0</v>
      </c>
      <c r="V175" s="13" t="str">
        <f>IFERROR(__xludf.DUMMYFUNCTION("""COMPUTED_VALUE"""),"https://ctrcc.com/help")</f>
        <v>https://ctrcc.com/help</v>
      </c>
      <c r="W175" s="14" t="str">
        <f>IFERROR(__xludf.DUMMYFUNCTION("""COMPUTED_VALUE"""),"https://maps.google.com/?q=Christ%20the%20Redeemer%20%20Houston%20TX%20")</f>
        <v>https://maps.google.com/?q=Christ%20the%20Redeemer%20%20Houston%20TX%20</v>
      </c>
      <c r="X175" s="10"/>
      <c r="Y175" s="9" t="str">
        <f>IFERROR(__xludf.DUMMYFUNCTION("""COMPUTED_VALUE"""),"Houston")</f>
        <v>Houston</v>
      </c>
      <c r="Z175" s="9" t="str">
        <f>IFERROR(__xludf.DUMMYFUNCTION("""COMPUTED_VALUE"""),"Cypress, Fairbanks")</f>
        <v>Cypress, Fairbanks</v>
      </c>
      <c r="AA175" s="9" t="str">
        <f>IFERROR(__xludf.DUMMYFUNCTION("""COMPUTED_VALUE"""),"Christ the Redeemer")</f>
        <v>Christ the Redeemer</v>
      </c>
      <c r="AB175" s="9" t="str">
        <f>IFERROR(__xludf.DUMMYFUNCTION("""COMPUTED_VALUE"""),"Cypress")</f>
        <v>Cypress</v>
      </c>
    </row>
    <row r="176" ht="30.0" customHeight="1">
      <c r="A176" s="17">
        <v>175.0</v>
      </c>
      <c r="B176" s="8" t="str">
        <f>IFERROR(__xludf.DUMMYFUNCTION("""COMPUTED_VALUE"""),"[""77002"", ""77003"", ""77004"", ""77005"", ""77006"", ""77007"", ""77010"", ""77011"", ""77012"", ""77019"", ""77020"", ""77021"", ""77023"", ""77025"", ""77026"", ""77027"", ""77028"", ""77030"", ""77046"", ""77074"", ""77098""]")</f>
        <v>["77002", "77003", "77004", "77005", "77006", "77007", "77010", "77011", "77012", "77019", "77020", "77021", "77023", "77025", "77026", "77027", "77028", "77030", "77046", "77074", "77098"]</v>
      </c>
      <c r="C176" s="9" t="str">
        <f>IFERROR(__xludf.DUMMYFUNCTION("""COMPUTED_VALUE"""),"Christian Community Service Center (Central)")</f>
        <v>Christian Community Service Center (Central)</v>
      </c>
      <c r="D176" s="9" t="str">
        <f>IFERROR(__xludf.DUMMYFUNCTION("""COMPUTED_VALUE"""),"3434 Branard Street")</f>
        <v>3434 Branard Street</v>
      </c>
      <c r="E176" s="9"/>
      <c r="F176" s="9" t="str">
        <f>IFERROR(__xludf.DUMMYFUNCTION("""COMPUTED_VALUE"""),"Houston")</f>
        <v>Houston</v>
      </c>
      <c r="G176" s="9" t="str">
        <f>IFERROR(__xludf.DUMMYFUNCTION("""COMPUTED_VALUE"""),"TX")</f>
        <v>TX</v>
      </c>
      <c r="H176" s="9" t="str">
        <f>IFERROR(__xludf.DUMMYFUNCTION("""COMPUTED_VALUE"""),"77027")</f>
        <v>77027</v>
      </c>
      <c r="I176" s="9" t="str">
        <f>IFERROR(__xludf.DUMMYFUNCTION("""COMPUTED_VALUE"""),"713-871-9741")</f>
        <v>713-871-9741</v>
      </c>
      <c r="J176" s="9" t="str">
        <f>IFERROR(__xludf.DUMMYFUNCTION("""COMPUTED_VALUE"""),"29.73666575, -95.4326830744244")</f>
        <v>29.73666575, -95.4326830744244</v>
      </c>
      <c r="K176" s="9" t="str">
        <f>IFERROR(__xludf.DUMMYFUNCTION("""COMPUTED_VALUE"""),"{""regular"":[{""days"":[""Mo"",""Tu"",""We"",""Th"",""Fr""],""open"":""10:00"",""close"":""14:00""}]}")</f>
        <v>{"regular":[{"days":["Mo","Tu","We","Th","Fr"],"open":"10:00","close":"14:00"}]}</v>
      </c>
      <c r="L176" s="9" t="str">
        <f>IFERROR(__xludf.DUMMYFUNCTION("""COMPUTED_VALUE"""),"Appointment required")</f>
        <v>Appointment required</v>
      </c>
      <c r="M176" s="10">
        <f>IFERROR(__xludf.DUMMYFUNCTION("""COMPUTED_VALUE"""),11.0)</f>
        <v>11</v>
      </c>
      <c r="N176" s="10" t="str">
        <f>IFERROR(__xludf.DUMMYFUNCTION("""COMPUTED_VALUE"""),"Rent")</f>
        <v>Rent</v>
      </c>
      <c r="O176" s="10">
        <f>IFERROR(__xludf.DUMMYFUNCTION("""COMPUTED_VALUE"""),1.0)</f>
        <v>1</v>
      </c>
      <c r="P176" s="10" t="str">
        <f>IFERROR(__xludf.DUMMYFUNCTION("""COMPUTED_VALUE"""),"ACTIVE")</f>
        <v>ACTIVE</v>
      </c>
      <c r="Q176" s="11">
        <f>IFERROR(__xludf.DUMMYFUNCTION("""COMPUTED_VALUE"""),45758.0)</f>
        <v>45758</v>
      </c>
      <c r="R176" s="9"/>
      <c r="S176" s="9" t="str">
        <f>IFERROR(__xludf.DUMMYFUNCTION("""COMPUTED_VALUE"""),"Call to schedule an appointment for the following day. No walk-ins.
Appointments are only made for the following day. Have to call back if all appointment slots are filled.
Documented crisis.")</f>
        <v>Call to schedule an appointment for the following day. No walk-ins.
Appointments are only made for the following day. Have to call back if all appointment slots are filled.
Documented crisis.</v>
      </c>
      <c r="T176" s="12" t="b">
        <f>IFERROR(__xludf.DUMMYFUNCTION("""COMPUTED_VALUE"""),FALSE)</f>
        <v>0</v>
      </c>
      <c r="U176" s="12" t="b">
        <f>IFERROR(__xludf.DUMMYFUNCTION("""COMPUTED_VALUE"""),FALSE)</f>
        <v>0</v>
      </c>
      <c r="V176" s="13" t="str">
        <f>IFERROR(__xludf.DUMMYFUNCTION("""COMPUTED_VALUE"""),"https://ccschouston.org/")</f>
        <v>https://ccschouston.org/</v>
      </c>
      <c r="W176" s="14" t="str">
        <f>IFERROR(__xludf.DUMMYFUNCTION("""COMPUTED_VALUE"""),"https://maps.google.com/?q=Christian%20Community%20Service%20Center%20(Central)%203434%20Branard%20St%20Houston%20TX%2077027")</f>
        <v>https://maps.google.com/?q=Christian%20Community%20Service%20Center%20(Central)%203434%20Branard%20St%20Houston%20TX%2077027</v>
      </c>
      <c r="X176" s="10"/>
      <c r="Y176" s="9" t="str">
        <f>IFERROR(__xludf.DUMMYFUNCTION("""COMPUTED_VALUE"""),"Houston")</f>
        <v>Houston</v>
      </c>
      <c r="Z176" s="9" t="str">
        <f>IFERROR(__xludf.DUMMYFUNCTION("""COMPUTED_VALUE"""),"Afton Oaks, Greenway / Upper Kirby Area, Highland Village, River Oaks District, Westside")</f>
        <v>Afton Oaks, Greenway / Upper Kirby Area, Highland Village, River Oaks District, Westside</v>
      </c>
      <c r="AA176" s="9" t="str">
        <f>IFERROR(__xludf.DUMMYFUNCTION("""COMPUTED_VALUE"""),"Christian Community Service Center (CCSC)")</f>
        <v>Christian Community Service Center (CCSC)</v>
      </c>
      <c r="AB176" s="9" t="str">
        <f>IFERROR(__xludf.DUMMYFUNCTION("""COMPUTED_VALUE"""),"Greenway / Upper Kirby Area")</f>
        <v>Greenway / Upper Kirby Area</v>
      </c>
    </row>
    <row r="177" ht="30.0" customHeight="1">
      <c r="A177" s="17">
        <v>176.0</v>
      </c>
      <c r="B177" s="8" t="str">
        <f>IFERROR(__xludf.DUMMYFUNCTION("""COMPUTED_VALUE"""),"[""77002"", ""77003"", ""77004"", ""77005"", ""77006"", ""77007"", ""77010"", ""77011"", ""77012"", ""77019"", ""77020"", ""77021"", ""77023"", ""77025"", ""77026"", ""77027"", ""77028"", ""77030"", ""77046"", ""77074"", ""77098""]")</f>
        <v>["77002", "77003", "77004", "77005", "77006", "77007", "77010", "77011", "77012", "77019", "77020", "77021", "77023", "77025", "77026", "77027", "77028", "77030", "77046", "77074", "77098"]</v>
      </c>
      <c r="C177" s="9" t="str">
        <f>IFERROR(__xludf.DUMMYFUNCTION("""COMPUTED_VALUE"""),"Christian Community Service Center (Central)")</f>
        <v>Christian Community Service Center (Central)</v>
      </c>
      <c r="D177" s="9" t="str">
        <f>IFERROR(__xludf.DUMMYFUNCTION("""COMPUTED_VALUE"""),"3434 Branard Street")</f>
        <v>3434 Branard Street</v>
      </c>
      <c r="E177" s="9"/>
      <c r="F177" s="9" t="str">
        <f>IFERROR(__xludf.DUMMYFUNCTION("""COMPUTED_VALUE"""),"Houston")</f>
        <v>Houston</v>
      </c>
      <c r="G177" s="9" t="str">
        <f>IFERROR(__xludf.DUMMYFUNCTION("""COMPUTED_VALUE"""),"TX")</f>
        <v>TX</v>
      </c>
      <c r="H177" s="9" t="str">
        <f>IFERROR(__xludf.DUMMYFUNCTION("""COMPUTED_VALUE"""),"77027")</f>
        <v>77027</v>
      </c>
      <c r="I177" s="9" t="str">
        <f>IFERROR(__xludf.DUMMYFUNCTION("""COMPUTED_VALUE"""),"713-871-9741")</f>
        <v>713-871-9741</v>
      </c>
      <c r="J177" s="9" t="str">
        <f>IFERROR(__xludf.DUMMYFUNCTION("""COMPUTED_VALUE"""),"29.73666575, -95.4326830744244")</f>
        <v>29.73666575, -95.4326830744244</v>
      </c>
      <c r="K177" s="9" t="str">
        <f>IFERROR(__xludf.DUMMYFUNCTION("""COMPUTED_VALUE"""),"{""regular"":[{""days"":[""Mo"",""Tu"",""We"",""Th"",""Fr""],""open"":""10:00"",""close"":""14:00""}]}")</f>
        <v>{"regular":[{"days":["Mo","Tu","We","Th","Fr"],"open":"10:00","close":"14:00"}]}</v>
      </c>
      <c r="L177" s="9" t="str">
        <f>IFERROR(__xludf.DUMMYFUNCTION("""COMPUTED_VALUE"""),"Appointment required")</f>
        <v>Appointment required</v>
      </c>
      <c r="M177" s="10">
        <f>IFERROR(__xludf.DUMMYFUNCTION("""COMPUTED_VALUE"""),12.0)</f>
        <v>12</v>
      </c>
      <c r="N177" s="10" t="str">
        <f>IFERROR(__xludf.DUMMYFUNCTION("""COMPUTED_VALUE"""),"Utilities")</f>
        <v>Utilities</v>
      </c>
      <c r="O177" s="10">
        <f>IFERROR(__xludf.DUMMYFUNCTION("""COMPUTED_VALUE"""),1.0)</f>
        <v>1</v>
      </c>
      <c r="P177" s="10" t="str">
        <f>IFERROR(__xludf.DUMMYFUNCTION("""COMPUTED_VALUE"""),"ACTIVE")</f>
        <v>ACTIVE</v>
      </c>
      <c r="Q177" s="11">
        <f>IFERROR(__xludf.DUMMYFUNCTION("""COMPUTED_VALUE"""),45758.0)</f>
        <v>45758</v>
      </c>
      <c r="R177" s="9"/>
      <c r="S177" s="9" t="str">
        <f>IFERROR(__xludf.DUMMYFUNCTION("""COMPUTED_VALUE"""),"Call to schedule an appointment for the following day. No walk-ins.
Appointments are only made for the following day. Have to call back if all appointment slots are filled.
Documented crisis.")</f>
        <v>Call to schedule an appointment for the following day. No walk-ins.
Appointments are only made for the following day. Have to call back if all appointment slots are filled.
Documented crisis.</v>
      </c>
      <c r="T177" s="12" t="b">
        <f>IFERROR(__xludf.DUMMYFUNCTION("""COMPUTED_VALUE"""),FALSE)</f>
        <v>0</v>
      </c>
      <c r="U177" s="12" t="b">
        <f>IFERROR(__xludf.DUMMYFUNCTION("""COMPUTED_VALUE"""),FALSE)</f>
        <v>0</v>
      </c>
      <c r="V177" s="13" t="str">
        <f>IFERROR(__xludf.DUMMYFUNCTION("""COMPUTED_VALUE"""),"https://ccschouston.org/")</f>
        <v>https://ccschouston.org/</v>
      </c>
      <c r="W177" s="14" t="str">
        <f>IFERROR(__xludf.DUMMYFUNCTION("""COMPUTED_VALUE"""),"https://maps.google.com/?q=Christian%20Community%20Service%20Center%20(Central)%203434%20Branard%20St%20Houston%20TX%2077027")</f>
        <v>https://maps.google.com/?q=Christian%20Community%20Service%20Center%20(Central)%203434%20Branard%20St%20Houston%20TX%2077027</v>
      </c>
      <c r="X177" s="10"/>
      <c r="Y177" s="9" t="str">
        <f>IFERROR(__xludf.DUMMYFUNCTION("""COMPUTED_VALUE"""),"Houston")</f>
        <v>Houston</v>
      </c>
      <c r="Z177" s="9" t="str">
        <f>IFERROR(__xludf.DUMMYFUNCTION("""COMPUTED_VALUE"""),"Afton Oaks, Greenway / Upper Kirby Area, Highland Village, River Oaks District, Westside")</f>
        <v>Afton Oaks, Greenway / Upper Kirby Area, Highland Village, River Oaks District, Westside</v>
      </c>
      <c r="AA177" s="9" t="str">
        <f>IFERROR(__xludf.DUMMYFUNCTION("""COMPUTED_VALUE"""),"Christian Community Service Center (CCSC)")</f>
        <v>Christian Community Service Center (CCSC)</v>
      </c>
      <c r="AB177" s="9" t="str">
        <f>IFERROR(__xludf.DUMMYFUNCTION("""COMPUTED_VALUE"""),"Greenway / Upper Kirby Area")</f>
        <v>Greenway / Upper Kirby Area</v>
      </c>
    </row>
    <row r="178" ht="30.0" customHeight="1">
      <c r="A178" s="17">
        <v>177.0</v>
      </c>
      <c r="B178" s="8" t="str">
        <f>IFERROR(__xludf.DUMMYFUNCTION("""COMPUTED_VALUE"""),"[""77002"", ""77003"", ""77004"", ""77005"", ""77006"", ""77007"", ""77010"", ""77011"", ""77012"", ""77019"", ""77020"", ""77021"", ""77023"", ""77025"", ""77026"", ""77027"", ""77028"", ""77030"", ""77046"", ""77074"", ""77098""]")</f>
        <v>["77002", "77003", "77004", "77005", "77006", "77007", "77010", "77011", "77012", "77019", "77020", "77021", "77023", "77025", "77026", "77027", "77028", "77030", "77046", "77074", "77098"]</v>
      </c>
      <c r="C178" s="9" t="str">
        <f>IFERROR(__xludf.DUMMYFUNCTION("""COMPUTED_VALUE"""),"Christian Community Service Center (Central)")</f>
        <v>Christian Community Service Center (Central)</v>
      </c>
      <c r="D178" s="9" t="str">
        <f>IFERROR(__xludf.DUMMYFUNCTION("""COMPUTED_VALUE"""),"3434 Branard Street")</f>
        <v>3434 Branard Street</v>
      </c>
      <c r="E178" s="9"/>
      <c r="F178" s="10" t="str">
        <f>IFERROR(__xludf.DUMMYFUNCTION("""COMPUTED_VALUE"""),"Houston")</f>
        <v>Houston</v>
      </c>
      <c r="G178" s="9" t="str">
        <f>IFERROR(__xludf.DUMMYFUNCTION("""COMPUTED_VALUE"""),"TX")</f>
        <v>TX</v>
      </c>
      <c r="H178" s="9" t="str">
        <f>IFERROR(__xludf.DUMMYFUNCTION("""COMPUTED_VALUE"""),"77027")</f>
        <v>77027</v>
      </c>
      <c r="I178" s="9" t="str">
        <f>IFERROR(__xludf.DUMMYFUNCTION("""COMPUTED_VALUE"""),"713-871-9741")</f>
        <v>713-871-9741</v>
      </c>
      <c r="J178" s="9" t="str">
        <f>IFERROR(__xludf.DUMMYFUNCTION("""COMPUTED_VALUE"""),"29.73666575, -95.4326830744244")</f>
        <v>29.73666575, -95.4326830744244</v>
      </c>
      <c r="K178" s="9" t="str">
        <f>IFERROR(__xludf.DUMMYFUNCTION("""COMPUTED_VALUE"""),"{""regular"":[{""days"":[""Mo"",""Tu"",""We"",""Th"",""Fr""],""open"":""10:00"",""close"":""14:00""},{""days"":[""Sa""],""open"":""09:00"",""close"":""12:00""}]}")</f>
        <v>{"regular":[{"days":["Mo","Tu","We","Th","Fr"],"open":"10:00","close":"14:00"},{"days":["Sa"],"open":"09:00","close":"12:00"}]}</v>
      </c>
      <c r="L178" s="9"/>
      <c r="M178" s="10">
        <f>IFERROR(__xludf.DUMMYFUNCTION("""COMPUTED_VALUE"""),13.0)</f>
        <v>13</v>
      </c>
      <c r="N178" s="10" t="str">
        <f>IFERROR(__xludf.DUMMYFUNCTION("""COMPUTED_VALUE"""),"Food")</f>
        <v>Food</v>
      </c>
      <c r="O178" s="10">
        <f>IFERROR(__xludf.DUMMYFUNCTION("""COMPUTED_VALUE"""),1.0)</f>
        <v>1</v>
      </c>
      <c r="P178" s="10" t="str">
        <f>IFERROR(__xludf.DUMMYFUNCTION("""COMPUTED_VALUE"""),"ACTIVE")</f>
        <v>ACTIVE</v>
      </c>
      <c r="Q178" s="11">
        <f>IFERROR(__xludf.DUMMYFUNCTION("""COMPUTED_VALUE"""),46086.0)</f>
        <v>46086</v>
      </c>
      <c r="R178" s="9" t="str">
        <f>IFERROR(__xludf.DUMMYFUNCTION("""COMPUTED_VALUE"""),"Flyer from CCSC")</f>
        <v>Flyer from CCSC</v>
      </c>
      <c r="S178" s="9" t="str">
        <f>IFERROR(__xludf.DUMMYFUNCTION("""COMPUTED_VALUE"""),"Do not need appointment for Food Pantry but limited to first 30 people per day.
Bring photo ID/Birth Certificate to appointment for each household member. 
One week supply of food six times in a six month period.
Fresh fruits and vegetables when available"&amp;" and formula and baby food on a limited basis.
Toiletries/hygiene kit and diapers twice within six months.")</f>
        <v>Do not need appointment for Food Pantry but limited to first 30 people per day.
Bring photo ID/Birth Certificate to appointment for each household member. 
One week supply of food six times in a six month period.
Fresh fruits and vegetables when available and formula and baby food on a limited basis.
Toiletries/hygiene kit and diapers twice within six months.</v>
      </c>
      <c r="T178" s="12" t="b">
        <f>IFERROR(__xludf.DUMMYFUNCTION("""COMPUTED_VALUE"""),FALSE)</f>
        <v>0</v>
      </c>
      <c r="U178" s="12" t="b">
        <f>IFERROR(__xludf.DUMMYFUNCTION("""COMPUTED_VALUE"""),FALSE)</f>
        <v>0</v>
      </c>
      <c r="V178" s="13" t="str">
        <f>IFERROR(__xludf.DUMMYFUNCTION("""COMPUTED_VALUE"""),"https://ccschouston.org/")</f>
        <v>https://ccschouston.org/</v>
      </c>
      <c r="W178" s="14" t="str">
        <f>IFERROR(__xludf.DUMMYFUNCTION("""COMPUTED_VALUE"""),"https://maps.google.com/?q=Christian%20Community%20Service%20Center%20(Central)%203434%20Branard%20St%20Houston%20TX%2077027")</f>
        <v>https://maps.google.com/?q=Christian%20Community%20Service%20Center%20(Central)%203434%20Branard%20St%20Houston%20TX%2077027</v>
      </c>
      <c r="X178" s="10"/>
      <c r="Y178" s="9" t="str">
        <f>IFERROR(__xludf.DUMMYFUNCTION("""COMPUTED_VALUE"""),"Houston")</f>
        <v>Houston</v>
      </c>
      <c r="Z178" s="9" t="str">
        <f>IFERROR(__xludf.DUMMYFUNCTION("""COMPUTED_VALUE"""),"Afton Oaks, Greenway / Upper Kirby Area, Highland Village, River Oaks District, Westside")</f>
        <v>Afton Oaks, Greenway / Upper Kirby Area, Highland Village, River Oaks District, Westside</v>
      </c>
      <c r="AA178" s="9" t="str">
        <f>IFERROR(__xludf.DUMMYFUNCTION("""COMPUTED_VALUE"""),"Christian Community Service Center (CCSC)")</f>
        <v>Christian Community Service Center (CCSC)</v>
      </c>
      <c r="AB178" s="9" t="str">
        <f>IFERROR(__xludf.DUMMYFUNCTION("""COMPUTED_VALUE"""),"Greenway / Upper Kirby Area")</f>
        <v>Greenway / Upper Kirby Area</v>
      </c>
    </row>
    <row r="179" ht="30.0" customHeight="1">
      <c r="A179" s="17">
        <v>178.0</v>
      </c>
      <c r="B179" s="8" t="str">
        <f>IFERROR(__xludf.DUMMYFUNCTION("""COMPUTED_VALUE"""),"[""77002"", ""77003"", ""77004"", ""77005"", ""77006"", ""77007"", ""77010"", ""77011"", ""77012"", ""77019"", ""77020"", ""77021"", ""77023"", ""77025"", ""77026"", ""77027"", ""77028"", ""77030"", ""77046"", ""77074"", ""77098""]")</f>
        <v>["77002", "77003", "77004", "77005", "77006", "77007", "77010", "77011", "77012", "77019", "77020", "77021", "77023", "77025", "77026", "77027", "77028", "77030", "77046", "77074", "77098"]</v>
      </c>
      <c r="C179" s="9" t="str">
        <f>IFERROR(__xludf.DUMMYFUNCTION("""COMPUTED_VALUE"""),"Christian Community Service Center (Central)")</f>
        <v>Christian Community Service Center (Central)</v>
      </c>
      <c r="D179" s="9" t="str">
        <f>IFERROR(__xludf.DUMMYFUNCTION("""COMPUTED_VALUE"""),"3434 Branard Street")</f>
        <v>3434 Branard Street</v>
      </c>
      <c r="E179" s="9"/>
      <c r="F179" s="9" t="str">
        <f>IFERROR(__xludf.DUMMYFUNCTION("""COMPUTED_VALUE"""),"Houston")</f>
        <v>Houston</v>
      </c>
      <c r="G179" s="9" t="str">
        <f>IFERROR(__xludf.DUMMYFUNCTION("""COMPUTED_VALUE"""),"TX")</f>
        <v>TX</v>
      </c>
      <c r="H179" s="9" t="str">
        <f>IFERROR(__xludf.DUMMYFUNCTION("""COMPUTED_VALUE"""),"77027")</f>
        <v>77027</v>
      </c>
      <c r="I179" s="9" t="str">
        <f>IFERROR(__xludf.DUMMYFUNCTION("""COMPUTED_VALUE"""),"713-871-9741")</f>
        <v>713-871-9741</v>
      </c>
      <c r="J179" s="9" t="str">
        <f>IFERROR(__xludf.DUMMYFUNCTION("""COMPUTED_VALUE"""),"29.73666575, -95.4326830744244")</f>
        <v>29.73666575, -95.4326830744244</v>
      </c>
      <c r="K179" s="9" t="str">
        <f>IFERROR(__xludf.DUMMYFUNCTION("""COMPUTED_VALUE"""),"{""regular"":[{""days"":[""Mo"",""Tu"",""We"",""Th"",""Fr""],""open"":""10:00"",""close"":""14:00""},{""days"":[""Sa""],""open"":""09:00"",""close"":""12:00""}]}")</f>
        <v>{"regular":[{"days":["Mo","Tu","We","Th","Fr"],"open":"10:00","close":"14:00"},{"days":["Sa"],"open":"09:00","close":"12:00"}]}</v>
      </c>
      <c r="L179" s="9"/>
      <c r="M179" s="10">
        <f>IFERROR(__xludf.DUMMYFUNCTION("""COMPUTED_VALUE"""),14.0)</f>
        <v>14</v>
      </c>
      <c r="N179" s="10" t="str">
        <f>IFERROR(__xludf.DUMMYFUNCTION("""COMPUTED_VALUE"""),"Clothing")</f>
        <v>Clothing</v>
      </c>
      <c r="O179" s="10">
        <f>IFERROR(__xludf.DUMMYFUNCTION("""COMPUTED_VALUE"""),1.0)</f>
        <v>1</v>
      </c>
      <c r="P179" s="10" t="str">
        <f>IFERROR(__xludf.DUMMYFUNCTION("""COMPUTED_VALUE"""),"ACTIVE")</f>
        <v>ACTIVE</v>
      </c>
      <c r="Q179" s="11"/>
      <c r="R179" s="9"/>
      <c r="S179" s="9" t="str">
        <f>IFERROR(__xludf.DUMMYFUNCTION("""COMPUTED_VALUE"""),"Do not need appointment for clothing.
Bring photo ID/Birth Certificate to appointment.")</f>
        <v>Do not need appointment for clothing.
Bring photo ID/Birth Certificate to appointment.</v>
      </c>
      <c r="T179" s="12" t="b">
        <f>IFERROR(__xludf.DUMMYFUNCTION("""COMPUTED_VALUE"""),FALSE)</f>
        <v>0</v>
      </c>
      <c r="U179" s="12" t="b">
        <f>IFERROR(__xludf.DUMMYFUNCTION("""COMPUTED_VALUE"""),FALSE)</f>
        <v>0</v>
      </c>
      <c r="V179" s="13" t="str">
        <f>IFERROR(__xludf.DUMMYFUNCTION("""COMPUTED_VALUE"""),"https://ccschouston.org/")</f>
        <v>https://ccschouston.org/</v>
      </c>
      <c r="W179" s="14" t="str">
        <f>IFERROR(__xludf.DUMMYFUNCTION("""COMPUTED_VALUE"""),"https://maps.google.com/?q=Christian%20Community%20Service%20Center%20(Central)%203434%20Branard%20St%20Houston%20TX%2077027")</f>
        <v>https://maps.google.com/?q=Christian%20Community%20Service%20Center%20(Central)%203434%20Branard%20St%20Houston%20TX%2077027</v>
      </c>
      <c r="X179" s="10"/>
      <c r="Y179" s="9" t="str">
        <f>IFERROR(__xludf.DUMMYFUNCTION("""COMPUTED_VALUE"""),"Houston")</f>
        <v>Houston</v>
      </c>
      <c r="Z179" s="9" t="str">
        <f>IFERROR(__xludf.DUMMYFUNCTION("""COMPUTED_VALUE"""),"Afton Oaks, Greenway / Upper Kirby Area, Highland Village, River Oaks District, Westside")</f>
        <v>Afton Oaks, Greenway / Upper Kirby Area, Highland Village, River Oaks District, Westside</v>
      </c>
      <c r="AA179" s="9" t="str">
        <f>IFERROR(__xludf.DUMMYFUNCTION("""COMPUTED_VALUE"""),"Christian Community Service Center (CCSC)")</f>
        <v>Christian Community Service Center (CCSC)</v>
      </c>
      <c r="AB179" s="9" t="str">
        <f>IFERROR(__xludf.DUMMYFUNCTION("""COMPUTED_VALUE"""),"Greenway / Upper Kirby Area")</f>
        <v>Greenway / Upper Kirby Area</v>
      </c>
    </row>
    <row r="180" ht="30.0" customHeight="1">
      <c r="A180" s="17">
        <v>179.0</v>
      </c>
      <c r="B180" s="8" t="str">
        <f>IFERROR(__xludf.DUMMYFUNCTION("""COMPUTED_VALUE"""),"[""99999""]")</f>
        <v>["99999"]</v>
      </c>
      <c r="C180" s="9" t="str">
        <f>IFERROR(__xludf.DUMMYFUNCTION("""COMPUTED_VALUE"""),"Christian Community Service Center (Central)")</f>
        <v>Christian Community Service Center (Central)</v>
      </c>
      <c r="D180" s="9" t="str">
        <f>IFERROR(__xludf.DUMMYFUNCTION("""COMPUTED_VALUE"""),"3434 Branard Street")</f>
        <v>3434 Branard Street</v>
      </c>
      <c r="E180" s="9"/>
      <c r="F180" s="9" t="str">
        <f>IFERROR(__xludf.DUMMYFUNCTION("""COMPUTED_VALUE"""),"Houston")</f>
        <v>Houston</v>
      </c>
      <c r="G180" s="9" t="str">
        <f>IFERROR(__xludf.DUMMYFUNCTION("""COMPUTED_VALUE"""),"TX")</f>
        <v>TX</v>
      </c>
      <c r="H180" s="9" t="str">
        <f>IFERROR(__xludf.DUMMYFUNCTION("""COMPUTED_VALUE"""),"77027")</f>
        <v>77027</v>
      </c>
      <c r="I180" s="9" t="str">
        <f>IFERROR(__xludf.DUMMYFUNCTION("""COMPUTED_VALUE"""),"832-352-1480")</f>
        <v>832-352-1480</v>
      </c>
      <c r="J180" s="9" t="str">
        <f>IFERROR(__xludf.DUMMYFUNCTION("""COMPUTED_VALUE"""),"29.73666575, -95.4326830744244")</f>
        <v>29.73666575, -95.4326830744244</v>
      </c>
      <c r="K180" s="9" t="str">
        <f>IFERROR(__xludf.DUMMYFUNCTION("""COMPUTED_VALUE"""),"{""regular"":[{""days"":[""Mo""],""open"":""10:00"",""close"":""14:00""}]}")</f>
        <v>{"regular":[{"days":["Mo"],"open":"10:00","close":"14:00"}]}</v>
      </c>
      <c r="L180" s="9" t="str">
        <f>IFERROR(__xludf.DUMMYFUNCTION("""COMPUTED_VALUE"""),"Houston Recovery Center Rep @ CCSC
")</f>
        <v>Houston Recovery Center Rep @ CCSC
</v>
      </c>
      <c r="M180" s="10">
        <f>IFERROR(__xludf.DUMMYFUNCTION("""COMPUTED_VALUE"""),35.0)</f>
        <v>35</v>
      </c>
      <c r="N180" s="10" t="str">
        <f>IFERROR(__xludf.DUMMYFUNCTION("""COMPUTED_VALUE"""),"Medical - Program Enrollment")</f>
        <v>Medical - Program Enrollment</v>
      </c>
      <c r="O180" s="10">
        <f>IFERROR(__xludf.DUMMYFUNCTION("""COMPUTED_VALUE"""),1.0)</f>
        <v>1</v>
      </c>
      <c r="P180" s="10" t="str">
        <f>IFERROR(__xludf.DUMMYFUNCTION("""COMPUTED_VALUE"""),"ACTIVE")</f>
        <v>ACTIVE</v>
      </c>
      <c r="Q180" s="11">
        <f>IFERROR(__xludf.DUMMYFUNCTION("""COMPUTED_VALUE"""),45795.0)</f>
        <v>45795</v>
      </c>
      <c r="R180" s="9"/>
      <c r="S180" s="9" t="str">
        <f>IFERROR(__xludf.DUMMYFUNCTION("""COMPUTED_VALUE"""),"Representative from Houston Recovery Center is at this CCSC location once a week to assist with the following:
Assistance applying for food stamps, Harris Health, Medicaid, etc.
")</f>
        <v>Representative from Houston Recovery Center is at this CCSC location once a week to assist with the following:
Assistance applying for food stamps, Harris Health, Medicaid, etc.
</v>
      </c>
      <c r="T180" s="12" t="b">
        <f>IFERROR(__xludf.DUMMYFUNCTION("""COMPUTED_VALUE"""),FALSE)</f>
        <v>0</v>
      </c>
      <c r="U180" s="12" t="b">
        <f>IFERROR(__xludf.DUMMYFUNCTION("""COMPUTED_VALUE"""),FALSE)</f>
        <v>0</v>
      </c>
      <c r="V180" s="13" t="str">
        <f>IFERROR(__xludf.DUMMYFUNCTION("""COMPUTED_VALUE"""),"https://houstonrecoverycenter.org/houston-recovery-centers-community-healthcare-workers-chw-program/")</f>
        <v>https://houstonrecoverycenter.org/houston-recovery-centers-community-healthcare-workers-chw-program/</v>
      </c>
      <c r="W180" s="14" t="str">
        <f>IFERROR(__xludf.DUMMYFUNCTION("""COMPUTED_VALUE"""),"https://maps.google.com/?q=Christian%20Community%20Service%20Center%20(Central)%203434%20Branard%20St%20Houston%20TX%2077027")</f>
        <v>https://maps.google.com/?q=Christian%20Community%20Service%20Center%20(Central)%203434%20Branard%20St%20Houston%20TX%2077027</v>
      </c>
      <c r="X180" s="10" t="str">
        <f>IFERROR(__xludf.DUMMYFUNCTION("""COMPUTED_VALUE"""),"mgarcia@houstonrecoverycenter.org")</f>
        <v>mgarcia@houstonrecoverycenter.org</v>
      </c>
      <c r="Y180" s="9" t="str">
        <f>IFERROR(__xludf.DUMMYFUNCTION("""COMPUTED_VALUE"""),"Houston")</f>
        <v>Houston</v>
      </c>
      <c r="Z180" s="9" t="str">
        <f>IFERROR(__xludf.DUMMYFUNCTION("""COMPUTED_VALUE"""),"Afton Oaks, Greenway / Upper Kirby Area, Highland Village, River Oaks District, Westside")</f>
        <v>Afton Oaks, Greenway / Upper Kirby Area, Highland Village, River Oaks District, Westside</v>
      </c>
      <c r="AA180" s="9" t="str">
        <f>IFERROR(__xludf.DUMMYFUNCTION("""COMPUTED_VALUE"""),"Christian Community Service Center (CCSC)")</f>
        <v>Christian Community Service Center (CCSC)</v>
      </c>
      <c r="AB180" s="9" t="str">
        <f>IFERROR(__xludf.DUMMYFUNCTION("""COMPUTED_VALUE"""),"Greenway / Upper Kirby Area")</f>
        <v>Greenway / Upper Kirby Area</v>
      </c>
    </row>
    <row r="181" ht="30.0" customHeight="1">
      <c r="A181" s="17">
        <v>180.0</v>
      </c>
      <c r="B181" s="8" t="str">
        <f>IFERROR(__xludf.DUMMYFUNCTION("""COMPUTED_VALUE"""),"[""99999""]")</f>
        <v>["99999"]</v>
      </c>
      <c r="C181" s="9" t="str">
        <f>IFERROR(__xludf.DUMMYFUNCTION("""COMPUTED_VALUE"""),"Christian Community Service Center (Central)")</f>
        <v>Christian Community Service Center (Central)</v>
      </c>
      <c r="D181" s="9" t="str">
        <f>IFERROR(__xludf.DUMMYFUNCTION("""COMPUTED_VALUE"""),"3434 Branard Street")</f>
        <v>3434 Branard Street</v>
      </c>
      <c r="E181" s="9"/>
      <c r="F181" s="9" t="str">
        <f>IFERROR(__xludf.DUMMYFUNCTION("""COMPUTED_VALUE"""),"Houston")</f>
        <v>Houston</v>
      </c>
      <c r="G181" s="9" t="str">
        <f>IFERROR(__xludf.DUMMYFUNCTION("""COMPUTED_VALUE"""),"TX")</f>
        <v>TX</v>
      </c>
      <c r="H181" s="9" t="str">
        <f>IFERROR(__xludf.DUMMYFUNCTION("""COMPUTED_VALUE"""),"77027")</f>
        <v>77027</v>
      </c>
      <c r="I181" s="9" t="str">
        <f>IFERROR(__xludf.DUMMYFUNCTION("""COMPUTED_VALUE"""),"346-446-5247")</f>
        <v>346-446-5247</v>
      </c>
      <c r="J181" s="9" t="str">
        <f>IFERROR(__xludf.DUMMYFUNCTION("""COMPUTED_VALUE"""),"29.73666575, -95.4326830744244")</f>
        <v>29.73666575, -95.4326830744244</v>
      </c>
      <c r="K181" s="9" t="str">
        <f>IFERROR(__xludf.DUMMYFUNCTION("""COMPUTED_VALUE"""),"{""regular"":[{""days"":[""Mo"",""Tu"",""We"",""Th"",""Fr""],""open"":""09:00"",""close"":""16:00""}]}")</f>
        <v>{"regular":[{"days":["Mo","Tu","We","Th","Fr"],"open":"09:00","close":"16:00"}]}</v>
      </c>
      <c r="L181" s="9"/>
      <c r="M181" s="10">
        <f>IFERROR(__xludf.DUMMYFUNCTION("""COMPUTED_VALUE"""),36.0)</f>
        <v>36</v>
      </c>
      <c r="N181" s="10" t="str">
        <f>IFERROR(__xludf.DUMMYFUNCTION("""COMPUTED_VALUE"""),"Medical - Bill Payment")</f>
        <v>Medical - Bill Payment</v>
      </c>
      <c r="O181" s="10">
        <f>IFERROR(__xludf.DUMMYFUNCTION("""COMPUTED_VALUE"""),1.0)</f>
        <v>1</v>
      </c>
      <c r="P181" s="10" t="str">
        <f>IFERROR(__xludf.DUMMYFUNCTION("""COMPUTED_VALUE"""),"ACTIVE")</f>
        <v>ACTIVE</v>
      </c>
      <c r="Q181" s="11">
        <f>IFERROR(__xludf.DUMMYFUNCTION("""COMPUTED_VALUE"""),45658.0)</f>
        <v>45658</v>
      </c>
      <c r="R181" s="9"/>
      <c r="S181" s="9" t="str">
        <f>IFERROR(__xludf.DUMMYFUNCTION("""COMPUTED_VALUE"""),"One medical pledge per 12 month period with maximum of three per lifetime.
Prescriptions only filled at HEB Buffalo Speedway.
Affordable prescription from San Jose Clinic @ 713-228-9411.
Maximum pledge amount is $250.")</f>
        <v>One medical pledge per 12 month period with maximum of three per lifetime.
Prescriptions only filled at HEB Buffalo Speedway.
Affordable prescription from San Jose Clinic @ 713-228-9411.
Maximum pledge amount is $250.</v>
      </c>
      <c r="T181" s="12" t="b">
        <f>IFERROR(__xludf.DUMMYFUNCTION("""COMPUTED_VALUE"""),FALSE)</f>
        <v>0</v>
      </c>
      <c r="U181" s="12" t="b">
        <f>IFERROR(__xludf.DUMMYFUNCTION("""COMPUTED_VALUE"""),FALSE)</f>
        <v>0</v>
      </c>
      <c r="V181" s="13" t="str">
        <f>IFERROR(__xludf.DUMMYFUNCTION("""COMPUTED_VALUE"""),"https://ccschouston.org/")</f>
        <v>https://ccschouston.org/</v>
      </c>
      <c r="W181" s="14" t="str">
        <f>IFERROR(__xludf.DUMMYFUNCTION("""COMPUTED_VALUE"""),"https://maps.google.com/?q=Christian%20Community%20Service%20Center%20(Central)%203434%20Branard%20St%20Houston%20TX%2077027")</f>
        <v>https://maps.google.com/?q=Christian%20Community%20Service%20Center%20(Central)%203434%20Branard%20St%20Houston%20TX%2077027</v>
      </c>
      <c r="X181" s="10"/>
      <c r="Y181" s="9" t="str">
        <f>IFERROR(__xludf.DUMMYFUNCTION("""COMPUTED_VALUE"""),"Houston")</f>
        <v>Houston</v>
      </c>
      <c r="Z181" s="9" t="str">
        <f>IFERROR(__xludf.DUMMYFUNCTION("""COMPUTED_VALUE"""),"Afton Oaks, Greenway / Upper Kirby Area, Highland Village, River Oaks District, Westside")</f>
        <v>Afton Oaks, Greenway / Upper Kirby Area, Highland Village, River Oaks District, Westside</v>
      </c>
      <c r="AA181" s="9" t="str">
        <f>IFERROR(__xludf.DUMMYFUNCTION("""COMPUTED_VALUE"""),"Christian Community Service Center (CCSC)")</f>
        <v>Christian Community Service Center (CCSC)</v>
      </c>
      <c r="AB181" s="9" t="str">
        <f>IFERROR(__xludf.DUMMYFUNCTION("""COMPUTED_VALUE"""),"Greenway / Upper Kirby Area")</f>
        <v>Greenway / Upper Kirby Area</v>
      </c>
    </row>
    <row r="182" ht="30.0" customHeight="1">
      <c r="A182" s="17">
        <v>181.0</v>
      </c>
      <c r="B182" s="8" t="str">
        <f>IFERROR(__xludf.DUMMYFUNCTION("""COMPUTED_VALUE"""),"[""99999""]")</f>
        <v>["99999"]</v>
      </c>
      <c r="C182" s="9" t="str">
        <f>IFERROR(__xludf.DUMMYFUNCTION("""COMPUTED_VALUE"""),"Christian Community Service Center (Central)")</f>
        <v>Christian Community Service Center (Central)</v>
      </c>
      <c r="D182" s="9" t="str">
        <f>IFERROR(__xludf.DUMMYFUNCTION("""COMPUTED_VALUE"""),"3434 Branard Street")</f>
        <v>3434 Branard Street</v>
      </c>
      <c r="E182" s="9"/>
      <c r="F182" s="9" t="str">
        <f>IFERROR(__xludf.DUMMYFUNCTION("""COMPUTED_VALUE"""),"Houston")</f>
        <v>Houston</v>
      </c>
      <c r="G182" s="9" t="str">
        <f>IFERROR(__xludf.DUMMYFUNCTION("""COMPUTED_VALUE"""),"TX")</f>
        <v>TX</v>
      </c>
      <c r="H182" s="9" t="str">
        <f>IFERROR(__xludf.DUMMYFUNCTION("""COMPUTED_VALUE"""),"77027")</f>
        <v>77027</v>
      </c>
      <c r="I182" s="9" t="str">
        <f>IFERROR(__xludf.DUMMYFUNCTION("""COMPUTED_VALUE"""),"713-961-3993")</f>
        <v>713-961-3993</v>
      </c>
      <c r="J182" s="9" t="str">
        <f>IFERROR(__xludf.DUMMYFUNCTION("""COMPUTED_VALUE"""),"29.73666575, -95.4326830744244")</f>
        <v>29.73666575, -95.4326830744244</v>
      </c>
      <c r="K182" s="9" t="str">
        <f>IFERROR(__xludf.DUMMYFUNCTION("""COMPUTED_VALUE"""),"{""regular"":[{""days"":[""Mo"",""Tu"",""We"",""Th"",""Fr""],""open"":""09:00"",""close"":""16:00""}]}")</f>
        <v>{"regular":[{"days":["Mo","Tu","We","Th","Fr"],"open":"09:00","close":"16:00"}]}</v>
      </c>
      <c r="L182" s="9"/>
      <c r="M182" s="10">
        <f>IFERROR(__xludf.DUMMYFUNCTION("""COMPUTED_VALUE"""),52.0)</f>
        <v>52</v>
      </c>
      <c r="N182" s="10" t="str">
        <f>IFERROR(__xludf.DUMMYFUNCTION("""COMPUTED_VALUE"""),"Jobs")</f>
        <v>Jobs</v>
      </c>
      <c r="O182" s="10">
        <f>IFERROR(__xludf.DUMMYFUNCTION("""COMPUTED_VALUE"""),1.0)</f>
        <v>1</v>
      </c>
      <c r="P182" s="10" t="str">
        <f>IFERROR(__xludf.DUMMYFUNCTION("""COMPUTED_VALUE"""),"ACTIVE")</f>
        <v>ACTIVE</v>
      </c>
      <c r="Q182" s="11"/>
      <c r="R182" s="9"/>
      <c r="S182" s="9" t="str">
        <f>IFERROR(__xludf.DUMMYFUNCTION("""COMPUTED_VALUE"""),"JobNet
One to one coaching, computer classes, skill building, resume advice and access to computers and copiers for job searches.
By appointment only.")</f>
        <v>JobNet
One to one coaching, computer classes, skill building, resume advice and access to computers and copiers for job searches.
By appointment only.</v>
      </c>
      <c r="T182" s="12" t="b">
        <f>IFERROR(__xludf.DUMMYFUNCTION("""COMPUTED_VALUE"""),TRUE)</f>
        <v>1</v>
      </c>
      <c r="U182" s="12" t="b">
        <f>IFERROR(__xludf.DUMMYFUNCTION("""COMPUTED_VALUE"""),FALSE)</f>
        <v>0</v>
      </c>
      <c r="V182" s="13" t="str">
        <f>IFERROR(__xludf.DUMMYFUNCTION("""COMPUTED_VALUE"""),"https://ccschouston.org/")</f>
        <v>https://ccschouston.org/</v>
      </c>
      <c r="W182" s="14" t="str">
        <f>IFERROR(__xludf.DUMMYFUNCTION("""COMPUTED_VALUE"""),"https://maps.google.com/?q=Christian%20Community%20Service%20Center%20(Central)%203434%20Branard%20St%20Houston%20TX%2077027")</f>
        <v>https://maps.google.com/?q=Christian%20Community%20Service%20Center%20(Central)%203434%20Branard%20St%20Houston%20TX%2077027</v>
      </c>
      <c r="X182" s="10"/>
      <c r="Y182" s="9" t="str">
        <f>IFERROR(__xludf.DUMMYFUNCTION("""COMPUTED_VALUE"""),"Houston")</f>
        <v>Houston</v>
      </c>
      <c r="Z182" s="9" t="str">
        <f>IFERROR(__xludf.DUMMYFUNCTION("""COMPUTED_VALUE"""),"Afton Oaks, Greenway / Upper Kirby Area, Highland Village, River Oaks District, Westside")</f>
        <v>Afton Oaks, Greenway / Upper Kirby Area, Highland Village, River Oaks District, Westside</v>
      </c>
      <c r="AA182" s="9" t="str">
        <f>IFERROR(__xludf.DUMMYFUNCTION("""COMPUTED_VALUE"""),"Christian Community Service Center (CCSC)")</f>
        <v>Christian Community Service Center (CCSC)</v>
      </c>
      <c r="AB182" s="9" t="str">
        <f>IFERROR(__xludf.DUMMYFUNCTION("""COMPUTED_VALUE"""),"Greenway / Upper Kirby Area")</f>
        <v>Greenway / Upper Kirby Area</v>
      </c>
    </row>
    <row r="183" ht="30.0" customHeight="1">
      <c r="A183" s="17">
        <v>182.0</v>
      </c>
      <c r="B183" s="8" t="str">
        <f>IFERROR(__xludf.DUMMYFUNCTION("""COMPUTED_VALUE"""),"[""99999""]")</f>
        <v>["99999"]</v>
      </c>
      <c r="C183" s="9" t="str">
        <f>IFERROR(__xludf.DUMMYFUNCTION("""COMPUTED_VALUE"""),"Christian Community Service Center (Central)")</f>
        <v>Christian Community Service Center (Central)</v>
      </c>
      <c r="D183" s="9" t="str">
        <f>IFERROR(__xludf.DUMMYFUNCTION("""COMPUTED_VALUE"""),"3434 Branard Street")</f>
        <v>3434 Branard Street</v>
      </c>
      <c r="E183" s="9"/>
      <c r="F183" s="9" t="str">
        <f>IFERROR(__xludf.DUMMYFUNCTION("""COMPUTED_VALUE"""),"Houston")</f>
        <v>Houston</v>
      </c>
      <c r="G183" s="9" t="str">
        <f>IFERROR(__xludf.DUMMYFUNCTION("""COMPUTED_VALUE"""),"TX")</f>
        <v>TX</v>
      </c>
      <c r="H183" s="9" t="str">
        <f>IFERROR(__xludf.DUMMYFUNCTION("""COMPUTED_VALUE"""),"77027")</f>
        <v>77027</v>
      </c>
      <c r="I183" s="9" t="str">
        <f>IFERROR(__xludf.DUMMYFUNCTION("""COMPUTED_VALUE"""),"713-626-8320")</f>
        <v>713-626-8320</v>
      </c>
      <c r="J183" s="9" t="str">
        <f>IFERROR(__xludf.DUMMYFUNCTION("""COMPUTED_VALUE"""),"29.73666575, -95.4326830744244")</f>
        <v>29.73666575, -95.4326830744244</v>
      </c>
      <c r="K183" s="9" t="str">
        <f>IFERROR(__xludf.DUMMYFUNCTION("""COMPUTED_VALUE"""),"{""regular"":[{""days"":[""Mo"",""Tu"",""We"",""Th"",""Fr""],""open"":""09:00"",""close"":""16:00""}]}")</f>
        <v>{"regular":[{"days":["Mo","Tu","We","Th","Fr"],"open":"09:00","close":"16:00"}]}</v>
      </c>
      <c r="L183" s="9"/>
      <c r="M183" s="10">
        <f>IFERROR(__xludf.DUMMYFUNCTION("""COMPUTED_VALUE"""),52.0)</f>
        <v>52</v>
      </c>
      <c r="N183" s="10" t="str">
        <f>IFERROR(__xludf.DUMMYFUNCTION("""COMPUTED_VALUE"""),"Jobs")</f>
        <v>Jobs</v>
      </c>
      <c r="O183" s="10">
        <f>IFERROR(__xludf.DUMMYFUNCTION("""COMPUTED_VALUE"""),1.0)</f>
        <v>1</v>
      </c>
      <c r="P183" s="10" t="str">
        <f>IFERROR(__xludf.DUMMYFUNCTION("""COMPUTED_VALUE"""),"ACTIVE")</f>
        <v>ACTIVE</v>
      </c>
      <c r="Q183" s="11"/>
      <c r="R183" s="9"/>
      <c r="S183" s="9" t="str">
        <f>IFERROR(__xludf.DUMMYFUNCTION("""COMPUTED_VALUE"""),"Martha's way
Vocational training program offered in Spanish to help participants run their own professional housekeeping business..
Free classes in professional development, business skills, technical housekeeping skills, workplace safety and ESL for hous"&amp;"ekeeping.
New participants accepted quarterly.")</f>
        <v>Martha's way
Vocational training program offered in Spanish to help participants run their own professional housekeeping business..
Free classes in professional development, business skills, technical housekeeping skills, workplace safety and ESL for housekeeping.
New participants accepted quarterly.</v>
      </c>
      <c r="T183" s="12" t="b">
        <f>IFERROR(__xludf.DUMMYFUNCTION("""COMPUTED_VALUE"""),TRUE)</f>
        <v>1</v>
      </c>
      <c r="U183" s="12" t="b">
        <f>IFERROR(__xludf.DUMMYFUNCTION("""COMPUTED_VALUE"""),FALSE)</f>
        <v>0</v>
      </c>
      <c r="V183" s="13" t="str">
        <f>IFERROR(__xludf.DUMMYFUNCTION("""COMPUTED_VALUE"""),"https://ccschouston.org/")</f>
        <v>https://ccschouston.org/</v>
      </c>
      <c r="W183" s="14" t="str">
        <f>IFERROR(__xludf.DUMMYFUNCTION("""COMPUTED_VALUE"""),"https://maps.google.com/?q=Christian%20Community%20Service%20Center%20(Central)%203434%20Branard%20St%20Houston%20TX%2077027")</f>
        <v>https://maps.google.com/?q=Christian%20Community%20Service%20Center%20(Central)%203434%20Branard%20St%20Houston%20TX%2077027</v>
      </c>
      <c r="X183" s="10"/>
      <c r="Y183" s="9" t="str">
        <f>IFERROR(__xludf.DUMMYFUNCTION("""COMPUTED_VALUE"""),"Houston")</f>
        <v>Houston</v>
      </c>
      <c r="Z183" s="9" t="str">
        <f>IFERROR(__xludf.DUMMYFUNCTION("""COMPUTED_VALUE"""),"Afton Oaks, Greenway / Upper Kirby Area, Highland Village, River Oaks District, Westside")</f>
        <v>Afton Oaks, Greenway / Upper Kirby Area, Highland Village, River Oaks District, Westside</v>
      </c>
      <c r="AA183" s="9" t="str">
        <f>IFERROR(__xludf.DUMMYFUNCTION("""COMPUTED_VALUE"""),"Christian Community Service Center (CCSC)")</f>
        <v>Christian Community Service Center (CCSC)</v>
      </c>
      <c r="AB183" s="9" t="str">
        <f>IFERROR(__xludf.DUMMYFUNCTION("""COMPUTED_VALUE"""),"Greenway / Upper Kirby Area")</f>
        <v>Greenway / Upper Kirby Area</v>
      </c>
    </row>
    <row r="184" ht="30.0" customHeight="1">
      <c r="A184" s="17">
        <v>183.0</v>
      </c>
      <c r="B184" s="8" t="str">
        <f>IFERROR(__xludf.DUMMYFUNCTION("""COMPUTED_VALUE"""),"[""99999""]")</f>
        <v>["99999"]</v>
      </c>
      <c r="C184" s="9" t="str">
        <f>IFERROR(__xludf.DUMMYFUNCTION("""COMPUTED_VALUE"""),"Christian Community Service Center (Central)")</f>
        <v>Christian Community Service Center (Central)</v>
      </c>
      <c r="D184" s="9" t="str">
        <f>IFERROR(__xludf.DUMMYFUNCTION("""COMPUTED_VALUE"""),"3434 Branard Street")</f>
        <v>3434 Branard Street</v>
      </c>
      <c r="E184" s="9"/>
      <c r="F184" s="9" t="str">
        <f>IFERROR(__xludf.DUMMYFUNCTION("""COMPUTED_VALUE"""),"Houston")</f>
        <v>Houston</v>
      </c>
      <c r="G184" s="9" t="str">
        <f>IFERROR(__xludf.DUMMYFUNCTION("""COMPUTED_VALUE"""),"TX")</f>
        <v>TX</v>
      </c>
      <c r="H184" s="9" t="str">
        <f>IFERROR(__xludf.DUMMYFUNCTION("""COMPUTED_VALUE"""),"77027")</f>
        <v>77027</v>
      </c>
      <c r="I184" s="9" t="str">
        <f>IFERROR(__xludf.DUMMYFUNCTION("""COMPUTED_VALUE"""),"346-446-5247")</f>
        <v>346-446-5247</v>
      </c>
      <c r="J184" s="9" t="str">
        <f>IFERROR(__xludf.DUMMYFUNCTION("""COMPUTED_VALUE"""),"29.73666575, -95.4326830744244")</f>
        <v>29.73666575, -95.4326830744244</v>
      </c>
      <c r="K184" s="9" t="str">
        <f>IFERROR(__xludf.DUMMYFUNCTION("""COMPUTED_VALUE"""),"{""regular"":[{""days"":[""Mo"",""Tu"",""We"",""Th"",""Fr""],""open"":""09:00"",""close"":""16:00""}]}")</f>
        <v>{"regular":[{"days":["Mo","Tu","We","Th","Fr"],"open":"09:00","close":"16:00"}]}</v>
      </c>
      <c r="L184" s="9"/>
      <c r="M184" s="10">
        <f>IFERROR(__xludf.DUMMYFUNCTION("""COMPUTED_VALUE"""),52.0)</f>
        <v>52</v>
      </c>
      <c r="N184" s="10" t="str">
        <f>IFERROR(__xludf.DUMMYFUNCTION("""COMPUTED_VALUE"""),"Jobs")</f>
        <v>Jobs</v>
      </c>
      <c r="O184" s="10">
        <f>IFERROR(__xludf.DUMMYFUNCTION("""COMPUTED_VALUE"""),1.0)</f>
        <v>1</v>
      </c>
      <c r="P184" s="10" t="str">
        <f>IFERROR(__xludf.DUMMYFUNCTION("""COMPUTED_VALUE"""),"ACTIVE")</f>
        <v>ACTIVE</v>
      </c>
      <c r="Q184" s="11"/>
      <c r="R184" s="9"/>
      <c r="S184" s="9" t="str">
        <f>IFERROR(__xludf.DUMMYFUNCTION("""COMPUTED_VALUE"""),"Home Caregiver Training
Prepares people to be non medical home caregivers for older adults.
50+ hour training covers relationship building, technical skills, dementia, business and marketing skills to find and keep clients.
This program is offered in Engl"&amp;"ish only.
New participants accepted quarterly.")</f>
        <v>Home Caregiver Training
Prepares people to be non medical home caregivers for older adults.
50+ hour training covers relationship building, technical skills, dementia, business and marketing skills to find and keep clients.
This program is offered in English only.
New participants accepted quarterly.</v>
      </c>
      <c r="T184" s="12" t="b">
        <f>IFERROR(__xludf.DUMMYFUNCTION("""COMPUTED_VALUE"""),TRUE)</f>
        <v>1</v>
      </c>
      <c r="U184" s="12" t="b">
        <f>IFERROR(__xludf.DUMMYFUNCTION("""COMPUTED_VALUE"""),FALSE)</f>
        <v>0</v>
      </c>
      <c r="V184" s="13" t="str">
        <f>IFERROR(__xludf.DUMMYFUNCTION("""COMPUTED_VALUE"""),"https://ccschouston.org/")</f>
        <v>https://ccschouston.org/</v>
      </c>
      <c r="W184" s="14" t="str">
        <f>IFERROR(__xludf.DUMMYFUNCTION("""COMPUTED_VALUE"""),"https://maps.google.com/?q=Christian%20Community%20Service%20Center%20(Central)%203434%20Branard%20St%20Houston%20TX%2077027")</f>
        <v>https://maps.google.com/?q=Christian%20Community%20Service%20Center%20(Central)%203434%20Branard%20St%20Houston%20TX%2077027</v>
      </c>
      <c r="X184" s="10"/>
      <c r="Y184" s="9" t="str">
        <f>IFERROR(__xludf.DUMMYFUNCTION("""COMPUTED_VALUE"""),"Houston")</f>
        <v>Houston</v>
      </c>
      <c r="Z184" s="9" t="str">
        <f>IFERROR(__xludf.DUMMYFUNCTION("""COMPUTED_VALUE"""),"Afton Oaks, Greenway / Upper Kirby Area, Highland Village, River Oaks District, Westside")</f>
        <v>Afton Oaks, Greenway / Upper Kirby Area, Highland Village, River Oaks District, Westside</v>
      </c>
      <c r="AA184" s="9" t="str">
        <f>IFERROR(__xludf.DUMMYFUNCTION("""COMPUTED_VALUE"""),"Christian Community Service Center (CCSC)")</f>
        <v>Christian Community Service Center (CCSC)</v>
      </c>
      <c r="AB184" s="9" t="str">
        <f>IFERROR(__xludf.DUMMYFUNCTION("""COMPUTED_VALUE"""),"Greenway / Upper Kirby Area")</f>
        <v>Greenway / Upper Kirby Area</v>
      </c>
    </row>
    <row r="185" ht="30.0" customHeight="1">
      <c r="A185" s="17">
        <v>184.0</v>
      </c>
      <c r="B185" s="8" t="str">
        <f>IFERROR(__xludf.DUMMYFUNCTION("""COMPUTED_VALUE"""),"[""77031"", ""77036"", ""77056"", ""77057"", ""77072"", ""77081"", ""77096"", ""77401""]")</f>
        <v>["77031", "77036", "77056", "77057", "77072", "77081", "77096", "77401"]</v>
      </c>
      <c r="C185" s="9" t="str">
        <f>IFERROR(__xludf.DUMMYFUNCTION("""COMPUTED_VALUE"""),"Christian Community Service Center (SW)")</f>
        <v>Christian Community Service Center (SW)</v>
      </c>
      <c r="D185" s="9" t="str">
        <f>IFERROR(__xludf.DUMMYFUNCTION("""COMPUTED_VALUE"""),"6856 Bellaire Blvd")</f>
        <v>6856 Bellaire Blvd</v>
      </c>
      <c r="E185" s="9"/>
      <c r="F185" s="9" t="str">
        <f>IFERROR(__xludf.DUMMYFUNCTION("""COMPUTED_VALUE"""),"Houston")</f>
        <v>Houston</v>
      </c>
      <c r="G185" s="9" t="str">
        <f>IFERROR(__xludf.DUMMYFUNCTION("""COMPUTED_VALUE"""),"TX")</f>
        <v>TX</v>
      </c>
      <c r="H185" s="9" t="str">
        <f>IFERROR(__xludf.DUMMYFUNCTION("""COMPUTED_VALUE"""),"77074")</f>
        <v>77074</v>
      </c>
      <c r="I185" s="9" t="str">
        <f>IFERROR(__xludf.DUMMYFUNCTION("""COMPUTED_VALUE"""),"713-871-9741")</f>
        <v>713-871-9741</v>
      </c>
      <c r="J185" s="9" t="str">
        <f>IFERROR(__xludf.DUMMYFUNCTION("""COMPUTED_VALUE"""),"29.70585725, -95.5037901509174")</f>
        <v>29.70585725, -95.5037901509174</v>
      </c>
      <c r="K185" s="9" t="str">
        <f>IFERROR(__xludf.DUMMYFUNCTION("""COMPUTED_VALUE"""),"{""regular"":[{""days"":[""Mo"",""Tu"",""We"",""Th"",""Fr""],""open"":""10:00"",""close"":""14:00""}]}")</f>
        <v>{"regular":[{"days":["Mo","Tu","We","Th","Fr"],"open":"10:00","close":"14:00"}]}</v>
      </c>
      <c r="L185" s="9" t="str">
        <f>IFERROR(__xludf.DUMMYFUNCTION("""COMPUTED_VALUE"""),"Appointment required")</f>
        <v>Appointment required</v>
      </c>
      <c r="M185" s="10">
        <f>IFERROR(__xludf.DUMMYFUNCTION("""COMPUTED_VALUE"""),11.0)</f>
        <v>11</v>
      </c>
      <c r="N185" s="10" t="str">
        <f>IFERROR(__xludf.DUMMYFUNCTION("""COMPUTED_VALUE"""),"Rent")</f>
        <v>Rent</v>
      </c>
      <c r="O185" s="10">
        <f>IFERROR(__xludf.DUMMYFUNCTION("""COMPUTED_VALUE"""),1.0)</f>
        <v>1</v>
      </c>
      <c r="P185" s="10" t="str">
        <f>IFERROR(__xludf.DUMMYFUNCTION("""COMPUTED_VALUE"""),"ACTIVE")</f>
        <v>ACTIVE</v>
      </c>
      <c r="Q185" s="11">
        <f>IFERROR(__xludf.DUMMYFUNCTION("""COMPUTED_VALUE"""),45758.0)</f>
        <v>45758</v>
      </c>
      <c r="R185" s="9"/>
      <c r="S185" s="9" t="str">
        <f>IFERROR(__xludf.DUMMYFUNCTION("""COMPUTED_VALUE"""),"Call to schedule an appointment for the following day. No walk-ins.
Appointments are only made for the following day. Have to call back if all appointment slots are filled.
Documented crisis.")</f>
        <v>Call to schedule an appointment for the following day. No walk-ins.
Appointments are only made for the following day. Have to call back if all appointment slots are filled.
Documented crisis.</v>
      </c>
      <c r="T185" s="12" t="b">
        <f>IFERROR(__xludf.DUMMYFUNCTION("""COMPUTED_VALUE"""),FALSE)</f>
        <v>0</v>
      </c>
      <c r="U185" s="12" t="b">
        <f>IFERROR(__xludf.DUMMYFUNCTION("""COMPUTED_VALUE"""),FALSE)</f>
        <v>0</v>
      </c>
      <c r="V185" s="13" t="str">
        <f>IFERROR(__xludf.DUMMYFUNCTION("""COMPUTED_VALUE"""),"https://ccschouston.org/")</f>
        <v>https://ccschouston.org/</v>
      </c>
      <c r="W185" s="14" t="str">
        <f>IFERROR(__xludf.DUMMYFUNCTION("""COMPUTED_VALUE"""),"https://maps.google.com/?q=Christian%20Community%20Service%20Center%20(SW)%206856%20Bellaire%20Blvd%20Houston%20TX%2077074")</f>
        <v>https://maps.google.com/?q=Christian%20Community%20Service%20Center%20(SW)%206856%20Bellaire%20Blvd%20Houston%20TX%2077074</v>
      </c>
      <c r="X185" s="10"/>
      <c r="Y185" s="9" t="str">
        <f>IFERROR(__xludf.DUMMYFUNCTION("""COMPUTED_VALUE"""),"Houston")</f>
        <v>Houston</v>
      </c>
      <c r="Z185" s="9" t="str">
        <f>IFERROR(__xludf.DUMMYFUNCTION("""COMPUTED_VALUE"""),"Braeburn, Robindell, Sharpstown")</f>
        <v>Braeburn, Robindell, Sharpstown</v>
      </c>
      <c r="AA185" s="9" t="str">
        <f>IFERROR(__xludf.DUMMYFUNCTION("""COMPUTED_VALUE"""),"Christian Community Service Center (CCSC)")</f>
        <v>Christian Community Service Center (CCSC)</v>
      </c>
      <c r="AB185" s="9" t="str">
        <f>IFERROR(__xludf.DUMMYFUNCTION("""COMPUTED_VALUE"""),"Sharpstown")</f>
        <v>Sharpstown</v>
      </c>
    </row>
    <row r="186" ht="30.0" customHeight="1">
      <c r="A186" s="17">
        <v>185.0</v>
      </c>
      <c r="B186" s="8" t="str">
        <f>IFERROR(__xludf.DUMMYFUNCTION("""COMPUTED_VALUE"""),"[""77031"", ""77036"", ""77056"", ""77057"", ""77072"", ""77081"", ""77096"", ""77401""]")</f>
        <v>["77031", "77036", "77056", "77057", "77072", "77081", "77096", "77401"]</v>
      </c>
      <c r="C186" s="9" t="str">
        <f>IFERROR(__xludf.DUMMYFUNCTION("""COMPUTED_VALUE"""),"Christian Community Service Center (SW)")</f>
        <v>Christian Community Service Center (SW)</v>
      </c>
      <c r="D186" s="9" t="str">
        <f>IFERROR(__xludf.DUMMYFUNCTION("""COMPUTED_VALUE"""),"6856 Bellaire Blvd")</f>
        <v>6856 Bellaire Blvd</v>
      </c>
      <c r="E186" s="9"/>
      <c r="F186" s="9" t="str">
        <f>IFERROR(__xludf.DUMMYFUNCTION("""COMPUTED_VALUE"""),"Houston")</f>
        <v>Houston</v>
      </c>
      <c r="G186" s="9" t="str">
        <f>IFERROR(__xludf.DUMMYFUNCTION("""COMPUTED_VALUE"""),"TX")</f>
        <v>TX</v>
      </c>
      <c r="H186" s="9" t="str">
        <f>IFERROR(__xludf.DUMMYFUNCTION("""COMPUTED_VALUE"""),"77074")</f>
        <v>77074</v>
      </c>
      <c r="I186" s="9" t="str">
        <f>IFERROR(__xludf.DUMMYFUNCTION("""COMPUTED_VALUE"""),"713-871-9741")</f>
        <v>713-871-9741</v>
      </c>
      <c r="J186" s="9" t="str">
        <f>IFERROR(__xludf.DUMMYFUNCTION("""COMPUTED_VALUE"""),"29.70585725, -95.5037901509174")</f>
        <v>29.70585725, -95.5037901509174</v>
      </c>
      <c r="K186" s="9" t="str">
        <f>IFERROR(__xludf.DUMMYFUNCTION("""COMPUTED_VALUE"""),"{""regular"":[{""days"":[""Mo"",""Tu"",""We"",""Th"",""Fr""],""open"":""10:00"",""close"":""14:00""}]}")</f>
        <v>{"regular":[{"days":["Mo","Tu","We","Th","Fr"],"open":"10:00","close":"14:00"}]}</v>
      </c>
      <c r="L186" s="9" t="str">
        <f>IFERROR(__xludf.DUMMYFUNCTION("""COMPUTED_VALUE"""),"Appointment required")</f>
        <v>Appointment required</v>
      </c>
      <c r="M186" s="10">
        <f>IFERROR(__xludf.DUMMYFUNCTION("""COMPUTED_VALUE"""),12.0)</f>
        <v>12</v>
      </c>
      <c r="N186" s="10" t="str">
        <f>IFERROR(__xludf.DUMMYFUNCTION("""COMPUTED_VALUE"""),"Utilities")</f>
        <v>Utilities</v>
      </c>
      <c r="O186" s="10">
        <f>IFERROR(__xludf.DUMMYFUNCTION("""COMPUTED_VALUE"""),1.0)</f>
        <v>1</v>
      </c>
      <c r="P186" s="10" t="str">
        <f>IFERROR(__xludf.DUMMYFUNCTION("""COMPUTED_VALUE"""),"ACTIVE")</f>
        <v>ACTIVE</v>
      </c>
      <c r="Q186" s="11">
        <f>IFERROR(__xludf.DUMMYFUNCTION("""COMPUTED_VALUE"""),45758.0)</f>
        <v>45758</v>
      </c>
      <c r="R186" s="9"/>
      <c r="S186" s="9" t="str">
        <f>IFERROR(__xludf.DUMMYFUNCTION("""COMPUTED_VALUE"""),"Call to schedule an appointment for the following day. No walk-ins.
Appointments are only made for the following day. Have to call back if all appointment slots are filled.
Documented crisis.")</f>
        <v>Call to schedule an appointment for the following day. No walk-ins.
Appointments are only made for the following day. Have to call back if all appointment slots are filled.
Documented crisis.</v>
      </c>
      <c r="T186" s="12" t="b">
        <f>IFERROR(__xludf.DUMMYFUNCTION("""COMPUTED_VALUE"""),FALSE)</f>
        <v>0</v>
      </c>
      <c r="U186" s="12" t="b">
        <f>IFERROR(__xludf.DUMMYFUNCTION("""COMPUTED_VALUE"""),FALSE)</f>
        <v>0</v>
      </c>
      <c r="V186" s="13" t="str">
        <f>IFERROR(__xludf.DUMMYFUNCTION("""COMPUTED_VALUE"""),"https://ccschouston.org/")</f>
        <v>https://ccschouston.org/</v>
      </c>
      <c r="W186" s="14" t="str">
        <f>IFERROR(__xludf.DUMMYFUNCTION("""COMPUTED_VALUE"""),"https://maps.google.com/?q=Christian%20Community%20Service%20Center%20(SW)%206856%20Bellaire%20Blvd%20Houston%20TX%2077074")</f>
        <v>https://maps.google.com/?q=Christian%20Community%20Service%20Center%20(SW)%206856%20Bellaire%20Blvd%20Houston%20TX%2077074</v>
      </c>
      <c r="X186" s="10"/>
      <c r="Y186" s="9" t="str">
        <f>IFERROR(__xludf.DUMMYFUNCTION("""COMPUTED_VALUE"""),"Houston")</f>
        <v>Houston</v>
      </c>
      <c r="Z186" s="9" t="str">
        <f>IFERROR(__xludf.DUMMYFUNCTION("""COMPUTED_VALUE"""),"Braeburn, Robindell, Sharpstown")</f>
        <v>Braeburn, Robindell, Sharpstown</v>
      </c>
      <c r="AA186" s="9" t="str">
        <f>IFERROR(__xludf.DUMMYFUNCTION("""COMPUTED_VALUE"""),"Christian Community Service Center (CCSC)")</f>
        <v>Christian Community Service Center (CCSC)</v>
      </c>
      <c r="AB186" s="9" t="str">
        <f>IFERROR(__xludf.DUMMYFUNCTION("""COMPUTED_VALUE"""),"Sharpstown")</f>
        <v>Sharpstown</v>
      </c>
    </row>
    <row r="187" ht="30.0" customHeight="1">
      <c r="A187" s="17">
        <v>186.0</v>
      </c>
      <c r="B187" s="8" t="str">
        <f>IFERROR(__xludf.DUMMYFUNCTION("""COMPUTED_VALUE"""),"[""77031"", ""77036"", ""77056"", ""77057"", ""77072"", ""77081"", ""77096"", ""77401""]")</f>
        <v>["77031", "77036", "77056", "77057", "77072", "77081", "77096", "77401"]</v>
      </c>
      <c r="C187" s="9" t="str">
        <f>IFERROR(__xludf.DUMMYFUNCTION("""COMPUTED_VALUE"""),"Christian Community Service Center (SW)")</f>
        <v>Christian Community Service Center (SW)</v>
      </c>
      <c r="D187" s="9" t="str">
        <f>IFERROR(__xludf.DUMMYFUNCTION("""COMPUTED_VALUE"""),"6856 Bellaire Blvd")</f>
        <v>6856 Bellaire Blvd</v>
      </c>
      <c r="E187" s="9"/>
      <c r="F187" s="9" t="str">
        <f>IFERROR(__xludf.DUMMYFUNCTION("""COMPUTED_VALUE"""),"Houston")</f>
        <v>Houston</v>
      </c>
      <c r="G187" s="9" t="str">
        <f>IFERROR(__xludf.DUMMYFUNCTION("""COMPUTED_VALUE"""),"TX")</f>
        <v>TX</v>
      </c>
      <c r="H187" s="9" t="str">
        <f>IFERROR(__xludf.DUMMYFUNCTION("""COMPUTED_VALUE"""),"77074")</f>
        <v>77074</v>
      </c>
      <c r="I187" s="9" t="str">
        <f>IFERROR(__xludf.DUMMYFUNCTION("""COMPUTED_VALUE"""),"713-871-9741")</f>
        <v>713-871-9741</v>
      </c>
      <c r="J187" s="9" t="str">
        <f>IFERROR(__xludf.DUMMYFUNCTION("""COMPUTED_VALUE"""),"29.70585725, -95.5037901509174")</f>
        <v>29.70585725, -95.5037901509174</v>
      </c>
      <c r="K187" s="9" t="str">
        <f>IFERROR(__xludf.DUMMYFUNCTION("""COMPUTED_VALUE"""),"{""regular"":[{""days"":[""Mo"",""Tu"",""We"",""Th"",""Fr""],""open"":""10:00"",""close"":""14:00""},{""days"":[""Sa""],""open"":""09:00"",""close"":""12:00""}]}")</f>
        <v>{"regular":[{"days":["Mo","Tu","We","Th","Fr"],"open":"10:00","close":"14:00"},{"days":["Sa"],"open":"09:00","close":"12:00"}]}</v>
      </c>
      <c r="L187" s="9"/>
      <c r="M187" s="10">
        <f>IFERROR(__xludf.DUMMYFUNCTION("""COMPUTED_VALUE"""),13.0)</f>
        <v>13</v>
      </c>
      <c r="N187" s="10" t="str">
        <f>IFERROR(__xludf.DUMMYFUNCTION("""COMPUTED_VALUE"""),"Food")</f>
        <v>Food</v>
      </c>
      <c r="O187" s="10">
        <f>IFERROR(__xludf.DUMMYFUNCTION("""COMPUTED_VALUE"""),1.0)</f>
        <v>1</v>
      </c>
      <c r="P187" s="10" t="str">
        <f>IFERROR(__xludf.DUMMYFUNCTION("""COMPUTED_VALUE"""),"ACTIVE")</f>
        <v>ACTIVE</v>
      </c>
      <c r="Q187" s="11">
        <f>IFERROR(__xludf.DUMMYFUNCTION("""COMPUTED_VALUE"""),46086.0)</f>
        <v>46086</v>
      </c>
      <c r="R187" s="9" t="str">
        <f>IFERROR(__xludf.DUMMYFUNCTION("""COMPUTED_VALUE"""),"Flyer from CCSC")</f>
        <v>Flyer from CCSC</v>
      </c>
      <c r="S187" s="9" t="str">
        <f>IFERROR(__xludf.DUMMYFUNCTION("""COMPUTED_VALUE"""),"Do not need appointment for Food Pantry but limited to first 30 people per day.
Bring photo ID/Birth Certificate to appointment for each household member. 
One week supply of food six times in a six month period.
Fresh fruits and vegetables when available"&amp;" and formula and baby food on a limited basis.
Toiletries/hygiene kit and diapers twice within six months.")</f>
        <v>Do not need appointment for Food Pantry but limited to first 30 people per day.
Bring photo ID/Birth Certificate to appointment for each household member. 
One week supply of food six times in a six month period.
Fresh fruits and vegetables when available and formula and baby food on a limited basis.
Toiletries/hygiene kit and diapers twice within six months.</v>
      </c>
      <c r="T187" s="12" t="b">
        <f>IFERROR(__xludf.DUMMYFUNCTION("""COMPUTED_VALUE"""),FALSE)</f>
        <v>0</v>
      </c>
      <c r="U187" s="12" t="b">
        <f>IFERROR(__xludf.DUMMYFUNCTION("""COMPUTED_VALUE"""),FALSE)</f>
        <v>0</v>
      </c>
      <c r="V187" s="13" t="str">
        <f>IFERROR(__xludf.DUMMYFUNCTION("""COMPUTED_VALUE"""),"https://ccschouston.org/")</f>
        <v>https://ccschouston.org/</v>
      </c>
      <c r="W187" s="14" t="str">
        <f>IFERROR(__xludf.DUMMYFUNCTION("""COMPUTED_VALUE"""),"https://maps.google.com/?q=Christian%20Community%20Service%20Center%20(SW)%206856%20Bellaire%20Blvd%20Houston%20TX%2077074")</f>
        <v>https://maps.google.com/?q=Christian%20Community%20Service%20Center%20(SW)%206856%20Bellaire%20Blvd%20Houston%20TX%2077074</v>
      </c>
      <c r="X187" s="10"/>
      <c r="Y187" s="9" t="str">
        <f>IFERROR(__xludf.DUMMYFUNCTION("""COMPUTED_VALUE"""),"Houston")</f>
        <v>Houston</v>
      </c>
      <c r="Z187" s="9" t="str">
        <f>IFERROR(__xludf.DUMMYFUNCTION("""COMPUTED_VALUE"""),"Braeburn, Robindell, Sharpstown")</f>
        <v>Braeburn, Robindell, Sharpstown</v>
      </c>
      <c r="AA187" s="9" t="str">
        <f>IFERROR(__xludf.DUMMYFUNCTION("""COMPUTED_VALUE"""),"Christian Community Service Center (CCSC)")</f>
        <v>Christian Community Service Center (CCSC)</v>
      </c>
      <c r="AB187" s="9" t="str">
        <f>IFERROR(__xludf.DUMMYFUNCTION("""COMPUTED_VALUE"""),"Sharpstown")</f>
        <v>Sharpstown</v>
      </c>
    </row>
    <row r="188" ht="30.0" customHeight="1">
      <c r="A188" s="17">
        <v>187.0</v>
      </c>
      <c r="B188" s="8" t="str">
        <f>IFERROR(__xludf.DUMMYFUNCTION("""COMPUTED_VALUE"""),"[""77031"", ""77036"", ""77056"", ""77057"", ""77072"", ""77081"", ""77096"", ""77401""]")</f>
        <v>["77031", "77036", "77056", "77057", "77072", "77081", "77096", "77401"]</v>
      </c>
      <c r="C188" s="9" t="str">
        <f>IFERROR(__xludf.DUMMYFUNCTION("""COMPUTED_VALUE"""),"Christian Community Service Center (SW)")</f>
        <v>Christian Community Service Center (SW)</v>
      </c>
      <c r="D188" s="9" t="str">
        <f>IFERROR(__xludf.DUMMYFUNCTION("""COMPUTED_VALUE"""),"6856 Bellaire Blvd")</f>
        <v>6856 Bellaire Blvd</v>
      </c>
      <c r="E188" s="9"/>
      <c r="F188" s="9" t="str">
        <f>IFERROR(__xludf.DUMMYFUNCTION("""COMPUTED_VALUE"""),"Houston")</f>
        <v>Houston</v>
      </c>
      <c r="G188" s="9" t="str">
        <f>IFERROR(__xludf.DUMMYFUNCTION("""COMPUTED_VALUE"""),"TX")</f>
        <v>TX</v>
      </c>
      <c r="H188" s="9" t="str">
        <f>IFERROR(__xludf.DUMMYFUNCTION("""COMPUTED_VALUE"""),"77074")</f>
        <v>77074</v>
      </c>
      <c r="I188" s="9" t="str">
        <f>IFERROR(__xludf.DUMMYFUNCTION("""COMPUTED_VALUE"""),"713-871-9741")</f>
        <v>713-871-9741</v>
      </c>
      <c r="J188" s="9" t="str">
        <f>IFERROR(__xludf.DUMMYFUNCTION("""COMPUTED_VALUE"""),"29.70585725, -95.5037901509174")</f>
        <v>29.70585725, -95.5037901509174</v>
      </c>
      <c r="K188" s="9" t="str">
        <f>IFERROR(__xludf.DUMMYFUNCTION("""COMPUTED_VALUE"""),"{""regular"":[{""days"":[""Mo"",""Tu"",""We"",""Th"",""Fr""],""open"":""10:00"",""close"":""14:00""}]}")</f>
        <v>{"regular":[{"days":["Mo","Tu","We","Th","Fr"],"open":"10:00","close":"14:00"}]}</v>
      </c>
      <c r="L188" s="9" t="str">
        <f>IFERROR(__xludf.DUMMYFUNCTION("""COMPUTED_VALUE"""),"Appointment required")</f>
        <v>Appointment required</v>
      </c>
      <c r="M188" s="10">
        <f>IFERROR(__xludf.DUMMYFUNCTION("""COMPUTED_VALUE"""),36.0)</f>
        <v>36</v>
      </c>
      <c r="N188" s="10" t="str">
        <f>IFERROR(__xludf.DUMMYFUNCTION("""COMPUTED_VALUE"""),"Medical - Bill Payment")</f>
        <v>Medical - Bill Payment</v>
      </c>
      <c r="O188" s="10">
        <f>IFERROR(__xludf.DUMMYFUNCTION("""COMPUTED_VALUE"""),1.0)</f>
        <v>1</v>
      </c>
      <c r="P188" s="10" t="str">
        <f>IFERROR(__xludf.DUMMYFUNCTION("""COMPUTED_VALUE"""),"ACTIVE")</f>
        <v>ACTIVE</v>
      </c>
      <c r="Q188" s="11">
        <f>IFERROR(__xludf.DUMMYFUNCTION("""COMPUTED_VALUE"""),45658.0)</f>
        <v>45658</v>
      </c>
      <c r="R188" s="9"/>
      <c r="S188" s="9" t="str">
        <f>IFERROR(__xludf.DUMMYFUNCTION("""COMPUTED_VALUE"""),"One medical pledge per 12 month period with maximum of three per lifetime.
Prescriptions only filled at HEB Buffalo Speedway.
Affordable prescription from San Jose Clinic @ 713-228-9411.
Maximum pledge amount is $250.")</f>
        <v>One medical pledge per 12 month period with maximum of three per lifetime.
Prescriptions only filled at HEB Buffalo Speedway.
Affordable prescription from San Jose Clinic @ 713-228-9411.
Maximum pledge amount is $250.</v>
      </c>
      <c r="T188" s="12" t="b">
        <f>IFERROR(__xludf.DUMMYFUNCTION("""COMPUTED_VALUE"""),FALSE)</f>
        <v>0</v>
      </c>
      <c r="U188" s="12" t="b">
        <f>IFERROR(__xludf.DUMMYFUNCTION("""COMPUTED_VALUE"""),FALSE)</f>
        <v>0</v>
      </c>
      <c r="V188" s="13" t="str">
        <f>IFERROR(__xludf.DUMMYFUNCTION("""COMPUTED_VALUE"""),"https://ccschouston.org/")</f>
        <v>https://ccschouston.org/</v>
      </c>
      <c r="W188" s="14" t="str">
        <f>IFERROR(__xludf.DUMMYFUNCTION("""COMPUTED_VALUE"""),"https://maps.google.com/?q=Christian%20Community%20Service%20Center%20(SW)%206856%20Bellaire%20Blvd%20Houston%20TX%2077074")</f>
        <v>https://maps.google.com/?q=Christian%20Community%20Service%20Center%20(SW)%206856%20Bellaire%20Blvd%20Houston%20TX%2077074</v>
      </c>
      <c r="X188" s="10"/>
      <c r="Y188" s="9" t="str">
        <f>IFERROR(__xludf.DUMMYFUNCTION("""COMPUTED_VALUE"""),"Houston")</f>
        <v>Houston</v>
      </c>
      <c r="Z188" s="9" t="str">
        <f>IFERROR(__xludf.DUMMYFUNCTION("""COMPUTED_VALUE"""),"Braeburn, Robindell, Sharpstown")</f>
        <v>Braeburn, Robindell, Sharpstown</v>
      </c>
      <c r="AA188" s="9" t="str">
        <f>IFERROR(__xludf.DUMMYFUNCTION("""COMPUTED_VALUE"""),"Christian Community Service Center (CCSC)")</f>
        <v>Christian Community Service Center (CCSC)</v>
      </c>
      <c r="AB188" s="9" t="str">
        <f>IFERROR(__xludf.DUMMYFUNCTION("""COMPUTED_VALUE"""),"Sharpstown")</f>
        <v>Sharpstown</v>
      </c>
    </row>
    <row r="189" ht="30.0" customHeight="1">
      <c r="A189" s="17">
        <v>188.0</v>
      </c>
      <c r="B189" s="8" t="str">
        <f>IFERROR(__xludf.DUMMYFUNCTION("""COMPUTED_VALUE"""),"[""99999""]")</f>
        <v>["99999"]</v>
      </c>
      <c r="C189" s="9" t="str">
        <f>IFERROR(__xludf.DUMMYFUNCTION("""COMPUTED_VALUE"""),"Christian Helping Hands")</f>
        <v>Christian Helping Hands</v>
      </c>
      <c r="D189" s="9" t="str">
        <f>IFERROR(__xludf.DUMMYFUNCTION("""COMPUTED_VALUE"""),"4305 Magnolia Pkwy")</f>
        <v>4305 Magnolia Pkwy</v>
      </c>
      <c r="E189" s="9"/>
      <c r="F189" s="10" t="str">
        <f>IFERROR(__xludf.DUMMYFUNCTION("""COMPUTED_VALUE"""),"Pearland")</f>
        <v>Pearland</v>
      </c>
      <c r="G189" s="9" t="str">
        <f>IFERROR(__xludf.DUMMYFUNCTION("""COMPUTED_VALUE"""),"TX")</f>
        <v>TX</v>
      </c>
      <c r="H189" s="9" t="str">
        <f>IFERROR(__xludf.DUMMYFUNCTION("""COMPUTED_VALUE"""),"77584")</f>
        <v>77584</v>
      </c>
      <c r="I189" s="9" t="str">
        <f>IFERROR(__xludf.DUMMYFUNCTION("""COMPUTED_VALUE"""),"281-485-9776")</f>
        <v>281-485-9776</v>
      </c>
      <c r="J189" s="9" t="str">
        <f>IFERROR(__xludf.DUMMYFUNCTION("""COMPUTED_VALUE"""),"29.5454951514815, -95.2886539519158")</f>
        <v>29.5454951514815, -95.2886539519158</v>
      </c>
      <c r="K189" s="9" t="str">
        <f>IFERROR(__xludf.DUMMYFUNCTION("""COMPUTED_VALUE"""),"{""regular"":[{""days"":[""Mo"",""Tu"",""We"",""Th"",""Fr""],""open"":""10:00"",""close"":""13:30""}]}")</f>
        <v>{"regular":[{"days":["Mo","Tu","We","Th","Fr"],"open":"10:00","close":"13:30"}]}</v>
      </c>
      <c r="L189" s="9"/>
      <c r="M189" s="10">
        <f>IFERROR(__xludf.DUMMYFUNCTION("""COMPUTED_VALUE"""),13.0)</f>
        <v>13</v>
      </c>
      <c r="N189" s="10" t="str">
        <f>IFERROR(__xludf.DUMMYFUNCTION("""COMPUTED_VALUE"""),"Food")</f>
        <v>Food</v>
      </c>
      <c r="O189" s="10">
        <f>IFERROR(__xludf.DUMMYFUNCTION("""COMPUTED_VALUE"""),1.0)</f>
        <v>1</v>
      </c>
      <c r="P189" s="10" t="str">
        <f>IFERROR(__xludf.DUMMYFUNCTION("""COMPUTED_VALUE"""),"ACTIVE")</f>
        <v>ACTIVE</v>
      </c>
      <c r="Q189" s="11">
        <f>IFERROR(__xludf.DUMMYFUNCTION("""COMPUTED_VALUE"""),45663.0)</f>
        <v>45663</v>
      </c>
      <c r="R189" s="9"/>
      <c r="S189" s="9"/>
      <c r="T189" s="12" t="b">
        <f>IFERROR(__xludf.DUMMYFUNCTION("""COMPUTED_VALUE"""),FALSE)</f>
        <v>0</v>
      </c>
      <c r="U189" s="12" t="b">
        <f>IFERROR(__xludf.DUMMYFUNCTION("""COMPUTED_VALUE"""),FALSE)</f>
        <v>0</v>
      </c>
      <c r="V189" s="12"/>
      <c r="W189" s="14" t="str">
        <f>IFERROR(__xludf.DUMMYFUNCTION("""COMPUTED_VALUE"""),"https://maps.google.com/?q=Christian%20Helping%20Hands%20%20%20TX%20")</f>
        <v>https://maps.google.com/?q=Christian%20Helping%20Hands%20%20%20TX%20</v>
      </c>
      <c r="X189" s="10"/>
      <c r="Y189" s="9" t="str">
        <f>IFERROR(__xludf.DUMMYFUNCTION("""COMPUTED_VALUE"""),"Pearland")</f>
        <v>Pearland</v>
      </c>
      <c r="Z189" s="9" t="str">
        <f>IFERROR(__xludf.DUMMYFUNCTION("""COMPUTED_VALUE"""),"Pearland, Pearland (West), Shadow Creek Ranch, Silverlake")</f>
        <v>Pearland, Pearland (West), Shadow Creek Ranch, Silverlake</v>
      </c>
      <c r="AA189" s="9" t="str">
        <f>IFERROR(__xludf.DUMMYFUNCTION("""COMPUTED_VALUE"""),"Christian Helping Hands")</f>
        <v>Christian Helping Hands</v>
      </c>
      <c r="AB189" s="9" t="str">
        <f>IFERROR(__xludf.DUMMYFUNCTION("""COMPUTED_VALUE"""),"Pearland")</f>
        <v>Pearland</v>
      </c>
    </row>
    <row r="190" ht="30.0" customHeight="1">
      <c r="A190" s="17">
        <v>189.0</v>
      </c>
      <c r="B190" s="8" t="str">
        <f>IFERROR(__xludf.DUMMYFUNCTION("""COMPUTED_VALUE"""),"[""99999""]")</f>
        <v>["99999"]</v>
      </c>
      <c r="C190" s="9" t="str">
        <f>IFERROR(__xludf.DUMMYFUNCTION("""COMPUTED_VALUE"""),"Christian Helping Hands")</f>
        <v>Christian Helping Hands</v>
      </c>
      <c r="D190" s="9" t="str">
        <f>IFERROR(__xludf.DUMMYFUNCTION("""COMPUTED_VALUE"""),"4305 Magnolia Pkwy")</f>
        <v>4305 Magnolia Pkwy</v>
      </c>
      <c r="E190" s="9"/>
      <c r="F190" s="10" t="str">
        <f>IFERROR(__xludf.DUMMYFUNCTION("""COMPUTED_VALUE"""),"Pearland")</f>
        <v>Pearland</v>
      </c>
      <c r="G190" s="9" t="str">
        <f>IFERROR(__xludf.DUMMYFUNCTION("""COMPUTED_VALUE"""),"TX")</f>
        <v>TX</v>
      </c>
      <c r="H190" s="9" t="str">
        <f>IFERROR(__xludf.DUMMYFUNCTION("""COMPUTED_VALUE"""),"77584")</f>
        <v>77584</v>
      </c>
      <c r="I190" s="9" t="str">
        <f>IFERROR(__xludf.DUMMYFUNCTION("""COMPUTED_VALUE"""),"281-485-9776")</f>
        <v>281-485-9776</v>
      </c>
      <c r="J190" s="9" t="str">
        <f>IFERROR(__xludf.DUMMYFUNCTION("""COMPUTED_VALUE"""),"29.5454951514815, -95.2886539519158")</f>
        <v>29.5454951514815, -95.2886539519158</v>
      </c>
      <c r="K190" s="9" t="str">
        <f>IFERROR(__xludf.DUMMYFUNCTION("""COMPUTED_VALUE"""),"{""regular"":[{""days"":[""Mo"",""Tu"",""We"",""Th"",""Fr""],""open"":""10:00"",""close"":""13:30""}]}")</f>
        <v>{"regular":[{"days":["Mo","Tu","We","Th","Fr"],"open":"10:00","close":"13:30"}]}</v>
      </c>
      <c r="L190" s="9"/>
      <c r="M190" s="10">
        <f>IFERROR(__xludf.DUMMYFUNCTION("""COMPUTED_VALUE"""),53.0)</f>
        <v>53</v>
      </c>
      <c r="N190" s="10" t="str">
        <f>IFERROR(__xludf.DUMMYFUNCTION("""COMPUTED_VALUE"""),"Transportation")</f>
        <v>Transportation</v>
      </c>
      <c r="O190" s="10">
        <f>IFERROR(__xludf.DUMMYFUNCTION("""COMPUTED_VALUE"""),4.0)</f>
        <v>4</v>
      </c>
      <c r="P190" s="10" t="str">
        <f>IFERROR(__xludf.DUMMYFUNCTION("""COMPUTED_VALUE"""),"CLOSED")</f>
        <v>CLOSED</v>
      </c>
      <c r="Q190" s="11">
        <f>IFERROR(__xludf.DUMMYFUNCTION("""COMPUTED_VALUE"""),45519.0)</f>
        <v>45519</v>
      </c>
      <c r="R190" s="9" t="str">
        <f>IFERROR(__xludf.DUMMYFUNCTION("""COMPUTED_VALUE"""),"Google Maps indicates closed. Website not working. No one answering phone.")</f>
        <v>Google Maps indicates closed. Website not working. No one answering phone.</v>
      </c>
      <c r="S190" s="9" t="str">
        <f>IFERROR(__xludf.DUMMYFUNCTION("""COMPUTED_VALUE"""),"Gas for medical appointments.")</f>
        <v>Gas for medical appointments.</v>
      </c>
      <c r="T190" s="12" t="b">
        <f>IFERROR(__xludf.DUMMYFUNCTION("""COMPUTED_VALUE"""),FALSE)</f>
        <v>0</v>
      </c>
      <c r="U190" s="12" t="b">
        <f>IFERROR(__xludf.DUMMYFUNCTION("""COMPUTED_VALUE"""),FALSE)</f>
        <v>0</v>
      </c>
      <c r="V190" s="12"/>
      <c r="W190" s="14" t="str">
        <f>IFERROR(__xludf.DUMMYFUNCTION("""COMPUTED_VALUE"""),"https://maps.google.com/?q=Christian%20Helping%20Hands%20%20%20TX%20")</f>
        <v>https://maps.google.com/?q=Christian%20Helping%20Hands%20%20%20TX%20</v>
      </c>
      <c r="X190" s="10"/>
      <c r="Y190" s="9" t="str">
        <f>IFERROR(__xludf.DUMMYFUNCTION("""COMPUTED_VALUE"""),"Pearland")</f>
        <v>Pearland</v>
      </c>
      <c r="Z190" s="9" t="str">
        <f>IFERROR(__xludf.DUMMYFUNCTION("""COMPUTED_VALUE"""),"Pearland, Pearland (West), Shadow Creek Ranch, Silverlake")</f>
        <v>Pearland, Pearland (West), Shadow Creek Ranch, Silverlake</v>
      </c>
      <c r="AA190" s="9" t="str">
        <f>IFERROR(__xludf.DUMMYFUNCTION("""COMPUTED_VALUE"""),"Christian Helping Hands")</f>
        <v>Christian Helping Hands</v>
      </c>
      <c r="AB190" s="9" t="str">
        <f>IFERROR(__xludf.DUMMYFUNCTION("""COMPUTED_VALUE"""),"Pearland")</f>
        <v>Pearland</v>
      </c>
    </row>
    <row r="191" ht="30.0" customHeight="1">
      <c r="A191" s="17">
        <v>190.0</v>
      </c>
      <c r="B191" s="8" t="str">
        <f>IFERROR(__xludf.DUMMYFUNCTION("""COMPUTED_VALUE"""),"[""99999""]")</f>
        <v>["99999"]</v>
      </c>
      <c r="C191" s="9" t="str">
        <f>IFERROR(__xludf.DUMMYFUNCTION("""COMPUTED_VALUE"""),"Christus Healthy Living Mobile Clinics")</f>
        <v>Christus Healthy Living Mobile Clinics</v>
      </c>
      <c r="D191" s="9"/>
      <c r="E191" s="9"/>
      <c r="F191" s="9" t="str">
        <f>IFERROR(__xludf.DUMMYFUNCTION("""COMPUTED_VALUE"""),"Houston")</f>
        <v>Houston</v>
      </c>
      <c r="G191" s="9" t="str">
        <f>IFERROR(__xludf.DUMMYFUNCTION("""COMPUTED_VALUE"""),"TX")</f>
        <v>TX</v>
      </c>
      <c r="H191" s="9" t="str">
        <f>IFERROR(__xludf.DUMMYFUNCTION("""COMPUTED_VALUE"""),"99999")</f>
        <v>99999</v>
      </c>
      <c r="I191" s="9"/>
      <c r="J191" s="9" t="str">
        <f>IFERROR(__xludf.DUMMYFUNCTION("""COMPUTED_VALUE"""),"29.756845, -95.365652")</f>
        <v>29.756845, -95.365652</v>
      </c>
      <c r="K191" s="9" t="str">
        <f>IFERROR(__xludf.DUMMYFUNCTION("""COMPUTED_VALUE"""),"{""regular"":[{""days"":[""Mo"",""Tu"",""We"",""Th"",""Fr""],""open"":null,""close"":null}]}")</f>
        <v>{"regular":[{"days":["Mo","Tu","We","Th","Fr"],"open":null,"close":null}]}</v>
      </c>
      <c r="L191" s="9"/>
      <c r="M191" s="10">
        <f>IFERROR(__xludf.DUMMYFUNCTION("""COMPUTED_VALUE"""),31.0)</f>
        <v>31</v>
      </c>
      <c r="N191" s="10" t="str">
        <f>IFERROR(__xludf.DUMMYFUNCTION("""COMPUTED_VALUE"""),"Medical - Primary Care")</f>
        <v>Medical - Primary Care</v>
      </c>
      <c r="O191" s="10">
        <f>IFERROR(__xludf.DUMMYFUNCTION("""COMPUTED_VALUE"""),1.0)</f>
        <v>1</v>
      </c>
      <c r="P191" s="10" t="str">
        <f>IFERROR(__xludf.DUMMYFUNCTION("""COMPUTED_VALUE"""),"ACTIVE")</f>
        <v>ACTIVE</v>
      </c>
      <c r="Q191" s="11">
        <f>IFERROR(__xludf.DUMMYFUNCTION("""COMPUTED_VALUE"""),45761.0)</f>
        <v>45761</v>
      </c>
      <c r="R191" s="9" t="str">
        <f>IFERROR(__xludf.DUMMYFUNCTION("""COMPUTED_VALUE"""),"SVdP Church Help for Moms Ministry")</f>
        <v>SVdP Church Help for Moms Ministry</v>
      </c>
      <c r="S191" s="9" t="str">
        <f>IFERROR(__xludf.DUMMYFUNCTION("""COMPUTED_VALUE"""),"Two mobile units for medically underserved and hard to reach population
Cover Harris, Galveston, Montgomery, Waller, Fort Bend and Brazoria counties
Check website for locations")</f>
        <v>Two mobile units for medically underserved and hard to reach population
Cover Harris, Galveston, Montgomery, Waller, Fort Bend and Brazoria counties
Check website for locations</v>
      </c>
      <c r="T191" s="12" t="b">
        <f>IFERROR(__xludf.DUMMYFUNCTION("""COMPUTED_VALUE"""),FALSE)</f>
        <v>0</v>
      </c>
      <c r="U191" s="12" t="b">
        <f>IFERROR(__xludf.DUMMYFUNCTION("""COMPUTED_VALUE"""),FALSE)</f>
        <v>0</v>
      </c>
      <c r="V191" s="13" t="str">
        <f>IFERROR(__xludf.DUMMYFUNCTION("""COMPUTED_VALUE"""),"https://christusfoundation.org/programs/christus-healthy-mobile-clinic/")</f>
        <v>https://christusfoundation.org/programs/christus-healthy-mobile-clinic/</v>
      </c>
      <c r="W191" s="10"/>
      <c r="X191" s="10"/>
      <c r="Y191" s="9" t="str">
        <f>IFERROR(__xludf.DUMMYFUNCTION("""COMPUTED_VALUE"""),"Greater Houston")</f>
        <v>Greater Houston</v>
      </c>
      <c r="Z191" s="9" t="str">
        <f>IFERROR(__xludf.DUMMYFUNCTION("""COMPUTED_VALUE"""),"Not Restricted by Zip Code")</f>
        <v>Not Restricted by Zip Code</v>
      </c>
      <c r="AA191" s="9" t="str">
        <f>IFERROR(__xludf.DUMMYFUNCTION("""COMPUTED_VALUE"""),"Christus Foundation for HealthCare")</f>
        <v>Christus Foundation for HealthCare</v>
      </c>
      <c r="AB191" s="9"/>
    </row>
    <row r="192" ht="30.0" customHeight="1">
      <c r="A192" s="17">
        <v>191.0</v>
      </c>
      <c r="B192" s="8" t="str">
        <f>IFERROR(__xludf.DUMMYFUNCTION("""COMPUTED_VALUE"""),"[""99999""]")</f>
        <v>["99999"]</v>
      </c>
      <c r="C192" s="9" t="str">
        <f>IFERROR(__xludf.DUMMYFUNCTION("""COMPUTED_VALUE"""),"Christus Learning Center")</f>
        <v>Christus Learning Center</v>
      </c>
      <c r="D192" s="9" t="str">
        <f>IFERROR(__xludf.DUMMYFUNCTION("""COMPUTED_VALUE"""),"2615 Fannin Street")</f>
        <v>2615 Fannin Street</v>
      </c>
      <c r="E192" s="9" t="str">
        <f>IFERROR(__xludf.DUMMYFUNCTION("""COMPUTED_VALUE"""),"1st Floor")</f>
        <v>1st Floor</v>
      </c>
      <c r="F192" s="9" t="str">
        <f>IFERROR(__xludf.DUMMYFUNCTION("""COMPUTED_VALUE"""),"Houston")</f>
        <v>Houston</v>
      </c>
      <c r="G192" s="9" t="str">
        <f>IFERROR(__xludf.DUMMYFUNCTION("""COMPUTED_VALUE"""),"TX")</f>
        <v>TX</v>
      </c>
      <c r="H192" s="9" t="str">
        <f>IFERROR(__xludf.DUMMYFUNCTION("""COMPUTED_VALUE"""),"77002")</f>
        <v>77002</v>
      </c>
      <c r="I192" s="9" t="str">
        <f>IFERROR(__xludf.DUMMYFUNCTION("""COMPUTED_VALUE"""),"713-803-1887713-803-1889")</f>
        <v>713-803-1887713-803-1889</v>
      </c>
      <c r="J192" s="9" t="str">
        <f>IFERROR(__xludf.DUMMYFUNCTION("""COMPUTED_VALUE"""),"29.744518, -95.373194")</f>
        <v>29.744518, -95.373194</v>
      </c>
      <c r="K192" s="9" t="str">
        <f>IFERROR(__xludf.DUMMYFUNCTION("""COMPUTED_VALUE"""),"{""regular"":[{""days"":[""Mo"",""Tu"",""We"",""Th"",""Fr""],""open"":""08:30"",""close"":""16:00""}]}")</f>
        <v>{"regular":[{"days":["Mo","Tu","We","Th","Fr"],"open":"08:30","close":"16:00"}]}</v>
      </c>
      <c r="L192" s="9"/>
      <c r="M192" s="10">
        <f>IFERROR(__xludf.DUMMYFUNCTION("""COMPUTED_VALUE"""),51.0)</f>
        <v>51</v>
      </c>
      <c r="N192" s="10" t="str">
        <f>IFERROR(__xludf.DUMMYFUNCTION("""COMPUTED_VALUE"""),"Education - Adults")</f>
        <v>Education - Adults</v>
      </c>
      <c r="O192" s="10">
        <f>IFERROR(__xludf.DUMMYFUNCTION("""COMPUTED_VALUE"""),1.0)</f>
        <v>1</v>
      </c>
      <c r="P192" s="10" t="str">
        <f>IFERROR(__xludf.DUMMYFUNCTION("""COMPUTED_VALUE"""),"ACTIVE")</f>
        <v>ACTIVE</v>
      </c>
      <c r="Q192" s="11">
        <f>IFERROR(__xludf.DUMMYFUNCTION("""COMPUTED_VALUE"""),45761.0)</f>
        <v>45761</v>
      </c>
      <c r="R192" s="9" t="str">
        <f>IFERROR(__xludf.DUMMYFUNCTION("""COMPUTED_VALUE"""),"SVdP Church Help for Moms Ministry")</f>
        <v>SVdP Church Help for Moms Ministry</v>
      </c>
      <c r="S192" s="9" t="str">
        <f>IFERROR(__xludf.DUMMYFUNCTION("""COMPUTED_VALUE"""),"English as a Second Language (ESL)
Basic Adult Education (ABE)
General Educational Development (GED)")</f>
        <v>English as a Second Language (ESL)
Basic Adult Education (ABE)
General Educational Development (GED)</v>
      </c>
      <c r="T192" s="12" t="b">
        <f>IFERROR(__xludf.DUMMYFUNCTION("""COMPUTED_VALUE"""),FALSE)</f>
        <v>0</v>
      </c>
      <c r="U192" s="12" t="b">
        <f>IFERROR(__xludf.DUMMYFUNCTION("""COMPUTED_VALUE"""),FALSE)</f>
        <v>0</v>
      </c>
      <c r="V192" s="13" t="str">
        <f>IFERROR(__xludf.DUMMYFUNCTION("""COMPUTED_VALUE"""),"https://christusfoundation.org/programs/christus-learning-center/")</f>
        <v>https://christusfoundation.org/programs/christus-learning-center/</v>
      </c>
      <c r="W192" s="14" t="str">
        <f>IFERROR(__xludf.DUMMYFUNCTION("""COMPUTED_VALUE"""),"https://www.google.com/maps/place/2615+Fannin+St,+Houston,+TX+77002/@29.7439983,-95.3742185,19z/data=!4m6!3m5!1s0x8640bf6b5322b615:0x45a7696543bcce6b!8m2!3d29.7444595!4d-95.3731402!16s%2Fg%2F11bw3zns_s?entry=ttu&amp;g_ep=EgoyMDI1MDQwOS4wIKXMDSoASAFQAw%3D%3D")</f>
        <v>https://www.google.com/maps/place/2615+Fannin+St,+Houston,+TX+77002/@29.7439983,-95.3742185,19z/data=!4m6!3m5!1s0x8640bf6b5322b615:0x45a7696543bcce6b!8m2!3d29.7444595!4d-95.3731402!16s%2Fg%2F11bw3zns_s?entry=ttu&amp;g_ep=EgoyMDI1MDQwOS4wIKXMDSoASAFQAw%3D%3D</v>
      </c>
      <c r="X192" s="10"/>
      <c r="Y192" s="9" t="str">
        <f>IFERROR(__xludf.DUMMYFUNCTION("""COMPUTED_VALUE"""),"Houston")</f>
        <v>Houston</v>
      </c>
      <c r="Z19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192" s="9" t="str">
        <f>IFERROR(__xludf.DUMMYFUNCTION("""COMPUTED_VALUE"""),"Christus Foundation for HealthCare")</f>
        <v>Christus Foundation for HealthCare</v>
      </c>
      <c r="AB192" s="9" t="str">
        <f>IFERROR(__xludf.DUMMYFUNCTION("""COMPUTED_VALUE"""),"South Central Houston")</f>
        <v>South Central Houston</v>
      </c>
    </row>
    <row r="193" ht="30.0" customHeight="1">
      <c r="A193" s="17">
        <v>192.0</v>
      </c>
      <c r="B193" s="8" t="str">
        <f>IFERROR(__xludf.DUMMYFUNCTION("""COMPUTED_VALUE"""),"[""99999""]")</f>
        <v>["99999"]</v>
      </c>
      <c r="C193" s="9" t="str">
        <f>IFERROR(__xludf.DUMMYFUNCTION("""COMPUTED_VALUE"""),"Christus Our Daily Bread")</f>
        <v>Christus Our Daily Bread</v>
      </c>
      <c r="D193" s="9" t="str">
        <f>IFERROR(__xludf.DUMMYFUNCTION("""COMPUTED_VALUE"""),"2420 Winnie Street")</f>
        <v>2420 Winnie Street</v>
      </c>
      <c r="E193" s="9"/>
      <c r="F193" s="9" t="str">
        <f>IFERROR(__xludf.DUMMYFUNCTION("""COMPUTED_VALUE"""),"Galveston")</f>
        <v>Galveston</v>
      </c>
      <c r="G193" s="9" t="str">
        <f>IFERROR(__xludf.DUMMYFUNCTION("""COMPUTED_VALUE"""),"TX")</f>
        <v>TX</v>
      </c>
      <c r="H193" s="9" t="str">
        <f>IFERROR(__xludf.DUMMYFUNCTION("""COMPUTED_VALUE"""),"77550")</f>
        <v>77550</v>
      </c>
      <c r="I193" s="9" t="str">
        <f>IFERROR(__xludf.DUMMYFUNCTION("""COMPUTED_VALUE"""),"409-765-6971")</f>
        <v>409-765-6971</v>
      </c>
      <c r="J193" s="9" t="str">
        <f>IFERROR(__xludf.DUMMYFUNCTION("""COMPUTED_VALUE"""),"29.3025036326531, -94.7944075714286")</f>
        <v>29.3025036326531, -94.7944075714286</v>
      </c>
      <c r="K193" s="9" t="str">
        <f>IFERROR(__xludf.DUMMYFUNCTION("""COMPUTED_VALUE"""),"{""regular"":[{""days"":[""Mo"",""Tu"",""We"",""Th"",""Fr""],""open"":""08:00"",""close"":""16:00""}]}")</f>
        <v>{"regular":[{"days":["Mo","Tu","We","Th","Fr"],"open":"08:00","close":"16:00"}]}</v>
      </c>
      <c r="L193" s="9"/>
      <c r="M193" s="10">
        <f>IFERROR(__xludf.DUMMYFUNCTION("""COMPUTED_VALUE"""),22.0)</f>
        <v>22</v>
      </c>
      <c r="N193" s="10" t="str">
        <f>IFERROR(__xludf.DUMMYFUNCTION("""COMPUTED_VALUE"""),"Homeless - Day Centers")</f>
        <v>Homeless - Day Centers</v>
      </c>
      <c r="O193" s="10">
        <f>IFERROR(__xludf.DUMMYFUNCTION("""COMPUTED_VALUE"""),1.0)</f>
        <v>1</v>
      </c>
      <c r="P193" s="10" t="str">
        <f>IFERROR(__xludf.DUMMYFUNCTION("""COMPUTED_VALUE"""),"ACTIVE")</f>
        <v>ACTIVE</v>
      </c>
      <c r="Q193" s="11">
        <f>IFERROR(__xludf.DUMMYFUNCTION("""COMPUTED_VALUE"""),45761.0)</f>
        <v>45761</v>
      </c>
      <c r="R193" s="9" t="str">
        <f>IFERROR(__xludf.DUMMYFUNCTION("""COMPUTED_VALUE"""),"SVdP Church Help for Moms Ministry")</f>
        <v>SVdP Church Help for Moms Ministry</v>
      </c>
      <c r="S193" s="9" t="str">
        <f>IFERROR(__xludf.DUMMYFUNCTION("""COMPUTED_VALUE"""),"Meals, clean clothing and toiletries/hygiene kit.
Structured recovery program
Closed certain holidays. Check website.")</f>
        <v>Meals, clean clothing and toiletries/hygiene kit.
Structured recovery program
Closed certain holidays. Check website.</v>
      </c>
      <c r="T193" s="12" t="b">
        <f>IFERROR(__xludf.DUMMYFUNCTION("""COMPUTED_VALUE"""),FALSE)</f>
        <v>0</v>
      </c>
      <c r="U193" s="12" t="b">
        <f>IFERROR(__xludf.DUMMYFUNCTION("""COMPUTED_VALUE"""),FALSE)</f>
        <v>0</v>
      </c>
      <c r="V193" s="13" t="str">
        <f>IFERROR(__xludf.DUMMYFUNCTION("""COMPUTED_VALUE"""),"https://christusfoundation.org/programs/christus-our-daily-bread/")</f>
        <v>https://christusfoundation.org/programs/christus-our-daily-bread/</v>
      </c>
      <c r="W193" s="14" t="str">
        <f>IFERROR(__xludf.DUMMYFUNCTION("""COMPUTED_VALUE"""),"https://www.google.com/maps/place/CHRISTUS+Our+Daily+Bread/@29.302559,-94.7973609,16z/data=!3m2!4b1!5s0x863f9e69524a0133:0x737ac8d30c4e952b!4m6!3m5!1s0x863f9e695204a2cf:0x2dcef510576e00d0!8m2!3d29.302559!4d-94.794786!16s%2Fg%2F1td7npym?entry=ttu&amp;g_ep=Egoy"&amp;"MDI1MDQwOS4wIKXMDSoASAFQAw%3D%3D")</f>
        <v>https://www.google.com/maps/place/CHRISTUS+Our+Daily+Bread/@29.302559,-94.7973609,16z/data=!3m2!4b1!5s0x863f9e69524a0133:0x737ac8d30c4e952b!4m6!3m5!1s0x863f9e695204a2cf:0x2dcef510576e00d0!8m2!3d29.302559!4d-94.794786!16s%2Fg%2F1td7npym?entry=ttu&amp;g_ep=EgoyMDI1MDQwOS4wIKXMDSoASAFQAw%3D%3D</v>
      </c>
      <c r="X193" s="10"/>
      <c r="Y193" s="9" t="str">
        <f>IFERROR(__xludf.DUMMYFUNCTION("""COMPUTED_VALUE"""),"Galveston")</f>
        <v>Galveston</v>
      </c>
      <c r="Z193" s="9" t="str">
        <f>IFERROR(__xludf.DUMMYFUNCTION("""COMPUTED_VALUE"""),"Galveston")</f>
        <v>Galveston</v>
      </c>
      <c r="AA193" s="9" t="str">
        <f>IFERROR(__xludf.DUMMYFUNCTION("""COMPUTED_VALUE"""),"Christus Foundation for HealthCare")</f>
        <v>Christus Foundation for HealthCare</v>
      </c>
      <c r="AB193" s="9" t="str">
        <f>IFERROR(__xludf.DUMMYFUNCTION("""COMPUTED_VALUE"""),"Galveston")</f>
        <v>Galveston</v>
      </c>
    </row>
    <row r="194" ht="30.0" customHeight="1">
      <c r="A194" s="17">
        <v>193.0</v>
      </c>
      <c r="B194" s="8" t="str">
        <f>IFERROR(__xludf.DUMMYFUNCTION("""COMPUTED_VALUE"""),"[""99999""]")</f>
        <v>["99999"]</v>
      </c>
      <c r="C194" s="9" t="str">
        <f>IFERROR(__xludf.DUMMYFUNCTION("""COMPUTED_VALUE"""),"Christus Point of Light Clinic")</f>
        <v>Christus Point of Light Clinic</v>
      </c>
      <c r="D194" s="9" t="str">
        <f>IFERROR(__xludf.DUMMYFUNCTION("""COMPUTED_VALUE"""),"2401 Termini Street")</f>
        <v>2401 Termini Street</v>
      </c>
      <c r="E194" s="9" t="str">
        <f>IFERROR(__xludf.DUMMYFUNCTION("""COMPUTED_VALUE"""),"Suite 100D")</f>
        <v>Suite 100D</v>
      </c>
      <c r="F194" s="9" t="str">
        <f>IFERROR(__xludf.DUMMYFUNCTION("""COMPUTED_VALUE"""),"Dickinson")</f>
        <v>Dickinson</v>
      </c>
      <c r="G194" s="9" t="str">
        <f>IFERROR(__xludf.DUMMYFUNCTION("""COMPUTED_VALUE"""),"TX")</f>
        <v>TX</v>
      </c>
      <c r="H194" s="9" t="str">
        <f>IFERROR(__xludf.DUMMYFUNCTION("""COMPUTED_VALUE"""),"77539")</f>
        <v>77539</v>
      </c>
      <c r="I194" s="9" t="str">
        <f>IFERROR(__xludf.DUMMYFUNCTION("""COMPUTED_VALUE"""),"713-803-1830")</f>
        <v>713-803-1830</v>
      </c>
      <c r="J194" s="9" t="str">
        <f>IFERROR(__xludf.DUMMYFUNCTION("""COMPUTED_VALUE"""),"29.460695, -95.055158")</f>
        <v>29.460695, -95.055158</v>
      </c>
      <c r="K194" s="9" t="str">
        <f>IFERROR(__xludf.DUMMYFUNCTION("""COMPUTED_VALUE"""),"{""regular"":[{""days"":[""Mo"",""Tu"",""We"",""Th"",""Fr""],""open"":""08:00"",""close"":""17:00""}]}")</f>
        <v>{"regular":[{"days":["Mo","Tu","We","Th","Fr"],"open":"08:00","close":"17:00"}]}</v>
      </c>
      <c r="L194" s="9"/>
      <c r="M194" s="10">
        <f>IFERROR(__xludf.DUMMYFUNCTION("""COMPUTED_VALUE"""),31.0)</f>
        <v>31</v>
      </c>
      <c r="N194" s="10" t="str">
        <f>IFERROR(__xludf.DUMMYFUNCTION("""COMPUTED_VALUE"""),"Medical - Primary Care")</f>
        <v>Medical - Primary Care</v>
      </c>
      <c r="O194" s="10">
        <f>IFERROR(__xludf.DUMMYFUNCTION("""COMPUTED_VALUE"""),1.0)</f>
        <v>1</v>
      </c>
      <c r="P194" s="10" t="str">
        <f>IFERROR(__xludf.DUMMYFUNCTION("""COMPUTED_VALUE"""),"ACTIVE")</f>
        <v>ACTIVE</v>
      </c>
      <c r="Q194" s="11">
        <f>IFERROR(__xludf.DUMMYFUNCTION("""COMPUTED_VALUE"""),45761.0)</f>
        <v>45761</v>
      </c>
      <c r="R194" s="9" t="str">
        <f>IFERROR(__xludf.DUMMYFUNCTION("""COMPUTED_VALUE"""),"SVdP Church Help for Moms Ministry")</f>
        <v>SVdP Church Help for Moms Ministry</v>
      </c>
      <c r="S194" s="9" t="str">
        <f>IFERROR(__xludf.DUMMYFUNCTION("""COMPUTED_VALUE"""),"Healthcare to underserved population")</f>
        <v>Healthcare to underserved population</v>
      </c>
      <c r="T194" s="12" t="b">
        <f>IFERROR(__xludf.DUMMYFUNCTION("""COMPUTED_VALUE"""),FALSE)</f>
        <v>0</v>
      </c>
      <c r="U194" s="12" t="b">
        <f>IFERROR(__xludf.DUMMYFUNCTION("""COMPUTED_VALUE"""),FALSE)</f>
        <v>0</v>
      </c>
      <c r="V194" s="13" t="str">
        <f>IFERROR(__xludf.DUMMYFUNCTION("""COMPUTED_VALUE"""),"https://christusfoundation.org/programs/christus-point-light-clinic/")</f>
        <v>https://christusfoundation.org/programs/christus-point-light-clinic/</v>
      </c>
      <c r="W194" s="14" t="str">
        <f>IFERROR(__xludf.DUMMYFUNCTION("""COMPUTED_VALUE"""),"https://www.google.com/maps/place/CHRISTUS+Point+of+Light+Clinic/@29.4614256,-95.0594992,17z/data=!3m1!4b1!4m6!3m5!1s0x86408269042b63ff:0xe6bbb8e9a57bea26!8m2!3d29.4614257!4d-95.0548858!16s%2Fg%2F1tggbbsd?entry=ttu&amp;g_ep=EgoyMDI1MDQwOS4wIKXMDSoASAFQAw%3D%3"&amp;"D")</f>
        <v>https://www.google.com/maps/place/CHRISTUS+Point+of+Light+Clinic/@29.4614256,-95.0594992,17z/data=!3m1!4b1!4m6!3m5!1s0x86408269042b63ff:0xe6bbb8e9a57bea26!8m2!3d29.4614257!4d-95.0548858!16s%2Fg%2F1tggbbsd?entry=ttu&amp;g_ep=EgoyMDI1MDQwOS4wIKXMDSoASAFQAw%3D%3D</v>
      </c>
      <c r="X194" s="10"/>
      <c r="Y194" s="9" t="str">
        <f>IFERROR(__xludf.DUMMYFUNCTION("""COMPUTED_VALUE"""),"Dickinson")</f>
        <v>Dickinson</v>
      </c>
      <c r="Z194" s="9" t="str">
        <f>IFERROR(__xludf.DUMMYFUNCTION("""COMPUTED_VALUE"""),"Dickinson")</f>
        <v>Dickinson</v>
      </c>
      <c r="AA194" s="9" t="str">
        <f>IFERROR(__xludf.DUMMYFUNCTION("""COMPUTED_VALUE"""),"Christus Foundation for HealthCare")</f>
        <v>Christus Foundation for HealthCare</v>
      </c>
      <c r="AB194" s="9" t="str">
        <f>IFERROR(__xludf.DUMMYFUNCTION("""COMPUTED_VALUE"""),"Dickinson")</f>
        <v>Dickinson</v>
      </c>
    </row>
    <row r="195" ht="30.0" customHeight="1">
      <c r="A195" s="17">
        <v>194.0</v>
      </c>
      <c r="B195" s="8" t="str">
        <f>IFERROR(__xludf.DUMMYFUNCTION("""COMPUTED_VALUE"""),"[""99999""]")</f>
        <v>["99999"]</v>
      </c>
      <c r="C195" s="9" t="str">
        <f>IFERROR(__xludf.DUMMYFUNCTION("""COMPUTED_VALUE"""),"Christus School Clinics - Assumption Catholic School")</f>
        <v>Christus School Clinics - Assumption Catholic School</v>
      </c>
      <c r="D195" s="9" t="str">
        <f>IFERROR(__xludf.DUMMYFUNCTION("""COMPUTED_VALUE"""),"801 Roselane Street")</f>
        <v>801 Roselane Street</v>
      </c>
      <c r="E195" s="9"/>
      <c r="F195" s="9" t="str">
        <f>IFERROR(__xludf.DUMMYFUNCTION("""COMPUTED_VALUE"""),"Houston")</f>
        <v>Houston</v>
      </c>
      <c r="G195" s="9" t="str">
        <f>IFERROR(__xludf.DUMMYFUNCTION("""COMPUTED_VALUE"""),"TX")</f>
        <v>TX</v>
      </c>
      <c r="H195" s="9" t="str">
        <f>IFERROR(__xludf.DUMMYFUNCTION("""COMPUTED_VALUE"""),"77037")</f>
        <v>77037</v>
      </c>
      <c r="I195" s="9" t="str">
        <f>IFERROR(__xludf.DUMMYFUNCTION("""COMPUTED_VALUE"""),"281-447-2132")</f>
        <v>281-447-2132</v>
      </c>
      <c r="J195" s="9" t="str">
        <f>IFERROR(__xludf.DUMMYFUNCTION("""COMPUTED_VALUE"""),"29.871921316348228, -95.38744816876388")</f>
        <v>29.871921316348228, -95.38744816876388</v>
      </c>
      <c r="K195" s="9" t="str">
        <f>IFERROR(__xludf.DUMMYFUNCTION("""COMPUTED_VALUE"""),"{""regular"":[{""days"":[""Mo"",""Tu"",""We"",""Th"",""Fr""],""open"":null,""close"":null}]}")</f>
        <v>{"regular":[{"days":["Mo","Tu","We","Th","Fr"],"open":null,"close":null}]}</v>
      </c>
      <c r="L195" s="9" t="str">
        <f>IFERROR(__xludf.DUMMYFUNCTION("""COMPUTED_VALUE"""),"For children enrolled in this school")</f>
        <v>For children enrolled in this school</v>
      </c>
      <c r="M195" s="10">
        <f>IFERROR(__xludf.DUMMYFUNCTION("""COMPUTED_VALUE"""),31.0)</f>
        <v>31</v>
      </c>
      <c r="N195" s="10" t="str">
        <f>IFERROR(__xludf.DUMMYFUNCTION("""COMPUTED_VALUE"""),"Medical - Primary Care")</f>
        <v>Medical - Primary Care</v>
      </c>
      <c r="O195" s="10">
        <f>IFERROR(__xludf.DUMMYFUNCTION("""COMPUTED_VALUE"""),1.0)</f>
        <v>1</v>
      </c>
      <c r="P195" s="10" t="str">
        <f>IFERROR(__xludf.DUMMYFUNCTION("""COMPUTED_VALUE"""),"ACTIVE")</f>
        <v>ACTIVE</v>
      </c>
      <c r="Q195" s="11">
        <f>IFERROR(__xludf.DUMMYFUNCTION("""COMPUTED_VALUE"""),45853.0)</f>
        <v>45853</v>
      </c>
      <c r="R195" s="9" t="str">
        <f>IFERROR(__xludf.DUMMYFUNCTION("""COMPUTED_VALUE"""),"Verified online")</f>
        <v>Verified online</v>
      </c>
      <c r="S195" s="9" t="str">
        <f>IFERROR(__xludf.DUMMYFUNCTION("""COMPUTED_VALUE"""),"PK3-8 enrolled in this school.
Basic medical and screening services at nine schools
Mental Health
Telemedicine")</f>
        <v>PK3-8 enrolled in this school.
Basic medical and screening services at nine schools
Mental Health
Telemedicine</v>
      </c>
      <c r="T195" s="12" t="b">
        <f>IFERROR(__xludf.DUMMYFUNCTION("""COMPUTED_VALUE"""),FALSE)</f>
        <v>0</v>
      </c>
      <c r="U195" s="12" t="b">
        <f>IFERROR(__xludf.DUMMYFUNCTION("""COMPUTED_VALUE"""),FALSE)</f>
        <v>0</v>
      </c>
      <c r="V195" s="13" t="str">
        <f>IFERROR(__xludf.DUMMYFUNCTION("""COMPUTED_VALUE"""),"https://christusfoundation.org/programs/christus-school-clinics/")</f>
        <v>https://christusfoundation.org/programs/christus-school-clinics/</v>
      </c>
      <c r="W195" s="14" t="str">
        <f>IFERROR(__xludf.DUMMYFUNCTION("""COMPUTED_VALUE"""),"https://www.google.com/maps/place/Assumption+Catholic+School/@29.8717446,-95.3899641,17z/data=!3m1!4b1!4m6!3m5!1s0x8640b7fbeba87dab:0xb5649d86265ef321!8m2!3d29.8717446!4d-95.3873838!16s%2Fg%2F1pxytdhcm?entry=ttu&amp;g_ep=EgoyMDI1MDcwOS4wIKXMDSoASAFQAw%3D%3D")</f>
        <v>https://www.google.com/maps/place/Assumption+Catholic+School/@29.8717446,-95.3899641,17z/data=!3m1!4b1!4m6!3m5!1s0x8640b7fbeba87dab:0xb5649d86265ef321!8m2!3d29.8717446!4d-95.3873838!16s%2Fg%2F1pxytdhcm?entry=ttu&amp;g_ep=EgoyMDI1MDcwOS4wIKXMDSoASAFQAw%3D%3D</v>
      </c>
      <c r="X195" s="10"/>
      <c r="Y195" s="9" t="str">
        <f>IFERROR(__xludf.DUMMYFUNCTION("""COMPUTED_VALUE"""),"Houston")</f>
        <v>Houston</v>
      </c>
      <c r="Z195" s="9" t="str">
        <f>IFERROR(__xludf.DUMMYFUNCTION("""COMPUTED_VALUE"""),"Northline, Northside, Northside / Northline")</f>
        <v>Northline, Northside, Northside / Northline</v>
      </c>
      <c r="AA195" s="9" t="str">
        <f>IFERROR(__xludf.DUMMYFUNCTION("""COMPUTED_VALUE"""),"Christus Foundation for HealthCare")</f>
        <v>Christus Foundation for HealthCare</v>
      </c>
      <c r="AB195" s="9" t="str">
        <f>IFERROR(__xludf.DUMMYFUNCTION("""COMPUTED_VALUE"""),"Northside / Northline")</f>
        <v>Northside / Northline</v>
      </c>
    </row>
    <row r="196" ht="30.0" customHeight="1">
      <c r="A196" s="17">
        <v>195.0</v>
      </c>
      <c r="B196" s="8" t="str">
        <f>IFERROR(__xludf.DUMMYFUNCTION("""COMPUTED_VALUE"""),"[""99999""]")</f>
        <v>["99999"]</v>
      </c>
      <c r="C196" s="9" t="str">
        <f>IFERROR(__xludf.DUMMYFUNCTION("""COMPUTED_VALUE"""),"Christus School Clinics - Holy Ghost School")</f>
        <v>Christus School Clinics - Holy Ghost School</v>
      </c>
      <c r="D196" s="9" t="str">
        <f>IFERROR(__xludf.DUMMYFUNCTION("""COMPUTED_VALUE"""),"6920 Chimney Rock Road")</f>
        <v>6920 Chimney Rock Road</v>
      </c>
      <c r="E196" s="9"/>
      <c r="F196" s="9" t="str">
        <f>IFERROR(__xludf.DUMMYFUNCTION("""COMPUTED_VALUE"""),"Houston")</f>
        <v>Houston</v>
      </c>
      <c r="G196" s="9" t="str">
        <f>IFERROR(__xludf.DUMMYFUNCTION("""COMPUTED_VALUE"""),"TX")</f>
        <v>TX</v>
      </c>
      <c r="H196" s="9" t="str">
        <f>IFERROR(__xludf.DUMMYFUNCTION("""COMPUTED_VALUE"""),"77081")</f>
        <v>77081</v>
      </c>
      <c r="I196" s="9" t="str">
        <f>IFERROR(__xludf.DUMMYFUNCTION("""COMPUTED_VALUE"""),"713-668-5327")</f>
        <v>713-668-5327</v>
      </c>
      <c r="J196" s="9" t="str">
        <f>IFERROR(__xludf.DUMMYFUNCTION("""COMPUTED_VALUE"""),"29.704243187888043, -95.4765065945367")</f>
        <v>29.704243187888043, -95.4765065945367</v>
      </c>
      <c r="K196" s="9" t="str">
        <f>IFERROR(__xludf.DUMMYFUNCTION("""COMPUTED_VALUE"""),"{""regular"":[{""days"":[""Mo"",""Tu"",""We"",""Th"",""Fr""],""open"":null,""close"":null}]}")</f>
        <v>{"regular":[{"days":["Mo","Tu","We","Th","Fr"],"open":null,"close":null}]}</v>
      </c>
      <c r="L196" s="9" t="str">
        <f>IFERROR(__xludf.DUMMYFUNCTION("""COMPUTED_VALUE"""),"For children enrolled in this school")</f>
        <v>For children enrolled in this school</v>
      </c>
      <c r="M196" s="10">
        <f>IFERROR(__xludf.DUMMYFUNCTION("""COMPUTED_VALUE"""),31.0)</f>
        <v>31</v>
      </c>
      <c r="N196" s="10" t="str">
        <f>IFERROR(__xludf.DUMMYFUNCTION("""COMPUTED_VALUE"""),"Medical - Primary Care")</f>
        <v>Medical - Primary Care</v>
      </c>
      <c r="O196" s="10">
        <f>IFERROR(__xludf.DUMMYFUNCTION("""COMPUTED_VALUE"""),1.0)</f>
        <v>1</v>
      </c>
      <c r="P196" s="10" t="str">
        <f>IFERROR(__xludf.DUMMYFUNCTION("""COMPUTED_VALUE"""),"ACTIVE")</f>
        <v>ACTIVE</v>
      </c>
      <c r="Q196" s="11">
        <f>IFERROR(__xludf.DUMMYFUNCTION("""COMPUTED_VALUE"""),45853.0)</f>
        <v>45853</v>
      </c>
      <c r="R196" s="9" t="str">
        <f>IFERROR(__xludf.DUMMYFUNCTION("""COMPUTED_VALUE"""),"Verified online")</f>
        <v>Verified online</v>
      </c>
      <c r="S196" s="9" t="str">
        <f>IFERROR(__xludf.DUMMYFUNCTION("""COMPUTED_VALUE"""),"PK3-8 enrolled in this school.
Basic medical and screening services at nine schools
Mental Health
Telemedicine")</f>
        <v>PK3-8 enrolled in this school.
Basic medical and screening services at nine schools
Mental Health
Telemedicine</v>
      </c>
      <c r="T196" s="12" t="b">
        <f>IFERROR(__xludf.DUMMYFUNCTION("""COMPUTED_VALUE"""),FALSE)</f>
        <v>0</v>
      </c>
      <c r="U196" s="12" t="b">
        <f>IFERROR(__xludf.DUMMYFUNCTION("""COMPUTED_VALUE"""),FALSE)</f>
        <v>0</v>
      </c>
      <c r="V196" s="13" t="str">
        <f>IFERROR(__xludf.DUMMYFUNCTION("""COMPUTED_VALUE"""),"https://christusfoundation.org/programs/christus-school-clinics/")</f>
        <v>https://christusfoundation.org/programs/christus-school-clinics/</v>
      </c>
      <c r="W196" s="14" t="str">
        <f>IFERROR(__xludf.DUMMYFUNCTION("""COMPUTED_VALUE"""),"https://www.google.com/maps/place/Holy+Ghost+Catholic+School/@29.7040289,-95.4790869,17z/data=!3m1!4b1!4m6!3m5!1s0x8640c18a3d8d6bef:0x92ee8fcd5bbd276e!8m2!3d29.7040289!4d-95.4765066!16s%2Fg%2F1vzqsn41?entry=ttu&amp;g_ep=EgoyMDI1MDcwOS4wIKXMDSoASAFQAw%3D%3D")</f>
        <v>https://www.google.com/maps/place/Holy+Ghost+Catholic+School/@29.7040289,-95.4790869,17z/data=!3m1!4b1!4m6!3m5!1s0x8640c18a3d8d6bef:0x92ee8fcd5bbd276e!8m2!3d29.7040289!4d-95.4765066!16s%2Fg%2F1vzqsn41?entry=ttu&amp;g_ep=EgoyMDI1MDcwOS4wIKXMDSoASAFQAw%3D%3D</v>
      </c>
      <c r="X196" s="10"/>
      <c r="Y196" s="9" t="str">
        <f>IFERROR(__xludf.DUMMYFUNCTION("""COMPUTED_VALUE"""),"Houston")</f>
        <v>Houston</v>
      </c>
      <c r="Z196" s="9" t="str">
        <f>IFERROR(__xludf.DUMMYFUNCTION("""COMPUTED_VALUE"""),"Gulfton")</f>
        <v>Gulfton</v>
      </c>
      <c r="AA196" s="9" t="str">
        <f>IFERROR(__xludf.DUMMYFUNCTION("""COMPUTED_VALUE"""),"Christus Foundation for HealthCare")</f>
        <v>Christus Foundation for HealthCare</v>
      </c>
      <c r="AB196" s="9" t="str">
        <f>IFERROR(__xludf.DUMMYFUNCTION("""COMPUTED_VALUE"""),"Gulfton")</f>
        <v>Gulfton</v>
      </c>
    </row>
    <row r="197" ht="30.0" customHeight="1">
      <c r="A197" s="17">
        <v>196.0</v>
      </c>
      <c r="B197" s="8" t="str">
        <f>IFERROR(__xludf.DUMMYFUNCTION("""COMPUTED_VALUE"""),"[""99999""]")</f>
        <v>["99999"]</v>
      </c>
      <c r="C197" s="9" t="str">
        <f>IFERROR(__xludf.DUMMYFUNCTION("""COMPUTED_VALUE"""),"Christus School Clinics - Our Lady of Fatima GP")</f>
        <v>Christus School Clinics - Our Lady of Fatima GP</v>
      </c>
      <c r="D197" s="9" t="str">
        <f>IFERROR(__xludf.DUMMYFUNCTION("""COMPUTED_VALUE"""),"1705 8th Street")</f>
        <v>1705 8th Street</v>
      </c>
      <c r="E197" s="9"/>
      <c r="F197" s="9" t="str">
        <f>IFERROR(__xludf.DUMMYFUNCTION("""COMPUTED_VALUE"""),"Galena Park")</f>
        <v>Galena Park</v>
      </c>
      <c r="G197" s="9" t="str">
        <f>IFERROR(__xludf.DUMMYFUNCTION("""COMPUTED_VALUE"""),"TX")</f>
        <v>TX</v>
      </c>
      <c r="H197" s="9" t="str">
        <f>IFERROR(__xludf.DUMMYFUNCTION("""COMPUTED_VALUE"""),"77547")</f>
        <v>77547</v>
      </c>
      <c r="I197" s="9" t="str">
        <f>IFERROR(__xludf.DUMMYFUNCTION("""COMPUTED_VALUE"""),"713-674-5832")</f>
        <v>713-674-5832</v>
      </c>
      <c r="J197" s="9" t="str">
        <f>IFERROR(__xludf.DUMMYFUNCTION("""COMPUTED_VALUE"""),"29.738854440930808, -95.23821540819772")</f>
        <v>29.738854440930808, -95.23821540819772</v>
      </c>
      <c r="K197" s="9" t="str">
        <f>IFERROR(__xludf.DUMMYFUNCTION("""COMPUTED_VALUE"""),"{""regular"":[{""days"":[""Mo"",""Tu"",""We"",""Th"",""Fr""],""open"":null,""close"":null}]}")</f>
        <v>{"regular":[{"days":["Mo","Tu","We","Th","Fr"],"open":null,"close":null}]}</v>
      </c>
      <c r="L197" s="9" t="str">
        <f>IFERROR(__xludf.DUMMYFUNCTION("""COMPUTED_VALUE"""),"For children enrolled in this school")</f>
        <v>For children enrolled in this school</v>
      </c>
      <c r="M197" s="10">
        <f>IFERROR(__xludf.DUMMYFUNCTION("""COMPUTED_VALUE"""),31.0)</f>
        <v>31</v>
      </c>
      <c r="N197" s="10" t="str">
        <f>IFERROR(__xludf.DUMMYFUNCTION("""COMPUTED_VALUE"""),"Medical - Primary Care")</f>
        <v>Medical - Primary Care</v>
      </c>
      <c r="O197" s="10">
        <f>IFERROR(__xludf.DUMMYFUNCTION("""COMPUTED_VALUE"""),1.0)</f>
        <v>1</v>
      </c>
      <c r="P197" s="10" t="str">
        <f>IFERROR(__xludf.DUMMYFUNCTION("""COMPUTED_VALUE"""),"ACTIVE")</f>
        <v>ACTIVE</v>
      </c>
      <c r="Q197" s="11">
        <f>IFERROR(__xludf.DUMMYFUNCTION("""COMPUTED_VALUE"""),45853.0)</f>
        <v>45853</v>
      </c>
      <c r="R197" s="9" t="str">
        <f>IFERROR(__xludf.DUMMYFUNCTION("""COMPUTED_VALUE"""),"Verified online")</f>
        <v>Verified online</v>
      </c>
      <c r="S197" s="9" t="str">
        <f>IFERROR(__xludf.DUMMYFUNCTION("""COMPUTED_VALUE"""),"PK3-6 enrolled in this school.
Basic medical and screening services at nine schools
Mental Health
Telemedicine")</f>
        <v>PK3-6 enrolled in this school.
Basic medical and screening services at nine schools
Mental Health
Telemedicine</v>
      </c>
      <c r="T197" s="12" t="b">
        <f>IFERROR(__xludf.DUMMYFUNCTION("""COMPUTED_VALUE"""),FALSE)</f>
        <v>0</v>
      </c>
      <c r="U197" s="12" t="b">
        <f>IFERROR(__xludf.DUMMYFUNCTION("""COMPUTED_VALUE"""),FALSE)</f>
        <v>0</v>
      </c>
      <c r="V197" s="13" t="str">
        <f>IFERROR(__xludf.DUMMYFUNCTION("""COMPUTED_VALUE"""),"https://christusfoundation.org/programs/christus-school-clinics/")</f>
        <v>https://christusfoundation.org/programs/christus-school-clinics/</v>
      </c>
      <c r="W197" s="14" t="str">
        <f>IFERROR(__xludf.DUMMYFUNCTION("""COMPUTED_VALUE"""),"https://www.google.com/maps/place/Our+Lady+of+Fatima+Catholic+Church/@29.7389476,-95.2408493,17z/data=!4m10!1m2!2m1!1sour+lady+of+fatima+galena+park!3m6!1s0x8640bcda1a0f2a7b:0x6fe28e984c1dcd07!8m2!3d29.7386309!4d-95.2382359!15sCh5vdXIgbGFkeSBvZiBmYXRpbWEg"&amp;"Z2FsZW5hIHBhcmuSAQ9jYXRob2xpY19jaHVyY2iqAUcQATIfEAEiG0k0fNQERmCv2TL994M3Zd-yzQD_S4x1t716fjIiEAIiHm91ciBsYWR5IG9mIGZhdGltYSBnYWxlbmEgcGFya-ABAA!16s%2Fg%2F1tf7y2tb?entry=ttu&amp;g_ep=EgoyMDI1MDcwOS4wIKXMDSoASAFQAw%3D%3D")</f>
        <v>https://www.google.com/maps/place/Our+Lady+of+Fatima+Catholic+Church/@29.7389476,-95.2408493,17z/data=!4m10!1m2!2m1!1sour+lady+of+fatima+galena+park!3m6!1s0x8640bcda1a0f2a7b:0x6fe28e984c1dcd07!8m2!3d29.7386309!4d-95.2382359!15sCh5vdXIgbGFkeSBvZiBmYXRpbWEgZ2FsZW5hIHBhcmuSAQ9jYXRob2xpY19jaHVyY2iqAUcQATIfEAEiG0k0fNQERmCv2TL994M3Zd-yzQD_S4x1t716fjIiEAIiHm91ciBsYWR5IG9mIGZhdGltYSBnYWxlbmEgcGFya-ABAA!16s%2Fg%2F1tf7y2tb?entry=ttu&amp;g_ep=EgoyMDI1MDcwOS4wIKXMDSoASAFQAw%3D%3D</v>
      </c>
      <c r="X197" s="10"/>
      <c r="Y197" s="9" t="str">
        <f>IFERROR(__xludf.DUMMYFUNCTION("""COMPUTED_VALUE"""),"Galena Park")</f>
        <v>Galena Park</v>
      </c>
      <c r="Z197" s="9" t="str">
        <f>IFERROR(__xludf.DUMMYFUNCTION("""COMPUTED_VALUE"""),"Galena Park, Northeast Houston")</f>
        <v>Galena Park, Northeast Houston</v>
      </c>
      <c r="AA197" s="9" t="str">
        <f>IFERROR(__xludf.DUMMYFUNCTION("""COMPUTED_VALUE"""),"Christus Foundation for HealthCare")</f>
        <v>Christus Foundation for HealthCare</v>
      </c>
      <c r="AB197" s="9" t="str">
        <f>IFERROR(__xludf.DUMMYFUNCTION("""COMPUTED_VALUE"""),"Northeast Houston")</f>
        <v>Northeast Houston</v>
      </c>
    </row>
    <row r="198" ht="30.0" customHeight="1">
      <c r="A198" s="17">
        <v>197.0</v>
      </c>
      <c r="B198" s="8" t="str">
        <f>IFERROR(__xludf.DUMMYFUNCTION("""COMPUTED_VALUE"""),"[""99999""]")</f>
        <v>["99999"]</v>
      </c>
      <c r="C198" s="9" t="str">
        <f>IFERROR(__xludf.DUMMYFUNCTION("""COMPUTED_VALUE"""),"Christus School Clinics - Our Lady of Fatima TC")</f>
        <v>Christus School Clinics - Our Lady of Fatima TC</v>
      </c>
      <c r="D198" s="9" t="str">
        <f>IFERROR(__xludf.DUMMYFUNCTION("""COMPUTED_VALUE"""),"1600 9th Avenue North")</f>
        <v>1600 9th Avenue North</v>
      </c>
      <c r="E198" s="9"/>
      <c r="F198" s="9" t="str">
        <f>IFERROR(__xludf.DUMMYFUNCTION("""COMPUTED_VALUE"""),"Texas City")</f>
        <v>Texas City</v>
      </c>
      <c r="G198" s="9" t="str">
        <f>IFERROR(__xludf.DUMMYFUNCTION("""COMPUTED_VALUE"""),"TX")</f>
        <v>TX</v>
      </c>
      <c r="H198" s="9" t="str">
        <f>IFERROR(__xludf.DUMMYFUNCTION("""COMPUTED_VALUE"""),"77590")</f>
        <v>77590</v>
      </c>
      <c r="I198" s="9" t="str">
        <f>IFERROR(__xludf.DUMMYFUNCTION("""COMPUTED_VALUE"""),"409-945-3326")</f>
        <v>409-945-3326</v>
      </c>
      <c r="J198" s="9" t="str">
        <f>IFERROR(__xludf.DUMMYFUNCTION("""COMPUTED_VALUE"""),"29.394187055600067, -94.91726323778586")</f>
        <v>29.394187055600067, -94.91726323778586</v>
      </c>
      <c r="K198" s="9" t="str">
        <f>IFERROR(__xludf.DUMMYFUNCTION("""COMPUTED_VALUE"""),"{""regular"":[{""days"":[""Mo"",""Tu"",""We"",""Th"",""Fr""],""open"":null,""close"":null}]}")</f>
        <v>{"regular":[{"days":["Mo","Tu","We","Th","Fr"],"open":null,"close":null}]}</v>
      </c>
      <c r="L198" s="9" t="str">
        <f>IFERROR(__xludf.DUMMYFUNCTION("""COMPUTED_VALUE"""),"For children enrolled in this school")</f>
        <v>For children enrolled in this school</v>
      </c>
      <c r="M198" s="10">
        <f>IFERROR(__xludf.DUMMYFUNCTION("""COMPUTED_VALUE"""),31.0)</f>
        <v>31</v>
      </c>
      <c r="N198" s="10" t="str">
        <f>IFERROR(__xludf.DUMMYFUNCTION("""COMPUTED_VALUE"""),"Medical - Primary Care")</f>
        <v>Medical - Primary Care</v>
      </c>
      <c r="O198" s="10">
        <f>IFERROR(__xludf.DUMMYFUNCTION("""COMPUTED_VALUE"""),1.0)</f>
        <v>1</v>
      </c>
      <c r="P198" s="10" t="str">
        <f>IFERROR(__xludf.DUMMYFUNCTION("""COMPUTED_VALUE"""),"ACTIVE")</f>
        <v>ACTIVE</v>
      </c>
      <c r="Q198" s="11">
        <f>IFERROR(__xludf.DUMMYFUNCTION("""COMPUTED_VALUE"""),45853.0)</f>
        <v>45853</v>
      </c>
      <c r="R198" s="9" t="str">
        <f>IFERROR(__xludf.DUMMYFUNCTION("""COMPUTED_VALUE"""),"Verified online")</f>
        <v>Verified online</v>
      </c>
      <c r="S198" s="9" t="str">
        <f>IFERROR(__xludf.DUMMYFUNCTION("""COMPUTED_VALUE"""),"PK3-8 enrolled in this school.
Basic medical and screening services at nine schools
Mental Health
Telemedicine")</f>
        <v>PK3-8 enrolled in this school.
Basic medical and screening services at nine schools
Mental Health
Telemedicine</v>
      </c>
      <c r="T198" s="12" t="b">
        <f>IFERROR(__xludf.DUMMYFUNCTION("""COMPUTED_VALUE"""),FALSE)</f>
        <v>0</v>
      </c>
      <c r="U198" s="12" t="b">
        <f>IFERROR(__xludf.DUMMYFUNCTION("""COMPUTED_VALUE"""),FALSE)</f>
        <v>0</v>
      </c>
      <c r="V198" s="13" t="str">
        <f>IFERROR(__xludf.DUMMYFUNCTION("""COMPUTED_VALUE"""),"https://christusfoundation.org/programs/christus-school-clinics/")</f>
        <v>https://christusfoundation.org/programs/christus-school-clinics/</v>
      </c>
      <c r="W198" s="14" t="str">
        <f>IFERROR(__xludf.DUMMYFUNCTION("""COMPUTED_VALUE"""),"https://www.google.com/maps/place/Our+Lady+of+Fatima+School/@29.3940095,-94.919865,17z/data=!3m1!4b1!4m6!3m5!1s0x863f79be9b23ce77:0xf3caa6e91405187b!8m2!3d29.3940095!4d-94.9172847!16s%2Fg%2F1v2gf3zc?entry=ttu&amp;g_ep=EgoyMDI1MDcwOS4wIKXMDSoASAFQAw%3D%3D")</f>
        <v>https://www.google.com/maps/place/Our+Lady+of+Fatima+School/@29.3940095,-94.919865,17z/data=!3m1!4b1!4m6!3m5!1s0x863f79be9b23ce77:0xf3caa6e91405187b!8m2!3d29.3940095!4d-94.9172847!16s%2Fg%2F1v2gf3zc?entry=ttu&amp;g_ep=EgoyMDI1MDcwOS4wIKXMDSoASAFQAw%3D%3D</v>
      </c>
      <c r="X198" s="10"/>
      <c r="Y198" s="9" t="str">
        <f>IFERROR(__xludf.DUMMYFUNCTION("""COMPUTED_VALUE"""),"Texas City")</f>
        <v>Texas City</v>
      </c>
      <c r="Z198" s="9" t="str">
        <f>IFERROR(__xludf.DUMMYFUNCTION("""COMPUTED_VALUE"""),"Texas City")</f>
        <v>Texas City</v>
      </c>
      <c r="AA198" s="9" t="str">
        <f>IFERROR(__xludf.DUMMYFUNCTION("""COMPUTED_VALUE"""),"Christus Foundation for HealthCare")</f>
        <v>Christus Foundation for HealthCare</v>
      </c>
      <c r="AB198" s="9" t="str">
        <f>IFERROR(__xludf.DUMMYFUNCTION("""COMPUTED_VALUE"""),"Texas City")</f>
        <v>Texas City</v>
      </c>
    </row>
    <row r="199" ht="30.0" customHeight="1">
      <c r="A199" s="17">
        <v>198.0</v>
      </c>
      <c r="B199" s="8" t="str">
        <f>IFERROR(__xludf.DUMMYFUNCTION("""COMPUTED_VALUE"""),"[""99999""]")</f>
        <v>["99999"]</v>
      </c>
      <c r="C199" s="9" t="str">
        <f>IFERROR(__xludf.DUMMYFUNCTION("""COMPUTED_VALUE"""),"Christus School Clinics - Our Lady of Guadalupe School")</f>
        <v>Christus School Clinics - Our Lady of Guadalupe School</v>
      </c>
      <c r="D199" s="9" t="str">
        <f>IFERROR(__xludf.DUMMYFUNCTION("""COMPUTED_VALUE"""),"2405 Navigation Blvd")</f>
        <v>2405 Navigation Blvd</v>
      </c>
      <c r="E199" s="9"/>
      <c r="F199" s="9" t="str">
        <f>IFERROR(__xludf.DUMMYFUNCTION("""COMPUTED_VALUE"""),"Houston")</f>
        <v>Houston</v>
      </c>
      <c r="G199" s="9" t="str">
        <f>IFERROR(__xludf.DUMMYFUNCTION("""COMPUTED_VALUE"""),"TX")</f>
        <v>TX</v>
      </c>
      <c r="H199" s="9" t="str">
        <f>IFERROR(__xludf.DUMMYFUNCTION("""COMPUTED_VALUE"""),"77003")</f>
        <v>77003</v>
      </c>
      <c r="I199" s="9" t="str">
        <f>IFERROR(__xludf.DUMMYFUNCTION("""COMPUTED_VALUE"""),"713-224-6904")</f>
        <v>713-224-6904</v>
      </c>
      <c r="J199" s="9" t="str">
        <f>IFERROR(__xludf.DUMMYFUNCTION("""COMPUTED_VALUE"""),"29.759600977962503, -95.34392751215734")</f>
        <v>29.759600977962503, -95.34392751215734</v>
      </c>
      <c r="K199" s="9" t="str">
        <f>IFERROR(__xludf.DUMMYFUNCTION("""COMPUTED_VALUE"""),"{""regular"":[{""days"":[""Mo"",""Tu"",""We"",""Th"",""Fr""],""open"":null,""close"":null}]}")</f>
        <v>{"regular":[{"days":["Mo","Tu","We","Th","Fr"],"open":null,"close":null}]}</v>
      </c>
      <c r="L199" s="9" t="str">
        <f>IFERROR(__xludf.DUMMYFUNCTION("""COMPUTED_VALUE"""),"For children enrolled in this school")</f>
        <v>For children enrolled in this school</v>
      </c>
      <c r="M199" s="10">
        <f>IFERROR(__xludf.DUMMYFUNCTION("""COMPUTED_VALUE"""),31.0)</f>
        <v>31</v>
      </c>
      <c r="N199" s="10" t="str">
        <f>IFERROR(__xludf.DUMMYFUNCTION("""COMPUTED_VALUE"""),"Medical - Primary Care")</f>
        <v>Medical - Primary Care</v>
      </c>
      <c r="O199" s="10">
        <f>IFERROR(__xludf.DUMMYFUNCTION("""COMPUTED_VALUE"""),1.0)</f>
        <v>1</v>
      </c>
      <c r="P199" s="10" t="str">
        <f>IFERROR(__xludf.DUMMYFUNCTION("""COMPUTED_VALUE"""),"ACTIVE")</f>
        <v>ACTIVE</v>
      </c>
      <c r="Q199" s="11">
        <f>IFERROR(__xludf.DUMMYFUNCTION("""COMPUTED_VALUE"""),45853.0)</f>
        <v>45853</v>
      </c>
      <c r="R199" s="9" t="str">
        <f>IFERROR(__xludf.DUMMYFUNCTION("""COMPUTED_VALUE"""),"Verified online")</f>
        <v>Verified online</v>
      </c>
      <c r="S199" s="9" t="str">
        <f>IFERROR(__xludf.DUMMYFUNCTION("""COMPUTED_VALUE"""),"PK3-8 enrolled in this school.
Basic medical and screening services at nine schools
Mental Health
Telemedicine")</f>
        <v>PK3-8 enrolled in this school.
Basic medical and screening services at nine schools
Mental Health
Telemedicine</v>
      </c>
      <c r="T199" s="12" t="b">
        <f>IFERROR(__xludf.DUMMYFUNCTION("""COMPUTED_VALUE"""),FALSE)</f>
        <v>0</v>
      </c>
      <c r="U199" s="12" t="b">
        <f>IFERROR(__xludf.DUMMYFUNCTION("""COMPUTED_VALUE"""),FALSE)</f>
        <v>0</v>
      </c>
      <c r="V199" s="13" t="str">
        <f>IFERROR(__xludf.DUMMYFUNCTION("""COMPUTED_VALUE"""),"https://christusfoundation.org/programs/christus-school-clinics/")</f>
        <v>https://christusfoundation.org/programs/christus-school-clinics/</v>
      </c>
      <c r="W199" s="14" t="str">
        <f>IFERROR(__xludf.DUMMYFUNCTION("""COMPUTED_VALUE"""),"https://www.google.com/maps/place/Our+Lady+of+Guadalupe+Catholic+School/@29.7593589,-95.3489433,17z/data=!3m1!4b1!4m6!3m5!1s0x8640bedbaba8ed2b:0x7e510a6ea6154931!8m2!3d29.759359!4d-95.344067!16s%2Fm%2F0m0kym5?entry=ttu&amp;g_ep=EgoyMDI1MDcwOS4wIKXMDSoASAFQAw%"&amp;"3D%3D")</f>
        <v>https://www.google.com/maps/place/Our+Lady+of+Guadalupe+Catholic+School/@29.7593589,-95.3489433,17z/data=!3m1!4b1!4m6!3m5!1s0x8640bedbaba8ed2b:0x7e510a6ea6154931!8m2!3d29.759359!4d-95.344067!16s%2Fm%2F0m0kym5?entry=ttu&amp;g_ep=EgoyMDI1MDcwOS4wIKXMDSoASAFQAw%3D%3D</v>
      </c>
      <c r="X199" s="10"/>
      <c r="Y199" s="9" t="str">
        <f>IFERROR(__xludf.DUMMYFUNCTION("""COMPUTED_VALUE"""),"Houston")</f>
        <v>Houston</v>
      </c>
      <c r="Z199" s="9" t="str">
        <f>IFERROR(__xludf.DUMMYFUNCTION("""COMPUTED_VALUE"""),"East Downtown, Downtown Houston, Second Ward, South Central Houston, South Side")</f>
        <v>East Downtown, Downtown Houston, Second Ward, South Central Houston, South Side</v>
      </c>
      <c r="AA199" s="9" t="str">
        <f>IFERROR(__xludf.DUMMYFUNCTION("""COMPUTED_VALUE"""),"Christus Foundation for HealthCare")</f>
        <v>Christus Foundation for HealthCare</v>
      </c>
      <c r="AB199" s="9" t="str">
        <f>IFERROR(__xludf.DUMMYFUNCTION("""COMPUTED_VALUE"""),"South Central Houston")</f>
        <v>South Central Houston</v>
      </c>
    </row>
    <row r="200" ht="30.0" customHeight="1">
      <c r="A200" s="17">
        <v>199.0</v>
      </c>
      <c r="B200" s="8" t="str">
        <f>IFERROR(__xludf.DUMMYFUNCTION("""COMPUTED_VALUE"""),"[""99999""]")</f>
        <v>["99999"]</v>
      </c>
      <c r="C200" s="9" t="str">
        <f>IFERROR(__xludf.DUMMYFUNCTION("""COMPUTED_VALUE"""),"Christus School Clinics - Resurrection School")</f>
        <v>Christus School Clinics - Resurrection School</v>
      </c>
      <c r="D200" s="9" t="str">
        <f>IFERROR(__xludf.DUMMYFUNCTION("""COMPUTED_VALUE"""),"916 Majestic Street")</f>
        <v>916 Majestic Street</v>
      </c>
      <c r="E200" s="9"/>
      <c r="F200" s="10" t="str">
        <f>IFERROR(__xludf.DUMMYFUNCTION("""COMPUTED_VALUE"""),"Houston")</f>
        <v>Houston</v>
      </c>
      <c r="G200" s="9" t="str">
        <f>IFERROR(__xludf.DUMMYFUNCTION("""COMPUTED_VALUE"""),"TX")</f>
        <v>TX</v>
      </c>
      <c r="H200" s="9" t="str">
        <f>IFERROR(__xludf.DUMMYFUNCTION("""COMPUTED_VALUE"""),"77020")</f>
        <v>77020</v>
      </c>
      <c r="I200" s="9" t="str">
        <f>IFERROR(__xludf.DUMMYFUNCTION("""COMPUTED_VALUE"""),"713-674-5545")</f>
        <v>713-674-5545</v>
      </c>
      <c r="J200" s="9" t="str">
        <f>IFERROR(__xludf.DUMMYFUNCTION("""COMPUTED_VALUE"""),"29.772130016238492, -95.30241705059072")</f>
        <v>29.772130016238492, -95.30241705059072</v>
      </c>
      <c r="K200" s="9" t="str">
        <f>IFERROR(__xludf.DUMMYFUNCTION("""COMPUTED_VALUE"""),"{""regular"":[{""days"":[""Mo"",""Tu"",""We"",""Th"",""Fr""],""open"":null,""close"":null}]}")</f>
        <v>{"regular":[{"days":["Mo","Tu","We","Th","Fr"],"open":null,"close":null}]}</v>
      </c>
      <c r="L200" s="9" t="str">
        <f>IFERROR(__xludf.DUMMYFUNCTION("""COMPUTED_VALUE"""),"For children enrolled in this school")</f>
        <v>For children enrolled in this school</v>
      </c>
      <c r="M200" s="10">
        <f>IFERROR(__xludf.DUMMYFUNCTION("""COMPUTED_VALUE"""),31.0)</f>
        <v>31</v>
      </c>
      <c r="N200" s="10" t="str">
        <f>IFERROR(__xludf.DUMMYFUNCTION("""COMPUTED_VALUE"""),"Medical - Primary Care")</f>
        <v>Medical - Primary Care</v>
      </c>
      <c r="O200" s="10">
        <f>IFERROR(__xludf.DUMMYFUNCTION("""COMPUTED_VALUE"""),1.0)</f>
        <v>1</v>
      </c>
      <c r="P200" s="10" t="str">
        <f>IFERROR(__xludf.DUMMYFUNCTION("""COMPUTED_VALUE"""),"ACTIVE")</f>
        <v>ACTIVE</v>
      </c>
      <c r="Q200" s="11">
        <f>IFERROR(__xludf.DUMMYFUNCTION("""COMPUTED_VALUE"""),45853.0)</f>
        <v>45853</v>
      </c>
      <c r="R200" s="9" t="str">
        <f>IFERROR(__xludf.DUMMYFUNCTION("""COMPUTED_VALUE"""),"Verified online")</f>
        <v>Verified online</v>
      </c>
      <c r="S200" s="9" t="str">
        <f>IFERROR(__xludf.DUMMYFUNCTION("""COMPUTED_VALUE"""),"PK3-8 enrolled in this school.
Basic medical and screening services at nine schools
Mental Health
Telemedicine")</f>
        <v>PK3-8 enrolled in this school.
Basic medical and screening services at nine schools
Mental Health
Telemedicine</v>
      </c>
      <c r="T200" s="12" t="b">
        <f>IFERROR(__xludf.DUMMYFUNCTION("""COMPUTED_VALUE"""),FALSE)</f>
        <v>0</v>
      </c>
      <c r="U200" s="12" t="b">
        <f>IFERROR(__xludf.DUMMYFUNCTION("""COMPUTED_VALUE"""),FALSE)</f>
        <v>0</v>
      </c>
      <c r="V200" s="13" t="str">
        <f>IFERROR(__xludf.DUMMYFUNCTION("""COMPUTED_VALUE"""),"https://christusfoundation.org/programs/christus-school-clinics/")</f>
        <v>https://christusfoundation.org/programs/christus-school-clinics/</v>
      </c>
      <c r="W200" s="14" t="str">
        <f>IFERROR(__xludf.DUMMYFUNCTION("""COMPUTED_VALUE"""),"https://www.google.com/maps/place/Resurrection+Catholic+School/@29.7719345,-95.305051,17z/data=!3m1!4b1!4m6!3m5!1s0x8640bc0654dffbc7:0x7e693d00552be868!8m2!3d29.7719345!4d-95.3024707!16s%2Fg%2F1wj_tnc3?entry=ttu&amp;g_ep=EgoyMDI1MDcwOS4wIKXMDSoASAFQAw%3D%3D")</f>
        <v>https://www.google.com/maps/place/Resurrection+Catholic+School/@29.7719345,-95.305051,17z/data=!3m1!4b1!4m6!3m5!1s0x8640bc0654dffbc7:0x7e693d00552be868!8m2!3d29.7719345!4d-95.3024707!16s%2Fg%2F1wj_tnc3?entry=ttu&amp;g_ep=EgoyMDI1MDcwOS4wIKXMDSoASAFQAw%3D%3D</v>
      </c>
      <c r="X200" s="10"/>
      <c r="Y200" s="9" t="str">
        <f>IFERROR(__xludf.DUMMYFUNCTION("""COMPUTED_VALUE"""),"Houston")</f>
        <v>Houston</v>
      </c>
      <c r="Z200" s="9" t="str">
        <f>IFERROR(__xludf.DUMMYFUNCTION("""COMPUTED_VALUE"""),"Denver Harbor / Port Houston, Fifth Ward, Northside")</f>
        <v>Denver Harbor / Port Houston, Fifth Ward, Northside</v>
      </c>
      <c r="AA200" s="9" t="str">
        <f>IFERROR(__xludf.DUMMYFUNCTION("""COMPUTED_VALUE"""),"Christus Foundation for HealthCare")</f>
        <v>Christus Foundation for HealthCare</v>
      </c>
      <c r="AB200" s="9" t="str">
        <f>IFERROR(__xludf.DUMMYFUNCTION("""COMPUTED_VALUE"""),"Denver Harbor / Port Houston")</f>
        <v>Denver Harbor / Port Houston</v>
      </c>
    </row>
    <row r="201" ht="30.0" customHeight="1">
      <c r="A201" s="17">
        <v>200.0</v>
      </c>
      <c r="B201" s="8" t="str">
        <f>IFERROR(__xludf.DUMMYFUNCTION("""COMPUTED_VALUE"""),"[""99999""]")</f>
        <v>["99999"]</v>
      </c>
      <c r="C201" s="9" t="str">
        <f>IFERROR(__xludf.DUMMYFUNCTION("""COMPUTED_VALUE"""),"Christus School Clinics - St Augustine School")</f>
        <v>Christus School Clinics - St Augustine School</v>
      </c>
      <c r="D201" s="9" t="str">
        <f>IFERROR(__xludf.DUMMYFUNCTION("""COMPUTED_VALUE"""),"5500 Laurel Creek Way")</f>
        <v>5500 Laurel Creek Way</v>
      </c>
      <c r="E201" s="9"/>
      <c r="F201" s="9" t="str">
        <f>IFERROR(__xludf.DUMMYFUNCTION("""COMPUTED_VALUE"""),"Houston")</f>
        <v>Houston</v>
      </c>
      <c r="G201" s="9" t="str">
        <f>IFERROR(__xludf.DUMMYFUNCTION("""COMPUTED_VALUE"""),"TX")</f>
        <v>TX</v>
      </c>
      <c r="H201" s="9" t="str">
        <f>IFERROR(__xludf.DUMMYFUNCTION("""COMPUTED_VALUE"""),"77017")</f>
        <v>77017</v>
      </c>
      <c r="I201" s="9" t="str">
        <f>IFERROR(__xludf.DUMMYFUNCTION("""COMPUTED_VALUE"""),"713-946-9050")</f>
        <v>713-946-9050</v>
      </c>
      <c r="J201" s="9" t="str">
        <f>IFERROR(__xludf.DUMMYFUNCTION("""COMPUTED_VALUE"""),"29.678887220594156, -95.23739309478519")</f>
        <v>29.678887220594156, -95.23739309478519</v>
      </c>
      <c r="K201" s="9" t="str">
        <f>IFERROR(__xludf.DUMMYFUNCTION("""COMPUTED_VALUE"""),"{""regular"":[{""days"":[""Mo"",""Tu"",""We"",""Th"",""Fr""],""open"":null,""close"":null}]}")</f>
        <v>{"regular":[{"days":["Mo","Tu","We","Th","Fr"],"open":null,"close":null}]}</v>
      </c>
      <c r="L201" s="9" t="str">
        <f>IFERROR(__xludf.DUMMYFUNCTION("""COMPUTED_VALUE"""),"For children enrolled in this school")</f>
        <v>For children enrolled in this school</v>
      </c>
      <c r="M201" s="10">
        <f>IFERROR(__xludf.DUMMYFUNCTION("""COMPUTED_VALUE"""),31.0)</f>
        <v>31</v>
      </c>
      <c r="N201" s="10" t="str">
        <f>IFERROR(__xludf.DUMMYFUNCTION("""COMPUTED_VALUE"""),"Medical - Primary Care")</f>
        <v>Medical - Primary Care</v>
      </c>
      <c r="O201" s="10">
        <f>IFERROR(__xludf.DUMMYFUNCTION("""COMPUTED_VALUE"""),1.0)</f>
        <v>1</v>
      </c>
      <c r="P201" s="10" t="str">
        <f>IFERROR(__xludf.DUMMYFUNCTION("""COMPUTED_VALUE"""),"ACTIVE")</f>
        <v>ACTIVE</v>
      </c>
      <c r="Q201" s="11">
        <f>IFERROR(__xludf.DUMMYFUNCTION("""COMPUTED_VALUE"""),45853.0)</f>
        <v>45853</v>
      </c>
      <c r="R201" s="9" t="str">
        <f>IFERROR(__xludf.DUMMYFUNCTION("""COMPUTED_VALUE"""),"Verified online")</f>
        <v>Verified online</v>
      </c>
      <c r="S201" s="9" t="str">
        <f>IFERROR(__xludf.DUMMYFUNCTION("""COMPUTED_VALUE"""),"PK3-8 enrolled in this school.
Basic medical and screening services at nine schools
Mental Health
Telemedicine")</f>
        <v>PK3-8 enrolled in this school.
Basic medical and screening services at nine schools
Mental Health
Telemedicine</v>
      </c>
      <c r="T201" s="12" t="b">
        <f>IFERROR(__xludf.DUMMYFUNCTION("""COMPUTED_VALUE"""),FALSE)</f>
        <v>0</v>
      </c>
      <c r="U201" s="12" t="b">
        <f>IFERROR(__xludf.DUMMYFUNCTION("""COMPUTED_VALUE"""),FALSE)</f>
        <v>0</v>
      </c>
      <c r="V201" s="13" t="str">
        <f>IFERROR(__xludf.DUMMYFUNCTION("""COMPUTED_VALUE"""),"https://christusfoundation.org/programs/christus-school-clinics/")</f>
        <v>https://christusfoundation.org/programs/christus-school-clinics/</v>
      </c>
      <c r="W201" s="14" t="str">
        <f>IFERROR(__xludf.DUMMYFUNCTION("""COMPUTED_VALUE"""),"https://www.google.com/maps/place/St+Augustine+Catholic+School/@29.6786822,-95.2399734,17z/data=!3m1!4b1!4m6!3m5!1s0x864097e4ba183421:0x97223d28ab01a41!8m2!3d29.6786822!4d-95.2373931!16s%2Fg%2F1tk6qpy_?entry=ttu&amp;g_ep=EgoyMDI1MDcwOS4wIKXMDSoASAFQAw%3D%3D")</f>
        <v>https://www.google.com/maps/place/St+Augustine+Catholic+School/@29.6786822,-95.2399734,17z/data=!3m1!4b1!4m6!3m5!1s0x864097e4ba183421:0x97223d28ab01a41!8m2!3d29.6786822!4d-95.2373931!16s%2Fg%2F1tk6qpy_?entry=ttu&amp;g_ep=EgoyMDI1MDcwOS4wIKXMDSoASAFQAw%3D%3D</v>
      </c>
      <c r="X201" s="10"/>
      <c r="Y201" s="9" t="str">
        <f>IFERROR(__xludf.DUMMYFUNCTION("""COMPUTED_VALUE"""),"Houston")</f>
        <v>Houston</v>
      </c>
      <c r="Z201" s="9" t="str">
        <f>IFERROR(__xludf.DUMMYFUNCTION("""COMPUTED_VALUE"""),"Meadowbrook / Allendale, Meadowcreek Village, Park Place")</f>
        <v>Meadowbrook / Allendale, Meadowcreek Village, Park Place</v>
      </c>
      <c r="AA201" s="9" t="str">
        <f>IFERROR(__xludf.DUMMYFUNCTION("""COMPUTED_VALUE"""),"Christus Foundation for HealthCare")</f>
        <v>Christus Foundation for HealthCare</v>
      </c>
      <c r="AB201" s="9" t="str">
        <f>IFERROR(__xludf.DUMMYFUNCTION("""COMPUTED_VALUE"""),"Meadowcreek Village")</f>
        <v>Meadowcreek Village</v>
      </c>
    </row>
    <row r="202" ht="30.0" customHeight="1">
      <c r="A202" s="17">
        <v>201.0</v>
      </c>
      <c r="B202" s="8" t="str">
        <f>IFERROR(__xludf.DUMMYFUNCTION("""COMPUTED_VALUE"""),"[""99999""]")</f>
        <v>["99999"]</v>
      </c>
      <c r="C202" s="9" t="str">
        <f>IFERROR(__xludf.DUMMYFUNCTION("""COMPUTED_VALUE"""),"Christus School Clinics - St Christopher")</f>
        <v>Christus School Clinics - St Christopher</v>
      </c>
      <c r="D202" s="9" t="str">
        <f>IFERROR(__xludf.DUMMYFUNCTION("""COMPUTED_VALUE"""),"8134 Park Place Blvd")</f>
        <v>8134 Park Place Blvd</v>
      </c>
      <c r="E202" s="9"/>
      <c r="F202" s="9" t="str">
        <f>IFERROR(__xludf.DUMMYFUNCTION("""COMPUTED_VALUE"""),"Houston")</f>
        <v>Houston</v>
      </c>
      <c r="G202" s="9" t="str">
        <f>IFERROR(__xludf.DUMMYFUNCTION("""COMPUTED_VALUE"""),"TX")</f>
        <v>TX</v>
      </c>
      <c r="H202" s="9" t="str">
        <f>IFERROR(__xludf.DUMMYFUNCTION("""COMPUTED_VALUE"""),"77017")</f>
        <v>77017</v>
      </c>
      <c r="I202" s="9" t="str">
        <f>IFERROR(__xludf.DUMMYFUNCTION("""COMPUTED_VALUE"""),"713-649-0009")</f>
        <v>713-649-0009</v>
      </c>
      <c r="J202" s="9" t="str">
        <f>IFERROR(__xludf.DUMMYFUNCTION("""COMPUTED_VALUE"""),"29.68688818541503, -95.27492768460495")</f>
        <v>29.68688818541503, -95.27492768460495</v>
      </c>
      <c r="K202" s="9" t="str">
        <f>IFERROR(__xludf.DUMMYFUNCTION("""COMPUTED_VALUE"""),"{""regular"":[{""days"":[""Mo"",""Tu"",""We"",""Th"",""Fr""],""open"":null,""close"":null}]}")</f>
        <v>{"regular":[{"days":["Mo","Tu","We","Th","Fr"],"open":null,"close":null}]}</v>
      </c>
      <c r="L202" s="9" t="str">
        <f>IFERROR(__xludf.DUMMYFUNCTION("""COMPUTED_VALUE"""),"For children enrolled in this school")</f>
        <v>For children enrolled in this school</v>
      </c>
      <c r="M202" s="10">
        <f>IFERROR(__xludf.DUMMYFUNCTION("""COMPUTED_VALUE"""),31.0)</f>
        <v>31</v>
      </c>
      <c r="N202" s="10" t="str">
        <f>IFERROR(__xludf.DUMMYFUNCTION("""COMPUTED_VALUE"""),"Medical - Primary Care")</f>
        <v>Medical - Primary Care</v>
      </c>
      <c r="O202" s="10">
        <f>IFERROR(__xludf.DUMMYFUNCTION("""COMPUTED_VALUE"""),1.0)</f>
        <v>1</v>
      </c>
      <c r="P202" s="10" t="str">
        <f>IFERROR(__xludf.DUMMYFUNCTION("""COMPUTED_VALUE"""),"ACTIVE")</f>
        <v>ACTIVE</v>
      </c>
      <c r="Q202" s="11">
        <f>IFERROR(__xludf.DUMMYFUNCTION("""COMPUTED_VALUE"""),45853.0)</f>
        <v>45853</v>
      </c>
      <c r="R202" s="9" t="str">
        <f>IFERROR(__xludf.DUMMYFUNCTION("""COMPUTED_VALUE"""),"Verified online")</f>
        <v>Verified online</v>
      </c>
      <c r="S202" s="9" t="str">
        <f>IFERROR(__xludf.DUMMYFUNCTION("""COMPUTED_VALUE"""),"PK3-8 enrolled in this school.
Basic medical and screening services at nine schools
Mental Health
Telemedicine")</f>
        <v>PK3-8 enrolled in this school.
Basic medical and screening services at nine schools
Mental Health
Telemedicine</v>
      </c>
      <c r="T202" s="12" t="b">
        <f>IFERROR(__xludf.DUMMYFUNCTION("""COMPUTED_VALUE"""),FALSE)</f>
        <v>0</v>
      </c>
      <c r="U202" s="12" t="b">
        <f>IFERROR(__xludf.DUMMYFUNCTION("""COMPUTED_VALUE"""),FALSE)</f>
        <v>0</v>
      </c>
      <c r="V202" s="13" t="str">
        <f>IFERROR(__xludf.DUMMYFUNCTION("""COMPUTED_VALUE"""),"https://christusfoundation.org/programs/christus-school-clinics/")</f>
        <v>https://christusfoundation.org/programs/christus-school-clinics/</v>
      </c>
      <c r="W202" s="14" t="str">
        <f>IFERROR(__xludf.DUMMYFUNCTION("""COMPUTED_VALUE"""),"https://www.google.com/maps/place/St.+Christopher+Catholic+School/@29.6870746,-95.2753515,17z/data=!4m15!1m8!3m7!1s0x8640bd87031223f5:0x9a47f52956c33225!2sSt.+Christopher+Catholic+School!8m2!3d29.6865913!4d-95.2748516!10e5!16s%2Fg%2F1tgdjck5!3m5!1s0x8640b"&amp;"d87031223f5:0x9a47f52956c33225!8m2!3d29.6865913!4d-95.2748516!16s%2Fg%2F1tgdjck5?entry=ttu&amp;g_ep=EgoyMDI1MDcwOS4wIKXMDSoASAFQAw%3D%3D")</f>
        <v>https://www.google.com/maps/place/St.+Christopher+Catholic+School/@29.6870746,-95.2753515,17z/data=!4m15!1m8!3m7!1s0x8640bd87031223f5:0x9a47f52956c33225!2sSt.+Christopher+Catholic+School!8m2!3d29.6865913!4d-95.2748516!10e5!16s%2Fg%2F1tgdjck5!3m5!1s0x8640bd87031223f5:0x9a47f52956c33225!8m2!3d29.6865913!4d-95.2748516!16s%2Fg%2F1tgdjck5?entry=ttu&amp;g_ep=EgoyMDI1MDcwOS4wIKXMDSoASAFQAw%3D%3D</v>
      </c>
      <c r="X202" s="10"/>
      <c r="Y202" s="9" t="str">
        <f>IFERROR(__xludf.DUMMYFUNCTION("""COMPUTED_VALUE"""),"Houston")</f>
        <v>Houston</v>
      </c>
      <c r="Z202" s="9" t="str">
        <f>IFERROR(__xludf.DUMMYFUNCTION("""COMPUTED_VALUE"""),"Meadowbrook / Allendale, Meadowcreek Village, Park Place")</f>
        <v>Meadowbrook / Allendale, Meadowcreek Village, Park Place</v>
      </c>
      <c r="AA202" s="9" t="str">
        <f>IFERROR(__xludf.DUMMYFUNCTION("""COMPUTED_VALUE"""),"Christus Foundation for HealthCare")</f>
        <v>Christus Foundation for HealthCare</v>
      </c>
      <c r="AB202" s="9" t="str">
        <f>IFERROR(__xludf.DUMMYFUNCTION("""COMPUTED_VALUE"""),"Park Place")</f>
        <v>Park Place</v>
      </c>
    </row>
    <row r="203" ht="30.0" customHeight="1">
      <c r="A203" s="17">
        <v>202.0</v>
      </c>
      <c r="B203" s="8" t="str">
        <f>IFERROR(__xludf.DUMMYFUNCTION("""COMPUTED_VALUE"""),"[""99999""]")</f>
        <v>["99999"]</v>
      </c>
      <c r="C203" s="9" t="str">
        <f>IFERROR(__xludf.DUMMYFUNCTION("""COMPUTED_VALUE"""),"Christus School Clinics - St Mary of the Purification")</f>
        <v>Christus School Clinics - St Mary of the Purification</v>
      </c>
      <c r="D203" s="9" t="str">
        <f>IFERROR(__xludf.DUMMYFUNCTION("""COMPUTED_VALUE"""),"3006 Rosedale Street")</f>
        <v>3006 Rosedale Street</v>
      </c>
      <c r="E203" s="9"/>
      <c r="F203" s="9" t="str">
        <f>IFERROR(__xludf.DUMMYFUNCTION("""COMPUTED_VALUE"""),"Houston")</f>
        <v>Houston</v>
      </c>
      <c r="G203" s="9" t="str">
        <f>IFERROR(__xludf.DUMMYFUNCTION("""COMPUTED_VALUE"""),"TX")</f>
        <v>TX</v>
      </c>
      <c r="H203" s="9" t="str">
        <f>IFERROR(__xludf.DUMMYFUNCTION("""COMPUTED_VALUE"""),"77004")</f>
        <v>77004</v>
      </c>
      <c r="I203" s="9" t="str">
        <f>IFERROR(__xludf.DUMMYFUNCTION("""COMPUTED_VALUE"""),"713-522-9276")</f>
        <v>713-522-9276</v>
      </c>
      <c r="J203" s="9" t="str">
        <f>IFERROR(__xludf.DUMMYFUNCTION("""COMPUTED_VALUE"""),"29.719388028379264, -95.36823165526641")</f>
        <v>29.719388028379264, -95.36823165526641</v>
      </c>
      <c r="K203" s="9" t="str">
        <f>IFERROR(__xludf.DUMMYFUNCTION("""COMPUTED_VALUE"""),"{""regular"":[{""days"":[""Mo"",""Tu"",""We"",""Th"",""Fr""],""open"":null,""close"":null}]}")</f>
        <v>{"regular":[{"days":["Mo","Tu","We","Th","Fr"],"open":null,"close":null}]}</v>
      </c>
      <c r="L203" s="9" t="str">
        <f>IFERROR(__xludf.DUMMYFUNCTION("""COMPUTED_VALUE"""),"For children enrolled in this school")</f>
        <v>For children enrolled in this school</v>
      </c>
      <c r="M203" s="10">
        <f>IFERROR(__xludf.DUMMYFUNCTION("""COMPUTED_VALUE"""),31.0)</f>
        <v>31</v>
      </c>
      <c r="N203" s="10" t="str">
        <f>IFERROR(__xludf.DUMMYFUNCTION("""COMPUTED_VALUE"""),"Medical - Primary Care")</f>
        <v>Medical - Primary Care</v>
      </c>
      <c r="O203" s="10">
        <f>IFERROR(__xludf.DUMMYFUNCTION("""COMPUTED_VALUE"""),1.0)</f>
        <v>1</v>
      </c>
      <c r="P203" s="10" t="str">
        <f>IFERROR(__xludf.DUMMYFUNCTION("""COMPUTED_VALUE"""),"ACTIVE")</f>
        <v>ACTIVE</v>
      </c>
      <c r="Q203" s="11">
        <f>IFERROR(__xludf.DUMMYFUNCTION("""COMPUTED_VALUE"""),45853.0)</f>
        <v>45853</v>
      </c>
      <c r="R203" s="9" t="str">
        <f>IFERROR(__xludf.DUMMYFUNCTION("""COMPUTED_VALUE"""),"Verified online")</f>
        <v>Verified online</v>
      </c>
      <c r="S203" s="9" t="str">
        <f>IFERROR(__xludf.DUMMYFUNCTION("""COMPUTED_VALUE"""),"PK3-5 enrolled in this school.
Basic medical and screening services at nine schools
Mental Health
Telemedicine")</f>
        <v>PK3-5 enrolled in this school.
Basic medical and screening services at nine schools
Mental Health
Telemedicine</v>
      </c>
      <c r="T203" s="12" t="b">
        <f>IFERROR(__xludf.DUMMYFUNCTION("""COMPUTED_VALUE"""),FALSE)</f>
        <v>0</v>
      </c>
      <c r="U203" s="12" t="b">
        <f>IFERROR(__xludf.DUMMYFUNCTION("""COMPUTED_VALUE"""),FALSE)</f>
        <v>0</v>
      </c>
      <c r="V203" s="13" t="str">
        <f>IFERROR(__xludf.DUMMYFUNCTION("""COMPUTED_VALUE"""),"https://christusfoundation.org/programs/christus-school-clinics/")</f>
        <v>https://christusfoundation.org/programs/christus-school-clinics/</v>
      </c>
      <c r="W203" s="14" t="str">
        <f>IFERROR(__xludf.DUMMYFUNCTION("""COMPUTED_VALUE"""),"https://www.google.com/maps/place/St.+Mary+of+the+Purification+Catholic+Church/@29.719239,-95.3709943,17z/data=!4m10!1m2!2m1!1sSt.+mary+of+the+purification+Catholic+School!3m6!1s0x8640bfa3e8caddc5:0xba774b73e5ab46f0!8m2!3d29.7192068!4d-95.3682173!15sCixTd"&amp;"C4gbWFyeSBvZiB0aGUgcHVyaWZpY2F0aW9uIENhdGhvbGljIFNjaG9vbFotIitzdCBtYXJ5IG9mIHRoZSBwdXJpZmljYXRpb24gY2F0aG9saWMgc2Nob29skgEPY2F0aG9saWNfY2h1cmNomgEkQ2hkRFNVaE5NRzluUzBWSlEwRm5UVVJ2YUdFeVZuQjNSUkFCqgFyCggvbS8wNnpkahABKhMiD2NhdGhvbGljIHNjaG9vbCgAMh4QASIaivpQ"&amp;"atuuFByfF6rnR1qtCsAjZZbMX3t2fm0yLxACIitzdCBtYXJ5IG9mIHRoZSBwdXJpZmljYXRpb24gY2F0aG9saWMgc2Nob29s4AEA-gEECEUQIw!16s%2Fg%2F1w0h__72?entry=ttu&amp;g_ep=EgoyMDI1MDcwOS4wIKXMDSoASAFQAw%3D%3D")</f>
        <v>https://www.google.com/maps/place/St.+Mary+of+the+Purification+Catholic+Church/@29.719239,-95.3709943,17z/data=!4m10!1m2!2m1!1sSt.+mary+of+the+purification+Catholic+School!3m6!1s0x8640bfa3e8caddc5:0xba774b73e5ab46f0!8m2!3d29.7192068!4d-95.3682173!15sCixTdC4gbWFyeSBvZiB0aGUgcHVyaWZpY2F0aW9uIENhdGhvbGljIFNjaG9vbFotIitzdCBtYXJ5IG9mIHRoZSBwdXJpZmljYXRpb24gY2F0aG9saWMgc2Nob29skgEPY2F0aG9saWNfY2h1cmNomgEkQ2hkRFNVaE5NRzluUzBWSlEwRm5UVVJ2YUdFeVZuQjNSUkFCqgFyCggvbS8wNnpkahABKhMiD2NhdGhvbGljIHNjaG9vbCgAMh4QASIaivpQatuuFByfF6rnR1qtCsAjZZbMX3t2fm0yLxACIitzdCBtYXJ5IG9mIHRoZSBwdXJpZmljYXRpb24gY2F0aG9saWMgc2Nob29s4AEA-gEECEUQIw!16s%2Fg%2F1w0h__72?entry=ttu&amp;g_ep=EgoyMDI1MDcwOS4wIKXMDSoASAFQAw%3D%3D</v>
      </c>
      <c r="X203" s="10"/>
      <c r="Y203" s="9" t="str">
        <f>IFERROR(__xludf.DUMMYFUNCTION("""COMPUTED_VALUE"""),"Houston")</f>
        <v>Houston</v>
      </c>
      <c r="Z203"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203" s="9" t="str">
        <f>IFERROR(__xludf.DUMMYFUNCTION("""COMPUTED_VALUE"""),"Christus Foundation for HealthCare")</f>
        <v>Christus Foundation for HealthCare</v>
      </c>
      <c r="AB203" s="9" t="str">
        <f>IFERROR(__xludf.DUMMYFUNCTION("""COMPUTED_VALUE"""),"South Side")</f>
        <v>South Side</v>
      </c>
    </row>
    <row r="204" ht="30.0" customHeight="1">
      <c r="A204" s="17">
        <v>203.0</v>
      </c>
      <c r="B204" s="8" t="str">
        <f>IFERROR(__xludf.DUMMYFUNCTION("""COMPUTED_VALUE"""),"[""99999""]")</f>
        <v>["99999"]</v>
      </c>
      <c r="C204" s="9" t="str">
        <f>IFERROR(__xludf.DUMMYFUNCTION("""COMPUTED_VALUE"""),"Christus St Mary's Clinic")</f>
        <v>Christus St Mary's Clinic</v>
      </c>
      <c r="D204" s="9" t="str">
        <f>IFERROR(__xludf.DUMMYFUNCTION("""COMPUTED_VALUE"""),"2002 S Wayside Drive")</f>
        <v>2002 S Wayside Drive</v>
      </c>
      <c r="E204" s="9"/>
      <c r="F204" s="9" t="str">
        <f>IFERROR(__xludf.DUMMYFUNCTION("""COMPUTED_VALUE"""),"Houston")</f>
        <v>Houston</v>
      </c>
      <c r="G204" s="9" t="str">
        <f>IFERROR(__xludf.DUMMYFUNCTION("""COMPUTED_VALUE"""),"TX")</f>
        <v>TX</v>
      </c>
      <c r="H204" s="9" t="str">
        <f>IFERROR(__xludf.DUMMYFUNCTION("""COMPUTED_VALUE"""),"77023")</f>
        <v>77023</v>
      </c>
      <c r="I204" s="9" t="str">
        <f>IFERROR(__xludf.DUMMYFUNCTION("""COMPUTED_VALUE"""),"713-803-1840")</f>
        <v>713-803-1840</v>
      </c>
      <c r="J204" s="9" t="str">
        <f>IFERROR(__xludf.DUMMYFUNCTION("""COMPUTED_VALUE"""),"29.7186622224979, -95.313744225466")</f>
        <v>29.7186622224979, -95.313744225466</v>
      </c>
      <c r="K204" s="9" t="str">
        <f>IFERROR(__xludf.DUMMYFUNCTION("""COMPUTED_VALUE"""),"{""regular"":[{""days"":[""Mo"",""Tu"",""We"",""Th"",""Fr""],""open"":""07:00"",""close"":""16:00""},{""days"":[""Sa""],""open"":""08:00"",""close"":""23:00""}]}")</f>
        <v>{"regular":[{"days":["Mo","Tu","We","Th","Fr"],"open":"07:00","close":"16:00"},{"days":["Sa"],"open":"08:00","close":"23:00"}]}</v>
      </c>
      <c r="L204" s="9"/>
      <c r="M204" s="10">
        <f>IFERROR(__xludf.DUMMYFUNCTION("""COMPUTED_VALUE"""),31.0)</f>
        <v>31</v>
      </c>
      <c r="N204" s="10" t="str">
        <f>IFERROR(__xludf.DUMMYFUNCTION("""COMPUTED_VALUE"""),"Medical - Primary Care")</f>
        <v>Medical - Primary Care</v>
      </c>
      <c r="O204" s="10">
        <f>IFERROR(__xludf.DUMMYFUNCTION("""COMPUTED_VALUE"""),1.0)</f>
        <v>1</v>
      </c>
      <c r="P204" s="10" t="str">
        <f>IFERROR(__xludf.DUMMYFUNCTION("""COMPUTED_VALUE"""),"ACTIVE")</f>
        <v>ACTIVE</v>
      </c>
      <c r="Q204" s="11">
        <f>IFERROR(__xludf.DUMMYFUNCTION("""COMPUTED_VALUE"""),45761.0)</f>
        <v>45761</v>
      </c>
      <c r="R204" s="9" t="str">
        <f>IFERROR(__xludf.DUMMYFUNCTION("""COMPUTED_VALUE"""),"SVdP Church Help for Moms Ministry")</f>
        <v>SVdP Church Help for Moms Ministry</v>
      </c>
      <c r="S204" s="9" t="str">
        <f>IFERROR(__xludf.DUMMYFUNCTION("""COMPUTED_VALUE"""),"Healthcare
Mental Health
To uninsured and underserved patients
No eligibility requirements")</f>
        <v>Healthcare
Mental Health
To uninsured and underserved patients
No eligibility requirements</v>
      </c>
      <c r="T204" s="12" t="b">
        <f>IFERROR(__xludf.DUMMYFUNCTION("""COMPUTED_VALUE"""),FALSE)</f>
        <v>0</v>
      </c>
      <c r="U204" s="12" t="b">
        <f>IFERROR(__xludf.DUMMYFUNCTION("""COMPUTED_VALUE"""),FALSE)</f>
        <v>0</v>
      </c>
      <c r="V204" s="13" t="str">
        <f>IFERROR(__xludf.DUMMYFUNCTION("""COMPUTED_VALUE"""),"https://christusfoundation.org/programs/christus-st-marys-clinic/")</f>
        <v>https://christusfoundation.org/programs/christus-st-marys-clinic/</v>
      </c>
      <c r="W204" s="14" t="str">
        <f>IFERROR(__xludf.DUMMYFUNCTION("""COMPUTED_VALUE"""),"https://www.google.com/maps/place/CHRISTUS+St.+Mary's+Clinic/@29.7190462,-95.3174169,17z/data=!3m1!4b1!4m6!3m5!1s0x8640be7a0882a007:0x18b9562d4bce129b!8m2!3d29.7190462!4d-95.314842!16s%2Fg%2F113hd44p4?entry=ttu&amp;g_ep=EgoyMDI1MDQwOS4wIKXMDSoASAFQAw%3D%3D")</f>
        <v>https://www.google.com/maps/place/CHRISTUS+St.+Mary's+Clinic/@29.7190462,-95.3174169,17z/data=!3m1!4b1!4m6!3m5!1s0x8640be7a0882a007:0x18b9562d4bce129b!8m2!3d29.7190462!4d-95.314842!16s%2Fg%2F113hd44p4?entry=ttu&amp;g_ep=EgoyMDI1MDQwOS4wIKXMDSoASAFQAw%3D%3D</v>
      </c>
      <c r="X204" s="10"/>
      <c r="Y204" s="9" t="str">
        <f>IFERROR(__xludf.DUMMYFUNCTION("""COMPUTED_VALUE"""),"Houston")</f>
        <v>Houston</v>
      </c>
      <c r="Z204" s="9" t="str">
        <f>IFERROR(__xludf.DUMMYFUNCTION("""COMPUTED_VALUE"""),"Eastwood, Gulfgate Riverview / Pine Valley, Idylwood, Lawndale / Wayside, Magnolia Park, South Central Houston")</f>
        <v>Eastwood, Gulfgate Riverview / Pine Valley, Idylwood, Lawndale / Wayside, Magnolia Park, South Central Houston</v>
      </c>
      <c r="AA204" s="9" t="str">
        <f>IFERROR(__xludf.DUMMYFUNCTION("""COMPUTED_VALUE"""),"Christus Foundation for HealthCare")</f>
        <v>Christus Foundation for HealthCare</v>
      </c>
      <c r="AB204" s="9" t="str">
        <f>IFERROR(__xludf.DUMMYFUNCTION("""COMPUTED_VALUE"""),"Lawndale / Wayside")</f>
        <v>Lawndale / Wayside</v>
      </c>
    </row>
    <row r="205" ht="30.0" customHeight="1">
      <c r="A205" s="17">
        <v>204.0</v>
      </c>
      <c r="B205" s="8" t="str">
        <f>IFERROR(__xludf.DUMMYFUNCTION("""COMPUTED_VALUE"""),"[""77072"", ""77082"", ""77088"", ""77091"", ""77092"", ""77099""]")</f>
        <v>["77072", "77082", "77088", "77091", "77092", "77099"]</v>
      </c>
      <c r="C205" s="9" t="str">
        <f>IFERROR(__xludf.DUMMYFUNCTION("""COMPUTED_VALUE"""),"Church Without Walls")</f>
        <v>Church Without Walls</v>
      </c>
      <c r="D205" s="9" t="str">
        <f>IFERROR(__xludf.DUMMYFUNCTION("""COMPUTED_VALUE"""),"5314 Bingle Road")</f>
        <v>5314 Bingle Road</v>
      </c>
      <c r="E205" s="9"/>
      <c r="F205" s="9" t="str">
        <f>IFERROR(__xludf.DUMMYFUNCTION("""COMPUTED_VALUE"""),"Houston")</f>
        <v>Houston</v>
      </c>
      <c r="G205" s="9" t="str">
        <f>IFERROR(__xludf.DUMMYFUNCTION("""COMPUTED_VALUE"""),"TX")</f>
        <v>TX</v>
      </c>
      <c r="H205" s="9" t="str">
        <f>IFERROR(__xludf.DUMMYFUNCTION("""COMPUTED_VALUE"""),"77092")</f>
        <v>77092</v>
      </c>
      <c r="I205" s="9" t="str">
        <f>IFERROR(__xludf.DUMMYFUNCTION("""COMPUTED_VALUE"""),"281-649-6800")</f>
        <v>281-649-6800</v>
      </c>
      <c r="J205" s="9" t="str">
        <f>IFERROR(__xludf.DUMMYFUNCTION("""COMPUTED_VALUE"""),"29.8416868571429, -95.4887697142857")</f>
        <v>29.8416868571429, -95.4887697142857</v>
      </c>
      <c r="K205" s="9" t="str">
        <f>IFERROR(__xludf.DUMMYFUNCTION("""COMPUTED_VALUE"""),"{""regular"":[{""days"":[""Sa""],""open"":""10:00"",""close"":""12:00""}]}")</f>
        <v>{"regular":[{"days":["Sa"],"open":"10:00","close":"12:00"}]}</v>
      </c>
      <c r="L205" s="9"/>
      <c r="M205" s="10">
        <f>IFERROR(__xludf.DUMMYFUNCTION("""COMPUTED_VALUE"""),13.0)</f>
        <v>13</v>
      </c>
      <c r="N205" s="10" t="str">
        <f>IFERROR(__xludf.DUMMYFUNCTION("""COMPUTED_VALUE"""),"Food")</f>
        <v>Food</v>
      </c>
      <c r="O205" s="10">
        <f>IFERROR(__xludf.DUMMYFUNCTION("""COMPUTED_VALUE"""),1.0)</f>
        <v>1</v>
      </c>
      <c r="P205" s="10" t="str">
        <f>IFERROR(__xludf.DUMMYFUNCTION("""COMPUTED_VALUE"""),"ACTIVE")</f>
        <v>ACTIVE</v>
      </c>
      <c r="Q205" s="11"/>
      <c r="R205" s="9"/>
      <c r="S205" s="9"/>
      <c r="T205" s="12" t="b">
        <f>IFERROR(__xludf.DUMMYFUNCTION("""COMPUTED_VALUE"""),FALSE)</f>
        <v>0</v>
      </c>
      <c r="U205" s="12" t="b">
        <f>IFERROR(__xludf.DUMMYFUNCTION("""COMPUTED_VALUE"""),FALSE)</f>
        <v>0</v>
      </c>
      <c r="V205" s="13" t="str">
        <f>IFERROR(__xludf.DUMMYFUNCTION("""COMPUTED_VALUE"""),"https://tcww.org/")</f>
        <v>https://tcww.org/</v>
      </c>
      <c r="W205" s="14" t="str">
        <f>IFERROR(__xludf.DUMMYFUNCTION("""COMPUTED_VALUE"""),"https://maps.google.com/?q=Church%20Without%20Walls%205314%20Bingle%20Rd%20Houston%20TX%2077092")</f>
        <v>https://maps.google.com/?q=Church%20Without%20Walls%205314%20Bingle%20Rd%20Houston%20TX%2077092</v>
      </c>
      <c r="X205" s="10"/>
      <c r="Y205" s="9" t="str">
        <f>IFERROR(__xludf.DUMMYFUNCTION("""COMPUTED_VALUE"""),"Houston")</f>
        <v>Houston</v>
      </c>
      <c r="Z205" s="9" t="str">
        <f>IFERROR(__xludf.DUMMYFUNCTION("""COMPUTED_VALUE"""),"Central Northwest, Fairbanks / Northwest Crossing, Lazybrook / Timbergrove, Oak Forest West, Westside")</f>
        <v>Central Northwest, Fairbanks / Northwest Crossing, Lazybrook / Timbergrove, Oak Forest West, Westside</v>
      </c>
      <c r="AA205" s="9" t="str">
        <f>IFERROR(__xludf.DUMMYFUNCTION("""COMPUTED_VALUE"""),"Church Without Walls")</f>
        <v>Church Without Walls</v>
      </c>
      <c r="AB205" s="9" t="str">
        <f>IFERROR(__xludf.DUMMYFUNCTION("""COMPUTED_VALUE"""),"Fairbanks / Northwest Crossing")</f>
        <v>Fairbanks / Northwest Crossing</v>
      </c>
    </row>
    <row r="206" ht="30.0" customHeight="1">
      <c r="A206" s="17">
        <v>205.0</v>
      </c>
      <c r="B206" s="8" t="str">
        <f>IFERROR(__xludf.DUMMYFUNCTION("""COMPUTED_VALUE"""),"[""77336"", ""77532""]")</f>
        <v>["77336", "77532"]</v>
      </c>
      <c r="C206" s="9" t="str">
        <f>IFERROR(__xludf.DUMMYFUNCTION("""COMPUTED_VALUE"""),"Churches United in Caring")</f>
        <v>Churches United in Caring</v>
      </c>
      <c r="D206" s="9" t="str">
        <f>IFERROR(__xludf.DUMMYFUNCTION("""COMPUTED_VALUE"""),"944 Church Street")</f>
        <v>944 Church Street</v>
      </c>
      <c r="E206" s="9"/>
      <c r="F206" s="9" t="str">
        <f>IFERROR(__xludf.DUMMYFUNCTION("""COMPUTED_VALUE"""),"Crosby")</f>
        <v>Crosby</v>
      </c>
      <c r="G206" s="9" t="str">
        <f>IFERROR(__xludf.DUMMYFUNCTION("""COMPUTED_VALUE"""),"TX")</f>
        <v>TX</v>
      </c>
      <c r="H206" s="9" t="str">
        <f>IFERROR(__xludf.DUMMYFUNCTION("""COMPUTED_VALUE"""),"77532")</f>
        <v>77532</v>
      </c>
      <c r="I206" s="9" t="str">
        <f>IFERROR(__xludf.DUMMYFUNCTION("""COMPUTED_VALUE"""),"281-328-3178")</f>
        <v>281-328-3178</v>
      </c>
      <c r="J206" s="9" t="str">
        <f>IFERROR(__xludf.DUMMYFUNCTION("""COMPUTED_VALUE"""),"29.926582423632976, -95.06191932804607")</f>
        <v>29.926582423632976, -95.06191932804607</v>
      </c>
      <c r="K206" s="9" t="str">
        <f>IFERROR(__xludf.DUMMYFUNCTION("""COMPUTED_VALUE"""),"{""regular"":[{""days"":[""Mo"",""We"",""Fr""],""open"":""10:00"",""close"":""11:30""}]}")</f>
        <v>{"regular":[{"days":["Mo","We","Fr"],"open":"10:00","close":"11:30"}]}</v>
      </c>
      <c r="L206" s="9"/>
      <c r="M206" s="10">
        <f>IFERROR(__xludf.DUMMYFUNCTION("""COMPUTED_VALUE"""),11.0)</f>
        <v>11</v>
      </c>
      <c r="N206" s="10" t="str">
        <f>IFERROR(__xludf.DUMMYFUNCTION("""COMPUTED_VALUE"""),"Rent")</f>
        <v>Rent</v>
      </c>
      <c r="O206" s="10">
        <f>IFERROR(__xludf.DUMMYFUNCTION("""COMPUTED_VALUE"""),1.0)</f>
        <v>1</v>
      </c>
      <c r="P206" s="10" t="str">
        <f>IFERROR(__xludf.DUMMYFUNCTION("""COMPUTED_VALUE"""),"ACTIVE")</f>
        <v>ACTIVE</v>
      </c>
      <c r="Q206" s="11">
        <f>IFERROR(__xludf.DUMMYFUNCTION("""COMPUTED_VALUE"""),46071.0)</f>
        <v>46071</v>
      </c>
      <c r="R206" s="9" t="str">
        <f>IFERROR(__xludf.DUMMYFUNCTION("""COMPUTED_VALUE"""),"Verified online")</f>
        <v>Verified online</v>
      </c>
      <c r="S206" s="9" t="str">
        <f>IFERROR(__xludf.DUMMYFUNCTION("""COMPUTED_VALUE"""),"Current photo ID for all adults in household and current mail.
Copy of the lease.
Landlord must have W-9 on file before any payments are released.")</f>
        <v>Current photo ID for all adults in household and current mail.
Copy of the lease.
Landlord must have W-9 on file before any payments are released.</v>
      </c>
      <c r="T206" s="12" t="b">
        <f>IFERROR(__xludf.DUMMYFUNCTION("""COMPUTED_VALUE"""),FALSE)</f>
        <v>0</v>
      </c>
      <c r="U206" s="12" t="b">
        <f>IFERROR(__xludf.DUMMYFUNCTION("""COMPUTED_VALUE"""),FALSE)</f>
        <v>0</v>
      </c>
      <c r="V206" s="13" t="str">
        <f>IFERROR(__xludf.DUMMYFUNCTION("""COMPUTED_VALUE"""),"https://www.cuiccrosby.org/assistance")</f>
        <v>https://www.cuiccrosby.org/assistance</v>
      </c>
      <c r="W206" s="14" t="str">
        <f>IFERROR(__xludf.DUMMYFUNCTION("""COMPUTED_VALUE"""),"https://www.google.com/maps/place/Churches+United+In+Caring/@29.905414,-95.0597783,17z/data=!3m1!4b1!4m6!3m5!1s0x863f57ded86645f3:0x848bef5840cb32a8!8m2!3d29.905414!4d-95.057198!16s%2Fg%2F1v_snm1q?entry=ttu&amp;g_ep=EgoyMDI2MDIxNi4wIKXMDSoASAFQAw%3D%3D")</f>
        <v>https://www.google.com/maps/place/Churches+United+In+Caring/@29.905414,-95.0597783,17z/data=!3m1!4b1!4m6!3m5!1s0x863f57ded86645f3:0x848bef5840cb32a8!8m2!3d29.905414!4d-95.057198!16s%2Fg%2F1v_snm1q?entry=ttu&amp;g_ep=EgoyMDI2MDIxNi4wIKXMDSoASAFQAw%3D%3D</v>
      </c>
      <c r="X206" s="10"/>
      <c r="Y206" s="9" t="str">
        <f>IFERROR(__xludf.DUMMYFUNCTION("""COMPUTED_VALUE"""),"Crosby")</f>
        <v>Crosby</v>
      </c>
      <c r="Z206" s="9" t="str">
        <f>IFERROR(__xludf.DUMMYFUNCTION("""COMPUTED_VALUE"""),"Burris, Crosby")</f>
        <v>Burris, Crosby</v>
      </c>
      <c r="AA206" s="9" t="str">
        <f>IFERROR(__xludf.DUMMYFUNCTION("""COMPUTED_VALUE"""),"Churches United in Caring")</f>
        <v>Churches United in Caring</v>
      </c>
      <c r="AB206" s="9" t="str">
        <f>IFERROR(__xludf.DUMMYFUNCTION("""COMPUTED_VALUE"""),"Crosby")</f>
        <v>Crosby</v>
      </c>
    </row>
    <row r="207" ht="30.0" customHeight="1">
      <c r="A207" s="17">
        <v>206.0</v>
      </c>
      <c r="B207" s="8" t="str">
        <f>IFERROR(__xludf.DUMMYFUNCTION("""COMPUTED_VALUE"""),"[""77336"", ""77532""]")</f>
        <v>["77336", "77532"]</v>
      </c>
      <c r="C207" s="9" t="str">
        <f>IFERROR(__xludf.DUMMYFUNCTION("""COMPUTED_VALUE"""),"Churches United in Caring")</f>
        <v>Churches United in Caring</v>
      </c>
      <c r="D207" s="9" t="str">
        <f>IFERROR(__xludf.DUMMYFUNCTION("""COMPUTED_VALUE"""),"944 Church Street")</f>
        <v>944 Church Street</v>
      </c>
      <c r="E207" s="9"/>
      <c r="F207" s="9" t="str">
        <f>IFERROR(__xludf.DUMMYFUNCTION("""COMPUTED_VALUE"""),"Crosby")</f>
        <v>Crosby</v>
      </c>
      <c r="G207" s="9" t="str">
        <f>IFERROR(__xludf.DUMMYFUNCTION("""COMPUTED_VALUE"""),"TX")</f>
        <v>TX</v>
      </c>
      <c r="H207" s="9" t="str">
        <f>IFERROR(__xludf.DUMMYFUNCTION("""COMPUTED_VALUE"""),"77532")</f>
        <v>77532</v>
      </c>
      <c r="I207" s="9" t="str">
        <f>IFERROR(__xludf.DUMMYFUNCTION("""COMPUTED_VALUE"""),"281-328-3178")</f>
        <v>281-328-3178</v>
      </c>
      <c r="J207" s="9" t="str">
        <f>IFERROR(__xludf.DUMMYFUNCTION("""COMPUTED_VALUE"""),"29.926582423632976, -95.06191932804607")</f>
        <v>29.926582423632976, -95.06191932804607</v>
      </c>
      <c r="K207" s="9" t="str">
        <f>IFERROR(__xludf.DUMMYFUNCTION("""COMPUTED_VALUE"""),"{""regular"":[{""days"":[""Mo"",""We"",""Fr""],""open"":""10:00"",""close"":""11:30""}]}")</f>
        <v>{"regular":[{"days":["Mo","We","Fr"],"open":"10:00","close":"11:30"}]}</v>
      </c>
      <c r="L207" s="9"/>
      <c r="M207" s="10">
        <f>IFERROR(__xludf.DUMMYFUNCTION("""COMPUTED_VALUE"""),12.0)</f>
        <v>12</v>
      </c>
      <c r="N207" s="10" t="str">
        <f>IFERROR(__xludf.DUMMYFUNCTION("""COMPUTED_VALUE"""),"Utilities")</f>
        <v>Utilities</v>
      </c>
      <c r="O207" s="10">
        <f>IFERROR(__xludf.DUMMYFUNCTION("""COMPUTED_VALUE"""),1.0)</f>
        <v>1</v>
      </c>
      <c r="P207" s="10" t="str">
        <f>IFERROR(__xludf.DUMMYFUNCTION("""COMPUTED_VALUE"""),"ACTIVE")</f>
        <v>ACTIVE</v>
      </c>
      <c r="Q207" s="11">
        <f>IFERROR(__xludf.DUMMYFUNCTION("""COMPUTED_VALUE"""),46071.0)</f>
        <v>46071</v>
      </c>
      <c r="R207" s="9" t="str">
        <f>IFERROR(__xludf.DUMMYFUNCTION("""COMPUTED_VALUE"""),"Verified online")</f>
        <v>Verified online</v>
      </c>
      <c r="S207" s="9" t="str">
        <f>IFERROR(__xludf.DUMMYFUNCTION("""COMPUTED_VALUE"""),"Current photo ID for all adults in household and current mail.
Utilities covered are propane, water and natural gas.
DOES NOT ASSIST WITH ELECTRICITY BILLS.")</f>
        <v>Current photo ID for all adults in household and current mail.
Utilities covered are propane, water and natural gas.
DOES NOT ASSIST WITH ELECTRICITY BILLS.</v>
      </c>
      <c r="T207" s="12" t="b">
        <f>IFERROR(__xludf.DUMMYFUNCTION("""COMPUTED_VALUE"""),FALSE)</f>
        <v>0</v>
      </c>
      <c r="U207" s="12" t="b">
        <f>IFERROR(__xludf.DUMMYFUNCTION("""COMPUTED_VALUE"""),FALSE)</f>
        <v>0</v>
      </c>
      <c r="V207" s="13" t="str">
        <f>IFERROR(__xludf.DUMMYFUNCTION("""COMPUTED_VALUE"""),"https://www.cuiccrosby.org/assistance")</f>
        <v>https://www.cuiccrosby.org/assistance</v>
      </c>
      <c r="W207" s="14" t="str">
        <f>IFERROR(__xludf.DUMMYFUNCTION("""COMPUTED_VALUE"""),"https://www.google.com/maps/place/Churches+United+In+Caring/@29.905414,-95.0597783,17z/data=!3m1!4b1!4m6!3m5!1s0x863f57ded86645f3:0x848bef5840cb32a8!8m2!3d29.905414!4d-95.057198!16s%2Fg%2F1v_snm1q?entry=ttu&amp;g_ep=EgoyMDI2MDIxNi4wIKXMDSoASAFQAw%3D%3D")</f>
        <v>https://www.google.com/maps/place/Churches+United+In+Caring/@29.905414,-95.0597783,17z/data=!3m1!4b1!4m6!3m5!1s0x863f57ded86645f3:0x848bef5840cb32a8!8m2!3d29.905414!4d-95.057198!16s%2Fg%2F1v_snm1q?entry=ttu&amp;g_ep=EgoyMDI2MDIxNi4wIKXMDSoASAFQAw%3D%3D</v>
      </c>
      <c r="X207" s="10"/>
      <c r="Y207" s="9" t="str">
        <f>IFERROR(__xludf.DUMMYFUNCTION("""COMPUTED_VALUE"""),"Crosby")</f>
        <v>Crosby</v>
      </c>
      <c r="Z207" s="9" t="str">
        <f>IFERROR(__xludf.DUMMYFUNCTION("""COMPUTED_VALUE"""),"Burris, Crosby")</f>
        <v>Burris, Crosby</v>
      </c>
      <c r="AA207" s="9" t="str">
        <f>IFERROR(__xludf.DUMMYFUNCTION("""COMPUTED_VALUE"""),"Churches United in Caring")</f>
        <v>Churches United in Caring</v>
      </c>
      <c r="AB207" s="9" t="str">
        <f>IFERROR(__xludf.DUMMYFUNCTION("""COMPUTED_VALUE"""),"Crosby")</f>
        <v>Crosby</v>
      </c>
    </row>
    <row r="208" ht="30.0" customHeight="1">
      <c r="A208" s="17">
        <v>207.0</v>
      </c>
      <c r="B208" s="8" t="str">
        <f>IFERROR(__xludf.DUMMYFUNCTION("""COMPUTED_VALUE"""),"[""77336"", ""77532""]")</f>
        <v>["77336", "77532"]</v>
      </c>
      <c r="C208" s="9" t="str">
        <f>IFERROR(__xludf.DUMMYFUNCTION("""COMPUTED_VALUE"""),"Churches United in Caring")</f>
        <v>Churches United in Caring</v>
      </c>
      <c r="D208" s="9" t="str">
        <f>IFERROR(__xludf.DUMMYFUNCTION("""COMPUTED_VALUE"""),"944 Church Street")</f>
        <v>944 Church Street</v>
      </c>
      <c r="E208" s="9"/>
      <c r="F208" s="9" t="str">
        <f>IFERROR(__xludf.DUMMYFUNCTION("""COMPUTED_VALUE"""),"Crosby")</f>
        <v>Crosby</v>
      </c>
      <c r="G208" s="9" t="str">
        <f>IFERROR(__xludf.DUMMYFUNCTION("""COMPUTED_VALUE"""),"TX")</f>
        <v>TX</v>
      </c>
      <c r="H208" s="9" t="str">
        <f>IFERROR(__xludf.DUMMYFUNCTION("""COMPUTED_VALUE"""),"77532")</f>
        <v>77532</v>
      </c>
      <c r="I208" s="9" t="str">
        <f>IFERROR(__xludf.DUMMYFUNCTION("""COMPUTED_VALUE"""),"281-328-3178")</f>
        <v>281-328-3178</v>
      </c>
      <c r="J208" s="9" t="str">
        <f>IFERROR(__xludf.DUMMYFUNCTION("""COMPUTED_VALUE"""),"29.926582423632976, -95.06191932804607")</f>
        <v>29.926582423632976, -95.06191932804607</v>
      </c>
      <c r="K208" s="9" t="str">
        <f>IFERROR(__xludf.DUMMYFUNCTION("""COMPUTED_VALUE"""),"{""regular"":[{""days"":[""Mo"",""We"",""Fr""],""open"":""10:00"",""close"":""11:30""}]}")</f>
        <v>{"regular":[{"days":["Mo","We","Fr"],"open":"10:00","close":"11:30"}]}</v>
      </c>
      <c r="L208" s="9"/>
      <c r="M208" s="10">
        <f>IFERROR(__xludf.DUMMYFUNCTION("""COMPUTED_VALUE"""),13.0)</f>
        <v>13</v>
      </c>
      <c r="N208" s="10" t="str">
        <f>IFERROR(__xludf.DUMMYFUNCTION("""COMPUTED_VALUE"""),"Food")</f>
        <v>Food</v>
      </c>
      <c r="O208" s="10">
        <f>IFERROR(__xludf.DUMMYFUNCTION("""COMPUTED_VALUE"""),1.0)</f>
        <v>1</v>
      </c>
      <c r="P208" s="10" t="str">
        <f>IFERROR(__xludf.DUMMYFUNCTION("""COMPUTED_VALUE"""),"ACTIVE")</f>
        <v>ACTIVE</v>
      </c>
      <c r="Q208" s="11">
        <f>IFERROR(__xludf.DUMMYFUNCTION("""COMPUTED_VALUE"""),46071.0)</f>
        <v>46071</v>
      </c>
      <c r="R208" s="9" t="str">
        <f>IFERROR(__xludf.DUMMYFUNCTION("""COMPUTED_VALUE"""),"Verified online")</f>
        <v>Verified online</v>
      </c>
      <c r="S208" s="9" t="str">
        <f>IFERROR(__xludf.DUMMYFUNCTION("""COMPUTED_VALUE"""),"Current photo ID for all adults in household and current mail.
Food box with toiletries once every 90 days.  Small food box once every 30 days.")</f>
        <v>Current photo ID for all adults in household and current mail.
Food box with toiletries once every 90 days.  Small food box once every 30 days.</v>
      </c>
      <c r="T208" s="12" t="b">
        <f>IFERROR(__xludf.DUMMYFUNCTION("""COMPUTED_VALUE"""),FALSE)</f>
        <v>0</v>
      </c>
      <c r="U208" s="12" t="b">
        <f>IFERROR(__xludf.DUMMYFUNCTION("""COMPUTED_VALUE"""),FALSE)</f>
        <v>0</v>
      </c>
      <c r="V208" s="13" t="str">
        <f>IFERROR(__xludf.DUMMYFUNCTION("""COMPUTED_VALUE"""),"https://www.cuiccrosby.org/assistance")</f>
        <v>https://www.cuiccrosby.org/assistance</v>
      </c>
      <c r="W208" s="14" t="str">
        <f>IFERROR(__xludf.DUMMYFUNCTION("""COMPUTED_VALUE"""),"https://www.google.com/maps/place/Churches+United+In+Caring/@29.905414,-95.0597783,17z/data=!3m1!4b1!4m6!3m5!1s0x863f57ded86645f3:0x848bef5840cb32a8!8m2!3d29.905414!4d-95.057198!16s%2Fg%2F1v_snm1q?entry=ttu&amp;g_ep=EgoyMDI2MDIxNi4wIKXMDSoASAFQAw%3D%3D")</f>
        <v>https://www.google.com/maps/place/Churches+United+In+Caring/@29.905414,-95.0597783,17z/data=!3m1!4b1!4m6!3m5!1s0x863f57ded86645f3:0x848bef5840cb32a8!8m2!3d29.905414!4d-95.057198!16s%2Fg%2F1v_snm1q?entry=ttu&amp;g_ep=EgoyMDI2MDIxNi4wIKXMDSoASAFQAw%3D%3D</v>
      </c>
      <c r="X208" s="10"/>
      <c r="Y208" s="9" t="str">
        <f>IFERROR(__xludf.DUMMYFUNCTION("""COMPUTED_VALUE"""),"Crosby")</f>
        <v>Crosby</v>
      </c>
      <c r="Z208" s="9" t="str">
        <f>IFERROR(__xludf.DUMMYFUNCTION("""COMPUTED_VALUE"""),"Burris, Crosby")</f>
        <v>Burris, Crosby</v>
      </c>
      <c r="AA208" s="9" t="str">
        <f>IFERROR(__xludf.DUMMYFUNCTION("""COMPUTED_VALUE"""),"Churches United in Caring")</f>
        <v>Churches United in Caring</v>
      </c>
      <c r="AB208" s="9" t="str">
        <f>IFERROR(__xludf.DUMMYFUNCTION("""COMPUTED_VALUE"""),"Crosby")</f>
        <v>Crosby</v>
      </c>
    </row>
    <row r="209" ht="30.0" customHeight="1">
      <c r="A209" s="17">
        <v>208.0</v>
      </c>
      <c r="B209" s="8" t="str">
        <f>IFERROR(__xludf.DUMMYFUNCTION("""COMPUTED_VALUE"""),"[""77336"", ""77532""]")</f>
        <v>["77336", "77532"]</v>
      </c>
      <c r="C209" s="9" t="str">
        <f>IFERROR(__xludf.DUMMYFUNCTION("""COMPUTED_VALUE"""),"Churches United in Caring")</f>
        <v>Churches United in Caring</v>
      </c>
      <c r="D209" s="9" t="str">
        <f>IFERROR(__xludf.DUMMYFUNCTION("""COMPUTED_VALUE"""),"944 Church Street")</f>
        <v>944 Church Street</v>
      </c>
      <c r="E209" s="9"/>
      <c r="F209" s="9" t="str">
        <f>IFERROR(__xludf.DUMMYFUNCTION("""COMPUTED_VALUE"""),"Crosby")</f>
        <v>Crosby</v>
      </c>
      <c r="G209" s="9" t="str">
        <f>IFERROR(__xludf.DUMMYFUNCTION("""COMPUTED_VALUE"""),"TX")</f>
        <v>TX</v>
      </c>
      <c r="H209" s="9" t="str">
        <f>IFERROR(__xludf.DUMMYFUNCTION("""COMPUTED_VALUE"""),"77532")</f>
        <v>77532</v>
      </c>
      <c r="I209" s="9" t="str">
        <f>IFERROR(__xludf.DUMMYFUNCTION("""COMPUTED_VALUE"""),"281-328-3178")</f>
        <v>281-328-3178</v>
      </c>
      <c r="J209" s="9" t="str">
        <f>IFERROR(__xludf.DUMMYFUNCTION("""COMPUTED_VALUE"""),"29.926582423632976, -95.06191932804607")</f>
        <v>29.926582423632976, -95.06191932804607</v>
      </c>
      <c r="K209" s="9" t="str">
        <f>IFERROR(__xludf.DUMMYFUNCTION("""COMPUTED_VALUE"""),"{""regular"":[{""days"":[""Mo"",""Tu"",""We"",""Th"",""Fr"",""Sa""],""open"":""10:00"",""close"":""14:00""}]}")</f>
        <v>{"regular":[{"days":["Mo","Tu","We","Th","Fr","Sa"],"open":"10:00","close":"14:00"}]}</v>
      </c>
      <c r="L209" s="9"/>
      <c r="M209" s="10">
        <f>IFERROR(__xludf.DUMMYFUNCTION("""COMPUTED_VALUE"""),14.0)</f>
        <v>14</v>
      </c>
      <c r="N209" s="10" t="str">
        <f>IFERROR(__xludf.DUMMYFUNCTION("""COMPUTED_VALUE"""),"Clothing")</f>
        <v>Clothing</v>
      </c>
      <c r="O209" s="10">
        <f>IFERROR(__xludf.DUMMYFUNCTION("""COMPUTED_VALUE"""),1.0)</f>
        <v>1</v>
      </c>
      <c r="P209" s="10" t="str">
        <f>IFERROR(__xludf.DUMMYFUNCTION("""COMPUTED_VALUE"""),"ACTIVE")</f>
        <v>ACTIVE</v>
      </c>
      <c r="Q209" s="11">
        <f>IFERROR(__xludf.DUMMYFUNCTION("""COMPUTED_VALUE"""),46071.0)</f>
        <v>46071</v>
      </c>
      <c r="R209" s="9" t="str">
        <f>IFERROR(__xludf.DUMMYFUNCTION("""COMPUTED_VALUE"""),"Verified online")</f>
        <v>Verified online</v>
      </c>
      <c r="S209" s="9" t="str">
        <f>IFERROR(__xludf.DUMMYFUNCTION("""COMPUTED_VALUE"""),"Current photo ID for all adults in household and current mail.
Clothing voucher once every 90 days.
Voucher for use in their Thrift Store.
For necessities only.  No shoes over $10.  No jewelry.  No new clothing with tags.")</f>
        <v>Current photo ID for all adults in household and current mail.
Clothing voucher once every 90 days.
Voucher for use in their Thrift Store.
For necessities only.  No shoes over $10.  No jewelry.  No new clothing with tags.</v>
      </c>
      <c r="T209" s="12" t="b">
        <f>IFERROR(__xludf.DUMMYFUNCTION("""COMPUTED_VALUE"""),FALSE)</f>
        <v>0</v>
      </c>
      <c r="U209" s="12" t="b">
        <f>IFERROR(__xludf.DUMMYFUNCTION("""COMPUTED_VALUE"""),FALSE)</f>
        <v>0</v>
      </c>
      <c r="V209" s="13" t="str">
        <f>IFERROR(__xludf.DUMMYFUNCTION("""COMPUTED_VALUE"""),"https://www.cuiccrosby.org/assistance")</f>
        <v>https://www.cuiccrosby.org/assistance</v>
      </c>
      <c r="W209" s="14" t="str">
        <f>IFERROR(__xludf.DUMMYFUNCTION("""COMPUTED_VALUE"""),"https://www.google.com/maps/place/Churches+United+In+Caring/@29.905414,-95.0597783,17z/data=!3m1!4b1!4m6!3m5!1s0x863f57ded86645f3:0x848bef5840cb32a8!8m2!3d29.905414!4d-95.057198!16s%2Fg%2F1v_snm1q?entry=ttu&amp;g_ep=EgoyMDI2MDIxNi4wIKXMDSoASAFQAw%3D%3D")</f>
        <v>https://www.google.com/maps/place/Churches+United+In+Caring/@29.905414,-95.0597783,17z/data=!3m1!4b1!4m6!3m5!1s0x863f57ded86645f3:0x848bef5840cb32a8!8m2!3d29.905414!4d-95.057198!16s%2Fg%2F1v_snm1q?entry=ttu&amp;g_ep=EgoyMDI2MDIxNi4wIKXMDSoASAFQAw%3D%3D</v>
      </c>
      <c r="X209" s="10"/>
      <c r="Y209" s="9" t="str">
        <f>IFERROR(__xludf.DUMMYFUNCTION("""COMPUTED_VALUE"""),"Crosby")</f>
        <v>Crosby</v>
      </c>
      <c r="Z209" s="9" t="str">
        <f>IFERROR(__xludf.DUMMYFUNCTION("""COMPUTED_VALUE"""),"Burris, Crosby")</f>
        <v>Burris, Crosby</v>
      </c>
      <c r="AA209" s="9" t="str">
        <f>IFERROR(__xludf.DUMMYFUNCTION("""COMPUTED_VALUE"""),"Churches United in Caring")</f>
        <v>Churches United in Caring</v>
      </c>
      <c r="AB209" s="9" t="str">
        <f>IFERROR(__xludf.DUMMYFUNCTION("""COMPUTED_VALUE"""),"Crosby")</f>
        <v>Crosby</v>
      </c>
    </row>
    <row r="210" ht="30.0" customHeight="1">
      <c r="A210" s="17">
        <v>209.0</v>
      </c>
      <c r="B210" s="8" t="str">
        <f>IFERROR(__xludf.DUMMYFUNCTION("""COMPUTED_VALUE"""),"[""77336"", ""77532""]")</f>
        <v>["77336", "77532"]</v>
      </c>
      <c r="C210" s="9" t="str">
        <f>IFERROR(__xludf.DUMMYFUNCTION("""COMPUTED_VALUE"""),"Churches United in Caring")</f>
        <v>Churches United in Caring</v>
      </c>
      <c r="D210" s="9" t="str">
        <f>IFERROR(__xludf.DUMMYFUNCTION("""COMPUTED_VALUE"""),"944 Church Street")</f>
        <v>944 Church Street</v>
      </c>
      <c r="E210" s="9"/>
      <c r="F210" s="9" t="str">
        <f>IFERROR(__xludf.DUMMYFUNCTION("""COMPUTED_VALUE"""),"Crosby")</f>
        <v>Crosby</v>
      </c>
      <c r="G210" s="9" t="str">
        <f>IFERROR(__xludf.DUMMYFUNCTION("""COMPUTED_VALUE"""),"TX")</f>
        <v>TX</v>
      </c>
      <c r="H210" s="9" t="str">
        <f>IFERROR(__xludf.DUMMYFUNCTION("""COMPUTED_VALUE"""),"77532")</f>
        <v>77532</v>
      </c>
      <c r="I210" s="9" t="str">
        <f>IFERROR(__xludf.DUMMYFUNCTION("""COMPUTED_VALUE"""),"281-328-3178")</f>
        <v>281-328-3178</v>
      </c>
      <c r="J210" s="9" t="str">
        <f>IFERROR(__xludf.DUMMYFUNCTION("""COMPUTED_VALUE"""),"29.926582423632976, -95.06191932804607")</f>
        <v>29.926582423632976, -95.06191932804607</v>
      </c>
      <c r="K210" s="9" t="str">
        <f>IFERROR(__xludf.DUMMYFUNCTION("""COMPUTED_VALUE"""),"{""regular"":[{""days"":[""Mo"",""We"",""Fr""],""open"":""10:00"",""close"":""11:30""}]}")</f>
        <v>{"regular":[{"days":["Mo","We","Fr"],"open":"10:00","close":"11:30"}]}</v>
      </c>
      <c r="L210" s="9"/>
      <c r="M210" s="10">
        <f>IFERROR(__xludf.DUMMYFUNCTION("""COMPUTED_VALUE"""),53.0)</f>
        <v>53</v>
      </c>
      <c r="N210" s="10" t="str">
        <f>IFERROR(__xludf.DUMMYFUNCTION("""COMPUTED_VALUE"""),"Transportation")</f>
        <v>Transportation</v>
      </c>
      <c r="O210" s="10">
        <f>IFERROR(__xludf.DUMMYFUNCTION("""COMPUTED_VALUE"""),1.0)</f>
        <v>1</v>
      </c>
      <c r="P210" s="10" t="str">
        <f>IFERROR(__xludf.DUMMYFUNCTION("""COMPUTED_VALUE"""),"ACTIVE")</f>
        <v>ACTIVE</v>
      </c>
      <c r="Q210" s="11">
        <f>IFERROR(__xludf.DUMMYFUNCTION("""COMPUTED_VALUE"""),46071.0)</f>
        <v>46071</v>
      </c>
      <c r="R210" s="9" t="str">
        <f>IFERROR(__xludf.DUMMYFUNCTION("""COMPUTED_VALUE"""),"Verified online")</f>
        <v>Verified online</v>
      </c>
      <c r="S210" s="9" t="str">
        <f>IFERROR(__xludf.DUMMYFUNCTION("""COMPUTED_VALUE"""),"Current photo ID for all adults in household and current mail.
Must have current US driver's license.
$20 every 90 days.")</f>
        <v>Current photo ID for all adults in household and current mail.
Must have current US driver's license.
$20 every 90 days.</v>
      </c>
      <c r="T210" s="12" t="b">
        <f>IFERROR(__xludf.DUMMYFUNCTION("""COMPUTED_VALUE"""),FALSE)</f>
        <v>0</v>
      </c>
      <c r="U210" s="12" t="b">
        <f>IFERROR(__xludf.DUMMYFUNCTION("""COMPUTED_VALUE"""),FALSE)</f>
        <v>0</v>
      </c>
      <c r="V210" s="13" t="str">
        <f>IFERROR(__xludf.DUMMYFUNCTION("""COMPUTED_VALUE"""),"https://www.cuiccrosby.org/assistance")</f>
        <v>https://www.cuiccrosby.org/assistance</v>
      </c>
      <c r="W210" s="14" t="str">
        <f>IFERROR(__xludf.DUMMYFUNCTION("""COMPUTED_VALUE"""),"https://www.google.com/maps/place/Churches+United+In+Caring/@29.905414,-95.0597783,17z/data=!3m1!4b1!4m6!3m5!1s0x863f57ded86645f3:0x848bef5840cb32a8!8m2!3d29.905414!4d-95.057198!16s%2Fg%2F1v_snm1q?entry=ttu&amp;g_ep=EgoyMDI2MDIxNi4wIKXMDSoASAFQAw%3D%3D")</f>
        <v>https://www.google.com/maps/place/Churches+United+In+Caring/@29.905414,-95.0597783,17z/data=!3m1!4b1!4m6!3m5!1s0x863f57ded86645f3:0x848bef5840cb32a8!8m2!3d29.905414!4d-95.057198!16s%2Fg%2F1v_snm1q?entry=ttu&amp;g_ep=EgoyMDI2MDIxNi4wIKXMDSoASAFQAw%3D%3D</v>
      </c>
      <c r="X210" s="10"/>
      <c r="Y210" s="9" t="str">
        <f>IFERROR(__xludf.DUMMYFUNCTION("""COMPUTED_VALUE"""),"Crosby")</f>
        <v>Crosby</v>
      </c>
      <c r="Z210" s="9" t="str">
        <f>IFERROR(__xludf.DUMMYFUNCTION("""COMPUTED_VALUE"""),"Burris, Crosby")</f>
        <v>Burris, Crosby</v>
      </c>
      <c r="AA210" s="9" t="str">
        <f>IFERROR(__xludf.DUMMYFUNCTION("""COMPUTED_VALUE"""),"Churches United in Caring")</f>
        <v>Churches United in Caring</v>
      </c>
      <c r="AB210" s="9" t="str">
        <f>IFERROR(__xludf.DUMMYFUNCTION("""COMPUTED_VALUE"""),"Crosby")</f>
        <v>Crosby</v>
      </c>
    </row>
    <row r="211" ht="30.0" customHeight="1">
      <c r="A211" s="17">
        <v>210.0</v>
      </c>
      <c r="B211" s="8" t="str">
        <f>IFERROR(__xludf.DUMMYFUNCTION("""COMPUTED_VALUE"""),"[""99999""]")</f>
        <v>["99999"]</v>
      </c>
      <c r="C211" s="9" t="str">
        <f>IFERROR(__xludf.DUMMYFUNCTION("""COMPUTED_VALUE"""),"City of Houston W.A.T.E.R. Fund")</f>
        <v>City of Houston W.A.T.E.R. Fund</v>
      </c>
      <c r="D211" s="9" t="str">
        <f>IFERROR(__xludf.DUMMYFUNCTION("""COMPUTED_VALUE"""),"P.O. Box 4683")</f>
        <v>P.O. Box 4683</v>
      </c>
      <c r="E211" s="9"/>
      <c r="F211" s="10" t="str">
        <f>IFERROR(__xludf.DUMMYFUNCTION("""COMPUTED_VALUE"""),"Houston")</f>
        <v>Houston</v>
      </c>
      <c r="G211" s="9" t="str">
        <f>IFERROR(__xludf.DUMMYFUNCTION("""COMPUTED_VALUE"""),"TX")</f>
        <v>TX</v>
      </c>
      <c r="H211" s="9" t="str">
        <f>IFERROR(__xludf.DUMMYFUNCTION("""COMPUTED_VALUE"""),"77210")</f>
        <v>77210</v>
      </c>
      <c r="I211" s="9" t="str">
        <f>IFERROR(__xludf.DUMMYFUNCTION("""COMPUTED_VALUE"""),"346-201-7342")</f>
        <v>346-201-7342</v>
      </c>
      <c r="J211" s="9" t="str">
        <f>IFERROR(__xludf.DUMMYFUNCTION("""COMPUTED_VALUE"""),"29.766960866278023, -95.36753303513419")</f>
        <v>29.766960866278023, -95.36753303513419</v>
      </c>
      <c r="K211" s="9" t="str">
        <f>IFERROR(__xludf.DUMMYFUNCTION("""COMPUTED_VALUE"""),"{""regular"":[{""days"":[""Mo"",""Tu"",""We"",""Th"",""Fr""],""open"":""08:00"",""close"":""17:00""}]}")</f>
        <v>{"regular":[{"days":["Mo","Tu","We","Th","Fr"],"open":"08:00","close":"17:00"}]}</v>
      </c>
      <c r="L211" s="9"/>
      <c r="M211" s="10">
        <f>IFERROR(__xludf.DUMMYFUNCTION("""COMPUTED_VALUE"""),12.0)</f>
        <v>12</v>
      </c>
      <c r="N211" s="10" t="str">
        <f>IFERROR(__xludf.DUMMYFUNCTION("""COMPUTED_VALUE"""),"Utilities")</f>
        <v>Utilities</v>
      </c>
      <c r="O211" s="10">
        <f>IFERROR(__xludf.DUMMYFUNCTION("""COMPUTED_VALUE"""),2.0)</f>
        <v>2</v>
      </c>
      <c r="P211" s="10" t="str">
        <f>IFERROR(__xludf.DUMMYFUNCTION("""COMPUTED_VALUE"""),"LIMITED")</f>
        <v>LIMITED</v>
      </c>
      <c r="Q211" s="11"/>
      <c r="R211" s="9" t="str">
        <f>IFERROR(__xludf.DUMMYFUNCTION("""COMPUTED_VALUE"""),"Primarily for senior citizens. Limited funding for disabled and low income.")</f>
        <v>Primarily for senior citizens. Limited funding for disabled and low income.</v>
      </c>
      <c r="S211" s="9" t="str">
        <f>IFERROR(__xludf.DUMMYFUNCTION("""COMPUTED_VALUE"""),"Fill out online form.
Water bills only.
$100 every six months but may bank any leftover balance to the following six month period.
Must meet Federal Poverty Guidelines for at least three months.")</f>
        <v>Fill out online form.
Water bills only.
$100 every six months but may bank any leftover balance to the following six month period.
Must meet Federal Poverty Guidelines for at least three months.</v>
      </c>
      <c r="T211" s="12" t="b">
        <f>IFERROR(__xludf.DUMMYFUNCTION("""COMPUTED_VALUE"""),FALSE)</f>
        <v>0</v>
      </c>
      <c r="U211" s="12" t="b">
        <f>IFERROR(__xludf.DUMMYFUNCTION("""COMPUTED_VALUE"""),FALSE)</f>
        <v>0</v>
      </c>
      <c r="V211" s="13" t="str">
        <f>IFERROR(__xludf.DUMMYFUNCTION("""COMPUTED_VALUE"""),"https://houstonwater20.helpdocsonline.com/w-a-t-e-r-fund")</f>
        <v>https://houstonwater20.helpdocsonline.com/w-a-t-e-r-fund</v>
      </c>
      <c r="W211" s="14" t="str">
        <f>IFERROR(__xludf.DUMMYFUNCTION("""COMPUTED_VALUE"""),"https://maps.google.com/?q=City%20of%20Houston%20W.A.T.E.R.%20Fund%20%20%20TX%20")</f>
        <v>https://maps.google.com/?q=City%20of%20Houston%20W.A.T.E.R.%20Fund%20%20%20TX%20</v>
      </c>
      <c r="X211" s="10"/>
      <c r="Y211" s="9" t="str">
        <f>IFERROR(__xludf.DUMMYFUNCTION("""COMPUTED_VALUE"""),"Houston")</f>
        <v>Houston</v>
      </c>
      <c r="Z211" s="9" t="str">
        <f>IFERROR(__xludf.DUMMYFUNCTION("""COMPUTED_VALUE"""),"P.O. Boxes")</f>
        <v>P.O. Boxes</v>
      </c>
      <c r="AA211" s="9" t="str">
        <f>IFERROR(__xludf.DUMMYFUNCTION("""COMPUTED_VALUE"""),"City of Houston")</f>
        <v>City of Houston</v>
      </c>
      <c r="AB211" s="9" t="str">
        <f>IFERROR(__xludf.DUMMYFUNCTION("""COMPUTED_VALUE"""),"Washington Avenue Coalition / Memorial Park")</f>
        <v>Washington Avenue Coalition / Memorial Park</v>
      </c>
    </row>
    <row r="212" ht="30.0" customHeight="1">
      <c r="A212" s="17">
        <v>211.0</v>
      </c>
      <c r="B212" s="8" t="str">
        <f>IFERROR(__xludf.DUMMYFUNCTION("""COMPUTED_VALUE"""),"[""99999""]")</f>
        <v>["99999"]</v>
      </c>
      <c r="C212" s="9" t="str">
        <f>IFERROR(__xludf.DUMMYFUNCTION("""COMPUTED_VALUE"""),"City Wide Club")</f>
        <v>City Wide Club</v>
      </c>
      <c r="D212" s="9" t="str">
        <f>IFERROR(__xludf.DUMMYFUNCTION("""COMPUTED_VALUE"""),"4900 Fournace Place")</f>
        <v>4900 Fournace Place</v>
      </c>
      <c r="E212" s="9"/>
      <c r="F212" s="10" t="str">
        <f>IFERROR(__xludf.DUMMYFUNCTION("""COMPUTED_VALUE"""),"Houston")</f>
        <v>Houston</v>
      </c>
      <c r="G212" s="9" t="str">
        <f>IFERROR(__xludf.DUMMYFUNCTION("""COMPUTED_VALUE"""),"TX")</f>
        <v>TX</v>
      </c>
      <c r="H212" s="9" t="str">
        <f>IFERROR(__xludf.DUMMYFUNCTION("""COMPUTED_VALUE"""),"77401")</f>
        <v>77401</v>
      </c>
      <c r="I212" s="9" t="str">
        <f>IFERROR(__xludf.DUMMYFUNCTION("""COMPUTED_VALUE"""),"713-752-2582")</f>
        <v>713-752-2582</v>
      </c>
      <c r="J212" s="9" t="str">
        <f>IFERROR(__xludf.DUMMYFUNCTION("""COMPUTED_VALUE"""),"29.717046509550407, -95.46430339879568")</f>
        <v>29.717046509550407, -95.46430339879568</v>
      </c>
      <c r="K212" s="9" t="str">
        <f>IFERROR(__xludf.DUMMYFUNCTION("""COMPUTED_VALUE"""),"{""regular"":[{""days"":[""Mo"",""Tu"",""We"",""Th""],""open"":""09:30"",""close"":""17:00""}]}")</f>
        <v>{"regular":[{"days":["Mo","Tu","We","Th"],"open":"09:30","close":"17:00"}]}</v>
      </c>
      <c r="L212" s="9"/>
      <c r="M212" s="10">
        <f>IFERROR(__xludf.DUMMYFUNCTION("""COMPUTED_VALUE"""),11.0)</f>
        <v>11</v>
      </c>
      <c r="N212" s="10" t="str">
        <f>IFERROR(__xludf.DUMMYFUNCTION("""COMPUTED_VALUE"""),"Rent")</f>
        <v>Rent</v>
      </c>
      <c r="O212" s="10">
        <f>IFERROR(__xludf.DUMMYFUNCTION("""COMPUTED_VALUE"""),3.0)</f>
        <v>3</v>
      </c>
      <c r="P212" s="10" t="str">
        <f>IFERROR(__xludf.DUMMYFUNCTION("""COMPUTED_VALUE"""),"INACTIVE")</f>
        <v>INACTIVE</v>
      </c>
      <c r="Q212" s="11">
        <f>IFERROR(__xludf.DUMMYFUNCTION("""COMPUTED_VALUE"""),46078.0)</f>
        <v>46078</v>
      </c>
      <c r="R212" s="9"/>
      <c r="S212" s="9" t="str">
        <f>IFERROR(__xludf.DUMMYFUNCTION("""COMPUTED_VALUE"""),"Their website is up and lists a whole host of services but not how to access these them.  ")</f>
        <v>Their website is up and lists a whole host of services but not how to access these them.  </v>
      </c>
      <c r="T212" s="12" t="b">
        <f>IFERROR(__xludf.DUMMYFUNCTION("""COMPUTED_VALUE"""),FALSE)</f>
        <v>0</v>
      </c>
      <c r="U212" s="12" t="b">
        <f>IFERROR(__xludf.DUMMYFUNCTION("""COMPUTED_VALUE"""),FALSE)</f>
        <v>0</v>
      </c>
      <c r="V212" s="13" t="str">
        <f>IFERROR(__xludf.DUMMYFUNCTION("""COMPUTED_VALUE"""),"https://citywideclub.com/youth-services/#Food-Pantry-Program")</f>
        <v>https://citywideclub.com/youth-services/#Food-Pantry-Program</v>
      </c>
      <c r="W212" s="14" t="str">
        <f>IFERROR(__xludf.DUMMYFUNCTION("""COMPUTED_VALUE"""),"https://www.google.com/maps/place/City+Wide+Club+of+Clubs/@29.7168602,-95.4669374,17z/data=!4m6!3m5!1s0x8640bf02816b5c8f:0x924fead667dfbce9!8m2!3d29.7168602!4d-95.4643571!16s%2Fg%2F1xn_ns15?entry=ttu&amp;g_ep=EgoyMDI2MDIyNC4wIKXMDSoASAFQAw%3D%3D")</f>
        <v>https://www.google.com/maps/place/City+Wide+Club+of+Clubs/@29.7168602,-95.4669374,17z/data=!4m6!3m5!1s0x8640bf02816b5c8f:0x924fead667dfbce9!8m2!3d29.7168602!4d-95.4643571!16s%2Fg%2F1xn_ns15?entry=ttu&amp;g_ep=EgoyMDI2MDIyNC4wIKXMDSoASAFQAw%3D%3D</v>
      </c>
      <c r="X212" s="10"/>
      <c r="Y212" s="9" t="str">
        <f>IFERROR(__xludf.DUMMYFUNCTION("""COMPUTED_VALUE"""),"Bellaire")</f>
        <v>Bellaire</v>
      </c>
      <c r="Z212" s="9" t="str">
        <f>IFERROR(__xludf.DUMMYFUNCTION("""COMPUTED_VALUE"""),"Bellaire")</f>
        <v>Bellaire</v>
      </c>
      <c r="AA212" s="9" t="str">
        <f>IFERROR(__xludf.DUMMYFUNCTION("""COMPUTED_VALUE"""),"City Wide Club")</f>
        <v>City Wide Club</v>
      </c>
      <c r="AB212" s="9" t="str">
        <f>IFERROR(__xludf.DUMMYFUNCTION("""COMPUTED_VALUE"""),"Bellaire")</f>
        <v>Bellaire</v>
      </c>
    </row>
    <row r="213" ht="30.0" customHeight="1">
      <c r="A213" s="17">
        <v>212.0</v>
      </c>
      <c r="B213" s="8" t="str">
        <f>IFERROR(__xludf.DUMMYFUNCTION("""COMPUTED_VALUE"""),"[""99999""]")</f>
        <v>["99999"]</v>
      </c>
      <c r="C213" s="9" t="str">
        <f>IFERROR(__xludf.DUMMYFUNCTION("""COMPUTED_VALUE"""),"City Wide Club")</f>
        <v>City Wide Club</v>
      </c>
      <c r="D213" s="9" t="str">
        <f>IFERROR(__xludf.DUMMYFUNCTION("""COMPUTED_VALUE"""),"4900 Fournace Place")</f>
        <v>4900 Fournace Place</v>
      </c>
      <c r="E213" s="9"/>
      <c r="F213" s="10" t="str">
        <f>IFERROR(__xludf.DUMMYFUNCTION("""COMPUTED_VALUE"""),"Houston")</f>
        <v>Houston</v>
      </c>
      <c r="G213" s="9" t="str">
        <f>IFERROR(__xludf.DUMMYFUNCTION("""COMPUTED_VALUE"""),"TX")</f>
        <v>TX</v>
      </c>
      <c r="H213" s="9" t="str">
        <f>IFERROR(__xludf.DUMMYFUNCTION("""COMPUTED_VALUE"""),"77401")</f>
        <v>77401</v>
      </c>
      <c r="I213" s="9" t="str">
        <f>IFERROR(__xludf.DUMMYFUNCTION("""COMPUTED_VALUE"""),"713-752-2582")</f>
        <v>713-752-2582</v>
      </c>
      <c r="J213" s="9" t="str">
        <f>IFERROR(__xludf.DUMMYFUNCTION("""COMPUTED_VALUE"""),"29.717046509550407, -95.46430339879568")</f>
        <v>29.717046509550407, -95.46430339879568</v>
      </c>
      <c r="K213" s="9" t="str">
        <f>IFERROR(__xludf.DUMMYFUNCTION("""COMPUTED_VALUE"""),"{""regular"":[{""days"":[""Mo"",""Tu"",""We"",""Th""],""open"":""09:30"",""close"":""17:00""}]}")</f>
        <v>{"regular":[{"days":["Mo","Tu","We","Th"],"open":"09:30","close":"17:00"}]}</v>
      </c>
      <c r="L213" s="9"/>
      <c r="M213" s="10">
        <f>IFERROR(__xludf.DUMMYFUNCTION("""COMPUTED_VALUE"""),12.0)</f>
        <v>12</v>
      </c>
      <c r="N213" s="10" t="str">
        <f>IFERROR(__xludf.DUMMYFUNCTION("""COMPUTED_VALUE"""),"Utilities")</f>
        <v>Utilities</v>
      </c>
      <c r="O213" s="10">
        <f>IFERROR(__xludf.DUMMYFUNCTION("""COMPUTED_VALUE"""),3.0)</f>
        <v>3</v>
      </c>
      <c r="P213" s="10" t="str">
        <f>IFERROR(__xludf.DUMMYFUNCTION("""COMPUTED_VALUE"""),"INACTIVE")</f>
        <v>INACTIVE</v>
      </c>
      <c r="Q213" s="11">
        <f>IFERROR(__xludf.DUMMYFUNCTION("""COMPUTED_VALUE"""),46078.0)</f>
        <v>46078</v>
      </c>
      <c r="R213" s="9"/>
      <c r="S213" s="9" t="str">
        <f>IFERROR(__xludf.DUMMYFUNCTION("""COMPUTED_VALUE"""),"Call, no walk-ins.
Must be able to verify household income.
Copy of utility bill.")</f>
        <v>Call, no walk-ins.
Must be able to verify household income.
Copy of utility bill.</v>
      </c>
      <c r="T213" s="12" t="b">
        <f>IFERROR(__xludf.DUMMYFUNCTION("""COMPUTED_VALUE"""),FALSE)</f>
        <v>0</v>
      </c>
      <c r="U213" s="12" t="b">
        <f>IFERROR(__xludf.DUMMYFUNCTION("""COMPUTED_VALUE"""),FALSE)</f>
        <v>0</v>
      </c>
      <c r="V213" s="13" t="str">
        <f>IFERROR(__xludf.DUMMYFUNCTION("""COMPUTED_VALUE"""),"https://citywideclub.com/youth-services/#Food-Pantry-Program")</f>
        <v>https://citywideclub.com/youth-services/#Food-Pantry-Program</v>
      </c>
      <c r="W213" s="14" t="str">
        <f>IFERROR(__xludf.DUMMYFUNCTION("""COMPUTED_VALUE"""),"https://www.google.com/maps/place/City+Wide+Club+of+Clubs/@29.7168602,-95.4669374,17z/data=!4m6!3m5!1s0x8640bf02816b5c8f:0x924fead667dfbce9!8m2!3d29.7168602!4d-95.4643571!16s%2Fg%2F1xn_ns15?entry=ttu&amp;g_ep=EgoyMDI2MDIyNC4wIKXMDSoASAFQAw%3D%3D")</f>
        <v>https://www.google.com/maps/place/City+Wide+Club+of+Clubs/@29.7168602,-95.4669374,17z/data=!4m6!3m5!1s0x8640bf02816b5c8f:0x924fead667dfbce9!8m2!3d29.7168602!4d-95.4643571!16s%2Fg%2F1xn_ns15?entry=ttu&amp;g_ep=EgoyMDI2MDIyNC4wIKXMDSoASAFQAw%3D%3D</v>
      </c>
      <c r="X213" s="10"/>
      <c r="Y213" s="9" t="str">
        <f>IFERROR(__xludf.DUMMYFUNCTION("""COMPUTED_VALUE"""),"Bellaire")</f>
        <v>Bellaire</v>
      </c>
      <c r="Z213" s="9" t="str">
        <f>IFERROR(__xludf.DUMMYFUNCTION("""COMPUTED_VALUE"""),"Bellaire")</f>
        <v>Bellaire</v>
      </c>
      <c r="AA213" s="9" t="str">
        <f>IFERROR(__xludf.DUMMYFUNCTION("""COMPUTED_VALUE"""),"City Wide Club")</f>
        <v>City Wide Club</v>
      </c>
      <c r="AB213" s="9" t="str">
        <f>IFERROR(__xludf.DUMMYFUNCTION("""COMPUTED_VALUE"""),"Bellaire")</f>
        <v>Bellaire</v>
      </c>
    </row>
    <row r="214" ht="30.0" customHeight="1">
      <c r="A214" s="17">
        <v>213.0</v>
      </c>
      <c r="B214" s="8" t="str">
        <f>IFERROR(__xludf.DUMMYFUNCTION("""COMPUTED_VALUE"""),"[""99999""]")</f>
        <v>["99999"]</v>
      </c>
      <c r="C214" s="9" t="str">
        <f>IFERROR(__xludf.DUMMYFUNCTION("""COMPUTED_VALUE"""),"City Wide Club")</f>
        <v>City Wide Club</v>
      </c>
      <c r="D214" s="9" t="str">
        <f>IFERROR(__xludf.DUMMYFUNCTION("""COMPUTED_VALUE"""),"4900 Fournace Place")</f>
        <v>4900 Fournace Place</v>
      </c>
      <c r="E214" s="9"/>
      <c r="F214" s="10" t="str">
        <f>IFERROR(__xludf.DUMMYFUNCTION("""COMPUTED_VALUE"""),"Houston")</f>
        <v>Houston</v>
      </c>
      <c r="G214" s="9" t="str">
        <f>IFERROR(__xludf.DUMMYFUNCTION("""COMPUTED_VALUE"""),"TX")</f>
        <v>TX</v>
      </c>
      <c r="H214" s="9" t="str">
        <f>IFERROR(__xludf.DUMMYFUNCTION("""COMPUTED_VALUE"""),"77401")</f>
        <v>77401</v>
      </c>
      <c r="I214" s="9" t="str">
        <f>IFERROR(__xludf.DUMMYFUNCTION("""COMPUTED_VALUE"""),"713-752-2582")</f>
        <v>713-752-2582</v>
      </c>
      <c r="J214" s="9" t="str">
        <f>IFERROR(__xludf.DUMMYFUNCTION("""COMPUTED_VALUE"""),"29.717046509550407, -95.46430339879568")</f>
        <v>29.717046509550407, -95.46430339879568</v>
      </c>
      <c r="K214" s="9" t="str">
        <f>IFERROR(__xludf.DUMMYFUNCTION("""COMPUTED_VALUE"""),"{""regular"":[{""days"":[""Mo"",""Tu"",""We"",""Th""],""open"":""09:30"",""close"":""17:00""}]}")</f>
        <v>{"regular":[{"days":["Mo","Tu","We","Th"],"open":"09:30","close":"17:00"}]}</v>
      </c>
      <c r="L214" s="9"/>
      <c r="M214" s="10">
        <f>IFERROR(__xludf.DUMMYFUNCTION("""COMPUTED_VALUE"""),53.0)</f>
        <v>53</v>
      </c>
      <c r="N214" s="10" t="str">
        <f>IFERROR(__xludf.DUMMYFUNCTION("""COMPUTED_VALUE"""),"Transportation")</f>
        <v>Transportation</v>
      </c>
      <c r="O214" s="10">
        <f>IFERROR(__xludf.DUMMYFUNCTION("""COMPUTED_VALUE"""),3.0)</f>
        <v>3</v>
      </c>
      <c r="P214" s="10" t="str">
        <f>IFERROR(__xludf.DUMMYFUNCTION("""COMPUTED_VALUE"""),"INACTIVE")</f>
        <v>INACTIVE</v>
      </c>
      <c r="Q214" s="11">
        <f>IFERROR(__xludf.DUMMYFUNCTION("""COMPUTED_VALUE"""),46078.0)</f>
        <v>46078</v>
      </c>
      <c r="R214" s="9"/>
      <c r="S214" s="9" t="str">
        <f>IFERROR(__xludf.DUMMYFUNCTION("""COMPUTED_VALUE"""),"Call, no walk-ins.
Bus tokens and transportation vouchers for doctor's appointments and job interviews.")</f>
        <v>Call, no walk-ins.
Bus tokens and transportation vouchers for doctor's appointments and job interviews.</v>
      </c>
      <c r="T214" s="12" t="b">
        <f>IFERROR(__xludf.DUMMYFUNCTION("""COMPUTED_VALUE"""),FALSE)</f>
        <v>0</v>
      </c>
      <c r="U214" s="12" t="b">
        <f>IFERROR(__xludf.DUMMYFUNCTION("""COMPUTED_VALUE"""),FALSE)</f>
        <v>0</v>
      </c>
      <c r="V214" s="13" t="str">
        <f>IFERROR(__xludf.DUMMYFUNCTION("""COMPUTED_VALUE"""),"https://citywideclub.com/youth-services/#Food-Pantry-Program")</f>
        <v>https://citywideclub.com/youth-services/#Food-Pantry-Program</v>
      </c>
      <c r="W214" s="14" t="str">
        <f>IFERROR(__xludf.DUMMYFUNCTION("""COMPUTED_VALUE"""),"https://www.google.com/maps/place/City+Wide+Club+of+Clubs/@29.7168602,-95.4669374,17z/data=!4m6!3m5!1s0x8640bf02816b5c8f:0x924fead667dfbce9!8m2!3d29.7168602!4d-95.4643571!16s%2Fg%2F1xn_ns15?entry=ttu&amp;g_ep=EgoyMDI2MDIyNC4wIKXMDSoASAFQAw%3D%3D")</f>
        <v>https://www.google.com/maps/place/City+Wide+Club+of+Clubs/@29.7168602,-95.4669374,17z/data=!4m6!3m5!1s0x8640bf02816b5c8f:0x924fead667dfbce9!8m2!3d29.7168602!4d-95.4643571!16s%2Fg%2F1xn_ns15?entry=ttu&amp;g_ep=EgoyMDI2MDIyNC4wIKXMDSoASAFQAw%3D%3D</v>
      </c>
      <c r="X214" s="10"/>
      <c r="Y214" s="9" t="str">
        <f>IFERROR(__xludf.DUMMYFUNCTION("""COMPUTED_VALUE"""),"Bellaire")</f>
        <v>Bellaire</v>
      </c>
      <c r="Z214" s="9" t="str">
        <f>IFERROR(__xludf.DUMMYFUNCTION("""COMPUTED_VALUE"""),"Bellaire")</f>
        <v>Bellaire</v>
      </c>
      <c r="AA214" s="9" t="str">
        <f>IFERROR(__xludf.DUMMYFUNCTION("""COMPUTED_VALUE"""),"City Wide Club")</f>
        <v>City Wide Club</v>
      </c>
      <c r="AB214" s="9" t="str">
        <f>IFERROR(__xludf.DUMMYFUNCTION("""COMPUTED_VALUE"""),"Bellaire")</f>
        <v>Bellaire</v>
      </c>
    </row>
    <row r="215" ht="30.0" customHeight="1">
      <c r="A215" s="17">
        <v>214.0</v>
      </c>
      <c r="B215" s="8" t="str">
        <f>IFERROR(__xludf.DUMMYFUNCTION("""COMPUTED_VALUE"""),"[""99999""]")</f>
        <v>["99999"]</v>
      </c>
      <c r="C215" s="9" t="str">
        <f>IFERROR(__xludf.DUMMYFUNCTION("""COMPUTED_VALUE"""),"City Wide Club")</f>
        <v>City Wide Club</v>
      </c>
      <c r="D215" s="9" t="str">
        <f>IFERROR(__xludf.DUMMYFUNCTION("""COMPUTED_VALUE"""),"4900 Fournace Place")</f>
        <v>4900 Fournace Place</v>
      </c>
      <c r="E215" s="9"/>
      <c r="F215" s="10" t="str">
        <f>IFERROR(__xludf.DUMMYFUNCTION("""COMPUTED_VALUE"""),"Houston")</f>
        <v>Houston</v>
      </c>
      <c r="G215" s="9" t="str">
        <f>IFERROR(__xludf.DUMMYFUNCTION("""COMPUTED_VALUE"""),"TX")</f>
        <v>TX</v>
      </c>
      <c r="H215" s="9" t="str">
        <f>IFERROR(__xludf.DUMMYFUNCTION("""COMPUTED_VALUE"""),"77401")</f>
        <v>77401</v>
      </c>
      <c r="I215" s="9" t="str">
        <f>IFERROR(__xludf.DUMMYFUNCTION("""COMPUTED_VALUE"""),"713-752-2582")</f>
        <v>713-752-2582</v>
      </c>
      <c r="J215" s="9" t="str">
        <f>IFERROR(__xludf.DUMMYFUNCTION("""COMPUTED_VALUE"""),"29.717046509550407, -95.46430339879568")</f>
        <v>29.717046509550407, -95.46430339879568</v>
      </c>
      <c r="K215" s="9" t="str">
        <f>IFERROR(__xludf.DUMMYFUNCTION("""COMPUTED_VALUE"""),"{""regular"":[{""days"":[""Mo"",""Tu"",""We"",""Th""],""open"":""09:30"",""close"":""17:00""}]}")</f>
        <v>{"regular":[{"days":["Mo","Tu","We","Th"],"open":"09:30","close":"17:00"}]}</v>
      </c>
      <c r="L215" s="9"/>
      <c r="M215" s="10">
        <f>IFERROR(__xludf.DUMMYFUNCTION("""COMPUTED_VALUE"""),64.0)</f>
        <v>64</v>
      </c>
      <c r="N215" s="10" t="str">
        <f>IFERROR(__xludf.DUMMYFUNCTION("""COMPUTED_VALUE"""),"Christmas")</f>
        <v>Christmas</v>
      </c>
      <c r="O215" s="10">
        <f>IFERROR(__xludf.DUMMYFUNCTION("""COMPUTED_VALUE"""),3.0)</f>
        <v>3</v>
      </c>
      <c r="P215" s="10" t="str">
        <f>IFERROR(__xludf.DUMMYFUNCTION("""COMPUTED_VALUE"""),"INACTIVE")</f>
        <v>INACTIVE</v>
      </c>
      <c r="Q215" s="11">
        <f>IFERROR(__xludf.DUMMYFUNCTION("""COMPUTED_VALUE"""),46078.0)</f>
        <v>46078</v>
      </c>
      <c r="R215" s="9"/>
      <c r="S215" s="9" t="str">
        <f>IFERROR(__xludf.DUMMYFUNCTION("""COMPUTED_VALUE"""),"Toys, food, clothing, shoes and blankets
Thanksgiving and Christmas Eve Super Feast @ George R Brown.")</f>
        <v>Toys, food, clothing, shoes and blankets
Thanksgiving and Christmas Eve Super Feast @ George R Brown.</v>
      </c>
      <c r="T215" s="12" t="b">
        <f>IFERROR(__xludf.DUMMYFUNCTION("""COMPUTED_VALUE"""),FALSE)</f>
        <v>0</v>
      </c>
      <c r="U215" s="12" t="b">
        <f>IFERROR(__xludf.DUMMYFUNCTION("""COMPUTED_VALUE"""),FALSE)</f>
        <v>0</v>
      </c>
      <c r="V215" s="13" t="str">
        <f>IFERROR(__xludf.DUMMYFUNCTION("""COMPUTED_VALUE"""),"https://citywideclub.com/youth-services/#Food-Pantry-Program")</f>
        <v>https://citywideclub.com/youth-services/#Food-Pantry-Program</v>
      </c>
      <c r="W215" s="14" t="str">
        <f>IFERROR(__xludf.DUMMYFUNCTION("""COMPUTED_VALUE"""),"https://www.google.com/maps/place/City+Wide+Club+of+Clubs/@29.7168602,-95.4669374,17z/data=!4m6!3m5!1s0x8640bf02816b5c8f:0x924fead667dfbce9!8m2!3d29.7168602!4d-95.4643571!16s%2Fg%2F1xn_ns15?entry=ttu&amp;g_ep=EgoyMDI2MDIyNC4wIKXMDSoASAFQAw%3D%3D")</f>
        <v>https://www.google.com/maps/place/City+Wide+Club+of+Clubs/@29.7168602,-95.4669374,17z/data=!4m6!3m5!1s0x8640bf02816b5c8f:0x924fead667dfbce9!8m2!3d29.7168602!4d-95.4643571!16s%2Fg%2F1xn_ns15?entry=ttu&amp;g_ep=EgoyMDI2MDIyNC4wIKXMDSoASAFQAw%3D%3D</v>
      </c>
      <c r="X215" s="10"/>
      <c r="Y215" s="9" t="str">
        <f>IFERROR(__xludf.DUMMYFUNCTION("""COMPUTED_VALUE"""),"Bellaire")</f>
        <v>Bellaire</v>
      </c>
      <c r="Z215" s="9" t="str">
        <f>IFERROR(__xludf.DUMMYFUNCTION("""COMPUTED_VALUE"""),"Bellaire")</f>
        <v>Bellaire</v>
      </c>
      <c r="AA215" s="9" t="str">
        <f>IFERROR(__xludf.DUMMYFUNCTION("""COMPUTED_VALUE"""),"City Wide Club")</f>
        <v>City Wide Club</v>
      </c>
      <c r="AB215" s="9" t="str">
        <f>IFERROR(__xludf.DUMMYFUNCTION("""COMPUTED_VALUE"""),"Bellaire")</f>
        <v>Bellaire</v>
      </c>
    </row>
    <row r="216" ht="30.0" customHeight="1">
      <c r="A216" s="17">
        <v>215.0</v>
      </c>
      <c r="B216" s="8" t="str">
        <f>IFERROR(__xludf.DUMMYFUNCTION("""COMPUTED_VALUE"""),"[""99999""]")</f>
        <v>["99999"]</v>
      </c>
      <c r="C216" s="9" t="str">
        <f>IFERROR(__xludf.DUMMYFUNCTION("""COMPUTED_VALUE"""),"Coastal Health &amp; Wellness - Galveston")</f>
        <v>Coastal Health &amp; Wellness - Galveston</v>
      </c>
      <c r="D216" s="9" t="str">
        <f>IFERROR(__xludf.DUMMYFUNCTION("""COMPUTED_VALUE"""),"4700 Broadway F100")</f>
        <v>4700 Broadway F100</v>
      </c>
      <c r="E216" s="9"/>
      <c r="F216" s="9" t="str">
        <f>IFERROR(__xludf.DUMMYFUNCTION("""COMPUTED_VALUE"""),"Galveston")</f>
        <v>Galveston</v>
      </c>
      <c r="G216" s="9" t="str">
        <f>IFERROR(__xludf.DUMMYFUNCTION("""COMPUTED_VALUE"""),"TX")</f>
        <v>TX</v>
      </c>
      <c r="H216" s="9" t="str">
        <f>IFERROR(__xludf.DUMMYFUNCTION("""COMPUTED_VALUE"""),"77551")</f>
        <v>77551</v>
      </c>
      <c r="I216" s="9" t="str">
        <f>IFERROR(__xludf.DUMMYFUNCTION("""COMPUTED_VALUE"""),"409-938-2234")</f>
        <v>409-938-2234</v>
      </c>
      <c r="J216" s="9" t="str">
        <f>IFERROR(__xludf.DUMMYFUNCTION("""COMPUTED_VALUE"""),"29.294208860662994, -94.81975012470265")</f>
        <v>29.294208860662994, -94.81975012470265</v>
      </c>
      <c r="K216" s="9" t="str">
        <f>IFERROR(__xludf.DUMMYFUNCTION("""COMPUTED_VALUE"""),"{""regular"":[{""days"":[""Mo"",""Tu"",""We"",""Th"",""Fr""],""open"":""08:00"",""close"":""17:00""}]}")</f>
        <v>{"regular":[{"days":["Mo","Tu","We","Th","Fr"],"open":"08:00","close":"17:00"}]}</v>
      </c>
      <c r="L216" s="9"/>
      <c r="M216" s="10">
        <f>IFERROR(__xludf.DUMMYFUNCTION("""COMPUTED_VALUE"""),31.0)</f>
        <v>31</v>
      </c>
      <c r="N216" s="10" t="str">
        <f>IFERROR(__xludf.DUMMYFUNCTION("""COMPUTED_VALUE"""),"Medical - Primary Care")</f>
        <v>Medical - Primary Care</v>
      </c>
      <c r="O216" s="10">
        <f>IFERROR(__xludf.DUMMYFUNCTION("""COMPUTED_VALUE"""),1.0)</f>
        <v>1</v>
      </c>
      <c r="P216" s="10" t="str">
        <f>IFERROR(__xludf.DUMMYFUNCTION("""COMPUTED_VALUE"""),"ACTIVE")</f>
        <v>ACTIVE</v>
      </c>
      <c r="Q216" s="11">
        <f>IFERROR(__xludf.DUMMYFUNCTION("""COMPUTED_VALUE"""),46049.0)</f>
        <v>46049</v>
      </c>
      <c r="R216" s="9" t="str">
        <f>IFERROR(__xludf.DUMMYFUNCTION("""COMPUTED_VALUE"""),"Verified online")</f>
        <v>Verified online</v>
      </c>
      <c r="S216" s="9" t="str">
        <f>IFERROR(__xludf.DUMMYFUNCTION("""COMPUTED_VALUE"""),"Primary and dental care, women's health, prenatal, pediatric, chiropractic, rapid start PrEP, mental health, substance abuse, laboratory and x-ray and enabling support.
Financial screening to determine eligibility for discounted health services.")</f>
        <v>Primary and dental care, women's health, prenatal, pediatric, chiropractic, rapid start PrEP, mental health, substance abuse, laboratory and x-ray and enabling support.
Financial screening to determine eligibility for discounted health services.</v>
      </c>
      <c r="T216" s="12" t="b">
        <f>IFERROR(__xludf.DUMMYFUNCTION("""COMPUTED_VALUE"""),FALSE)</f>
        <v>0</v>
      </c>
      <c r="U216" s="12" t="b">
        <f>IFERROR(__xludf.DUMMYFUNCTION("""COMPUTED_VALUE"""),FALSE)</f>
        <v>0</v>
      </c>
      <c r="V216" s="13" t="str">
        <f>IFERROR(__xludf.DUMMYFUNCTION("""COMPUTED_VALUE"""),"https://www.coastalhw.org/home-coastal")</f>
        <v>https://www.coastalhw.org/home-coastal</v>
      </c>
      <c r="W216" s="14" t="str">
        <f>IFERROR(__xludf.DUMMYFUNCTION("""COMPUTED_VALUE"""),"https://www.google.com/maps/place/Coastal+Health+%26+Wellness/@29.4041156,-95.0199676,16z/data=!3m1!4b1!4m6!3m5!1s0x863f7e883bff77e1:0xe601144a368f23d8!8m2!3d29.4041156!4d-95.0173873!16s%2Fg%2F11c1tzn5bs?entry=ttu&amp;g_ep=EgoyMDI1MDUwNy4wIKXMDSoASAFQAw%3D%3D")</f>
        <v>https://www.google.com/maps/place/Coastal+Health+%26+Wellness/@29.4041156,-95.0199676,16z/data=!3m1!4b1!4m6!3m5!1s0x863f7e883bff77e1:0xe601144a368f23d8!8m2!3d29.4041156!4d-95.0173873!16s%2Fg%2F11c1tzn5bs?entry=ttu&amp;g_ep=EgoyMDI1MDUwNy4wIKXMDSoASAFQAw%3D%3D</v>
      </c>
      <c r="X216" s="10"/>
      <c r="Y216" s="9" t="str">
        <f>IFERROR(__xludf.DUMMYFUNCTION("""COMPUTED_VALUE"""),"Galveston")</f>
        <v>Galveston</v>
      </c>
      <c r="Z216" s="9" t="str">
        <f>IFERROR(__xludf.DUMMYFUNCTION("""COMPUTED_VALUE"""),"Galveston")</f>
        <v>Galveston</v>
      </c>
      <c r="AA216" s="9" t="str">
        <f>IFERROR(__xludf.DUMMYFUNCTION("""COMPUTED_VALUE"""),"Coastal Health &amp; Wellness")</f>
        <v>Coastal Health &amp; Wellness</v>
      </c>
      <c r="AB216" s="9" t="str">
        <f>IFERROR(__xludf.DUMMYFUNCTION("""COMPUTED_VALUE"""),"Galveston")</f>
        <v>Galveston</v>
      </c>
    </row>
    <row r="217" ht="30.0" customHeight="1">
      <c r="A217" s="17">
        <v>216.0</v>
      </c>
      <c r="B217" s="8" t="str">
        <f>IFERROR(__xludf.DUMMYFUNCTION("""COMPUTED_VALUE"""),"[""99999""]")</f>
        <v>["99999"]</v>
      </c>
      <c r="C217" s="9" t="str">
        <f>IFERROR(__xludf.DUMMYFUNCTION("""COMPUTED_VALUE"""),"Coastal Health &amp; Wellness - Galveston")</f>
        <v>Coastal Health &amp; Wellness - Galveston</v>
      </c>
      <c r="D217" s="9" t="str">
        <f>IFERROR(__xludf.DUMMYFUNCTION("""COMPUTED_VALUE"""),"4700 Broadway F100")</f>
        <v>4700 Broadway F100</v>
      </c>
      <c r="E217" s="9"/>
      <c r="F217" s="9" t="str">
        <f>IFERROR(__xludf.DUMMYFUNCTION("""COMPUTED_VALUE"""),"Galveston")</f>
        <v>Galveston</v>
      </c>
      <c r="G217" s="9" t="str">
        <f>IFERROR(__xludf.DUMMYFUNCTION("""COMPUTED_VALUE"""),"TX")</f>
        <v>TX</v>
      </c>
      <c r="H217" s="9" t="str">
        <f>IFERROR(__xludf.DUMMYFUNCTION("""COMPUTED_VALUE"""),"77551")</f>
        <v>77551</v>
      </c>
      <c r="I217" s="9" t="str">
        <f>IFERROR(__xludf.DUMMYFUNCTION("""COMPUTED_VALUE"""),"409-938-2234")</f>
        <v>409-938-2234</v>
      </c>
      <c r="J217" s="9" t="str">
        <f>IFERROR(__xludf.DUMMYFUNCTION("""COMPUTED_VALUE"""),"29.294208860662994, -94.81975012470265")</f>
        <v>29.294208860662994, -94.81975012470265</v>
      </c>
      <c r="K217" s="9" t="str">
        <f>IFERROR(__xludf.DUMMYFUNCTION("""COMPUTED_VALUE"""),"{""regular"":[{""days"":[""Mo"",""Tu"",""We"",""Th"",""Fr""],""open"":""08:00"",""close"":""17:00""}]}")</f>
        <v>{"regular":[{"days":["Mo","Tu","We","Th","Fr"],"open":"08:00","close":"17:00"}]}</v>
      </c>
      <c r="L217" s="9"/>
      <c r="M217" s="10">
        <f>IFERROR(__xludf.DUMMYFUNCTION("""COMPUTED_VALUE"""),32.0)</f>
        <v>32</v>
      </c>
      <c r="N217" s="10" t="str">
        <f>IFERROR(__xludf.DUMMYFUNCTION("""COMPUTED_VALUE"""),"Medical - Dental &amp; Vision")</f>
        <v>Medical - Dental &amp; Vision</v>
      </c>
      <c r="O217" s="10">
        <f>IFERROR(__xludf.DUMMYFUNCTION("""COMPUTED_VALUE"""),1.0)</f>
        <v>1</v>
      </c>
      <c r="P217" s="10" t="str">
        <f>IFERROR(__xludf.DUMMYFUNCTION("""COMPUTED_VALUE"""),"ACTIVE")</f>
        <v>ACTIVE</v>
      </c>
      <c r="Q217" s="11">
        <f>IFERROR(__xludf.DUMMYFUNCTION("""COMPUTED_VALUE"""),46049.0)</f>
        <v>46049</v>
      </c>
      <c r="R217" s="9" t="str">
        <f>IFERROR(__xludf.DUMMYFUNCTION("""COMPUTED_VALUE"""),"Verified online")</f>
        <v>Verified online</v>
      </c>
      <c r="S217" s="9" t="str">
        <f>IFERROR(__xludf.DUMMYFUNCTION("""COMPUTED_VALUE"""),"Dental
Includes cleanings, fillings extractions, check-ups, sealants, x-rays, dentures, crowns, root canals and dental emergencies,")</f>
        <v>Dental
Includes cleanings, fillings extractions, check-ups, sealants, x-rays, dentures, crowns, root canals and dental emergencies,</v>
      </c>
      <c r="T217" s="12" t="b">
        <f>IFERROR(__xludf.DUMMYFUNCTION("""COMPUTED_VALUE"""),TRUE)</f>
        <v>1</v>
      </c>
      <c r="U217" s="12" t="b">
        <f>IFERROR(__xludf.DUMMYFUNCTION("""COMPUTED_VALUE"""),FALSE)</f>
        <v>0</v>
      </c>
      <c r="V217" s="13" t="str">
        <f>IFERROR(__xludf.DUMMYFUNCTION("""COMPUTED_VALUE"""),"https://www.coastalhw.org/home-coastal")</f>
        <v>https://www.coastalhw.org/home-coastal</v>
      </c>
      <c r="W217" s="14" t="str">
        <f>IFERROR(__xludf.DUMMYFUNCTION("""COMPUTED_VALUE"""),"https://www.google.com/maps/place/Coastal+Health+%26+Wellness/@29.4041156,-95.0199676,16z/data=!3m1!4b1!4m6!3m5!1s0x863f7e883bff77e1:0xe601144a368f23d8!8m2!3d29.4041156!4d-95.0173873!16s%2Fg%2F11c1tzn5bs?entry=ttu&amp;g_ep=EgoyMDI1MDUwNy4wIKXMDSoASAFQAw%3D%3D")</f>
        <v>https://www.google.com/maps/place/Coastal+Health+%26+Wellness/@29.4041156,-95.0199676,16z/data=!3m1!4b1!4m6!3m5!1s0x863f7e883bff77e1:0xe601144a368f23d8!8m2!3d29.4041156!4d-95.0173873!16s%2Fg%2F11c1tzn5bs?entry=ttu&amp;g_ep=EgoyMDI1MDUwNy4wIKXMDSoASAFQAw%3D%3D</v>
      </c>
      <c r="X217" s="10"/>
      <c r="Y217" s="9" t="str">
        <f>IFERROR(__xludf.DUMMYFUNCTION("""COMPUTED_VALUE"""),"Galveston")</f>
        <v>Galveston</v>
      </c>
      <c r="Z217" s="9" t="str">
        <f>IFERROR(__xludf.DUMMYFUNCTION("""COMPUTED_VALUE"""),"Galveston")</f>
        <v>Galveston</v>
      </c>
      <c r="AA217" s="9" t="str">
        <f>IFERROR(__xludf.DUMMYFUNCTION("""COMPUTED_VALUE"""),"Coastal Health &amp; Wellness")</f>
        <v>Coastal Health &amp; Wellness</v>
      </c>
      <c r="AB217" s="9" t="str">
        <f>IFERROR(__xludf.DUMMYFUNCTION("""COMPUTED_VALUE"""),"Galveston")</f>
        <v>Galveston</v>
      </c>
    </row>
    <row r="218" ht="30.0" customHeight="1">
      <c r="A218" s="17">
        <v>217.0</v>
      </c>
      <c r="B218" s="8" t="str">
        <f>IFERROR(__xludf.DUMMYFUNCTION("""COMPUTED_VALUE"""),"[""99999""]")</f>
        <v>["99999"]</v>
      </c>
      <c r="C218" s="9" t="str">
        <f>IFERROR(__xludf.DUMMYFUNCTION("""COMPUTED_VALUE"""),"Coastal Health &amp; Wellness - Galveston")</f>
        <v>Coastal Health &amp; Wellness - Galveston</v>
      </c>
      <c r="D218" s="9" t="str">
        <f>IFERROR(__xludf.DUMMYFUNCTION("""COMPUTED_VALUE"""),"4700 Broadway F100")</f>
        <v>4700 Broadway F100</v>
      </c>
      <c r="E218" s="9"/>
      <c r="F218" s="10" t="str">
        <f>IFERROR(__xludf.DUMMYFUNCTION("""COMPUTED_VALUE"""),"Galveston")</f>
        <v>Galveston</v>
      </c>
      <c r="G218" s="9" t="str">
        <f>IFERROR(__xludf.DUMMYFUNCTION("""COMPUTED_VALUE"""),"TX")</f>
        <v>TX</v>
      </c>
      <c r="H218" s="9" t="str">
        <f>IFERROR(__xludf.DUMMYFUNCTION("""COMPUTED_VALUE"""),"77551")</f>
        <v>77551</v>
      </c>
      <c r="I218" s="9" t="str">
        <f>IFERROR(__xludf.DUMMYFUNCTION("""COMPUTED_VALUE"""),"409-938-2234")</f>
        <v>409-938-2234</v>
      </c>
      <c r="J218" s="9" t="str">
        <f>IFERROR(__xludf.DUMMYFUNCTION("""COMPUTED_VALUE"""),"29.294208860662994, -94.81975012470265")</f>
        <v>29.294208860662994, -94.81975012470265</v>
      </c>
      <c r="K218" s="9" t="str">
        <f>IFERROR(__xludf.DUMMYFUNCTION("""COMPUTED_VALUE"""),"{""regular"":[{""days"":[""Mo"",""Tu"",""We"",""Th"",""Fr""],""open"":""08:00"",""close"":""17:00""}]}")</f>
        <v>{"regular":[{"days":["Mo","Tu","We","Th","Fr"],"open":"08:00","close":"17:00"}]}</v>
      </c>
      <c r="L218" s="9"/>
      <c r="M218" s="10">
        <f>IFERROR(__xludf.DUMMYFUNCTION("""COMPUTED_VALUE"""),33.0)</f>
        <v>33</v>
      </c>
      <c r="N218" s="10" t="str">
        <f>IFERROR(__xludf.DUMMYFUNCTION("""COMPUTED_VALUE"""),"Medical - Behavioral Health")</f>
        <v>Medical - Behavioral Health</v>
      </c>
      <c r="O218" s="10">
        <f>IFERROR(__xludf.DUMMYFUNCTION("""COMPUTED_VALUE"""),1.0)</f>
        <v>1</v>
      </c>
      <c r="P218" s="10" t="str">
        <f>IFERROR(__xludf.DUMMYFUNCTION("""COMPUTED_VALUE"""),"ACTIVE")</f>
        <v>ACTIVE</v>
      </c>
      <c r="Q218" s="11">
        <f>IFERROR(__xludf.DUMMYFUNCTION("""COMPUTED_VALUE"""),46049.0)</f>
        <v>46049</v>
      </c>
      <c r="R218" s="9" t="str">
        <f>IFERROR(__xludf.DUMMYFUNCTION("""COMPUTED_VALUE"""),"Verified online")</f>
        <v>Verified online</v>
      </c>
      <c r="S218" s="9" t="str">
        <f>IFERROR(__xludf.DUMMYFUNCTION("""COMPUTED_VALUE"""),"One on one counseling for adults and children.
Program for substance use disorder.
Financial screening to determine eligibility for discounted health services.")</f>
        <v>One on one counseling for adults and children.
Program for substance use disorder.
Financial screening to determine eligibility for discounted health services.</v>
      </c>
      <c r="T218" s="12" t="b">
        <f>IFERROR(__xludf.DUMMYFUNCTION("""COMPUTED_VALUE"""),FALSE)</f>
        <v>0</v>
      </c>
      <c r="U218" s="12" t="b">
        <f>IFERROR(__xludf.DUMMYFUNCTION("""COMPUTED_VALUE"""),FALSE)</f>
        <v>0</v>
      </c>
      <c r="V218" s="13" t="str">
        <f>IFERROR(__xludf.DUMMYFUNCTION("""COMPUTED_VALUE"""),"https://www.coastalhw.org/home-coastal")</f>
        <v>https://www.coastalhw.org/home-coastal</v>
      </c>
      <c r="W218" s="14" t="str">
        <f>IFERROR(__xludf.DUMMYFUNCTION("""COMPUTED_VALUE"""),"https://www.google.com/maps/place/Coastal+Health+%26+Wellness/@29.4041156,-95.0199676,16z/data=!3m1!4b1!4m6!3m5!1s0x863f7e883bff77e1:0xe601144a368f23d8!8m2!3d29.4041156!4d-95.0173873!16s%2Fg%2F11c1tzn5bs?entry=ttu&amp;g_ep=EgoyMDI1MDUwNy4wIKXMDSoASAFQAw%3D%3D")</f>
        <v>https://www.google.com/maps/place/Coastal+Health+%26+Wellness/@29.4041156,-95.0199676,16z/data=!3m1!4b1!4m6!3m5!1s0x863f7e883bff77e1:0xe601144a368f23d8!8m2!3d29.4041156!4d-95.0173873!16s%2Fg%2F11c1tzn5bs?entry=ttu&amp;g_ep=EgoyMDI1MDUwNy4wIKXMDSoASAFQAw%3D%3D</v>
      </c>
      <c r="X218" s="10"/>
      <c r="Y218" s="9" t="str">
        <f>IFERROR(__xludf.DUMMYFUNCTION("""COMPUTED_VALUE"""),"Galveston")</f>
        <v>Galveston</v>
      </c>
      <c r="Z218" s="9" t="str">
        <f>IFERROR(__xludf.DUMMYFUNCTION("""COMPUTED_VALUE"""),"Galveston")</f>
        <v>Galveston</v>
      </c>
      <c r="AA218" s="9" t="str">
        <f>IFERROR(__xludf.DUMMYFUNCTION("""COMPUTED_VALUE"""),"Coastal Health &amp; Wellness")</f>
        <v>Coastal Health &amp; Wellness</v>
      </c>
      <c r="AB218" s="9" t="str">
        <f>IFERROR(__xludf.DUMMYFUNCTION("""COMPUTED_VALUE"""),"Galveston")</f>
        <v>Galveston</v>
      </c>
    </row>
    <row r="219" ht="30.0" customHeight="1">
      <c r="A219" s="17">
        <v>218.0</v>
      </c>
      <c r="B219" s="8" t="str">
        <f>IFERROR(__xludf.DUMMYFUNCTION("""COMPUTED_VALUE"""),"[""99999""]")</f>
        <v>["99999"]</v>
      </c>
      <c r="C219" s="9" t="str">
        <f>IFERROR(__xludf.DUMMYFUNCTION("""COMPUTED_VALUE"""),"Coastal Health &amp; Wellness - Texas City")</f>
        <v>Coastal Health &amp; Wellness - Texas City</v>
      </c>
      <c r="D219" s="9" t="str">
        <f>IFERROR(__xludf.DUMMYFUNCTION("""COMPUTED_VALUE"""),"9850-C Emmett F Lowry Expy")</f>
        <v>9850-C Emmett F Lowry Expy</v>
      </c>
      <c r="E219" s="9"/>
      <c r="F219" s="9" t="str">
        <f>IFERROR(__xludf.DUMMYFUNCTION("""COMPUTED_VALUE"""),"Texas City")</f>
        <v>Texas City</v>
      </c>
      <c r="G219" s="9" t="str">
        <f>IFERROR(__xludf.DUMMYFUNCTION("""COMPUTED_VALUE"""),"TX")</f>
        <v>TX</v>
      </c>
      <c r="H219" s="9" t="str">
        <f>IFERROR(__xludf.DUMMYFUNCTION("""COMPUTED_VALUE"""),"77591")</f>
        <v>77591</v>
      </c>
      <c r="I219" s="9" t="str">
        <f>IFERROR(__xludf.DUMMYFUNCTION("""COMPUTED_VALUE"""),"409-938-2234")</f>
        <v>409-938-2234</v>
      </c>
      <c r="J219" s="9" t="str">
        <f>IFERROR(__xludf.DUMMYFUNCTION("""COMPUTED_VALUE"""),"29.4016752931727, -95.0189547349398")</f>
        <v>29.4016752931727, -95.0189547349398</v>
      </c>
      <c r="K219" s="9" t="str">
        <f>IFERROR(__xludf.DUMMYFUNCTION("""COMPUTED_VALUE"""),"{""regular"":[{""days"":[""Mo"",""Tu"",""We"",""Th"",""Fr""],""open"":""08:00"",""close"":""17:00""},{""days"":[""Sa""],""open"":""08:00"",""close"":""12:00""}]}")</f>
        <v>{"regular":[{"days":["Mo","Tu","We","Th","Fr"],"open":"08:00","close":"17:00"},{"days":["Sa"],"open":"08:00","close":"12:00"}]}</v>
      </c>
      <c r="L219" s="9"/>
      <c r="M219" s="10">
        <f>IFERROR(__xludf.DUMMYFUNCTION("""COMPUTED_VALUE"""),31.0)</f>
        <v>31</v>
      </c>
      <c r="N219" s="10" t="str">
        <f>IFERROR(__xludf.DUMMYFUNCTION("""COMPUTED_VALUE"""),"Medical - Primary Care")</f>
        <v>Medical - Primary Care</v>
      </c>
      <c r="O219" s="10">
        <f>IFERROR(__xludf.DUMMYFUNCTION("""COMPUTED_VALUE"""),1.0)</f>
        <v>1</v>
      </c>
      <c r="P219" s="10" t="str">
        <f>IFERROR(__xludf.DUMMYFUNCTION("""COMPUTED_VALUE"""),"ACTIVE")</f>
        <v>ACTIVE</v>
      </c>
      <c r="Q219" s="11">
        <f>IFERROR(__xludf.DUMMYFUNCTION("""COMPUTED_VALUE"""),46049.0)</f>
        <v>46049</v>
      </c>
      <c r="R219" s="9" t="str">
        <f>IFERROR(__xludf.DUMMYFUNCTION("""COMPUTED_VALUE"""),"Verified online")</f>
        <v>Verified online</v>
      </c>
      <c r="S219" s="9" t="str">
        <f>IFERROR(__xludf.DUMMYFUNCTION("""COMPUTED_VALUE"""),"Primary and dental care, women's health, prenatal, pediatric, chiropractic, rapid start PrEP, mental health, substance abuse, laboratory and x-ray and enabling support.
Financial screening to determine eligibility for discounted health services.")</f>
        <v>Primary and dental care, women's health, prenatal, pediatric, chiropractic, rapid start PrEP, mental health, substance abuse, laboratory and x-ray and enabling support.
Financial screening to determine eligibility for discounted health services.</v>
      </c>
      <c r="T219" s="12" t="b">
        <f>IFERROR(__xludf.DUMMYFUNCTION("""COMPUTED_VALUE"""),FALSE)</f>
        <v>0</v>
      </c>
      <c r="U219" s="12" t="b">
        <f>IFERROR(__xludf.DUMMYFUNCTION("""COMPUTED_VALUE"""),FALSE)</f>
        <v>0</v>
      </c>
      <c r="V219" s="13" t="str">
        <f>IFERROR(__xludf.DUMMYFUNCTION("""COMPUTED_VALUE"""),"https://www.coastalhw.org/home-coastal")</f>
        <v>https://www.coastalhw.org/home-coastal</v>
      </c>
      <c r="W219" s="14" t="str">
        <f>IFERROR(__xludf.DUMMYFUNCTION("""COMPUTED_VALUE"""),"https://www.google.com/maps/place/Coastal+Health+%26+Wellness/@29.4041156,-95.0199676,16z/data=!3m1!4b1!4m6!3m5!1s0x863f7e883bff77e1:0xe601144a368f23d8!8m2!3d29.4041156!4d-95.0173873!16s%2Fg%2F11c1tzn5bs?entry=ttu&amp;g_ep=EgoyMDI1MDUwNy4wIKXMDSoASAFQAw%3D%3D")</f>
        <v>https://www.google.com/maps/place/Coastal+Health+%26+Wellness/@29.4041156,-95.0199676,16z/data=!3m1!4b1!4m6!3m5!1s0x863f7e883bff77e1:0xe601144a368f23d8!8m2!3d29.4041156!4d-95.0173873!16s%2Fg%2F11c1tzn5bs?entry=ttu&amp;g_ep=EgoyMDI1MDUwNy4wIKXMDSoASAFQAw%3D%3D</v>
      </c>
      <c r="X219" s="10"/>
      <c r="Y219" s="9" t="str">
        <f>IFERROR(__xludf.DUMMYFUNCTION("""COMPUTED_VALUE"""),"Texas City")</f>
        <v>Texas City</v>
      </c>
      <c r="Z219" s="9" t="str">
        <f>IFERROR(__xludf.DUMMYFUNCTION("""COMPUTED_VALUE"""),"Texas City")</f>
        <v>Texas City</v>
      </c>
      <c r="AA219" s="9" t="str">
        <f>IFERROR(__xludf.DUMMYFUNCTION("""COMPUTED_VALUE"""),"Coastal Health &amp; Wellness")</f>
        <v>Coastal Health &amp; Wellness</v>
      </c>
      <c r="AB219" s="9" t="str">
        <f>IFERROR(__xludf.DUMMYFUNCTION("""COMPUTED_VALUE"""),"Texas City")</f>
        <v>Texas City</v>
      </c>
    </row>
    <row r="220" ht="30.0" customHeight="1">
      <c r="A220" s="17">
        <v>219.0</v>
      </c>
      <c r="B220" s="8" t="str">
        <f>IFERROR(__xludf.DUMMYFUNCTION("""COMPUTED_VALUE"""),"[""99999""]")</f>
        <v>["99999"]</v>
      </c>
      <c r="C220" s="9" t="str">
        <f>IFERROR(__xludf.DUMMYFUNCTION("""COMPUTED_VALUE"""),"Coastal Health &amp; Wellness - Texas City")</f>
        <v>Coastal Health &amp; Wellness - Texas City</v>
      </c>
      <c r="D220" s="9" t="str">
        <f>IFERROR(__xludf.DUMMYFUNCTION("""COMPUTED_VALUE"""),"9850-C Emmett F Lowry Expy")</f>
        <v>9850-C Emmett F Lowry Expy</v>
      </c>
      <c r="E220" s="9"/>
      <c r="F220" s="10" t="str">
        <f>IFERROR(__xludf.DUMMYFUNCTION("""COMPUTED_VALUE"""),"Texas City")</f>
        <v>Texas City</v>
      </c>
      <c r="G220" s="9" t="str">
        <f>IFERROR(__xludf.DUMMYFUNCTION("""COMPUTED_VALUE"""),"TX")</f>
        <v>TX</v>
      </c>
      <c r="H220" s="9" t="str">
        <f>IFERROR(__xludf.DUMMYFUNCTION("""COMPUTED_VALUE"""),"77591")</f>
        <v>77591</v>
      </c>
      <c r="I220" s="9" t="str">
        <f>IFERROR(__xludf.DUMMYFUNCTION("""COMPUTED_VALUE"""),"409-938-2234")</f>
        <v>409-938-2234</v>
      </c>
      <c r="J220" s="9" t="str">
        <f>IFERROR(__xludf.DUMMYFUNCTION("""COMPUTED_VALUE"""),"29.4016752931727, -95.0189547349398")</f>
        <v>29.4016752931727, -95.0189547349398</v>
      </c>
      <c r="K220" s="9" t="str">
        <f>IFERROR(__xludf.DUMMYFUNCTION("""COMPUTED_VALUE"""),"{""regular"":[{""days"":[""Mo"",""Tu"",""We"",""Th"",""Fr""],""open"":""08:00"",""close"":""17:00""},{""days"":[""Sa""],""open"":""08:00"",""close"":""12:00""}]}")</f>
        <v>{"regular":[{"days":["Mo","Tu","We","Th","Fr"],"open":"08:00","close":"17:00"},{"days":["Sa"],"open":"08:00","close":"12:00"}]}</v>
      </c>
      <c r="L220" s="9"/>
      <c r="M220" s="10">
        <f>IFERROR(__xludf.DUMMYFUNCTION("""COMPUTED_VALUE"""),32.0)</f>
        <v>32</v>
      </c>
      <c r="N220" s="10" t="str">
        <f>IFERROR(__xludf.DUMMYFUNCTION("""COMPUTED_VALUE"""),"Medical - Dental &amp; Vision")</f>
        <v>Medical - Dental &amp; Vision</v>
      </c>
      <c r="O220" s="10">
        <f>IFERROR(__xludf.DUMMYFUNCTION("""COMPUTED_VALUE"""),1.0)</f>
        <v>1</v>
      </c>
      <c r="P220" s="10" t="str">
        <f>IFERROR(__xludf.DUMMYFUNCTION("""COMPUTED_VALUE"""),"ACTIVE")</f>
        <v>ACTIVE</v>
      </c>
      <c r="Q220" s="11">
        <f>IFERROR(__xludf.DUMMYFUNCTION("""COMPUTED_VALUE"""),45789.0)</f>
        <v>45789</v>
      </c>
      <c r="R220" s="9" t="str">
        <f>IFERROR(__xludf.DUMMYFUNCTION("""COMPUTED_VALUE"""),"Verified online")</f>
        <v>Verified online</v>
      </c>
      <c r="S220" s="9" t="str">
        <f>IFERROR(__xludf.DUMMYFUNCTION("""COMPUTED_VALUE"""),"Dental
Includes cleanings, fillings extractions, check-ups, sealants, x-rays, dentures, crowns, root canals and dental emergencies,")</f>
        <v>Dental
Includes cleanings, fillings extractions, check-ups, sealants, x-rays, dentures, crowns, root canals and dental emergencies,</v>
      </c>
      <c r="T220" s="12" t="b">
        <f>IFERROR(__xludf.DUMMYFUNCTION("""COMPUTED_VALUE"""),TRUE)</f>
        <v>1</v>
      </c>
      <c r="U220" s="12" t="b">
        <f>IFERROR(__xludf.DUMMYFUNCTION("""COMPUTED_VALUE"""),FALSE)</f>
        <v>0</v>
      </c>
      <c r="V220" s="13" t="str">
        <f>IFERROR(__xludf.DUMMYFUNCTION("""COMPUTED_VALUE"""),"https://www.coastalhw.org/home-coastal")</f>
        <v>https://www.coastalhw.org/home-coastal</v>
      </c>
      <c r="W220" s="14" t="str">
        <f>IFERROR(__xludf.DUMMYFUNCTION("""COMPUTED_VALUE"""),"https://www.google.com/maps/place/Coastal+Health+%26+Wellness/@29.4041156,-95.0199676,16z/data=!3m1!4b1!4m6!3m5!1s0x863f7e883bff77e1:0xe601144a368f23d8!8m2!3d29.4041156!4d-95.0173873!16s%2Fg%2F11c1tzn5bs?entry=ttu&amp;g_ep=EgoyMDI1MDUwNy4wIKXMDSoASAFQAw%3D%3D")</f>
        <v>https://www.google.com/maps/place/Coastal+Health+%26+Wellness/@29.4041156,-95.0199676,16z/data=!3m1!4b1!4m6!3m5!1s0x863f7e883bff77e1:0xe601144a368f23d8!8m2!3d29.4041156!4d-95.0173873!16s%2Fg%2F11c1tzn5bs?entry=ttu&amp;g_ep=EgoyMDI1MDUwNy4wIKXMDSoASAFQAw%3D%3D</v>
      </c>
      <c r="X220" s="10"/>
      <c r="Y220" s="9" t="str">
        <f>IFERROR(__xludf.DUMMYFUNCTION("""COMPUTED_VALUE"""),"Texas City")</f>
        <v>Texas City</v>
      </c>
      <c r="Z220" s="9" t="str">
        <f>IFERROR(__xludf.DUMMYFUNCTION("""COMPUTED_VALUE"""),"Texas City")</f>
        <v>Texas City</v>
      </c>
      <c r="AA220" s="9" t="str">
        <f>IFERROR(__xludf.DUMMYFUNCTION("""COMPUTED_VALUE"""),"Coastal Health &amp; Wellness")</f>
        <v>Coastal Health &amp; Wellness</v>
      </c>
      <c r="AB220" s="9" t="str">
        <f>IFERROR(__xludf.DUMMYFUNCTION("""COMPUTED_VALUE"""),"Texas City")</f>
        <v>Texas City</v>
      </c>
    </row>
    <row r="221" ht="30.0" customHeight="1">
      <c r="A221" s="17">
        <v>220.0</v>
      </c>
      <c r="B221" s="8" t="str">
        <f>IFERROR(__xludf.DUMMYFUNCTION("""COMPUTED_VALUE"""),"[""99999""]")</f>
        <v>["99999"]</v>
      </c>
      <c r="C221" s="9" t="str">
        <f>IFERROR(__xludf.DUMMYFUNCTION("""COMPUTED_VALUE"""),"Coastal Health &amp; Wellness - Texas City")</f>
        <v>Coastal Health &amp; Wellness - Texas City</v>
      </c>
      <c r="D221" s="9" t="str">
        <f>IFERROR(__xludf.DUMMYFUNCTION("""COMPUTED_VALUE"""),"9850-C Emmett F Lowry Expy")</f>
        <v>9850-C Emmett F Lowry Expy</v>
      </c>
      <c r="E221" s="9"/>
      <c r="F221" s="9" t="str">
        <f>IFERROR(__xludf.DUMMYFUNCTION("""COMPUTED_VALUE"""),"Texas City")</f>
        <v>Texas City</v>
      </c>
      <c r="G221" s="9" t="str">
        <f>IFERROR(__xludf.DUMMYFUNCTION("""COMPUTED_VALUE"""),"TX")</f>
        <v>TX</v>
      </c>
      <c r="H221" s="9" t="str">
        <f>IFERROR(__xludf.DUMMYFUNCTION("""COMPUTED_VALUE"""),"77591")</f>
        <v>77591</v>
      </c>
      <c r="I221" s="9" t="str">
        <f>IFERROR(__xludf.DUMMYFUNCTION("""COMPUTED_VALUE"""),"409-938-2234")</f>
        <v>409-938-2234</v>
      </c>
      <c r="J221" s="9" t="str">
        <f>IFERROR(__xludf.DUMMYFUNCTION("""COMPUTED_VALUE"""),"29.4016752931727, -95.0189547349398")</f>
        <v>29.4016752931727, -95.0189547349398</v>
      </c>
      <c r="K221" s="9" t="str">
        <f>IFERROR(__xludf.DUMMYFUNCTION("""COMPUTED_VALUE"""),"{""regular"":[{""days"":[""Mo"",""Tu"",""We"",""Th"",""Fr""],""open"":""08:00"",""close"":""17:00""},{""days"":[""Sa""],""open"":""08:00"",""close"":""12:00""}]}")</f>
        <v>{"regular":[{"days":["Mo","Tu","We","Th","Fr"],"open":"08:00","close":"17:00"},{"days":["Sa"],"open":"08:00","close":"12:00"}]}</v>
      </c>
      <c r="L221" s="9"/>
      <c r="M221" s="10">
        <f>IFERROR(__xludf.DUMMYFUNCTION("""COMPUTED_VALUE"""),33.0)</f>
        <v>33</v>
      </c>
      <c r="N221" s="10" t="str">
        <f>IFERROR(__xludf.DUMMYFUNCTION("""COMPUTED_VALUE"""),"Medical - Behavioral Health")</f>
        <v>Medical - Behavioral Health</v>
      </c>
      <c r="O221" s="10">
        <f>IFERROR(__xludf.DUMMYFUNCTION("""COMPUTED_VALUE"""),1.0)</f>
        <v>1</v>
      </c>
      <c r="P221" s="10" t="str">
        <f>IFERROR(__xludf.DUMMYFUNCTION("""COMPUTED_VALUE"""),"ACTIVE")</f>
        <v>ACTIVE</v>
      </c>
      <c r="Q221" s="11">
        <f>IFERROR(__xludf.DUMMYFUNCTION("""COMPUTED_VALUE"""),46049.0)</f>
        <v>46049</v>
      </c>
      <c r="R221" s="9" t="str">
        <f>IFERROR(__xludf.DUMMYFUNCTION("""COMPUTED_VALUE"""),"Verified online")</f>
        <v>Verified online</v>
      </c>
      <c r="S221" s="9" t="str">
        <f>IFERROR(__xludf.DUMMYFUNCTION("""COMPUTED_VALUE"""),"One on one counseling for adults and children.
Program for substance use disorder.
Financial screening to determine eligibility for discounted health services.")</f>
        <v>One on one counseling for adults and children.
Program for substance use disorder.
Financial screening to determine eligibility for discounted health services.</v>
      </c>
      <c r="T221" s="12" t="b">
        <f>IFERROR(__xludf.DUMMYFUNCTION("""COMPUTED_VALUE"""),FALSE)</f>
        <v>0</v>
      </c>
      <c r="U221" s="12" t="b">
        <f>IFERROR(__xludf.DUMMYFUNCTION("""COMPUTED_VALUE"""),FALSE)</f>
        <v>0</v>
      </c>
      <c r="V221" s="13" t="str">
        <f>IFERROR(__xludf.DUMMYFUNCTION("""COMPUTED_VALUE"""),"https://www.coastalhw.org/home-coastal")</f>
        <v>https://www.coastalhw.org/home-coastal</v>
      </c>
      <c r="W221" s="14" t="str">
        <f>IFERROR(__xludf.DUMMYFUNCTION("""COMPUTED_VALUE"""),"https://www.google.com/maps/place/Coastal+Health+%26+Wellness/@29.4041156,-95.0199676,16z/data=!3m1!4b1!4m6!3m5!1s0x863f7e883bff77e1:0xe601144a368f23d8!8m2!3d29.4041156!4d-95.0173873!16s%2Fg%2F11c1tzn5bs?entry=ttu&amp;g_ep=EgoyMDI1MDUwNy4wIKXMDSoASAFQAw%3D%3D")</f>
        <v>https://www.google.com/maps/place/Coastal+Health+%26+Wellness/@29.4041156,-95.0199676,16z/data=!3m1!4b1!4m6!3m5!1s0x863f7e883bff77e1:0xe601144a368f23d8!8m2!3d29.4041156!4d-95.0173873!16s%2Fg%2F11c1tzn5bs?entry=ttu&amp;g_ep=EgoyMDI1MDUwNy4wIKXMDSoASAFQAw%3D%3D</v>
      </c>
      <c r="X221" s="10"/>
      <c r="Y221" s="9" t="str">
        <f>IFERROR(__xludf.DUMMYFUNCTION("""COMPUTED_VALUE"""),"Texas City")</f>
        <v>Texas City</v>
      </c>
      <c r="Z221" s="9" t="str">
        <f>IFERROR(__xludf.DUMMYFUNCTION("""COMPUTED_VALUE"""),"Texas City")</f>
        <v>Texas City</v>
      </c>
      <c r="AA221" s="9" t="str">
        <f>IFERROR(__xludf.DUMMYFUNCTION("""COMPUTED_VALUE"""),"Coastal Health &amp; Wellness")</f>
        <v>Coastal Health &amp; Wellness</v>
      </c>
      <c r="AB221" s="9" t="str">
        <f>IFERROR(__xludf.DUMMYFUNCTION("""COMPUTED_VALUE"""),"Texas City")</f>
        <v>Texas City</v>
      </c>
    </row>
    <row r="222" ht="30.0" customHeight="1">
      <c r="A222" s="17">
        <v>221.0</v>
      </c>
      <c r="B222" s="8" t="str">
        <f>IFERROR(__xludf.DUMMYFUNCTION("""COMPUTED_VALUE"""),"[""99999""]")</f>
        <v>["99999"]</v>
      </c>
      <c r="C222" s="9" t="str">
        <f>IFERROR(__xludf.DUMMYFUNCTION("""COMPUTED_VALUE"""),"Collaborative for Children")</f>
        <v>Collaborative for Children</v>
      </c>
      <c r="D222" s="9" t="str">
        <f>IFERROR(__xludf.DUMMYFUNCTION("""COMPUTED_VALUE"""),"2200 Post Oak Blvd")</f>
        <v>2200 Post Oak Blvd</v>
      </c>
      <c r="E222" s="9" t="str">
        <f>IFERROR(__xludf.DUMMYFUNCTION("""COMPUTED_VALUE"""),"Suite 1000")</f>
        <v>Suite 1000</v>
      </c>
      <c r="F222" s="9" t="str">
        <f>IFERROR(__xludf.DUMMYFUNCTION("""COMPUTED_VALUE"""),"Houston")</f>
        <v>Houston</v>
      </c>
      <c r="G222" s="9" t="str">
        <f>IFERROR(__xludf.DUMMYFUNCTION("""COMPUTED_VALUE"""),"TX")</f>
        <v>TX</v>
      </c>
      <c r="H222" s="9" t="str">
        <f>IFERROR(__xludf.DUMMYFUNCTION("""COMPUTED_VALUE"""),"77056")</f>
        <v>77056</v>
      </c>
      <c r="I222" s="9" t="str">
        <f>IFERROR(__xludf.DUMMYFUNCTION("""COMPUTED_VALUE"""),"713-600-1100")</f>
        <v>713-600-1100</v>
      </c>
      <c r="J222" s="9" t="str">
        <f>IFERROR(__xludf.DUMMYFUNCTION("""COMPUTED_VALUE"""),"29.744816, -95.461168")</f>
        <v>29.744816, -95.461168</v>
      </c>
      <c r="K222" s="9" t="str">
        <f>IFERROR(__xludf.DUMMYFUNCTION("""COMPUTED_VALUE"""),"{""regular"":[{""days"":[""Mo"",""Tu"",""We"",""Th"",""Fr""],""open"":""09:00"",""close"":""17:00""}]}")</f>
        <v>{"regular":[{"days":["Mo","Tu","We","Th","Fr"],"open":"09:00","close":"17:00"}]}</v>
      </c>
      <c r="L222" s="9"/>
      <c r="M222" s="10">
        <f>IFERROR(__xludf.DUMMYFUNCTION("""COMPUTED_VALUE"""),65.0)</f>
        <v>65</v>
      </c>
      <c r="N222" s="10" t="str">
        <f>IFERROR(__xludf.DUMMYFUNCTION("""COMPUTED_VALUE"""),"Other")</f>
        <v>Other</v>
      </c>
      <c r="O222" s="10">
        <f>IFERROR(__xludf.DUMMYFUNCTION("""COMPUTED_VALUE"""),1.0)</f>
        <v>1</v>
      </c>
      <c r="P222" s="10" t="str">
        <f>IFERROR(__xludf.DUMMYFUNCTION("""COMPUTED_VALUE"""),"ACTIVE")</f>
        <v>ACTIVE</v>
      </c>
      <c r="Q222" s="11">
        <f>IFERROR(__xludf.DUMMYFUNCTION("""COMPUTED_VALUE"""),45761.0)</f>
        <v>45761</v>
      </c>
      <c r="R222" s="9" t="str">
        <f>IFERROR(__xludf.DUMMYFUNCTION("""COMPUTED_VALUE"""),"SVdP Church Help for Moms Ministry")</f>
        <v>SVdP Church Help for Moms Ministry</v>
      </c>
      <c r="S222" s="9" t="str">
        <f>IFERROR(__xludf.DUMMYFUNCTION("""COMPUTED_VALUE"""),"Search for childcare in the Greater Houston Area
Able to filter by those that accept child care subsidies")</f>
        <v>Search for childcare in the Greater Houston Area
Able to filter by those that accept child care subsidies</v>
      </c>
      <c r="T222" s="12" t="b">
        <f>IFERROR(__xludf.DUMMYFUNCTION("""COMPUTED_VALUE"""),FALSE)</f>
        <v>0</v>
      </c>
      <c r="U222" s="12" t="b">
        <f>IFERROR(__xludf.DUMMYFUNCTION("""COMPUTED_VALUE"""),FALSE)</f>
        <v>0</v>
      </c>
      <c r="V222" s="13" t="str">
        <f>IFERROR(__xludf.DUMMYFUNCTION("""COMPUTED_VALUE"""),"https://findchildcare.collabforchildren.org/?_gl=1*mpqzr*_gcl_aw*R0NMLjE3NDQ2OTAwNTAuQ2p3S0NBanc1UEtfQmhCQkVpd0FMN0dUUFE2bDhTa1lfUHpmaUdwZjBMa1FUQUZ2dUVPcEtGcHJQU0tsSng0VENCMnJ5MWx2aXEzZmZCb0NWZ1VRQXZEX0J3RQ..*_gcl_au*MjA5MjU1MDU1Mi4xNzQ0NjkwMDUw*_ga*MjEz"&amp;"OTIwMTM5Mi4xNzQ0NjkwMDQ1*_ga_XT35LKH9TY*MTc0NDY5MDA0NS4xLjEuMTc0NDY5MDE3OS42MC4wLjA.")</f>
        <v>https://findchildcare.collabforchildren.org/?_gl=1*mpqzr*_gcl_aw*R0NMLjE3NDQ2OTAwNTAuQ2p3S0NBanc1UEtfQmhCQkVpd0FMN0dUUFE2bDhTa1lfUHpmaUdwZjBMa1FUQUZ2dUVPcEtGcHJQU0tsSng0VENCMnJ5MWx2aXEzZmZCb0NWZ1VRQXZEX0J3RQ..*_gcl_au*MjA5MjU1MDU1Mi4xNzQ0NjkwMDUw*_ga*MjEzOTIwMTM5Mi4xNzQ0NjkwMDQ1*_ga_XT35LKH9TY*MTc0NDY5MDA0NS4xLjEuMTc0NDY5MDE3OS42MC4wLjA.</v>
      </c>
      <c r="W222" s="10"/>
      <c r="X222" s="10"/>
      <c r="Y222" s="9" t="str">
        <f>IFERROR(__xludf.DUMMYFUNCTION("""COMPUTED_VALUE"""),"Houston")</f>
        <v>Houston</v>
      </c>
      <c r="Z222" s="9" t="str">
        <f>IFERROR(__xludf.DUMMYFUNCTION("""COMPUTED_VALUE"""),"Galleria, Tanglewood, Uptown, Westside")</f>
        <v>Galleria, Tanglewood, Uptown, Westside</v>
      </c>
      <c r="AA222" s="9" t="str">
        <f>IFERROR(__xludf.DUMMYFUNCTION("""COMPUTED_VALUE"""),"Collaborative for Children")</f>
        <v>Collaborative for Children</v>
      </c>
      <c r="AB222" s="9" t="str">
        <f>IFERROR(__xludf.DUMMYFUNCTION("""COMPUTED_VALUE"""),"Westside")</f>
        <v>Westside</v>
      </c>
    </row>
    <row r="223" ht="30.0" customHeight="1">
      <c r="A223" s="17">
        <v>222.0</v>
      </c>
      <c r="B223"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223" s="9" t="str">
        <f>IFERROR(__xludf.DUMMYFUNCTION("""COMPUTED_VALUE"""),"Community Assistance Center")</f>
        <v>Community Assistance Center</v>
      </c>
      <c r="D223" s="9" t="str">
        <f>IFERROR(__xludf.DUMMYFUNCTION("""COMPUTED_VALUE"""),"1022 McCall Avenue")</f>
        <v>1022 McCall Avenue</v>
      </c>
      <c r="E223" s="9"/>
      <c r="F223" s="9" t="str">
        <f>IFERROR(__xludf.DUMMYFUNCTION("""COMPUTED_VALUE"""),"Conroe")</f>
        <v>Conroe</v>
      </c>
      <c r="G223" s="9" t="str">
        <f>IFERROR(__xludf.DUMMYFUNCTION("""COMPUTED_VALUE"""),"TX")</f>
        <v>TX</v>
      </c>
      <c r="H223" s="9" t="str">
        <f>IFERROR(__xludf.DUMMYFUNCTION("""COMPUTED_VALUE"""),"77301")</f>
        <v>77301</v>
      </c>
      <c r="I223" s="9" t="str">
        <f>IFERROR(__xludf.DUMMYFUNCTION("""COMPUTED_VALUE"""),"936-539-9211")</f>
        <v>936-539-9211</v>
      </c>
      <c r="J223" s="9" t="str">
        <f>IFERROR(__xludf.DUMMYFUNCTION("""COMPUTED_VALUE"""),"30.31449053362168, -95.46688014975656")</f>
        <v>30.31449053362168, -95.46688014975656</v>
      </c>
      <c r="K223" s="9" t="str">
        <f>IFERROR(__xludf.DUMMYFUNCTION("""COMPUTED_VALUE"""),"{""regular"":[{""days"":[""Tu"",""We"",""Th""],""open"":""13:00"",""close"":""16:00""}]}")</f>
        <v>{"regular":[{"days":["Tu","We","Th"],"open":"13:00","close":"16:00"}]}</v>
      </c>
      <c r="L223" s="9" t="str">
        <f>IFERROR(__xludf.DUMMYFUNCTION("""COMPUTED_VALUE"""),"Appointment required")</f>
        <v>Appointment required</v>
      </c>
      <c r="M223" s="10">
        <f>IFERROR(__xludf.DUMMYFUNCTION("""COMPUTED_VALUE"""),11.0)</f>
        <v>11</v>
      </c>
      <c r="N223" s="10" t="str">
        <f>IFERROR(__xludf.DUMMYFUNCTION("""COMPUTED_VALUE"""),"Rent")</f>
        <v>Rent</v>
      </c>
      <c r="O223" s="10">
        <f>IFERROR(__xludf.DUMMYFUNCTION("""COMPUTED_VALUE"""),1.0)</f>
        <v>1</v>
      </c>
      <c r="P223" s="10" t="str">
        <f>IFERROR(__xludf.DUMMYFUNCTION("""COMPUTED_VALUE"""),"ACTIVE")</f>
        <v>ACTIVE</v>
      </c>
      <c r="Q223" s="11">
        <f>IFERROR(__xludf.DUMMYFUNCTION("""COMPUTED_VALUE"""),45867.0)</f>
        <v>45867</v>
      </c>
      <c r="R223" s="9" t="str">
        <f>IFERROR(__xludf.DUMMYFUNCTION("""COMPUTED_VALUE"""),"Verified online")</f>
        <v>Verified online</v>
      </c>
      <c r="S223" s="9" t="str">
        <f>IFERROR(__xludf.DUMMYFUNCTION("""COMPUTED_VALUE"""),"US Citizens/Social Security Cards required for all members of household.
Picture ID of all adults in household.
Proof of income for the last 30 days.
Proof of crisis.")</f>
        <v>US Citizens/Social Security Cards required for all members of household.
Picture ID of all adults in household.
Proof of income for the last 30 days.
Proof of crisis.</v>
      </c>
      <c r="T223" s="12" t="b">
        <f>IFERROR(__xludf.DUMMYFUNCTION("""COMPUTED_VALUE"""),FALSE)</f>
        <v>0</v>
      </c>
      <c r="U223" s="12" t="b">
        <f>IFERROR(__xludf.DUMMYFUNCTION("""COMPUTED_VALUE"""),FALSE)</f>
        <v>0</v>
      </c>
      <c r="V223" s="13" t="str">
        <f>IFERROR(__xludf.DUMMYFUNCTION("""COMPUTED_VALUE"""),"https://cac-mctx.org/appointment/")</f>
        <v>https://cac-mctx.org/appointment/</v>
      </c>
      <c r="W223" s="14" t="str">
        <f>IFERROR(__xludf.DUMMYFUNCTION("""COMPUTED_VALUE"""),"https://www.google.com/maps/place/Community+Assistance+Center/@30.3142683,-95.4695141,17z/data=!3m1!4b1!4m6!3m5!1s0x8647394e216f2bc3:0xe547c6a100b41011!8m2!3d30.3142683!4d-95.4669338!16s%2Fg%2F1tgz0_58?entry=ttu&amp;g_ep=EgoyMDI1MDcyNy4wIKXMDSoASAFQAw%3D%3D")</f>
        <v>https://www.google.com/maps/place/Community+Assistance+Center/@30.3142683,-95.4695141,17z/data=!3m1!4b1!4m6!3m5!1s0x8647394e216f2bc3:0xe547c6a100b41011!8m2!3d30.3142683!4d-95.4669338!16s%2Fg%2F1tgz0_58?entry=ttu&amp;g_ep=EgoyMDI1MDcyNy4wIKXMDSoASAFQAw%3D%3D</v>
      </c>
      <c r="X223" s="10"/>
      <c r="Y223" s="9" t="str">
        <f>IFERROR(__xludf.DUMMYFUNCTION("""COMPUTED_VALUE"""),"Conroe")</f>
        <v>Conroe</v>
      </c>
      <c r="Z223" s="9" t="str">
        <f>IFERROR(__xludf.DUMMYFUNCTION("""COMPUTED_VALUE"""),"Conroe (Central/Downtown), Panorama Village")</f>
        <v>Conroe (Central/Downtown), Panorama Village</v>
      </c>
      <c r="AA223" s="9" t="str">
        <f>IFERROR(__xludf.DUMMYFUNCTION("""COMPUTED_VALUE"""),"Community Assistance Center")</f>
        <v>Community Assistance Center</v>
      </c>
      <c r="AB223" s="9" t="str">
        <f>IFERROR(__xludf.DUMMYFUNCTION("""COMPUTED_VALUE"""),"Conroe")</f>
        <v>Conroe</v>
      </c>
    </row>
    <row r="224" ht="30.0" customHeight="1">
      <c r="A224" s="17">
        <v>223.0</v>
      </c>
      <c r="B224"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224" s="9" t="str">
        <f>IFERROR(__xludf.DUMMYFUNCTION("""COMPUTED_VALUE"""),"Community Assistance Center")</f>
        <v>Community Assistance Center</v>
      </c>
      <c r="D224" s="9" t="str">
        <f>IFERROR(__xludf.DUMMYFUNCTION("""COMPUTED_VALUE"""),"1022 McCall Avenue")</f>
        <v>1022 McCall Avenue</v>
      </c>
      <c r="E224" s="9"/>
      <c r="F224" s="9" t="str">
        <f>IFERROR(__xludf.DUMMYFUNCTION("""COMPUTED_VALUE"""),"Conroe")</f>
        <v>Conroe</v>
      </c>
      <c r="G224" s="9" t="str">
        <f>IFERROR(__xludf.DUMMYFUNCTION("""COMPUTED_VALUE"""),"TX")</f>
        <v>TX</v>
      </c>
      <c r="H224" s="9" t="str">
        <f>IFERROR(__xludf.DUMMYFUNCTION("""COMPUTED_VALUE"""),"77301")</f>
        <v>77301</v>
      </c>
      <c r="I224" s="9" t="str">
        <f>IFERROR(__xludf.DUMMYFUNCTION("""COMPUTED_VALUE"""),"936-539-9211")</f>
        <v>936-539-9211</v>
      </c>
      <c r="J224" s="9" t="str">
        <f>IFERROR(__xludf.DUMMYFUNCTION("""COMPUTED_VALUE"""),"30.31449053362168, -95.46688014975656")</f>
        <v>30.31449053362168, -95.46688014975656</v>
      </c>
      <c r="K224" s="9" t="str">
        <f>IFERROR(__xludf.DUMMYFUNCTION("""COMPUTED_VALUE"""),"{""regular"":[{""days"":[""Tu"",""We"",""Th""],""open"":""13:00"",""close"":""16:00""}]}")</f>
        <v>{"regular":[{"days":["Tu","We","Th"],"open":"13:00","close":"16:00"}]}</v>
      </c>
      <c r="L224" s="9" t="str">
        <f>IFERROR(__xludf.DUMMYFUNCTION("""COMPUTED_VALUE"""),"Appointment required")</f>
        <v>Appointment required</v>
      </c>
      <c r="M224" s="10">
        <f>IFERROR(__xludf.DUMMYFUNCTION("""COMPUTED_VALUE"""),12.0)</f>
        <v>12</v>
      </c>
      <c r="N224" s="10" t="str">
        <f>IFERROR(__xludf.DUMMYFUNCTION("""COMPUTED_VALUE"""),"Utilities")</f>
        <v>Utilities</v>
      </c>
      <c r="O224" s="10">
        <f>IFERROR(__xludf.DUMMYFUNCTION("""COMPUTED_VALUE"""),1.0)</f>
        <v>1</v>
      </c>
      <c r="P224" s="10" t="str">
        <f>IFERROR(__xludf.DUMMYFUNCTION("""COMPUTED_VALUE"""),"ACTIVE")</f>
        <v>ACTIVE</v>
      </c>
      <c r="Q224" s="11">
        <f>IFERROR(__xludf.DUMMYFUNCTION("""COMPUTED_VALUE"""),45867.0)</f>
        <v>45867</v>
      </c>
      <c r="R224" s="9" t="str">
        <f>IFERROR(__xludf.DUMMYFUNCTION("""COMPUTED_VALUE"""),"Verified online")</f>
        <v>Verified online</v>
      </c>
      <c r="S224" s="9" t="str">
        <f>IFERROR(__xludf.DUMMYFUNCTION("""COMPUTED_VALUE"""),"US Citizens/Social Security Cards required for all members of household.
Picture ID of all adults in household.
Proof of income for the last 30 days.
Proof of crisis.")</f>
        <v>US Citizens/Social Security Cards required for all members of household.
Picture ID of all adults in household.
Proof of income for the last 30 days.
Proof of crisis.</v>
      </c>
      <c r="T224" s="12" t="b">
        <f>IFERROR(__xludf.DUMMYFUNCTION("""COMPUTED_VALUE"""),FALSE)</f>
        <v>0</v>
      </c>
      <c r="U224" s="12" t="b">
        <f>IFERROR(__xludf.DUMMYFUNCTION("""COMPUTED_VALUE"""),FALSE)</f>
        <v>0</v>
      </c>
      <c r="V224" s="13" t="str">
        <f>IFERROR(__xludf.DUMMYFUNCTION("""COMPUTED_VALUE"""),"https://cac-mctx.org/appointment/")</f>
        <v>https://cac-mctx.org/appointment/</v>
      </c>
      <c r="W224" s="14" t="str">
        <f>IFERROR(__xludf.DUMMYFUNCTION("""COMPUTED_VALUE"""),"https://www.google.com/maps/place/Community+Assistance+Center/@30.3142683,-95.4695141,17z/data=!3m1!4b1!4m6!3m5!1s0x8647394e216f2bc3:0xe547c6a100b41011!8m2!3d30.3142683!4d-95.4669338!16s%2Fg%2F1tgz0_58?entry=ttu&amp;g_ep=EgoyMDI1MDcyNy4wIKXMDSoASAFQAw%3D%3D")</f>
        <v>https://www.google.com/maps/place/Community+Assistance+Center/@30.3142683,-95.4695141,17z/data=!3m1!4b1!4m6!3m5!1s0x8647394e216f2bc3:0xe547c6a100b41011!8m2!3d30.3142683!4d-95.4669338!16s%2Fg%2F1tgz0_58?entry=ttu&amp;g_ep=EgoyMDI1MDcyNy4wIKXMDSoASAFQAw%3D%3D</v>
      </c>
      <c r="X224" s="10"/>
      <c r="Y224" s="9" t="str">
        <f>IFERROR(__xludf.DUMMYFUNCTION("""COMPUTED_VALUE"""),"Conroe")</f>
        <v>Conroe</v>
      </c>
      <c r="Z224" s="9" t="str">
        <f>IFERROR(__xludf.DUMMYFUNCTION("""COMPUTED_VALUE"""),"Conroe (Central/Downtown), Panorama Village")</f>
        <v>Conroe (Central/Downtown), Panorama Village</v>
      </c>
      <c r="AA224" s="9" t="str">
        <f>IFERROR(__xludf.DUMMYFUNCTION("""COMPUTED_VALUE"""),"Community Assistance Center")</f>
        <v>Community Assistance Center</v>
      </c>
      <c r="AB224" s="9" t="str">
        <f>IFERROR(__xludf.DUMMYFUNCTION("""COMPUTED_VALUE"""),"Conroe")</f>
        <v>Conroe</v>
      </c>
    </row>
    <row r="225" ht="30.0" customHeight="1">
      <c r="A225" s="17">
        <v>224.0</v>
      </c>
      <c r="B225"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225" s="9" t="str">
        <f>IFERROR(__xludf.DUMMYFUNCTION("""COMPUTED_VALUE"""),"Community Assistance Center")</f>
        <v>Community Assistance Center</v>
      </c>
      <c r="D225" s="9" t="str">
        <f>IFERROR(__xludf.DUMMYFUNCTION("""COMPUTED_VALUE"""),"1022 McCall Avenue")</f>
        <v>1022 McCall Avenue</v>
      </c>
      <c r="E225" s="9"/>
      <c r="F225" s="9" t="str">
        <f>IFERROR(__xludf.DUMMYFUNCTION("""COMPUTED_VALUE"""),"Conroe")</f>
        <v>Conroe</v>
      </c>
      <c r="G225" s="9" t="str">
        <f>IFERROR(__xludf.DUMMYFUNCTION("""COMPUTED_VALUE"""),"TX")</f>
        <v>TX</v>
      </c>
      <c r="H225" s="9" t="str">
        <f>IFERROR(__xludf.DUMMYFUNCTION("""COMPUTED_VALUE"""),"77301")</f>
        <v>77301</v>
      </c>
      <c r="I225" s="9" t="str">
        <f>IFERROR(__xludf.DUMMYFUNCTION("""COMPUTED_VALUE"""),"936-539-9211")</f>
        <v>936-539-9211</v>
      </c>
      <c r="J225" s="9" t="str">
        <f>IFERROR(__xludf.DUMMYFUNCTION("""COMPUTED_VALUE"""),"30.31449053362168, -95.46688014975656")</f>
        <v>30.31449053362168, -95.46688014975656</v>
      </c>
      <c r="K225" s="9"/>
      <c r="L225" s="9" t="str">
        <f>IFERROR(__xludf.DUMMYFUNCTION("""COMPUTED_VALUE"""),"Call for hours")</f>
        <v>Call for hours</v>
      </c>
      <c r="M225" s="10">
        <f>IFERROR(__xludf.DUMMYFUNCTION("""COMPUTED_VALUE"""),13.0)</f>
        <v>13</v>
      </c>
      <c r="N225" s="10" t="str">
        <f>IFERROR(__xludf.DUMMYFUNCTION("""COMPUTED_VALUE"""),"Food")</f>
        <v>Food</v>
      </c>
      <c r="O225" s="10">
        <f>IFERROR(__xludf.DUMMYFUNCTION("""COMPUTED_VALUE"""),1.0)</f>
        <v>1</v>
      </c>
      <c r="P225" s="10" t="str">
        <f>IFERROR(__xludf.DUMMYFUNCTION("""COMPUTED_VALUE"""),"ACTIVE")</f>
        <v>ACTIVE</v>
      </c>
      <c r="Q225" s="11">
        <f>IFERROR(__xludf.DUMMYFUNCTION("""COMPUTED_VALUE"""),45867.0)</f>
        <v>45867</v>
      </c>
      <c r="R225" s="9" t="str">
        <f>IFERROR(__xludf.DUMMYFUNCTION("""COMPUTED_VALUE"""),"Verified online")</f>
        <v>Verified online</v>
      </c>
      <c r="S225" s="9"/>
      <c r="T225" s="12" t="b">
        <f>IFERROR(__xludf.DUMMYFUNCTION("""COMPUTED_VALUE"""),FALSE)</f>
        <v>0</v>
      </c>
      <c r="U225" s="12" t="b">
        <f>IFERROR(__xludf.DUMMYFUNCTION("""COMPUTED_VALUE"""),FALSE)</f>
        <v>0</v>
      </c>
      <c r="V225" s="13" t="str">
        <f>IFERROR(__xludf.DUMMYFUNCTION("""COMPUTED_VALUE"""),"https://cac-mctx.org/food-pantry/")</f>
        <v>https://cac-mctx.org/food-pantry/</v>
      </c>
      <c r="W225" s="14" t="str">
        <f>IFERROR(__xludf.DUMMYFUNCTION("""COMPUTED_VALUE"""),"https://www.google.com/maps/place/Community+Assistance+Center/@30.3142683,-95.4695141,17z/data=!3m1!4b1!4m6!3m5!1s0x8647394e216f2bc3:0xe547c6a100b41011!8m2!3d30.3142683!4d-95.4669338!16s%2Fg%2F1tgz0_58?entry=ttu&amp;g_ep=EgoyMDI1MDcyNy4wIKXMDSoASAFQAw%3D%3D")</f>
        <v>https://www.google.com/maps/place/Community+Assistance+Center/@30.3142683,-95.4695141,17z/data=!3m1!4b1!4m6!3m5!1s0x8647394e216f2bc3:0xe547c6a100b41011!8m2!3d30.3142683!4d-95.4669338!16s%2Fg%2F1tgz0_58?entry=ttu&amp;g_ep=EgoyMDI1MDcyNy4wIKXMDSoASAFQAw%3D%3D</v>
      </c>
      <c r="X225" s="10"/>
      <c r="Y225" s="9" t="str">
        <f>IFERROR(__xludf.DUMMYFUNCTION("""COMPUTED_VALUE"""),"Conroe")</f>
        <v>Conroe</v>
      </c>
      <c r="Z225" s="9" t="str">
        <f>IFERROR(__xludf.DUMMYFUNCTION("""COMPUTED_VALUE"""),"Conroe (Central/Downtown), Panorama Village")</f>
        <v>Conroe (Central/Downtown), Panorama Village</v>
      </c>
      <c r="AA225" s="9" t="str">
        <f>IFERROR(__xludf.DUMMYFUNCTION("""COMPUTED_VALUE"""),"Community Assistance Center")</f>
        <v>Community Assistance Center</v>
      </c>
      <c r="AB225" s="9" t="str">
        <f>IFERROR(__xludf.DUMMYFUNCTION("""COMPUTED_VALUE"""),"Conroe")</f>
        <v>Conroe</v>
      </c>
    </row>
    <row r="226" ht="30.0" customHeight="1">
      <c r="A226" s="17">
        <v>225.0</v>
      </c>
      <c r="B226"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226" s="9" t="str">
        <f>IFERROR(__xludf.DUMMYFUNCTION("""COMPUTED_VALUE"""),"Community Assistance Center")</f>
        <v>Community Assistance Center</v>
      </c>
      <c r="D226" s="9" t="str">
        <f>IFERROR(__xludf.DUMMYFUNCTION("""COMPUTED_VALUE"""),"1022 McCall Avenue")</f>
        <v>1022 McCall Avenue</v>
      </c>
      <c r="E226" s="9"/>
      <c r="F226" s="9" t="str">
        <f>IFERROR(__xludf.DUMMYFUNCTION("""COMPUTED_VALUE"""),"Conroe")</f>
        <v>Conroe</v>
      </c>
      <c r="G226" s="9" t="str">
        <f>IFERROR(__xludf.DUMMYFUNCTION("""COMPUTED_VALUE"""),"TX")</f>
        <v>TX</v>
      </c>
      <c r="H226" s="9" t="str">
        <f>IFERROR(__xludf.DUMMYFUNCTION("""COMPUTED_VALUE"""),"77301")</f>
        <v>77301</v>
      </c>
      <c r="I226" s="9" t="str">
        <f>IFERROR(__xludf.DUMMYFUNCTION("""COMPUTED_VALUE"""),"936-539-9211")</f>
        <v>936-539-9211</v>
      </c>
      <c r="J226" s="9" t="str">
        <f>IFERROR(__xludf.DUMMYFUNCTION("""COMPUTED_VALUE"""),"30.31449053362168, -95.46688014975656")</f>
        <v>30.31449053362168, -95.46688014975656</v>
      </c>
      <c r="K226" s="9" t="str">
        <f>IFERROR(__xludf.DUMMYFUNCTION("""COMPUTED_VALUE"""),"{""regular"":[{""days"":[""Tu"",""Th""],""open"":null,""close"":null}]}")</f>
        <v>{"regular":[{"days":["Tu","Th"],"open":null,"close":null}]}</v>
      </c>
      <c r="L226" s="9" t="str">
        <f>IFERROR(__xludf.DUMMYFUNCTION("""COMPUTED_VALUE"""),"No appointment needed")</f>
        <v>No appointment needed</v>
      </c>
      <c r="M226" s="10">
        <f>IFERROR(__xludf.DUMMYFUNCTION("""COMPUTED_VALUE"""),14.0)</f>
        <v>14</v>
      </c>
      <c r="N226" s="10" t="str">
        <f>IFERROR(__xludf.DUMMYFUNCTION("""COMPUTED_VALUE"""),"Clothing")</f>
        <v>Clothing</v>
      </c>
      <c r="O226" s="10">
        <f>IFERROR(__xludf.DUMMYFUNCTION("""COMPUTED_VALUE"""),1.0)</f>
        <v>1</v>
      </c>
      <c r="P226" s="10" t="str">
        <f>IFERROR(__xludf.DUMMYFUNCTION("""COMPUTED_VALUE"""),"ACTIVE")</f>
        <v>ACTIVE</v>
      </c>
      <c r="Q226" s="11">
        <f>IFERROR(__xludf.DUMMYFUNCTION("""COMPUTED_VALUE"""),45867.0)</f>
        <v>45867</v>
      </c>
      <c r="R226" s="9" t="str">
        <f>IFERROR(__xludf.DUMMYFUNCTION("""COMPUTED_VALUE"""),"Verified online")</f>
        <v>Verified online</v>
      </c>
      <c r="S226" s="9" t="str">
        <f>IFERROR(__xludf.DUMMYFUNCTION("""COMPUTED_VALUE"""),"Clothing vouchers for their Resale Shop.
On a case by case basis, vouchers may be available for furniture and housewares also.")</f>
        <v>Clothing vouchers for their Resale Shop.
On a case by case basis, vouchers may be available for furniture and housewares also.</v>
      </c>
      <c r="T226" s="12" t="b">
        <f>IFERROR(__xludf.DUMMYFUNCTION("""COMPUTED_VALUE"""),FALSE)</f>
        <v>0</v>
      </c>
      <c r="U226" s="12" t="b">
        <f>IFERROR(__xludf.DUMMYFUNCTION("""COMPUTED_VALUE"""),FALSE)</f>
        <v>0</v>
      </c>
      <c r="V226" s="13" t="str">
        <f>IFERROR(__xludf.DUMMYFUNCTION("""COMPUTED_VALUE"""),"https://cac-mctx.org/food-pantry/")</f>
        <v>https://cac-mctx.org/food-pantry/</v>
      </c>
      <c r="W226" s="14" t="str">
        <f>IFERROR(__xludf.DUMMYFUNCTION("""COMPUTED_VALUE"""),"https://www.google.com/maps/place/Community+Assistance+Center/@30.3142683,-95.4695141,17z/data=!3m1!4b1!4m6!3m5!1s0x8647394e216f2bc3:0xe547c6a100b41011!8m2!3d30.3142683!4d-95.4669338!16s%2Fg%2F1tgz0_58?entry=ttu&amp;g_ep=EgoyMDI1MDcyNy4wIKXMDSoASAFQAw%3D%3D")</f>
        <v>https://www.google.com/maps/place/Community+Assistance+Center/@30.3142683,-95.4695141,17z/data=!3m1!4b1!4m6!3m5!1s0x8647394e216f2bc3:0xe547c6a100b41011!8m2!3d30.3142683!4d-95.4669338!16s%2Fg%2F1tgz0_58?entry=ttu&amp;g_ep=EgoyMDI1MDcyNy4wIKXMDSoASAFQAw%3D%3D</v>
      </c>
      <c r="X226" s="10"/>
      <c r="Y226" s="9" t="str">
        <f>IFERROR(__xludf.DUMMYFUNCTION("""COMPUTED_VALUE"""),"Conroe")</f>
        <v>Conroe</v>
      </c>
      <c r="Z226" s="9" t="str">
        <f>IFERROR(__xludf.DUMMYFUNCTION("""COMPUTED_VALUE"""),"Conroe (Central/Downtown), Panorama Village")</f>
        <v>Conroe (Central/Downtown), Panorama Village</v>
      </c>
      <c r="AA226" s="9" t="str">
        <f>IFERROR(__xludf.DUMMYFUNCTION("""COMPUTED_VALUE"""),"Community Assistance Center")</f>
        <v>Community Assistance Center</v>
      </c>
      <c r="AB226" s="9" t="str">
        <f>IFERROR(__xludf.DUMMYFUNCTION("""COMPUTED_VALUE"""),"Conroe")</f>
        <v>Conroe</v>
      </c>
    </row>
    <row r="227" ht="30.0" customHeight="1">
      <c r="A227" s="17">
        <v>226.0</v>
      </c>
      <c r="B227" s="8" t="str">
        <f>IFERROR(__xludf.DUMMYFUNCTION("""COMPUTED_VALUE"""),"[""77011"", ""77012"", ""77013"", ""77015"", ""77017"", ""77023"", ""77029"", ""77087"", ""77530"", ""77547""]")</f>
        <v>["77011", "77012", "77013", "77015", "77017", "77023", "77029", "77087", "77530", "77547"]</v>
      </c>
      <c r="C227" s="9" t="str">
        <f>IFERROR(__xludf.DUMMYFUNCTION("""COMPUTED_VALUE"""),"Community Family Center")</f>
        <v>Community Family Center</v>
      </c>
      <c r="D227" s="9" t="str">
        <f>IFERROR(__xludf.DUMMYFUNCTION("""COMPUTED_VALUE"""),"7524 Avenue E")</f>
        <v>7524 Avenue E</v>
      </c>
      <c r="E227" s="9"/>
      <c r="F227" s="9" t="str">
        <f>IFERROR(__xludf.DUMMYFUNCTION("""COMPUTED_VALUE"""),"Houston")</f>
        <v>Houston</v>
      </c>
      <c r="G227" s="9" t="str">
        <f>IFERROR(__xludf.DUMMYFUNCTION("""COMPUTED_VALUE"""),"TX")</f>
        <v>TX</v>
      </c>
      <c r="H227" s="9" t="str">
        <f>IFERROR(__xludf.DUMMYFUNCTION("""COMPUTED_VALUE"""),"77012")</f>
        <v>77012</v>
      </c>
      <c r="I227" s="9" t="str">
        <f>IFERROR(__xludf.DUMMYFUNCTION("""COMPUTED_VALUE"""),"713-923-2316")</f>
        <v>713-923-2316</v>
      </c>
      <c r="J227" s="9" t="str">
        <f>IFERROR(__xludf.DUMMYFUNCTION("""COMPUTED_VALUE"""),"29.7348118932521, -95.2905836787996")</f>
        <v>29.7348118932521, -95.2905836787996</v>
      </c>
      <c r="K227" s="9" t="str">
        <f>IFERROR(__xludf.DUMMYFUNCTION("""COMPUTED_VALUE"""),"{""regular"":[{""days"":[""Mo"",""Tu"",""We"",""Th"",""Fr""],""open"":""08:00"",""close"":""17:00""}]}")</f>
        <v>{"regular":[{"days":["Mo","Tu","We","Th","Fr"],"open":"08:00","close":"17:00"}]}</v>
      </c>
      <c r="L227" s="9"/>
      <c r="M227" s="10">
        <f>IFERROR(__xludf.DUMMYFUNCTION("""COMPUTED_VALUE"""),11.0)</f>
        <v>11</v>
      </c>
      <c r="N227" s="10" t="str">
        <f>IFERROR(__xludf.DUMMYFUNCTION("""COMPUTED_VALUE"""),"Rent")</f>
        <v>Rent</v>
      </c>
      <c r="O227" s="10">
        <f>IFERROR(__xludf.DUMMYFUNCTION("""COMPUTED_VALUE"""),3.0)</f>
        <v>3</v>
      </c>
      <c r="P227" s="10" t="str">
        <f>IFERROR(__xludf.DUMMYFUNCTION("""COMPUTED_VALUE"""),"INACTIVE")</f>
        <v>INACTIVE</v>
      </c>
      <c r="Q227" s="11">
        <f>IFERROR(__xludf.DUMMYFUNCTION("""COMPUTED_VALUE"""),46052.0)</f>
        <v>46052</v>
      </c>
      <c r="R227" s="9" t="str">
        <f>IFERROR(__xludf.DUMMYFUNCTION("""COMPUTED_VALUE"""),"Verified by phone")</f>
        <v>Verified by phone</v>
      </c>
      <c r="S227" s="9" t="str">
        <f>IFERROR(__xludf.DUMMYFUNCTION("""COMPUTED_VALUE"""),"Call to make appointment. May take upto two weeks to see if you qualify, after receiving all documents.
ID for adults in household.
US Citizens/Permanent Residents.
Birth certificates for children in household.
Lease agreement.
Late or Eviction notice.
La"&amp;"st four paystubs or proof of employment.
No handwritten documents.
If unemployed, letter from employer with last date of employment. Proof of job search.
Verification of SNAP, Medicaid, Gold Card, etc.
Verification of crisis that caused the need for assis"&amp;"tance.")</f>
        <v>Call to make appointment. May take upto two weeks to see if you qualify, after receiving all documents.
ID for adults in household.
US Citizens/Permanent Residents.
Birth certificates for children in household.
Lease agreement.
Late or Eviction notice.
Last four paystubs or proof of employment.
No handwritten documents.
If unemployed, letter from employer with last date of employment. Proof of job search.
Verification of SNAP, Medicaid, Gold Card, etc.
Verification of crisis that caused the need for assistance.</v>
      </c>
      <c r="T227" s="12" t="b">
        <f>IFERROR(__xludf.DUMMYFUNCTION("""COMPUTED_VALUE"""),FALSE)</f>
        <v>0</v>
      </c>
      <c r="U227" s="12" t="b">
        <f>IFERROR(__xludf.DUMMYFUNCTION("""COMPUTED_VALUE"""),FALSE)</f>
        <v>0</v>
      </c>
      <c r="V227" s="13" t="str">
        <f>IFERROR(__xludf.DUMMYFUNCTION("""COMPUTED_VALUE"""),"https://www.communityfamilycenters.org/")</f>
        <v>https://www.communityfamilycenters.org/</v>
      </c>
      <c r="W227" s="14" t="str">
        <f>IFERROR(__xludf.DUMMYFUNCTION("""COMPUTED_VALUE"""),"https://maps.google.com/?q=Community%20Family%20Center%207524%20Ave%20E%20Houston%20TX%2077012")</f>
        <v>https://maps.google.com/?q=Community%20Family%20Center%207524%20Ave%20E%20Houston%20TX%2077012</v>
      </c>
      <c r="X227" s="10"/>
      <c r="Y227" s="9" t="str">
        <f>IFERROR(__xludf.DUMMYFUNCTION("""COMPUTED_VALUE"""),"Houston")</f>
        <v>Houston</v>
      </c>
      <c r="Z227" s="9" t="str">
        <f>IFERROR(__xludf.DUMMYFUNCTION("""COMPUTED_VALUE"""),"Greater East End, Harrisburg, Magnolia Park")</f>
        <v>Greater East End, Harrisburg, Magnolia Park</v>
      </c>
      <c r="AA227" s="9" t="str">
        <f>IFERROR(__xludf.DUMMYFUNCTION("""COMPUTED_VALUE"""),"Community Family Center")</f>
        <v>Community Family Center</v>
      </c>
      <c r="AB227" s="9" t="str">
        <f>IFERROR(__xludf.DUMMYFUNCTION("""COMPUTED_VALUE"""),"Magnolia Park")</f>
        <v>Magnolia Park</v>
      </c>
    </row>
    <row r="228" ht="30.0" customHeight="1">
      <c r="A228" s="17">
        <v>227.0</v>
      </c>
      <c r="B228" s="8" t="str">
        <f>IFERROR(__xludf.DUMMYFUNCTION("""COMPUTED_VALUE"""),"[""77011"", ""77012"", ""77013"", ""77015"", ""77017"", ""77023"", ""77029"", ""77087"", ""77530"", ""77547""]")</f>
        <v>["77011", "77012", "77013", "77015", "77017", "77023", "77029", "77087", "77530", "77547"]</v>
      </c>
      <c r="C228" s="9" t="str">
        <f>IFERROR(__xludf.DUMMYFUNCTION("""COMPUTED_VALUE"""),"Community Family Center")</f>
        <v>Community Family Center</v>
      </c>
      <c r="D228" s="9" t="str">
        <f>IFERROR(__xludf.DUMMYFUNCTION("""COMPUTED_VALUE"""),"7524 Avenue E")</f>
        <v>7524 Avenue E</v>
      </c>
      <c r="E228" s="9"/>
      <c r="F228" s="9" t="str">
        <f>IFERROR(__xludf.DUMMYFUNCTION("""COMPUTED_VALUE"""),"Houston")</f>
        <v>Houston</v>
      </c>
      <c r="G228" s="9" t="str">
        <f>IFERROR(__xludf.DUMMYFUNCTION("""COMPUTED_VALUE"""),"TX")</f>
        <v>TX</v>
      </c>
      <c r="H228" s="9" t="str">
        <f>IFERROR(__xludf.DUMMYFUNCTION("""COMPUTED_VALUE"""),"77012")</f>
        <v>77012</v>
      </c>
      <c r="I228" s="9" t="str">
        <f>IFERROR(__xludf.DUMMYFUNCTION("""COMPUTED_VALUE"""),"713-923-2316")</f>
        <v>713-923-2316</v>
      </c>
      <c r="J228" s="9" t="str">
        <f>IFERROR(__xludf.DUMMYFUNCTION("""COMPUTED_VALUE"""),"29.7348118932521, -95.2905836787996")</f>
        <v>29.7348118932521, -95.2905836787996</v>
      </c>
      <c r="K228" s="9" t="str">
        <f>IFERROR(__xludf.DUMMYFUNCTION("""COMPUTED_VALUE"""),"{""regular"":[{""days"":[""Mo"",""Tu"",""We"",""Th"",""Fr""],""open"":""08:00"",""close"":""17:00""}]}")</f>
        <v>{"regular":[{"days":["Mo","Tu","We","Th","Fr"],"open":"08:00","close":"17:00"}]}</v>
      </c>
      <c r="L228" s="9"/>
      <c r="M228" s="10">
        <f>IFERROR(__xludf.DUMMYFUNCTION("""COMPUTED_VALUE"""),12.0)</f>
        <v>12</v>
      </c>
      <c r="N228" s="10" t="str">
        <f>IFERROR(__xludf.DUMMYFUNCTION("""COMPUTED_VALUE"""),"Utilities")</f>
        <v>Utilities</v>
      </c>
      <c r="O228" s="10">
        <f>IFERROR(__xludf.DUMMYFUNCTION("""COMPUTED_VALUE"""),3.0)</f>
        <v>3</v>
      </c>
      <c r="P228" s="10" t="str">
        <f>IFERROR(__xludf.DUMMYFUNCTION("""COMPUTED_VALUE"""),"INACTIVE")</f>
        <v>INACTIVE</v>
      </c>
      <c r="Q228" s="11">
        <f>IFERROR(__xludf.DUMMYFUNCTION("""COMPUTED_VALUE"""),46052.0)</f>
        <v>46052</v>
      </c>
      <c r="R228" s="9" t="str">
        <f>IFERROR(__xludf.DUMMYFUNCTION("""COMPUTED_VALUE"""),"Verified by phone")</f>
        <v>Verified by phone</v>
      </c>
      <c r="S228" s="9" t="str">
        <f>IFERROR(__xludf.DUMMYFUNCTION("""COMPUTED_VALUE"""),"ID for adults in household.
US Citizens/Permanent Residents.
Birth certificates for children in household.
Lease agreement.
Copy of utility bill showing that you are behind last and current months.
Last four paystubs or proof of employment.
No handwritten"&amp;" documents.
If unemployed, letter from employer with last date of employment. Proof of job search.
Verification of SNAP, Medicaid, Gold Card, etc.
Verification of crisis that caused the need for assistance.")</f>
        <v>ID for adults in household.
US Citizens/Permanent Residents.
Birth certificates for children in household.
Lease agreement.
Copy of utility bill showing that you are behind last and current months.
Last four paystubs or proof of employment.
No handwritten documents.
If unemployed, letter from employer with last date of employment. Proof of job search.
Verification of SNAP, Medicaid, Gold Card, etc.
Verification of crisis that caused the need for assistance.</v>
      </c>
      <c r="T228" s="12" t="b">
        <f>IFERROR(__xludf.DUMMYFUNCTION("""COMPUTED_VALUE"""),FALSE)</f>
        <v>0</v>
      </c>
      <c r="U228" s="12" t="b">
        <f>IFERROR(__xludf.DUMMYFUNCTION("""COMPUTED_VALUE"""),FALSE)</f>
        <v>0</v>
      </c>
      <c r="V228" s="13" t="str">
        <f>IFERROR(__xludf.DUMMYFUNCTION("""COMPUTED_VALUE"""),"https://www.communityfamilycenters.org/")</f>
        <v>https://www.communityfamilycenters.org/</v>
      </c>
      <c r="W228" s="14" t="str">
        <f>IFERROR(__xludf.DUMMYFUNCTION("""COMPUTED_VALUE"""),"https://maps.google.com/?q=Community%20Family%20Center%207524%20Ave%20E%20Houston%20TX%2077012")</f>
        <v>https://maps.google.com/?q=Community%20Family%20Center%207524%20Ave%20E%20Houston%20TX%2077012</v>
      </c>
      <c r="X228" s="10"/>
      <c r="Y228" s="9" t="str">
        <f>IFERROR(__xludf.DUMMYFUNCTION("""COMPUTED_VALUE"""),"Houston")</f>
        <v>Houston</v>
      </c>
      <c r="Z228" s="9" t="str">
        <f>IFERROR(__xludf.DUMMYFUNCTION("""COMPUTED_VALUE"""),"Greater East End, Harrisburg, Magnolia Park")</f>
        <v>Greater East End, Harrisburg, Magnolia Park</v>
      </c>
      <c r="AA228" s="9" t="str">
        <f>IFERROR(__xludf.DUMMYFUNCTION("""COMPUTED_VALUE"""),"Community Family Center")</f>
        <v>Community Family Center</v>
      </c>
      <c r="AB228" s="9" t="str">
        <f>IFERROR(__xludf.DUMMYFUNCTION("""COMPUTED_VALUE"""),"Magnolia Park")</f>
        <v>Magnolia Park</v>
      </c>
    </row>
    <row r="229" ht="30.0" customHeight="1">
      <c r="A229" s="17">
        <v>228.0</v>
      </c>
      <c r="B229" s="8" t="str">
        <f>IFERROR(__xludf.DUMMYFUNCTION("""COMPUTED_VALUE"""),"[""99999""]")</f>
        <v>["99999"]</v>
      </c>
      <c r="C229" s="9" t="str">
        <f>IFERROR(__xludf.DUMMYFUNCTION("""COMPUTED_VALUE"""),"Community Family Center")</f>
        <v>Community Family Center</v>
      </c>
      <c r="D229" s="9" t="str">
        <f>IFERROR(__xludf.DUMMYFUNCTION("""COMPUTED_VALUE"""),"7524 Avenue E")</f>
        <v>7524 Avenue E</v>
      </c>
      <c r="E229" s="9"/>
      <c r="F229" s="10" t="str">
        <f>IFERROR(__xludf.DUMMYFUNCTION("""COMPUTED_VALUE"""),"Houston")</f>
        <v>Houston</v>
      </c>
      <c r="G229" s="9" t="str">
        <f>IFERROR(__xludf.DUMMYFUNCTION("""COMPUTED_VALUE"""),"TX")</f>
        <v>TX</v>
      </c>
      <c r="H229" s="9" t="str">
        <f>IFERROR(__xludf.DUMMYFUNCTION("""COMPUTED_VALUE"""),"77012")</f>
        <v>77012</v>
      </c>
      <c r="I229" s="9" t="str">
        <f>IFERROR(__xludf.DUMMYFUNCTION("""COMPUTED_VALUE"""),"713-923-2316")</f>
        <v>713-923-2316</v>
      </c>
      <c r="J229" s="9" t="str">
        <f>IFERROR(__xludf.DUMMYFUNCTION("""COMPUTED_VALUE"""),"29.7348118932521, -95.2905836787996")</f>
        <v>29.7348118932521, -95.2905836787996</v>
      </c>
      <c r="K229" s="9" t="str">
        <f>IFERROR(__xludf.DUMMYFUNCTION("""COMPUTED_VALUE"""),"{""regular"":[{""days"":[""Mo"",""Tu"",""We"",""Th"",""Fr""],""open"":""08:00"",""close"":""17:00""}]}")</f>
        <v>{"regular":[{"days":["Mo","Tu","We","Th","Fr"],"open":"08:00","close":"17:00"}]}</v>
      </c>
      <c r="L229" s="9"/>
      <c r="M229" s="10">
        <f>IFERROR(__xludf.DUMMYFUNCTION("""COMPUTED_VALUE"""),13.0)</f>
        <v>13</v>
      </c>
      <c r="N229" s="10" t="str">
        <f>IFERROR(__xludf.DUMMYFUNCTION("""COMPUTED_VALUE"""),"Food")</f>
        <v>Food</v>
      </c>
      <c r="O229" s="10">
        <f>IFERROR(__xludf.DUMMYFUNCTION("""COMPUTED_VALUE"""),1.0)</f>
        <v>1</v>
      </c>
      <c r="P229" s="10" t="str">
        <f>IFERROR(__xludf.DUMMYFUNCTION("""COMPUTED_VALUE"""),"ACTIVE")</f>
        <v>ACTIVE</v>
      </c>
      <c r="Q229" s="11">
        <f>IFERROR(__xludf.DUMMYFUNCTION("""COMPUTED_VALUE"""),46052.0)</f>
        <v>46052</v>
      </c>
      <c r="R229" s="9" t="str">
        <f>IFERROR(__xludf.DUMMYFUNCTION("""COMPUTED_VALUE"""),"Verified by phone")</f>
        <v>Verified by phone</v>
      </c>
      <c r="S229" s="9"/>
      <c r="T229" s="12" t="b">
        <f>IFERROR(__xludf.DUMMYFUNCTION("""COMPUTED_VALUE"""),FALSE)</f>
        <v>0</v>
      </c>
      <c r="U229" s="12" t="b">
        <f>IFERROR(__xludf.DUMMYFUNCTION("""COMPUTED_VALUE"""),FALSE)</f>
        <v>0</v>
      </c>
      <c r="V229" s="13" t="str">
        <f>IFERROR(__xludf.DUMMYFUNCTION("""COMPUTED_VALUE"""),"https://www.communityfamilycenters.org/")</f>
        <v>https://www.communityfamilycenters.org/</v>
      </c>
      <c r="W229" s="14" t="str">
        <f>IFERROR(__xludf.DUMMYFUNCTION("""COMPUTED_VALUE"""),"https://maps.google.com/?q=Community%20Family%20Center%207524%20Ave%20E%20Houston%20TX%2077012")</f>
        <v>https://maps.google.com/?q=Community%20Family%20Center%207524%20Ave%20E%20Houston%20TX%2077012</v>
      </c>
      <c r="X229" s="10"/>
      <c r="Y229" s="9" t="str">
        <f>IFERROR(__xludf.DUMMYFUNCTION("""COMPUTED_VALUE"""),"Houston")</f>
        <v>Houston</v>
      </c>
      <c r="Z229" s="9" t="str">
        <f>IFERROR(__xludf.DUMMYFUNCTION("""COMPUTED_VALUE"""),"Greater East End, Harrisburg, Magnolia Park")</f>
        <v>Greater East End, Harrisburg, Magnolia Park</v>
      </c>
      <c r="AA229" s="9" t="str">
        <f>IFERROR(__xludf.DUMMYFUNCTION("""COMPUTED_VALUE"""),"Community Family Center")</f>
        <v>Community Family Center</v>
      </c>
      <c r="AB229" s="9" t="str">
        <f>IFERROR(__xludf.DUMMYFUNCTION("""COMPUTED_VALUE"""),"Magnolia Park")</f>
        <v>Magnolia Park</v>
      </c>
    </row>
    <row r="230" ht="30.0" customHeight="1">
      <c r="A230" s="17">
        <v>229.0</v>
      </c>
      <c r="B230" s="8" t="str">
        <f>IFERROR(__xludf.DUMMYFUNCTION("""COMPUTED_VALUE"""),"[""99999""]")</f>
        <v>["99999"]</v>
      </c>
      <c r="C230" s="9" t="str">
        <f>IFERROR(__xludf.DUMMYFUNCTION("""COMPUTED_VALUE"""),"Community Family Center")</f>
        <v>Community Family Center</v>
      </c>
      <c r="D230" s="9" t="str">
        <f>IFERROR(__xludf.DUMMYFUNCTION("""COMPUTED_VALUE"""),"7524 Avenue E")</f>
        <v>7524 Avenue E</v>
      </c>
      <c r="E230" s="9"/>
      <c r="F230" s="10" t="str">
        <f>IFERROR(__xludf.DUMMYFUNCTION("""COMPUTED_VALUE"""),"Houston")</f>
        <v>Houston</v>
      </c>
      <c r="G230" s="9" t="str">
        <f>IFERROR(__xludf.DUMMYFUNCTION("""COMPUTED_VALUE"""),"TX")</f>
        <v>TX</v>
      </c>
      <c r="H230" s="9" t="str">
        <f>IFERROR(__xludf.DUMMYFUNCTION("""COMPUTED_VALUE"""),"77012")</f>
        <v>77012</v>
      </c>
      <c r="I230" s="9" t="str">
        <f>IFERROR(__xludf.DUMMYFUNCTION("""COMPUTED_VALUE"""),"713-923-2316")</f>
        <v>713-923-2316</v>
      </c>
      <c r="J230" s="9" t="str">
        <f>IFERROR(__xludf.DUMMYFUNCTION("""COMPUTED_VALUE"""),"29.7348118932521, -95.2905836787996")</f>
        <v>29.7348118932521, -95.2905836787996</v>
      </c>
      <c r="K230" s="9" t="str">
        <f>IFERROR(__xludf.DUMMYFUNCTION("""COMPUTED_VALUE"""),"{""regular"":[{""days"":[""Mo"",""Tu"",""We"",""Th"",""Fr""],""open"":""08:00"",""close"":""17:00""}]}")</f>
        <v>{"regular":[{"days":["Mo","Tu","We","Th","Fr"],"open":"08:00","close":"17:00"}]}</v>
      </c>
      <c r="L230" s="9"/>
      <c r="M230" s="10">
        <f>IFERROR(__xludf.DUMMYFUNCTION("""COMPUTED_VALUE"""),35.0)</f>
        <v>35</v>
      </c>
      <c r="N230" s="10" t="str">
        <f>IFERROR(__xludf.DUMMYFUNCTION("""COMPUTED_VALUE"""),"Medical - Program Enrollment")</f>
        <v>Medical - Program Enrollment</v>
      </c>
      <c r="O230" s="10">
        <f>IFERROR(__xludf.DUMMYFUNCTION("""COMPUTED_VALUE"""),1.0)</f>
        <v>1</v>
      </c>
      <c r="P230" s="10" t="str">
        <f>IFERROR(__xludf.DUMMYFUNCTION("""COMPUTED_VALUE"""),"ACTIVE")</f>
        <v>ACTIVE</v>
      </c>
      <c r="Q230" s="11">
        <f>IFERROR(__xludf.DUMMYFUNCTION("""COMPUTED_VALUE"""),46052.0)</f>
        <v>46052</v>
      </c>
      <c r="R230" s="9" t="str">
        <f>IFERROR(__xludf.DUMMYFUNCTION("""COMPUTED_VALUE"""),"Verified by phone")</f>
        <v>Verified by phone</v>
      </c>
      <c r="S230" s="9" t="str">
        <f>IFERROR(__xludf.DUMMYFUNCTION("""COMPUTED_VALUE"""),"TX Health &amp; Human Services Level 3 Community Partner. Help with enrollment, document uploads, benefit renewals and case management.")</f>
        <v>TX Health &amp; Human Services Level 3 Community Partner. Help with enrollment, document uploads, benefit renewals and case management.</v>
      </c>
      <c r="T230" s="12" t="b">
        <f>IFERROR(__xludf.DUMMYFUNCTION("""COMPUTED_VALUE"""),FALSE)</f>
        <v>0</v>
      </c>
      <c r="U230" s="12" t="b">
        <f>IFERROR(__xludf.DUMMYFUNCTION("""COMPUTED_VALUE"""),FALSE)</f>
        <v>0</v>
      </c>
      <c r="V230" s="13" t="str">
        <f>IFERROR(__xludf.DUMMYFUNCTION("""COMPUTED_VALUE"""),"https://www.communityfamilycenters.org/")</f>
        <v>https://www.communityfamilycenters.org/</v>
      </c>
      <c r="W230" s="14" t="str">
        <f>IFERROR(__xludf.DUMMYFUNCTION("""COMPUTED_VALUE"""),"https://maps.google.com/?q=Community%20Family%20Center%207524%20Ave%20E%20Houston%20TX%2077012")</f>
        <v>https://maps.google.com/?q=Community%20Family%20Center%207524%20Ave%20E%20Houston%20TX%2077012</v>
      </c>
      <c r="X230" s="10"/>
      <c r="Y230" s="9" t="str">
        <f>IFERROR(__xludf.DUMMYFUNCTION("""COMPUTED_VALUE"""),"Houston")</f>
        <v>Houston</v>
      </c>
      <c r="Z230" s="9" t="str">
        <f>IFERROR(__xludf.DUMMYFUNCTION("""COMPUTED_VALUE"""),"Greater East End, Harrisburg, Magnolia Park")</f>
        <v>Greater East End, Harrisburg, Magnolia Park</v>
      </c>
      <c r="AA230" s="9" t="str">
        <f>IFERROR(__xludf.DUMMYFUNCTION("""COMPUTED_VALUE"""),"Community Family Center")</f>
        <v>Community Family Center</v>
      </c>
      <c r="AB230" s="9" t="str">
        <f>IFERROR(__xludf.DUMMYFUNCTION("""COMPUTED_VALUE"""),"Magnolia Park")</f>
        <v>Magnolia Park</v>
      </c>
    </row>
    <row r="231" ht="30.0" customHeight="1">
      <c r="A231" s="17">
        <v>230.0</v>
      </c>
      <c r="B231" s="8" t="str">
        <f>IFERROR(__xludf.DUMMYFUNCTION("""COMPUTED_VALUE"""),"[""99999""]")</f>
        <v>["99999"]</v>
      </c>
      <c r="C231" s="9" t="str">
        <f>IFERROR(__xludf.DUMMYFUNCTION("""COMPUTED_VALUE"""),"Community Family Center")</f>
        <v>Community Family Center</v>
      </c>
      <c r="D231" s="9" t="str">
        <f>IFERROR(__xludf.DUMMYFUNCTION("""COMPUTED_VALUE"""),"7524 Avenue E")</f>
        <v>7524 Avenue E</v>
      </c>
      <c r="E231" s="9"/>
      <c r="F231" s="10" t="str">
        <f>IFERROR(__xludf.DUMMYFUNCTION("""COMPUTED_VALUE"""),"Houston")</f>
        <v>Houston</v>
      </c>
      <c r="G231" s="9" t="str">
        <f>IFERROR(__xludf.DUMMYFUNCTION("""COMPUTED_VALUE"""),"TX")</f>
        <v>TX</v>
      </c>
      <c r="H231" s="9" t="str">
        <f>IFERROR(__xludf.DUMMYFUNCTION("""COMPUTED_VALUE"""),"77012")</f>
        <v>77012</v>
      </c>
      <c r="I231" s="9" t="str">
        <f>IFERROR(__xludf.DUMMYFUNCTION("""COMPUTED_VALUE"""),"713-923-2316")</f>
        <v>713-923-2316</v>
      </c>
      <c r="J231" s="9" t="str">
        <f>IFERROR(__xludf.DUMMYFUNCTION("""COMPUTED_VALUE"""),"29.7348118932521, -95.2905836787996")</f>
        <v>29.7348118932521, -95.2905836787996</v>
      </c>
      <c r="K231" s="9" t="str">
        <f>IFERROR(__xludf.DUMMYFUNCTION("""COMPUTED_VALUE"""),"{""regular"":[{""days"":[""Mo"",""Tu"",""We"",""Th"",""Fr""],""open"":""08:00"",""close"":""17:00""}]}")</f>
        <v>{"regular":[{"days":["Mo","Tu","We","Th","Fr"],"open":"08:00","close":"17:00"}]}</v>
      </c>
      <c r="L231" s="9"/>
      <c r="M231" s="10">
        <f>IFERROR(__xludf.DUMMYFUNCTION("""COMPUTED_VALUE"""),44.0)</f>
        <v>44</v>
      </c>
      <c r="N231" s="10" t="str">
        <f>IFERROR(__xludf.DUMMYFUNCTION("""COMPUTED_VALUE"""),"Mother &amp; Child")</f>
        <v>Mother &amp; Child</v>
      </c>
      <c r="O231" s="10">
        <f>IFERROR(__xludf.DUMMYFUNCTION("""COMPUTED_VALUE"""),1.0)</f>
        <v>1</v>
      </c>
      <c r="P231" s="10" t="str">
        <f>IFERROR(__xludf.DUMMYFUNCTION("""COMPUTED_VALUE"""),"ACTIVE")</f>
        <v>ACTIVE</v>
      </c>
      <c r="Q231" s="11">
        <f>IFERROR(__xludf.DUMMYFUNCTION("""COMPUTED_VALUE"""),46052.0)</f>
        <v>46052</v>
      </c>
      <c r="R231" s="9" t="str">
        <f>IFERROR(__xludf.DUMMYFUNCTION("""COMPUTED_VALUE"""),"Verified by phone")</f>
        <v>Verified by phone</v>
      </c>
      <c r="S231" s="9" t="str">
        <f>IFERROR(__xludf.DUMMYFUNCTION("""COMPUTED_VALUE"""),"Classes for expectant mothers.
Supply of free diapers every two weeks.")</f>
        <v>Classes for expectant mothers.
Supply of free diapers every two weeks.</v>
      </c>
      <c r="T231" s="12" t="b">
        <f>IFERROR(__xludf.DUMMYFUNCTION("""COMPUTED_VALUE"""),FALSE)</f>
        <v>0</v>
      </c>
      <c r="U231" s="12" t="b">
        <f>IFERROR(__xludf.DUMMYFUNCTION("""COMPUTED_VALUE"""),FALSE)</f>
        <v>0</v>
      </c>
      <c r="V231" s="13" t="str">
        <f>IFERROR(__xludf.DUMMYFUNCTION("""COMPUTED_VALUE"""),"https://www.communityfamilycenters.org/")</f>
        <v>https://www.communityfamilycenters.org/</v>
      </c>
      <c r="W231" s="14" t="str">
        <f>IFERROR(__xludf.DUMMYFUNCTION("""COMPUTED_VALUE"""),"https://maps.google.com/?q=Community%20Family%20Center%207524%20Ave%20E%20Houston%20TX%2077012")</f>
        <v>https://maps.google.com/?q=Community%20Family%20Center%207524%20Ave%20E%20Houston%20TX%2077012</v>
      </c>
      <c r="X231" s="10"/>
      <c r="Y231" s="9" t="str">
        <f>IFERROR(__xludf.DUMMYFUNCTION("""COMPUTED_VALUE"""),"Houston")</f>
        <v>Houston</v>
      </c>
      <c r="Z231" s="9" t="str">
        <f>IFERROR(__xludf.DUMMYFUNCTION("""COMPUTED_VALUE"""),"Greater East End, Harrisburg, Magnolia Park")</f>
        <v>Greater East End, Harrisburg, Magnolia Park</v>
      </c>
      <c r="AA231" s="9" t="str">
        <f>IFERROR(__xludf.DUMMYFUNCTION("""COMPUTED_VALUE"""),"Community Family Center")</f>
        <v>Community Family Center</v>
      </c>
      <c r="AB231" s="9" t="str">
        <f>IFERROR(__xludf.DUMMYFUNCTION("""COMPUTED_VALUE"""),"Magnolia Park")</f>
        <v>Magnolia Park</v>
      </c>
    </row>
    <row r="232" ht="30.0" customHeight="1">
      <c r="A232" s="17">
        <v>231.0</v>
      </c>
      <c r="B232" s="8" t="str">
        <f>IFERROR(__xludf.DUMMYFUNCTION("""COMPUTED_VALUE"""),"[""99999""]")</f>
        <v>["99999"]</v>
      </c>
      <c r="C232" s="9" t="str">
        <f>IFERROR(__xludf.DUMMYFUNCTION("""COMPUTED_VALUE"""),"Community Family Center")</f>
        <v>Community Family Center</v>
      </c>
      <c r="D232" s="9" t="str">
        <f>IFERROR(__xludf.DUMMYFUNCTION("""COMPUTED_VALUE"""),"7524 Avenue E")</f>
        <v>7524 Avenue E</v>
      </c>
      <c r="E232" s="9"/>
      <c r="F232" s="10" t="str">
        <f>IFERROR(__xludf.DUMMYFUNCTION("""COMPUTED_VALUE"""),"Houston")</f>
        <v>Houston</v>
      </c>
      <c r="G232" s="9" t="str">
        <f>IFERROR(__xludf.DUMMYFUNCTION("""COMPUTED_VALUE"""),"TX")</f>
        <v>TX</v>
      </c>
      <c r="H232" s="9" t="str">
        <f>IFERROR(__xludf.DUMMYFUNCTION("""COMPUTED_VALUE"""),"77012")</f>
        <v>77012</v>
      </c>
      <c r="I232" s="9" t="str">
        <f>IFERROR(__xludf.DUMMYFUNCTION("""COMPUTED_VALUE"""),"713-923-2316")</f>
        <v>713-923-2316</v>
      </c>
      <c r="J232" s="9" t="str">
        <f>IFERROR(__xludf.DUMMYFUNCTION("""COMPUTED_VALUE"""),"29.7348118932521, -95.2905836787996")</f>
        <v>29.7348118932521, -95.2905836787996</v>
      </c>
      <c r="K232" s="9" t="str">
        <f>IFERROR(__xludf.DUMMYFUNCTION("""COMPUTED_VALUE"""),"{""regular"":[{""days"":[""Mo"",""Tu"",""We"",""Th"",""Fr""],""open"":""08:00"",""close"":""17:00""}]}")</f>
        <v>{"regular":[{"days":["Mo","Tu","We","Th","Fr"],"open":"08:00","close":"17:00"}]}</v>
      </c>
      <c r="L232" s="9"/>
      <c r="M232" s="10">
        <f>IFERROR(__xludf.DUMMYFUNCTION("""COMPUTED_VALUE"""),51.0)</f>
        <v>51</v>
      </c>
      <c r="N232" s="10" t="str">
        <f>IFERROR(__xludf.DUMMYFUNCTION("""COMPUTED_VALUE"""),"Education - Adults")</f>
        <v>Education - Adults</v>
      </c>
      <c r="O232" s="10">
        <f>IFERROR(__xludf.DUMMYFUNCTION("""COMPUTED_VALUE"""),1.0)</f>
        <v>1</v>
      </c>
      <c r="P232" s="10" t="str">
        <f>IFERROR(__xludf.DUMMYFUNCTION("""COMPUTED_VALUE"""),"ACTIVE")</f>
        <v>ACTIVE</v>
      </c>
      <c r="Q232" s="11">
        <f>IFERROR(__xludf.DUMMYFUNCTION("""COMPUTED_VALUE"""),46052.0)</f>
        <v>46052</v>
      </c>
      <c r="R232" s="9" t="str">
        <f>IFERROR(__xludf.DUMMYFUNCTION("""COMPUTED_VALUE"""),"Verified by phone")</f>
        <v>Verified by phone</v>
      </c>
      <c r="S232" s="9" t="str">
        <f>IFERROR(__xludf.DUMMYFUNCTION("""COMPUTED_VALUE"""),"GED, ESL and computer classes.  Certification for Community Health Worker.")</f>
        <v>GED, ESL and computer classes.  Certification for Community Health Worker.</v>
      </c>
      <c r="T232" s="12" t="b">
        <f>IFERROR(__xludf.DUMMYFUNCTION("""COMPUTED_VALUE"""),FALSE)</f>
        <v>0</v>
      </c>
      <c r="U232" s="12" t="b">
        <f>IFERROR(__xludf.DUMMYFUNCTION("""COMPUTED_VALUE"""),FALSE)</f>
        <v>0</v>
      </c>
      <c r="V232" s="13" t="str">
        <f>IFERROR(__xludf.DUMMYFUNCTION("""COMPUTED_VALUE"""),"https://www.communityfamilycenters.org/")</f>
        <v>https://www.communityfamilycenters.org/</v>
      </c>
      <c r="W232" s="14" t="str">
        <f>IFERROR(__xludf.DUMMYFUNCTION("""COMPUTED_VALUE"""),"https://maps.google.com/?q=Community%20Family%20Center%207524%20Ave%20E%20Houston%20TX%2077012")</f>
        <v>https://maps.google.com/?q=Community%20Family%20Center%207524%20Ave%20E%20Houston%20TX%2077012</v>
      </c>
      <c r="X232" s="10"/>
      <c r="Y232" s="9" t="str">
        <f>IFERROR(__xludf.DUMMYFUNCTION("""COMPUTED_VALUE"""),"Houston")</f>
        <v>Houston</v>
      </c>
      <c r="Z232" s="9" t="str">
        <f>IFERROR(__xludf.DUMMYFUNCTION("""COMPUTED_VALUE"""),"Greater East End, Harrisburg, Magnolia Park")</f>
        <v>Greater East End, Harrisburg, Magnolia Park</v>
      </c>
      <c r="AA232" s="9" t="str">
        <f>IFERROR(__xludf.DUMMYFUNCTION("""COMPUTED_VALUE"""),"Community Family Center")</f>
        <v>Community Family Center</v>
      </c>
      <c r="AB232" s="9" t="str">
        <f>IFERROR(__xludf.DUMMYFUNCTION("""COMPUTED_VALUE"""),"Magnolia Park")</f>
        <v>Magnolia Park</v>
      </c>
    </row>
    <row r="233" ht="30.0" customHeight="1">
      <c r="A233" s="17">
        <v>232.0</v>
      </c>
      <c r="B233"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233" s="9" t="str">
        <f>IFERROR(__xludf.DUMMYFUNCTION("""COMPUTED_VALUE"""),"Compassion United")</f>
        <v>Compassion United</v>
      </c>
      <c r="D233" s="9" t="str">
        <f>IFERROR(__xludf.DUMMYFUNCTION("""COMPUTED_VALUE"""),"18856 FN 1484")</f>
        <v>18856 FN 1484</v>
      </c>
      <c r="E233" s="9"/>
      <c r="F233" s="10" t="str">
        <f>IFERROR(__xludf.DUMMYFUNCTION("""COMPUTED_VALUE"""),"Conroe")</f>
        <v>Conroe</v>
      </c>
      <c r="G233" s="9" t="str">
        <f>IFERROR(__xludf.DUMMYFUNCTION("""COMPUTED_VALUE"""),"TX")</f>
        <v>TX</v>
      </c>
      <c r="H233" s="9" t="str">
        <f>IFERROR(__xludf.DUMMYFUNCTION("""COMPUTED_VALUE"""),"77303")</f>
        <v>77303</v>
      </c>
      <c r="I233" s="9" t="str">
        <f>IFERROR(__xludf.DUMMYFUNCTION("""COMPUTED_VALUE"""),"936-274-3799")</f>
        <v>936-274-3799</v>
      </c>
      <c r="J233" s="9" t="str">
        <f>IFERROR(__xludf.DUMMYFUNCTION("""COMPUTED_VALUE"""),"30.340684892512773, -95.33446703718303")</f>
        <v>30.340684892512773, -95.33446703718303</v>
      </c>
      <c r="K233" s="9" t="str">
        <f>IFERROR(__xludf.DUMMYFUNCTION("""COMPUTED_VALUE"""),"{""special"":[{""pattern"":""1st &amp; 3rd Th"",""open"":null,""close"":null},{""pattern"":""4th Sa"",""open"":""09:00"",""close"":""11:00""}]}")</f>
        <v>{"special":[{"pattern":"1st &amp; 3rd Th","open":null,"close":null},{"pattern":"4th Sa","open":"09:00","close":"11:00"}]}</v>
      </c>
      <c r="L233" s="9"/>
      <c r="M233" s="10">
        <f>IFERROR(__xludf.DUMMYFUNCTION("""COMPUTED_VALUE"""),13.0)</f>
        <v>13</v>
      </c>
      <c r="N233" s="10" t="str">
        <f>IFERROR(__xludf.DUMMYFUNCTION("""COMPUTED_VALUE"""),"Food")</f>
        <v>Food</v>
      </c>
      <c r="O233" s="10">
        <f>IFERROR(__xludf.DUMMYFUNCTION("""COMPUTED_VALUE"""),1.0)</f>
        <v>1</v>
      </c>
      <c r="P233" s="10" t="str">
        <f>IFERROR(__xludf.DUMMYFUNCTION("""COMPUTED_VALUE"""),"ACTIVE")</f>
        <v>ACTIVE</v>
      </c>
      <c r="Q233" s="11">
        <f>IFERROR(__xludf.DUMMYFUNCTION("""COMPUTED_VALUE"""),45941.0)</f>
        <v>45941</v>
      </c>
      <c r="R233" s="9"/>
      <c r="S233" s="9"/>
      <c r="T233" s="12" t="b">
        <f>IFERROR(__xludf.DUMMYFUNCTION("""COMPUTED_VALUE"""),FALSE)</f>
        <v>0</v>
      </c>
      <c r="U233" s="12" t="b">
        <f>IFERROR(__xludf.DUMMYFUNCTION("""COMPUTED_VALUE"""),FALSE)</f>
        <v>0</v>
      </c>
      <c r="V233" s="13" t="str">
        <f>IFERROR(__xludf.DUMMYFUNCTION("""COMPUTED_VALUE"""),"https://compassionunited.us/programs/food-pantry")</f>
        <v>https://compassionunited.us/programs/food-pantry</v>
      </c>
      <c r="W233" s="14" t="str">
        <f>IFERROR(__xludf.DUMMYFUNCTION("""COMPUTED_VALUE"""),"https://www.google.com/maps/place/Terry's+Tables+Food+Pantry/@30.3404025,-95.3369883,17z/data=!3m1!4b1!4m6!3m5!1s0x86474157df0ab6ad:0x35df802e22c150bd!8m2!3d30.3403979!4d-95.3344134!16s%2Fg%2F11vdn6kvtc?entry=ttu&amp;g_ep=EgoyMDI1MTAwOC4wIKXMDSoASAFQAw%3D%3D")</f>
        <v>https://www.google.com/maps/place/Terry's+Tables+Food+Pantry/@30.3404025,-95.3369883,17z/data=!3m1!4b1!4m6!3m5!1s0x86474157df0ab6ad:0x35df802e22c150bd!8m2!3d30.3403979!4d-95.3344134!16s%2Fg%2F11vdn6kvtc?entry=ttu&amp;g_ep=EgoyMDI1MTAwOC4wIKXMDSoASAFQAw%3D%3D</v>
      </c>
      <c r="X233" s="10"/>
      <c r="Y233" s="9" t="str">
        <f>IFERROR(__xludf.DUMMYFUNCTION("""COMPUTED_VALUE"""),"Conroe")</f>
        <v>Conroe</v>
      </c>
      <c r="Z233" s="9" t="str">
        <f>IFERROR(__xludf.DUMMYFUNCTION("""COMPUTED_VALUE"""),"Caney Creek, Conroe (Northeast), Cut and Shoot")</f>
        <v>Caney Creek, Conroe (Northeast), Cut and Shoot</v>
      </c>
      <c r="AA233" s="9" t="str">
        <f>IFERROR(__xludf.DUMMYFUNCTION("""COMPUTED_VALUE"""),"Compassion United")</f>
        <v>Compassion United</v>
      </c>
      <c r="AB233" s="9" t="str">
        <f>IFERROR(__xludf.DUMMYFUNCTION("""COMPUTED_VALUE"""),"Cut and Shoot")</f>
        <v>Cut and Shoot</v>
      </c>
    </row>
    <row r="234" ht="30.0" customHeight="1">
      <c r="A234" s="17">
        <v>233.0</v>
      </c>
      <c r="B234"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234" s="9" t="str">
        <f>IFERROR(__xludf.DUMMYFUNCTION("""COMPUTED_VALUE"""),"Compassion United")</f>
        <v>Compassion United</v>
      </c>
      <c r="D234" s="9" t="str">
        <f>IFERROR(__xludf.DUMMYFUNCTION("""COMPUTED_VALUE"""),"350 Foster Drive")</f>
        <v>350 Foster Drive</v>
      </c>
      <c r="E234" s="9"/>
      <c r="F234" s="10" t="str">
        <f>IFERROR(__xludf.DUMMYFUNCTION("""COMPUTED_VALUE"""),"Conroe")</f>
        <v>Conroe</v>
      </c>
      <c r="G234" s="9" t="str">
        <f>IFERROR(__xludf.DUMMYFUNCTION("""COMPUTED_VALUE"""),"TX")</f>
        <v>TX</v>
      </c>
      <c r="H234" s="9" t="str">
        <f>IFERROR(__xludf.DUMMYFUNCTION("""COMPUTED_VALUE"""),"77301")</f>
        <v>77301</v>
      </c>
      <c r="I234" s="9" t="str">
        <f>IFERROR(__xludf.DUMMYFUNCTION("""COMPUTED_VALUE"""),"936-274-3799")</f>
        <v>936-274-3799</v>
      </c>
      <c r="J234" s="9" t="str">
        <f>IFERROR(__xludf.DUMMYFUNCTION("""COMPUTED_VALUE"""),"30.29120053130019, -95.44893139542776")</f>
        <v>30.29120053130019, -95.44893139542776</v>
      </c>
      <c r="K234" s="9" t="str">
        <f>IFERROR(__xludf.DUMMYFUNCTION("""COMPUTED_VALUE"""),"{""regular"":[{""days"":[""Mo"",""Tu"",""We"",""Th"",""Fr""],""open"":null,""close"":null}]}")</f>
        <v>{"regular":[{"days":["Mo","Tu","We","Th","Fr"],"open":null,"close":null}]}</v>
      </c>
      <c r="L234" s="9"/>
      <c r="M234" s="10">
        <f>IFERROR(__xludf.DUMMYFUNCTION("""COMPUTED_VALUE"""),22.0)</f>
        <v>22</v>
      </c>
      <c r="N234" s="10" t="str">
        <f>IFERROR(__xludf.DUMMYFUNCTION("""COMPUTED_VALUE"""),"Homeless - Day Centers")</f>
        <v>Homeless - Day Centers</v>
      </c>
      <c r="O234" s="10">
        <f>IFERROR(__xludf.DUMMYFUNCTION("""COMPUTED_VALUE"""),1.0)</f>
        <v>1</v>
      </c>
      <c r="P234" s="10" t="str">
        <f>IFERROR(__xludf.DUMMYFUNCTION("""COMPUTED_VALUE"""),"ACTIVE")</f>
        <v>ACTIVE</v>
      </c>
      <c r="Q234" s="11">
        <f>IFERROR(__xludf.DUMMYFUNCTION("""COMPUTED_VALUE"""),45941.0)</f>
        <v>45941</v>
      </c>
      <c r="R234" s="9"/>
      <c r="S234" s="9" t="str">
        <f>IFERROR(__xludf.DUMMYFUNCTION("""COMPUTED_VALUE"""),"Coalition for the Homeless (CFTH) Partner/Rapid Rehousing
Hot meals, showers, laundry services, resource assistance and success coaching.
")</f>
        <v>Coalition for the Homeless (CFTH) Partner/Rapid Rehousing
Hot meals, showers, laundry services, resource assistance and success coaching.
</v>
      </c>
      <c r="T234" s="12" t="b">
        <f>IFERROR(__xludf.DUMMYFUNCTION("""COMPUTED_VALUE"""),FALSE)</f>
        <v>0</v>
      </c>
      <c r="U234" s="12" t="b">
        <f>IFERROR(__xludf.DUMMYFUNCTION("""COMPUTED_VALUE"""),FALSE)</f>
        <v>0</v>
      </c>
      <c r="V234" s="13" t="str">
        <f>IFERROR(__xludf.DUMMYFUNCTION("""COMPUTED_VALUE"""),"https://compassionunited.us/programs/day-services")</f>
        <v>https://compassionunited.us/programs/day-services</v>
      </c>
      <c r="W234" s="14" t="str">
        <f>IFERROR(__xludf.DUMMYFUNCTION("""COMPUTED_VALUE"""),"https://www.google.com/maps/place/Compassion+United,+Inc./@30.2910199,-95.4515063,17z/data=!3m1!4b1!4m6!3m5!1s0x864739d53fc4c44b:0x5146b0c0cd21bbc9!8m2!3d30.2910153!4d-95.4489314!16s%2Fg%2F11kglyb270?entry=ttu&amp;g_ep=EgoyMDI1MTAwOC4wIKXMDSoASAFQAw%3D%3D")</f>
        <v>https://www.google.com/maps/place/Compassion+United,+Inc./@30.2910199,-95.4515063,17z/data=!3m1!4b1!4m6!3m5!1s0x864739d53fc4c44b:0x5146b0c0cd21bbc9!8m2!3d30.2910153!4d-95.4489314!16s%2Fg%2F11kglyb270?entry=ttu&amp;g_ep=EgoyMDI1MTAwOC4wIKXMDSoASAFQAw%3D%3D</v>
      </c>
      <c r="X234" s="10"/>
      <c r="Y234" s="9" t="str">
        <f>IFERROR(__xludf.DUMMYFUNCTION("""COMPUTED_VALUE"""),"Conroe")</f>
        <v>Conroe</v>
      </c>
      <c r="Z234" s="9" t="str">
        <f>IFERROR(__xludf.DUMMYFUNCTION("""COMPUTED_VALUE"""),"Conroe (Central/Downtown), Panorama Village")</f>
        <v>Conroe (Central/Downtown), Panorama Village</v>
      </c>
      <c r="AA234" s="9" t="str">
        <f>IFERROR(__xludf.DUMMYFUNCTION("""COMPUTED_VALUE"""),"Compassion United")</f>
        <v>Compassion United</v>
      </c>
      <c r="AB234" s="9" t="str">
        <f>IFERROR(__xludf.DUMMYFUNCTION("""COMPUTED_VALUE"""),"Conroe")</f>
        <v>Conroe</v>
      </c>
    </row>
    <row r="235" ht="30.0" customHeight="1">
      <c r="A235" s="17">
        <v>234.0</v>
      </c>
      <c r="B235" s="8" t="str">
        <f>IFERROR(__xludf.DUMMYFUNCTION("""COMPUTED_VALUE"""),"[""99999""]")</f>
        <v>["99999"]</v>
      </c>
      <c r="C235" s="9" t="str">
        <f>IFERROR(__xludf.DUMMYFUNCTION("""COMPUTED_VALUE"""),"Coordinated Access Intake")</f>
        <v>Coordinated Access Intake</v>
      </c>
      <c r="D235" s="9" t="str">
        <f>IFERROR(__xludf.DUMMYFUNCTION("""COMPUTED_VALUE"""),"200 Crawford Street")</f>
        <v>200 Crawford Street</v>
      </c>
      <c r="E235" s="9" t="str">
        <f>IFERROR(__xludf.DUMMYFUNCTION("""COMPUTED_VALUE"""),"Suite 700")</f>
        <v>Suite 700</v>
      </c>
      <c r="F235" s="10" t="str">
        <f>IFERROR(__xludf.DUMMYFUNCTION("""COMPUTED_VALUE"""),"Houston")</f>
        <v>Houston</v>
      </c>
      <c r="G235" s="9" t="str">
        <f>IFERROR(__xludf.DUMMYFUNCTION("""COMPUTED_VALUE"""),"TX")</f>
        <v>TX</v>
      </c>
      <c r="H235" s="9" t="str">
        <f>IFERROR(__xludf.DUMMYFUNCTION("""COMPUTED_VALUE"""),"77002")</f>
        <v>77002</v>
      </c>
      <c r="I235" s="9" t="str">
        <f>IFERROR(__xludf.DUMMYFUNCTION("""COMPUTED_VALUE"""),"832-531-6041")</f>
        <v>832-531-6041</v>
      </c>
      <c r="J235" s="9" t="str">
        <f>IFERROR(__xludf.DUMMYFUNCTION("""COMPUTED_VALUE"""),"29.7461610629534, -95.366336635687")</f>
        <v>29.7461610629534, -95.366336635687</v>
      </c>
      <c r="K235" s="9" t="str">
        <f>IFERROR(__xludf.DUMMYFUNCTION("""COMPUTED_VALUE"""),"{""regular"":[{""days"":[""Mo"",""Tu"",""We"",""Th"",""Fr""],""open"":""09:00"",""close"":""13:00""}]}")</f>
        <v>{"regular":[{"days":["Mo","Tu","We","Th","Fr"],"open":"09:00","close":"13:00"}]}</v>
      </c>
      <c r="L235" s="9" t="str">
        <f>IFERROR(__xludf.DUMMYFUNCTION("""COMPUTED_VALUE"""),"Go in person to a shelter rather than calling this number.")</f>
        <v>Go in person to a shelter rather than calling this number.</v>
      </c>
      <c r="M235" s="10">
        <f>IFERROR(__xludf.DUMMYFUNCTION("""COMPUTED_VALUE"""),24.0)</f>
        <v>24</v>
      </c>
      <c r="N235" s="10" t="str">
        <f>IFERROR(__xludf.DUMMYFUNCTION("""COMPUTED_VALUE"""),"Housing")</f>
        <v>Housing</v>
      </c>
      <c r="O235" s="10">
        <f>IFERROR(__xludf.DUMMYFUNCTION("""COMPUTED_VALUE"""),2.0)</f>
        <v>2</v>
      </c>
      <c r="P235" s="10" t="str">
        <f>IFERROR(__xludf.DUMMYFUNCTION("""COMPUTED_VALUE"""),"LIMITED")</f>
        <v>LIMITED</v>
      </c>
      <c r="Q235" s="11">
        <f>IFERROR(__xludf.DUMMYFUNCTION("""COMPUTED_VALUE"""),45967.0)</f>
        <v>45967</v>
      </c>
      <c r="R235" s="9" t="str">
        <f>IFERROR(__xludf.DUMMYFUNCTION("""COMPUTED_VALUE"""),"Unlikely to get a response by calling this line.")</f>
        <v>Unlikely to get a response by calling this line.</v>
      </c>
      <c r="S235" s="9" t="str">
        <f>IFERROR(__xludf.DUMMYFUNCTION("""COMPUTED_VALUE"""),"Rapid Rehousing Program.  However, there is nothing rapid about this.  There is a long waiting list and it is best to do the intake by going in person to a Coalition for the Homeless Partner rather than calling this hotline.  Organizations that are partne"&amp;"rs are flagged as such under requirements but nearly all homeless shelters are partners.
Must be currently homeless to qualify. Living in a hotel or shelter qualifies.")</f>
        <v>Rapid Rehousing Program.  However, there is nothing rapid about this.  There is a long waiting list and it is best to do the intake by going in person to a Coalition for the Homeless Partner rather than calling this hotline.  Organizations that are partners are flagged as such under requirements but nearly all homeless shelters are partners.
Must be currently homeless to qualify. Living in a hotel or shelter qualifies.</v>
      </c>
      <c r="T235" s="12" t="b">
        <f>IFERROR(__xludf.DUMMYFUNCTION("""COMPUTED_VALUE"""),FALSE)</f>
        <v>0</v>
      </c>
      <c r="U235" s="12" t="b">
        <f>IFERROR(__xludf.DUMMYFUNCTION("""COMPUTED_VALUE"""),FALSE)</f>
        <v>0</v>
      </c>
      <c r="V235" s="13" t="str">
        <f>IFERROR(__xludf.DUMMYFUNCTION("""COMPUTED_VALUE"""),"https://www.cfthhouston.org/")</f>
        <v>https://www.cfthhouston.org/</v>
      </c>
      <c r="W235" s="14" t="str">
        <f>IFERROR(__xludf.DUMMYFUNCTION("""COMPUTED_VALUE"""),"https://www.google.com/maps/place/Coalition+for+the+Homeless+of+Houston%2FHarris+County/@29.7460168,-95.3712344,17z/data=!3m2!4b1!5s0x8640bf168aa71315:0x21872ff2ea0f1ffe!4m6!3m5!1s0x8640bf3be4e7bf41:0xe740d0842b94faaf!8m2!3d29.7460122!4d-95.3663581!16s%2F"&amp;"g%2F1hc35nzp4?entry=ttu&amp;g_ep=EgoyMDI1MTIwOS4wIKXMDSoKLDEwMDc5MjA2OUgBUAM%3D")</f>
        <v>https://www.google.com/maps/place/Coalition+for+the+Homeless+of+Houston%2FHarris+County/@29.7460168,-95.3712344,17z/data=!3m2!4b1!5s0x8640bf168aa71315:0x21872ff2ea0f1ffe!4m6!3m5!1s0x8640bf3be4e7bf41:0xe740d0842b94faaf!8m2!3d29.7460122!4d-95.3663581!16s%2Fg%2F1hc35nzp4?entry=ttu&amp;g_ep=EgoyMDI1MTIwOS4wIKXMDSoKLDEwMDc5MjA2OUgBUAM%3D</v>
      </c>
      <c r="X235" s="10"/>
      <c r="Y235" s="9" t="str">
        <f>IFERROR(__xludf.DUMMYFUNCTION("""COMPUTED_VALUE"""),"Houston")</f>
        <v>Houston</v>
      </c>
      <c r="Z235"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235" s="9" t="str">
        <f>IFERROR(__xludf.DUMMYFUNCTION("""COMPUTED_VALUE"""),"Coordinated Access Intake")</f>
        <v>Coordinated Access Intake</v>
      </c>
      <c r="AB235" s="9" t="str">
        <f>IFERROR(__xludf.DUMMYFUNCTION("""COMPUTED_VALUE"""),"South Central Houston")</f>
        <v>South Central Houston</v>
      </c>
    </row>
    <row r="236" ht="30.0" customHeight="1">
      <c r="A236" s="17">
        <v>235.0</v>
      </c>
      <c r="B236" s="8" t="str">
        <f>IFERROR(__xludf.DUMMYFUNCTION("""COMPUTED_VALUE"""),"[""99999""]")</f>
        <v>["99999"]</v>
      </c>
      <c r="C236" s="9" t="str">
        <f>IFERROR(__xludf.DUMMYFUNCTION("""COMPUTED_VALUE"""),"Cornerstone Gardens (RHF)")</f>
        <v>Cornerstone Gardens (RHF)</v>
      </c>
      <c r="D236" s="9" t="str">
        <f>IFERROR(__xludf.DUMMYFUNCTION("""COMPUTED_VALUE"""),"14522 Cornerstone Village Drive")</f>
        <v>14522 Cornerstone Village Drive</v>
      </c>
      <c r="E236" s="9"/>
      <c r="F236" s="10" t="str">
        <f>IFERROR(__xludf.DUMMYFUNCTION("""COMPUTED_VALUE"""),"Houston")</f>
        <v>Houston</v>
      </c>
      <c r="G236" s="9" t="str">
        <f>IFERROR(__xludf.DUMMYFUNCTION("""COMPUTED_VALUE"""),"TX")</f>
        <v>TX</v>
      </c>
      <c r="H236" s="9" t="str">
        <f>IFERROR(__xludf.DUMMYFUNCTION("""COMPUTED_VALUE"""),"77014")</f>
        <v>77014</v>
      </c>
      <c r="I236" s="9" t="str">
        <f>IFERROR(__xludf.DUMMYFUNCTION("""COMPUTED_VALUE"""),"281-580-8004")</f>
        <v>281-580-8004</v>
      </c>
      <c r="J236" s="9" t="str">
        <f>IFERROR(__xludf.DUMMYFUNCTION("""COMPUTED_VALUE"""),"29.9906281820294, -95.485562419257")</f>
        <v>29.9906281820294, -95.485562419257</v>
      </c>
      <c r="K236" s="9"/>
      <c r="L236" s="9"/>
      <c r="M236" s="10">
        <f>IFERROR(__xludf.DUMMYFUNCTION("""COMPUTED_VALUE"""),24.0)</f>
        <v>24</v>
      </c>
      <c r="N236" s="10" t="str">
        <f>IFERROR(__xludf.DUMMYFUNCTION("""COMPUTED_VALUE"""),"Housing")</f>
        <v>Housing</v>
      </c>
      <c r="O236" s="10">
        <f>IFERROR(__xludf.DUMMYFUNCTION("""COMPUTED_VALUE"""),1.0)</f>
        <v>1</v>
      </c>
      <c r="P236" s="10" t="str">
        <f>IFERROR(__xludf.DUMMYFUNCTION("""COMPUTED_VALUE"""),"ACTIVE")</f>
        <v>ACTIVE</v>
      </c>
      <c r="Q236" s="11">
        <f>IFERROR(__xludf.DUMMYFUNCTION("""COMPUTED_VALUE"""),45791.0)</f>
        <v>45791</v>
      </c>
      <c r="R236" s="9" t="str">
        <f>IFERROR(__xludf.DUMMYFUNCTION("""COMPUTED_VALUE"""),"Verified online")</f>
        <v>Verified online</v>
      </c>
      <c r="S236" s="9" t="str">
        <f>IFERROR(__xludf.DUMMYFUNCTION("""COMPUTED_VALUE"""),"Subsidized housing for older adults (62+).
Rent is approx 30% of adjusted gross income.
A Retirement Housing Foundation (RHF) community.")</f>
        <v>Subsidized housing for older adults (62+).
Rent is approx 30% of adjusted gross income.
A Retirement Housing Foundation (RHF) community.</v>
      </c>
      <c r="T236" s="12" t="b">
        <f>IFERROR(__xludf.DUMMYFUNCTION("""COMPUTED_VALUE"""),FALSE)</f>
        <v>0</v>
      </c>
      <c r="U236" s="12" t="b">
        <f>IFERROR(__xludf.DUMMYFUNCTION("""COMPUTED_VALUE"""),FALSE)</f>
        <v>0</v>
      </c>
      <c r="V236" s="13" t="str">
        <f>IFERROR(__xludf.DUMMYFUNCTION("""COMPUTED_VALUE"""),"https://rhf.org/cornerstone-gardens/")</f>
        <v>https://rhf.org/cornerstone-gardens/</v>
      </c>
      <c r="W236" s="14" t="str">
        <f>IFERROR(__xludf.DUMMYFUNCTION("""COMPUTED_VALUE"""),"https://www.google.com/maps/place/Cornerstone+Garden+Apartments/@29.99105,-95.484959,16z/data=!4m6!3m5!1s0x8640cc7ba48de0d7:0x1978e87cff30674e!8m2!3d29.9910503!4d-95.4849588!16s%2Fg%2F1tm8kzm1?hl=en&amp;entry=ttu&amp;g_ep=EgoyMDI1MDUxMS4wIKXMDSoASAFQAw%3D%3D")</f>
        <v>https://www.google.com/maps/place/Cornerstone+Garden+Apartments/@29.99105,-95.484959,16z/data=!4m6!3m5!1s0x8640cc7ba48de0d7:0x1978e87cff30674e!8m2!3d29.9910503!4d-95.4849588!16s%2Fg%2F1tm8kzm1?hl=en&amp;entry=ttu&amp;g_ep=EgoyMDI1MDUxMS4wIKXMDSoASAFQAw%3D%3D</v>
      </c>
      <c r="X236" s="10"/>
      <c r="Y236" s="9" t="str">
        <f>IFERROR(__xludf.DUMMYFUNCTION("""COMPUTED_VALUE"""),"Houston")</f>
        <v>Houston</v>
      </c>
      <c r="Z236" s="9" t="str">
        <f>IFERROR(__xludf.DUMMYFUNCTION("""COMPUTED_VALUE"""),"Bammel Village, Cornerstone Village North, Northchase")</f>
        <v>Bammel Village, Cornerstone Village North, Northchase</v>
      </c>
      <c r="AA236" s="9" t="str">
        <f>IFERROR(__xludf.DUMMYFUNCTION("""COMPUTED_VALUE"""),"Cornerstone Gardens (RHF)")</f>
        <v>Cornerstone Gardens (RHF)</v>
      </c>
      <c r="AB236" s="9" t="str">
        <f>IFERROR(__xludf.DUMMYFUNCTION("""COMPUTED_VALUE"""),"Cornerstone Village North")</f>
        <v>Cornerstone Village North</v>
      </c>
    </row>
    <row r="237" ht="30.0" customHeight="1">
      <c r="A237" s="17">
        <v>236.0</v>
      </c>
      <c r="B237" s="8" t="str">
        <f>IFERROR(__xludf.DUMMYFUNCTION("""COMPUTED_VALUE"""),"[""99999""]")</f>
        <v>["99999"]</v>
      </c>
      <c r="C237" s="9" t="str">
        <f>IFERROR(__xludf.DUMMYFUNCTION("""COMPUTED_VALUE"""),"Covenant House Texas")</f>
        <v>Covenant House Texas</v>
      </c>
      <c r="D237" s="9" t="str">
        <f>IFERROR(__xludf.DUMMYFUNCTION("""COMPUTED_VALUE"""),"3412 Beulah Street")</f>
        <v>3412 Beulah Street</v>
      </c>
      <c r="E237" s="9"/>
      <c r="F237" s="9" t="str">
        <f>IFERROR(__xludf.DUMMYFUNCTION("""COMPUTED_VALUE"""),"Houston")</f>
        <v>Houston</v>
      </c>
      <c r="G237" s="9" t="str">
        <f>IFERROR(__xludf.DUMMYFUNCTION("""COMPUTED_VALUE"""),"TX")</f>
        <v>TX</v>
      </c>
      <c r="H237" s="9" t="str">
        <f>IFERROR(__xludf.DUMMYFUNCTION("""COMPUTED_VALUE"""),"77004")</f>
        <v>77004</v>
      </c>
      <c r="I237" s="9" t="str">
        <f>IFERROR(__xludf.DUMMYFUNCTION("""COMPUTED_VALUE"""),"713-523-2231
713-630-5601 (After 3 PM)")</f>
        <v>713-523-2231
713-630-5601 (After 3 PM)</v>
      </c>
      <c r="J237" s="9" t="str">
        <f>IFERROR(__xludf.DUMMYFUNCTION("""COMPUTED_VALUE"""),"29.7295174489796, -95.3528269795918")</f>
        <v>29.7295174489796, -95.3528269795918</v>
      </c>
      <c r="K237" s="9" t="str">
        <f>IFERROR(__xludf.DUMMYFUNCTION("""COMPUTED_VALUE"""),"{""regular"":[{""days"":[""Mo"",""Tu"",""We"",""Th"",""Fr"",""Sa"",""Su""],""open"":""15:00"",""close"":""22:00""}]}")</f>
        <v>{"regular":[{"days":["Mo","Tu","We","Th","Fr","Sa","Su"],"open":"15:00","close":"22:00"}]}</v>
      </c>
      <c r="L237" s="9" t="str">
        <f>IFERROR(__xludf.DUMMYFUNCTION("""COMPUTED_VALUE"""),"Intake hours")</f>
        <v>Intake hours</v>
      </c>
      <c r="M237" s="10">
        <f>IFERROR(__xludf.DUMMYFUNCTION("""COMPUTED_VALUE"""),22.0)</f>
        <v>22</v>
      </c>
      <c r="N237" s="10" t="str">
        <f>IFERROR(__xludf.DUMMYFUNCTION("""COMPUTED_VALUE"""),"Homeless - Day Centers")</f>
        <v>Homeless - Day Centers</v>
      </c>
      <c r="O237" s="10">
        <f>IFERROR(__xludf.DUMMYFUNCTION("""COMPUTED_VALUE"""),1.0)</f>
        <v>1</v>
      </c>
      <c r="P237" s="10" t="str">
        <f>IFERROR(__xludf.DUMMYFUNCTION("""COMPUTED_VALUE"""),"ACTIVE")</f>
        <v>ACTIVE</v>
      </c>
      <c r="Q237" s="11"/>
      <c r="R237" s="9"/>
      <c r="S237" s="9" t="str">
        <f>IFERROR(__xludf.DUMMYFUNCTION("""COMPUTED_VALUE"""),"For youths aged 18-24
Services include meals, laundry, clothing and showers.
Access to clinic
Transitional Housing
Participant in Rapid Rehousing Program
")</f>
        <v>For youths aged 18-24
Services include meals, laundry, clothing and showers.
Access to clinic
Transitional Housing
Participant in Rapid Rehousing Program
</v>
      </c>
      <c r="T237" s="12" t="b">
        <f>IFERROR(__xludf.DUMMYFUNCTION("""COMPUTED_VALUE"""),FALSE)</f>
        <v>0</v>
      </c>
      <c r="U237" s="12" t="b">
        <f>IFERROR(__xludf.DUMMYFUNCTION("""COMPUTED_VALUE"""),FALSE)</f>
        <v>0</v>
      </c>
      <c r="V237" s="12"/>
      <c r="W237" s="10"/>
      <c r="X237" s="10"/>
      <c r="Y237" s="9" t="str">
        <f>IFERROR(__xludf.DUMMYFUNCTION("""COMPUTED_VALUE"""),"Houston")</f>
        <v>Houston</v>
      </c>
      <c r="Z237"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237" s="9" t="str">
        <f>IFERROR(__xludf.DUMMYFUNCTION("""COMPUTED_VALUE"""),"Covenant House Texas")</f>
        <v>Covenant House Texas</v>
      </c>
      <c r="AB237" s="9" t="str">
        <f>IFERROR(__xludf.DUMMYFUNCTION("""COMPUTED_VALUE"""),"South Side")</f>
        <v>South Side</v>
      </c>
    </row>
    <row r="238" ht="30.0" customHeight="1">
      <c r="A238" s="17">
        <v>237.0</v>
      </c>
      <c r="B238" s="8" t="str">
        <f>IFERROR(__xludf.DUMMYFUNCTION("""COMPUTED_VALUE"""),"[""99999""]")</f>
        <v>["99999"]</v>
      </c>
      <c r="C238" s="9" t="str">
        <f>IFERROR(__xludf.DUMMYFUNCTION("""COMPUTED_VALUE"""),"Creekbend Gardens (RHF)")</f>
        <v>Creekbend Gardens (RHF)</v>
      </c>
      <c r="D238" s="9" t="str">
        <f>IFERROR(__xludf.DUMMYFUNCTION("""COMPUTED_VALUE"""),"8106 Creekbend Drive")</f>
        <v>8106 Creekbend Drive</v>
      </c>
      <c r="E238" s="9"/>
      <c r="F238" s="9" t="str">
        <f>IFERROR(__xludf.DUMMYFUNCTION("""COMPUTED_VALUE"""),"Houston")</f>
        <v>Houston</v>
      </c>
      <c r="G238" s="9" t="str">
        <f>IFERROR(__xludf.DUMMYFUNCTION("""COMPUTED_VALUE"""),"TX")</f>
        <v>TX</v>
      </c>
      <c r="H238" s="9" t="str">
        <f>IFERROR(__xludf.DUMMYFUNCTION("""COMPUTED_VALUE"""),"77071")</f>
        <v>77071</v>
      </c>
      <c r="I238" s="9" t="str">
        <f>IFERROR(__xludf.DUMMYFUNCTION("""COMPUTED_VALUE"""),"713-272-7717")</f>
        <v>713-272-7717</v>
      </c>
      <c r="J238" s="9" t="str">
        <f>IFERROR(__xludf.DUMMYFUNCTION("""COMPUTED_VALUE"""),"29.665566, -95.521525")</f>
        <v>29.665566, -95.521525</v>
      </c>
      <c r="K238" s="9"/>
      <c r="L238" s="9"/>
      <c r="M238" s="10">
        <f>IFERROR(__xludf.DUMMYFUNCTION("""COMPUTED_VALUE"""),24.0)</f>
        <v>24</v>
      </c>
      <c r="N238" s="10" t="str">
        <f>IFERROR(__xludf.DUMMYFUNCTION("""COMPUTED_VALUE"""),"Housing")</f>
        <v>Housing</v>
      </c>
      <c r="O238" s="10">
        <f>IFERROR(__xludf.DUMMYFUNCTION("""COMPUTED_VALUE"""),1.0)</f>
        <v>1</v>
      </c>
      <c r="P238" s="10" t="str">
        <f>IFERROR(__xludf.DUMMYFUNCTION("""COMPUTED_VALUE"""),"ACTIVE")</f>
        <v>ACTIVE</v>
      </c>
      <c r="Q238" s="11">
        <f>IFERROR(__xludf.DUMMYFUNCTION("""COMPUTED_VALUE"""),45791.0)</f>
        <v>45791</v>
      </c>
      <c r="R238" s="9" t="str">
        <f>IFERROR(__xludf.DUMMYFUNCTION("""COMPUTED_VALUE"""),"Verified online")</f>
        <v>Verified online</v>
      </c>
      <c r="S238" s="9" t="str">
        <f>IFERROR(__xludf.DUMMYFUNCTION("""COMPUTED_VALUE"""),"Subsidised housing for older adults (62+).
Rent is approx 30% of adjusted gross income.
A Retirement Housing Foundation (RHF) community.")</f>
        <v>Subsidised housing for older adults (62+).
Rent is approx 30% of adjusted gross income.
A Retirement Housing Foundation (RHF) community.</v>
      </c>
      <c r="T238" s="12" t="b">
        <f>IFERROR(__xludf.DUMMYFUNCTION("""COMPUTED_VALUE"""),FALSE)</f>
        <v>0</v>
      </c>
      <c r="U238" s="12" t="b">
        <f>IFERROR(__xludf.DUMMYFUNCTION("""COMPUTED_VALUE"""),FALSE)</f>
        <v>0</v>
      </c>
      <c r="V238" s="13" t="str">
        <f>IFERROR(__xludf.DUMMYFUNCTION("""COMPUTED_VALUE"""),"https://rhf.org/creekbend-gardens/")</f>
        <v>https://rhf.org/creekbend-gardens/</v>
      </c>
      <c r="W238" s="14" t="str">
        <f>IFERROR(__xludf.DUMMYFUNCTION("""COMPUTED_VALUE"""),"https://www.google.com/maps/place/Creekbend+Garden+Apartments/@29.6656788,-95.5219628,16z/data=!4m15!1m8!3m7!1s0x8640e82cfa2f680b:0x891c8618852f7712!2sCreekbend+Garden+Apartments!8m2!3d29.665854!4d-95.5219476!10e5!16s%2Fg%2F1v8k__jt!3m5!1s0x8640e82cfa2f68"&amp;"0b:0x891c8618852f7712!8m2!3d29.665854!4d-95.5219476!16s%2Fg%2F1v8k__jt?entry=ttu&amp;g_ep=EgoyMDI1MDUxMS4wIKXMDSoASAFQAw%3D%3D")</f>
        <v>https://www.google.com/maps/place/Creekbend+Garden+Apartments/@29.6656788,-95.5219628,16z/data=!4m15!1m8!3m7!1s0x8640e82cfa2f680b:0x891c8618852f7712!2sCreekbend+Garden+Apartments!8m2!3d29.665854!4d-95.5219476!10e5!16s%2Fg%2F1v8k__jt!3m5!1s0x8640e82cfa2f680b:0x891c8618852f7712!8m2!3d29.665854!4d-95.5219476!16s%2Fg%2F1v8k__jt?entry=ttu&amp;g_ep=EgoyMDI1MDUxMS4wIKXMDSoASAFQAw%3D%3D</v>
      </c>
      <c r="X238" s="10"/>
      <c r="Y238" s="9" t="str">
        <f>IFERROR(__xludf.DUMMYFUNCTION("""COMPUTED_VALUE"""),"Houston")</f>
        <v>Houston</v>
      </c>
      <c r="Z238" s="9" t="str">
        <f>IFERROR(__xludf.DUMMYFUNCTION("""COMPUTED_VALUE"""),"Brays Oaks, Fondren Gardens, Westbury")</f>
        <v>Brays Oaks, Fondren Gardens, Westbury</v>
      </c>
      <c r="AA238" s="9" t="str">
        <f>IFERROR(__xludf.DUMMYFUNCTION("""COMPUTED_VALUE"""),"Creekbend Gardens (RHF)")</f>
        <v>Creekbend Gardens (RHF)</v>
      </c>
      <c r="AB238" s="9" t="str">
        <f>IFERROR(__xludf.DUMMYFUNCTION("""COMPUTED_VALUE"""),"Brays Oaks")</f>
        <v>Brays Oaks</v>
      </c>
    </row>
    <row r="239" ht="30.0" customHeight="1">
      <c r="A239" s="17">
        <v>238.0</v>
      </c>
      <c r="B239" s="8" t="str">
        <f>IFERROR(__xludf.DUMMYFUNCTION("""COMPUTED_VALUE"""),"[""77040"", ""77041"", ""77064"", ""77065"", ""77066"", ""77069"", ""77070"", ""77084"", ""77088"", ""77092"", ""77095"", ""77429"", ""77433"", ""77449""]")</f>
        <v>["77040", "77041", "77064", "77065", "77066", "77069", "77070", "77084", "77088", "77092", "77095", "77429", "77433", "77449"]</v>
      </c>
      <c r="C239" s="9" t="str">
        <f>IFERROR(__xludf.DUMMYFUNCTION("""COMPUTED_VALUE"""),"Cy-Fair Helping Hands")</f>
        <v>Cy-Fair Helping Hands</v>
      </c>
      <c r="D239" s="9" t="str">
        <f>IFERROR(__xludf.DUMMYFUNCTION("""COMPUTED_VALUE"""),"9204 Emmott Road")</f>
        <v>9204 Emmott Road</v>
      </c>
      <c r="E239" s="9"/>
      <c r="F239" s="9" t="str">
        <f>IFERROR(__xludf.DUMMYFUNCTION("""COMPUTED_VALUE"""),"Houston")</f>
        <v>Houston</v>
      </c>
      <c r="G239" s="9" t="str">
        <f>IFERROR(__xludf.DUMMYFUNCTION("""COMPUTED_VALUE"""),"TX")</f>
        <v>TX</v>
      </c>
      <c r="H239" s="9" t="str">
        <f>IFERROR(__xludf.DUMMYFUNCTION("""COMPUTED_VALUE"""),"77040")</f>
        <v>77040</v>
      </c>
      <c r="I239" s="9" t="str">
        <f>IFERROR(__xludf.DUMMYFUNCTION("""COMPUTED_VALUE"""),"281-858-1222")</f>
        <v>281-858-1222</v>
      </c>
      <c r="J239" s="9" t="str">
        <f>IFERROR(__xludf.DUMMYFUNCTION("""COMPUTED_VALUE"""),"29.873961, -95.537644")</f>
        <v>29.873961, -95.537644</v>
      </c>
      <c r="K239" s="9" t="str">
        <f>IFERROR(__xludf.DUMMYFUNCTION("""COMPUTED_VALUE"""),"{""regular"":[{""days"":[""Mo"",""Th""],""open"":null,""close"":null}],""special"":[{""pattern"":""1st &amp; 3rd Sa"",""open"":""10:00"",""close"":""13:00""}]}")</f>
        <v>{"regular":[{"days":["Mo","Th"],"open":null,"close":null}],"special":[{"pattern":"1st &amp; 3rd Sa","open":"10:00","close":"13:00"}]}</v>
      </c>
      <c r="L239" s="9"/>
      <c r="M239" s="10">
        <f>IFERROR(__xludf.DUMMYFUNCTION("""COMPUTED_VALUE"""),13.0)</f>
        <v>13</v>
      </c>
      <c r="N239" s="10" t="str">
        <f>IFERROR(__xludf.DUMMYFUNCTION("""COMPUTED_VALUE"""),"Food")</f>
        <v>Food</v>
      </c>
      <c r="O239" s="10">
        <f>IFERROR(__xludf.DUMMYFUNCTION("""COMPUTED_VALUE"""),1.0)</f>
        <v>1</v>
      </c>
      <c r="P239" s="10" t="str">
        <f>IFERROR(__xludf.DUMMYFUNCTION("""COMPUTED_VALUE"""),"ACTIVE")</f>
        <v>ACTIVE</v>
      </c>
      <c r="Q239" s="11"/>
      <c r="R239" s="9"/>
      <c r="S239" s="9" t="str">
        <f>IFERROR(__xludf.DUMMYFUNCTION("""COMPUTED_VALUE"""),"By appointment only.
Schedule appointment online.
Photo ID
Proof of residence, e.g. utility bill.
Proof of household income, e.g. pay stubs or bank statements.")</f>
        <v>By appointment only.
Schedule appointment online.
Photo ID
Proof of residence, e.g. utility bill.
Proof of household income, e.g. pay stubs or bank statements.</v>
      </c>
      <c r="T239" s="12" t="b">
        <f>IFERROR(__xludf.DUMMYFUNCTION("""COMPUTED_VALUE"""),FALSE)</f>
        <v>0</v>
      </c>
      <c r="U239" s="12" t="b">
        <f>IFERROR(__xludf.DUMMYFUNCTION("""COMPUTED_VALUE"""),FALSE)</f>
        <v>0</v>
      </c>
      <c r="V239" s="13" t="str">
        <f>IFERROR(__xludf.DUMMYFUNCTION("""COMPUTED_VALUE"""),"https://www.cyfairhelpinghands.org/")</f>
        <v>https://www.cyfairhelpinghands.org/</v>
      </c>
      <c r="W239" s="14" t="str">
        <f>IFERROR(__xludf.DUMMYFUNCTION("""COMPUTED_VALUE"""),"https://www.google.com/maps/place/Cy-Fair+Helping+Hands/@29.8744013,-95.5402025,16z/data=!4m15!1m8!3m7!1s0x8640cf939981d6eb:0x77f802779089a135!2s9204+Emmott+Rd,+Houston,+TX+77040!3b1!8m2!3d29.8743967!4d-95.5376222!16s%2Fg%2F11bw3_fjp_!3m5!1s0x8640d0cdfdfa"&amp;"947b:0x42e82c1551fdc46f!8m2!3d29.8743676!4d-95.5376547!16s%2Fg%2F11b6llrrc9?entry=ttu&amp;g_ep=EgoyMDI0MTAwOS4wIKXMDSoASAFQAw%3D%3D")</f>
        <v>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v>
      </c>
      <c r="X239" s="10"/>
      <c r="Y239" s="9" t="str">
        <f>IFERROR(__xludf.DUMMYFUNCTION("""COMPUTED_VALUE"""),"Houston")</f>
        <v>Houston</v>
      </c>
      <c r="Z239" s="9" t="str">
        <f>IFERROR(__xludf.DUMMYFUNCTION("""COMPUTED_VALUE"""),"Fairbanks / Northwest Crossing, Jersey Village, Northside, Oak Hollow")</f>
        <v>Fairbanks / Northwest Crossing, Jersey Village, Northside, Oak Hollow</v>
      </c>
      <c r="AA239" s="9" t="str">
        <f>IFERROR(__xludf.DUMMYFUNCTION("""COMPUTED_VALUE"""),"Cy-Fair Helping Hands")</f>
        <v>Cy-Fair Helping Hands</v>
      </c>
      <c r="AB239" s="9" t="str">
        <f>IFERROR(__xludf.DUMMYFUNCTION("""COMPUTED_VALUE"""),"Oak Hollow")</f>
        <v>Oak Hollow</v>
      </c>
    </row>
    <row r="240" ht="30.0" customHeight="1">
      <c r="A240" s="17">
        <v>239.0</v>
      </c>
      <c r="B240" s="8" t="str">
        <f>IFERROR(__xludf.DUMMYFUNCTION("""COMPUTED_VALUE"""),"[""77040"", ""77041"", ""77064"", ""77065"", ""77066"", ""77069"", ""77070"", ""77084"", ""77088"", ""77092"", ""77095"", ""77429"", ""77433"", ""77449""]")</f>
        <v>["77040", "77041", "77064", "77065", "77066", "77069", "77070", "77084", "77088", "77092", "77095", "77429", "77433", "77449"]</v>
      </c>
      <c r="C240" s="9" t="str">
        <f>IFERROR(__xludf.DUMMYFUNCTION("""COMPUTED_VALUE"""),"Cy-Fair Helping Hands")</f>
        <v>Cy-Fair Helping Hands</v>
      </c>
      <c r="D240" s="9" t="str">
        <f>IFERROR(__xludf.DUMMYFUNCTION("""COMPUTED_VALUE"""),"9204 Emmott Road")</f>
        <v>9204 Emmott Road</v>
      </c>
      <c r="E240" s="9"/>
      <c r="F240" s="9" t="str">
        <f>IFERROR(__xludf.DUMMYFUNCTION("""COMPUTED_VALUE"""),"Houston")</f>
        <v>Houston</v>
      </c>
      <c r="G240" s="9" t="str">
        <f>IFERROR(__xludf.DUMMYFUNCTION("""COMPUTED_VALUE"""),"TX")</f>
        <v>TX</v>
      </c>
      <c r="H240" s="9" t="str">
        <f>IFERROR(__xludf.DUMMYFUNCTION("""COMPUTED_VALUE"""),"77040")</f>
        <v>77040</v>
      </c>
      <c r="I240" s="9" t="str">
        <f>IFERROR(__xludf.DUMMYFUNCTION("""COMPUTED_VALUE"""),"281-858-1222")</f>
        <v>281-858-1222</v>
      </c>
      <c r="J240" s="9" t="str">
        <f>IFERROR(__xludf.DUMMYFUNCTION("""COMPUTED_VALUE"""),"29.873961, -95.537644")</f>
        <v>29.873961, -95.537644</v>
      </c>
      <c r="K240" s="9" t="str">
        <f>IFERROR(__xludf.DUMMYFUNCTION("""COMPUTED_VALUE"""),"{""regular"":[{""days"":[""Tu"",""We""],""open"":null,""close"":null}]}")</f>
        <v>{"regular":[{"days":["Tu","We"],"open":null,"close":null}]}</v>
      </c>
      <c r="L240" s="9"/>
      <c r="M240" s="10">
        <f>IFERROR(__xludf.DUMMYFUNCTION("""COMPUTED_VALUE"""),22.0)</f>
        <v>22</v>
      </c>
      <c r="N240" s="10" t="str">
        <f>IFERROR(__xludf.DUMMYFUNCTION("""COMPUTED_VALUE"""),"Homeless - Day Centers")</f>
        <v>Homeless - Day Centers</v>
      </c>
      <c r="O240" s="10">
        <f>IFERROR(__xludf.DUMMYFUNCTION("""COMPUTED_VALUE"""),1.0)</f>
        <v>1</v>
      </c>
      <c r="P240" s="10" t="str">
        <f>IFERROR(__xludf.DUMMYFUNCTION("""COMPUTED_VALUE"""),"ACTIVE")</f>
        <v>ACTIVE</v>
      </c>
      <c r="Q240" s="11"/>
      <c r="R240" s="9"/>
      <c r="S240" s="9" t="str">
        <f>IFERROR(__xludf.DUMMYFUNCTION("""COMPUTED_VALUE"""),"Coalition for the Homeless (CFTH) Partner
Meals, clean clothing and toiletries/hygiene kit.
Structured recovery program
Closed certain holidays. Check website.")</f>
        <v>Coalition for the Homeless (CFTH) Partner
Meals, clean clothing and toiletries/hygiene kit.
Structured recovery program
Closed certain holidays. Check website.</v>
      </c>
      <c r="T240" s="12" t="b">
        <f>IFERROR(__xludf.DUMMYFUNCTION("""COMPUTED_VALUE"""),FALSE)</f>
        <v>0</v>
      </c>
      <c r="U240" s="12" t="b">
        <f>IFERROR(__xludf.DUMMYFUNCTION("""COMPUTED_VALUE"""),FALSE)</f>
        <v>0</v>
      </c>
      <c r="V240" s="13" t="str">
        <f>IFERROR(__xludf.DUMMYFUNCTION("""COMPUTED_VALUE"""),"https://www.cyfairhelpinghands.org/")</f>
        <v>https://www.cyfairhelpinghands.org/</v>
      </c>
      <c r="W240" s="14" t="str">
        <f>IFERROR(__xludf.DUMMYFUNCTION("""COMPUTED_VALUE"""),"https://www.google.com/maps/place/Cy-Fair+Helping+Hands/@29.8744013,-95.5402025,16z/data=!4m15!1m8!3m7!1s0x8640cf939981d6eb:0x77f802779089a135!2s9204+Emmott+Rd,+Houston,+TX+77040!3b1!8m2!3d29.8743967!4d-95.5376222!16s%2Fg%2F11bw3_fjp_!3m5!1s0x8640d0cdfdfa"&amp;"947b:0x42e82c1551fdc46f!8m2!3d29.8743676!4d-95.5376547!16s%2Fg%2F11b6llrrc9?entry=ttu&amp;g_ep=EgoyMDI0MTAwOS4wIKXMDSoASAFQAw%3D%3D")</f>
        <v>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v>
      </c>
      <c r="X240" s="10"/>
      <c r="Y240" s="9" t="str">
        <f>IFERROR(__xludf.DUMMYFUNCTION("""COMPUTED_VALUE"""),"Houston")</f>
        <v>Houston</v>
      </c>
      <c r="Z240" s="9" t="str">
        <f>IFERROR(__xludf.DUMMYFUNCTION("""COMPUTED_VALUE"""),"Fairbanks / Northwest Crossing, Jersey Village, Northside, Oak Hollow")</f>
        <v>Fairbanks / Northwest Crossing, Jersey Village, Northside, Oak Hollow</v>
      </c>
      <c r="AA240" s="9" t="str">
        <f>IFERROR(__xludf.DUMMYFUNCTION("""COMPUTED_VALUE"""),"Cy-Fair Helping Hands")</f>
        <v>Cy-Fair Helping Hands</v>
      </c>
      <c r="AB240" s="9" t="str">
        <f>IFERROR(__xludf.DUMMYFUNCTION("""COMPUTED_VALUE"""),"Oak Hollow")</f>
        <v>Oak Hollow</v>
      </c>
    </row>
    <row r="241" ht="30.0" customHeight="1">
      <c r="A241" s="17">
        <v>240.0</v>
      </c>
      <c r="B241" s="8" t="str">
        <f>IFERROR(__xludf.DUMMYFUNCTION("""COMPUTED_VALUE"""),"[""77040"", ""77041"", ""77064"", ""77065"", ""77066"", ""77069"", ""77070"", ""77084"", ""77088"", ""77092"", ""77095"", ""77429"", ""77433"", ""77449""]")</f>
        <v>["77040", "77041", "77064", "77065", "77066", "77069", "77070", "77084", "77088", "77092", "77095", "77429", "77433", "77449"]</v>
      </c>
      <c r="C241" s="9" t="str">
        <f>IFERROR(__xludf.DUMMYFUNCTION("""COMPUTED_VALUE"""),"Cy-Fair Helping Hands")</f>
        <v>Cy-Fair Helping Hands</v>
      </c>
      <c r="D241" s="9" t="str">
        <f>IFERROR(__xludf.DUMMYFUNCTION("""COMPUTED_VALUE"""),"9204 Emmott Road")</f>
        <v>9204 Emmott Road</v>
      </c>
      <c r="E241" s="9"/>
      <c r="F241" s="9" t="str">
        <f>IFERROR(__xludf.DUMMYFUNCTION("""COMPUTED_VALUE"""),"Houston")</f>
        <v>Houston</v>
      </c>
      <c r="G241" s="9" t="str">
        <f>IFERROR(__xludf.DUMMYFUNCTION("""COMPUTED_VALUE"""),"TX")</f>
        <v>TX</v>
      </c>
      <c r="H241" s="9" t="str">
        <f>IFERROR(__xludf.DUMMYFUNCTION("""COMPUTED_VALUE"""),"77040")</f>
        <v>77040</v>
      </c>
      <c r="I241" s="9" t="str">
        <f>IFERROR(__xludf.DUMMYFUNCTION("""COMPUTED_VALUE"""),"281-858-1222")</f>
        <v>281-858-1222</v>
      </c>
      <c r="J241" s="9" t="str">
        <f>IFERROR(__xludf.DUMMYFUNCTION("""COMPUTED_VALUE"""),"29.873961, -95.537644")</f>
        <v>29.873961, -95.537644</v>
      </c>
      <c r="K241" s="9" t="str">
        <f>IFERROR(__xludf.DUMMYFUNCTION("""COMPUTED_VALUE"""),"{""regular"":[{""days"":[""Mo"",""Th""],""open"":""09:30"",""close"":""12:30""}]}")</f>
        <v>{"regular":[{"days":["Mo","Th"],"open":"09:30","close":"12:30"}]}</v>
      </c>
      <c r="L241" s="9" t="str">
        <f>IFERROR(__xludf.DUMMYFUNCTION("""COMPUTED_VALUE"""),"Apply online")</f>
        <v>Apply online</v>
      </c>
      <c r="M241" s="10">
        <f>IFERROR(__xludf.DUMMYFUNCTION("""COMPUTED_VALUE"""),24.0)</f>
        <v>24</v>
      </c>
      <c r="N241" s="10" t="str">
        <f>IFERROR(__xludf.DUMMYFUNCTION("""COMPUTED_VALUE"""),"Housing")</f>
        <v>Housing</v>
      </c>
      <c r="O241" s="10">
        <f>IFERROR(__xludf.DUMMYFUNCTION("""COMPUTED_VALUE"""),2.0)</f>
        <v>2</v>
      </c>
      <c r="P241" s="10" t="str">
        <f>IFERROR(__xludf.DUMMYFUNCTION("""COMPUTED_VALUE"""),"LIMITED")</f>
        <v>LIMITED</v>
      </c>
      <c r="Q241" s="11">
        <f>IFERROR(__xludf.DUMMYFUNCTION("""COMPUTED_VALUE"""),45647.0)</f>
        <v>45647</v>
      </c>
      <c r="R241" s="9" t="str">
        <f>IFERROR(__xludf.DUMMYFUNCTION("""COMPUTED_VALUE"""),"Waiting list but continuing to take applications.")</f>
        <v>Waiting list but continuing to take applications.</v>
      </c>
      <c r="S241" s="9" t="str">
        <f>IFERROR(__xludf.DUMMYFUNCTION("""COMPUTED_VALUE"""),"Transitional housing.")</f>
        <v>Transitional housing.</v>
      </c>
      <c r="T241" s="12" t="b">
        <f>IFERROR(__xludf.DUMMYFUNCTION("""COMPUTED_VALUE"""),FALSE)</f>
        <v>0</v>
      </c>
      <c r="U241" s="12" t="b">
        <f>IFERROR(__xludf.DUMMYFUNCTION("""COMPUTED_VALUE"""),FALSE)</f>
        <v>0</v>
      </c>
      <c r="V241" s="13" t="str">
        <f>IFERROR(__xludf.DUMMYFUNCTION("""COMPUTED_VALUE"""),"https://www.cyfairhelpinghands.org/")</f>
        <v>https://www.cyfairhelpinghands.org/</v>
      </c>
      <c r="W241" s="14" t="str">
        <f>IFERROR(__xludf.DUMMYFUNCTION("""COMPUTED_VALUE"""),"https://www.google.com/maps/place/Cy-Fair+Helping+Hands/@29.8744013,-95.5402025,16z/data=!4m15!1m8!3m7!1s0x8640cf939981d6eb:0x77f802779089a135!2s9204+Emmott+Rd,+Houston,+TX+77040!3b1!8m2!3d29.8743967!4d-95.5376222!16s%2Fg%2F11bw3_fjp_!3m5!1s0x8640d0cdfdfa"&amp;"947b:0x42e82c1551fdc46f!8m2!3d29.8743676!4d-95.5376547!16s%2Fg%2F11b6llrrc9?entry=ttu&amp;g_ep=EgoyMDI0MTAwOS4wIKXMDSoASAFQAw%3D%3D")</f>
        <v>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v>
      </c>
      <c r="X241" s="10"/>
      <c r="Y241" s="9" t="str">
        <f>IFERROR(__xludf.DUMMYFUNCTION("""COMPUTED_VALUE"""),"Houston")</f>
        <v>Houston</v>
      </c>
      <c r="Z241" s="9" t="str">
        <f>IFERROR(__xludf.DUMMYFUNCTION("""COMPUTED_VALUE"""),"Fairbanks / Northwest Crossing, Jersey Village, Northside, Oak Hollow")</f>
        <v>Fairbanks / Northwest Crossing, Jersey Village, Northside, Oak Hollow</v>
      </c>
      <c r="AA241" s="9" t="str">
        <f>IFERROR(__xludf.DUMMYFUNCTION("""COMPUTED_VALUE"""),"Cy-Fair Helping Hands")</f>
        <v>Cy-Fair Helping Hands</v>
      </c>
      <c r="AB241" s="9" t="str">
        <f>IFERROR(__xludf.DUMMYFUNCTION("""COMPUTED_VALUE"""),"Oak Hollow")</f>
        <v>Oak Hollow</v>
      </c>
    </row>
    <row r="242" ht="30.0" customHeight="1">
      <c r="A242" s="17">
        <v>241.0</v>
      </c>
      <c r="B242" s="8" t="str">
        <f>IFERROR(__xludf.DUMMYFUNCTION("""COMPUTED_VALUE"""),"[""77040"", ""77041"", ""77064"", ""77065"", ""77066"", ""77069"", ""77070"", ""77084"", ""77088"", ""77092"", ""77095"", ""77429"", ""77433"", ""77449""]")</f>
        <v>["77040", "77041", "77064", "77065", "77066", "77069", "77070", "77084", "77088", "77092", "77095", "77429", "77433", "77449"]</v>
      </c>
      <c r="C242" s="9" t="str">
        <f>IFERROR(__xludf.DUMMYFUNCTION("""COMPUTED_VALUE"""),"Cy-Fair Helping Hands")</f>
        <v>Cy-Fair Helping Hands</v>
      </c>
      <c r="D242" s="9" t="str">
        <f>IFERROR(__xludf.DUMMYFUNCTION("""COMPUTED_VALUE"""),"9204 Emmott Road")</f>
        <v>9204 Emmott Road</v>
      </c>
      <c r="E242" s="9"/>
      <c r="F242" s="9" t="str">
        <f>IFERROR(__xludf.DUMMYFUNCTION("""COMPUTED_VALUE"""),"Houston")</f>
        <v>Houston</v>
      </c>
      <c r="G242" s="9" t="str">
        <f>IFERROR(__xludf.DUMMYFUNCTION("""COMPUTED_VALUE"""),"TX")</f>
        <v>TX</v>
      </c>
      <c r="H242" s="9" t="str">
        <f>IFERROR(__xludf.DUMMYFUNCTION("""COMPUTED_VALUE"""),"77040")</f>
        <v>77040</v>
      </c>
      <c r="I242" s="9" t="str">
        <f>IFERROR(__xludf.DUMMYFUNCTION("""COMPUTED_VALUE"""),"281-858-1222")</f>
        <v>281-858-1222</v>
      </c>
      <c r="J242" s="9" t="str">
        <f>IFERROR(__xludf.DUMMYFUNCTION("""COMPUTED_VALUE"""),"29.873961, -95.537644")</f>
        <v>29.873961, -95.537644</v>
      </c>
      <c r="K242" s="9"/>
      <c r="L242" s="9"/>
      <c r="M242" s="10">
        <f>IFERROR(__xludf.DUMMYFUNCTION("""COMPUTED_VALUE"""),64.0)</f>
        <v>64</v>
      </c>
      <c r="N242" s="10" t="str">
        <f>IFERROR(__xludf.DUMMYFUNCTION("""COMPUTED_VALUE"""),"Christmas")</f>
        <v>Christmas</v>
      </c>
      <c r="O242" s="10">
        <f>IFERROR(__xludf.DUMMYFUNCTION("""COMPUTED_VALUE"""),1.0)</f>
        <v>1</v>
      </c>
      <c r="P242" s="10" t="str">
        <f>IFERROR(__xludf.DUMMYFUNCTION("""COMPUTED_VALUE"""),"ACTIVE")</f>
        <v>ACTIVE</v>
      </c>
      <c r="Q242" s="11"/>
      <c r="R242" s="9"/>
      <c r="S242" s="9" t="str">
        <f>IFERROR(__xludf.DUMMYFUNCTION("""COMPUTED_VALUE"""),"Christmas Party.
Toys for kids.")</f>
        <v>Christmas Party.
Toys for kids.</v>
      </c>
      <c r="T242" s="12" t="b">
        <f>IFERROR(__xludf.DUMMYFUNCTION("""COMPUTED_VALUE"""),FALSE)</f>
        <v>0</v>
      </c>
      <c r="U242" s="12" t="b">
        <f>IFERROR(__xludf.DUMMYFUNCTION("""COMPUTED_VALUE"""),FALSE)</f>
        <v>0</v>
      </c>
      <c r="V242" s="13" t="str">
        <f>IFERROR(__xludf.DUMMYFUNCTION("""COMPUTED_VALUE"""),"https://www.cyfairhelpinghands.org/")</f>
        <v>https://www.cyfairhelpinghands.org/</v>
      </c>
      <c r="W242" s="14" t="str">
        <f>IFERROR(__xludf.DUMMYFUNCTION("""COMPUTED_VALUE"""),"https://www.google.com/maps/place/Cy-Fair+Helping+Hands/@29.8744013,-95.5402025,16z/data=!4m15!1m8!3m7!1s0x8640cf939981d6eb:0x77f802779089a135!2s9204+Emmott+Rd,+Houston,+TX+77040!3b1!8m2!3d29.8743967!4d-95.5376222!16s%2Fg%2F11bw3_fjp_!3m5!1s0x8640d0cdfdfa"&amp;"947b:0x42e82c1551fdc46f!8m2!3d29.8743676!4d-95.5376547!16s%2Fg%2F11b6llrrc9?entry=ttu&amp;g_ep=EgoyMDI0MTAwOS4wIKXMDSoASAFQAw%3D%3D")</f>
        <v>https://www.google.com/maps/place/Cy-Fair+Helping+Hands/@29.8744013,-95.5402025,16z/data=!4m15!1m8!3m7!1s0x8640cf939981d6eb:0x77f802779089a135!2s9204+Emmott+Rd,+Houston,+TX+77040!3b1!8m2!3d29.8743967!4d-95.5376222!16s%2Fg%2F11bw3_fjp_!3m5!1s0x8640d0cdfdfa947b:0x42e82c1551fdc46f!8m2!3d29.8743676!4d-95.5376547!16s%2Fg%2F11b6llrrc9?entry=ttu&amp;g_ep=EgoyMDI0MTAwOS4wIKXMDSoASAFQAw%3D%3D</v>
      </c>
      <c r="X242" s="10"/>
      <c r="Y242" s="9" t="str">
        <f>IFERROR(__xludf.DUMMYFUNCTION("""COMPUTED_VALUE"""),"Houston")</f>
        <v>Houston</v>
      </c>
      <c r="Z242" s="9" t="str">
        <f>IFERROR(__xludf.DUMMYFUNCTION("""COMPUTED_VALUE"""),"Fairbanks / Northwest Crossing, Jersey Village, Northside, Oak Hollow")</f>
        <v>Fairbanks / Northwest Crossing, Jersey Village, Northside, Oak Hollow</v>
      </c>
      <c r="AA242" s="9" t="str">
        <f>IFERROR(__xludf.DUMMYFUNCTION("""COMPUTED_VALUE"""),"Cy-Fair Helping Hands")</f>
        <v>Cy-Fair Helping Hands</v>
      </c>
      <c r="AB242" s="9" t="str">
        <f>IFERROR(__xludf.DUMMYFUNCTION("""COMPUTED_VALUE"""),"Oak Hollow")</f>
        <v>Oak Hollow</v>
      </c>
    </row>
    <row r="243" ht="30.0" customHeight="1">
      <c r="A243" s="17">
        <v>242.0</v>
      </c>
      <c r="B243" s="8" t="str">
        <f>IFERROR(__xludf.DUMMYFUNCTION("""COMPUTED_VALUE"""),"[""77065"", ""77095"", ""77429"", ""77433""]")</f>
        <v>["77065", "77095", "77429", "77433"]</v>
      </c>
      <c r="C243" s="9" t="str">
        <f>IFERROR(__xludf.DUMMYFUNCTION("""COMPUTED_VALUE"""),"Cypress Assistance Ministries")</f>
        <v>Cypress Assistance Ministries</v>
      </c>
      <c r="D243" s="9" t="str">
        <f>IFERROR(__xludf.DUMMYFUNCTION("""COMPUTED_VALUE"""),"12930 Cypress N Houston Road")</f>
        <v>12930 Cypress N Houston Road</v>
      </c>
      <c r="E243" s="9"/>
      <c r="F243" s="9" t="str">
        <f>IFERROR(__xludf.DUMMYFUNCTION("""COMPUTED_VALUE"""),"Houston")</f>
        <v>Houston</v>
      </c>
      <c r="G243" s="9" t="str">
        <f>IFERROR(__xludf.DUMMYFUNCTION("""COMPUTED_VALUE"""),"TX")</f>
        <v>TX</v>
      </c>
      <c r="H243" s="9" t="str">
        <f>IFERROR(__xludf.DUMMYFUNCTION("""COMPUTED_VALUE"""),"77429")</f>
        <v>77429</v>
      </c>
      <c r="I243" s="9" t="str">
        <f>IFERROR(__xludf.DUMMYFUNCTION("""COMPUTED_VALUE"""),"281-955-7684")</f>
        <v>281-955-7684</v>
      </c>
      <c r="J243" s="9" t="str">
        <f>IFERROR(__xludf.DUMMYFUNCTION("""COMPUTED_VALUE"""),"29.9473923157428, -95.6155285448101")</f>
        <v>29.9473923157428, -95.6155285448101</v>
      </c>
      <c r="K243" s="9" t="str">
        <f>IFERROR(__xludf.DUMMYFUNCTION("""COMPUTED_VALUE"""),"{""regular"":[{""days"":[""Mo"",""We""],""open"":""09:00"",""close"":""17:00""},{""days"":[""Th""],""open"":""09:00"",""close"":""15:00""}]}")</f>
        <v>{"regular":[{"days":["Mo","We"],"open":"09:00","close":"17:00"},{"days":["Th"],"open":"09:00","close":"15:00"}]}</v>
      </c>
      <c r="L243" s="9" t="str">
        <f>IFERROR(__xludf.DUMMYFUNCTION("""COMPUTED_VALUE"""),"Appointment required")</f>
        <v>Appointment required</v>
      </c>
      <c r="M243" s="10">
        <f>IFERROR(__xludf.DUMMYFUNCTION("""COMPUTED_VALUE"""),11.0)</f>
        <v>11</v>
      </c>
      <c r="N243" s="10" t="str">
        <f>IFERROR(__xludf.DUMMYFUNCTION("""COMPUTED_VALUE"""),"Rent")</f>
        <v>Rent</v>
      </c>
      <c r="O243" s="10">
        <f>IFERROR(__xludf.DUMMYFUNCTION("""COMPUTED_VALUE"""),1.0)</f>
        <v>1</v>
      </c>
      <c r="P243" s="10" t="str">
        <f>IFERROR(__xludf.DUMMYFUNCTION("""COMPUTED_VALUE"""),"ACTIVE")</f>
        <v>ACTIVE</v>
      </c>
      <c r="Q243" s="11">
        <f>IFERROR(__xludf.DUMMYFUNCTION("""COMPUTED_VALUE"""),46051.0)</f>
        <v>46051</v>
      </c>
      <c r="R243" s="9" t="str">
        <f>IFERROR(__xludf.DUMMYFUNCTION("""COMPUTED_VALUE"""),"Verified by phone")</f>
        <v>Verified by phone</v>
      </c>
      <c r="S243" s="9" t="str">
        <f>IFERROR(__xludf.DUMMYFUNCTION("""COMPUTED_VALUE"""),"Photo ID.
US Citizens/Permanent Residents.
Lease agreement, must be residence for at least four months.
Cannot have an Eviction Notice.
Proof of financial problem, i.e. loss of income, cut in hours, sickness, etc.")</f>
        <v>Photo ID.
US Citizens/Permanent Residents.
Lease agreement, must be residence for at least four months.
Cannot have an Eviction Notice.
Proof of financial problem, i.e. loss of income, cut in hours, sickness, etc.</v>
      </c>
      <c r="T243" s="12" t="b">
        <f>IFERROR(__xludf.DUMMYFUNCTION("""COMPUTED_VALUE"""),FALSE)</f>
        <v>0</v>
      </c>
      <c r="U243" s="12" t="b">
        <f>IFERROR(__xludf.DUMMYFUNCTION("""COMPUTED_VALUE"""),FALSE)</f>
        <v>0</v>
      </c>
      <c r="V243" s="13" t="str">
        <f>IFERROR(__xludf.DUMMYFUNCTION("""COMPUTED_VALUE"""),"https://www.cypressassistance.org/")</f>
        <v>https://www.cypressassistance.org/</v>
      </c>
      <c r="W243" s="14" t="str">
        <f>IFERROR(__xludf.DUMMYFUNCTION("""COMPUTED_VALUE"""),"https://maps.google.com/?q=Cypress%20Assistance%20Ministries%2012930%20Cypress%20N%20Houston%20Rd%20Houston%20TX%2077429")</f>
        <v>https://maps.google.com/?q=Cypress%20Assistance%20Ministries%2012930%20Cypress%20N%20Houston%20Rd%20Houston%20TX%2077429</v>
      </c>
      <c r="X243" s="10"/>
      <c r="Y243" s="9" t="str">
        <f>IFERROR(__xludf.DUMMYFUNCTION("""COMPUTED_VALUE"""),"Cypress")</f>
        <v>Cypress</v>
      </c>
      <c r="Z243" s="9" t="str">
        <f>IFERROR(__xludf.DUMMYFUNCTION("""COMPUTED_VALUE"""),"Coles Crossing, Cypress, Rock Creek")</f>
        <v>Coles Crossing, Cypress, Rock Creek</v>
      </c>
      <c r="AA243" s="9" t="str">
        <f>IFERROR(__xludf.DUMMYFUNCTION("""COMPUTED_VALUE"""),"Cypress Assistance Ministries")</f>
        <v>Cypress Assistance Ministries</v>
      </c>
      <c r="AB243" s="9" t="str">
        <f>IFERROR(__xludf.DUMMYFUNCTION("""COMPUTED_VALUE"""),"Cypress")</f>
        <v>Cypress</v>
      </c>
    </row>
    <row r="244" ht="30.0" customHeight="1">
      <c r="A244" s="17">
        <v>243.0</v>
      </c>
      <c r="B244" s="8" t="str">
        <f>IFERROR(__xludf.DUMMYFUNCTION("""COMPUTED_VALUE"""),"[""77065"", ""77095"", ""77429"", ""77433""]")</f>
        <v>["77065", "77095", "77429", "77433"]</v>
      </c>
      <c r="C244" s="9" t="str">
        <f>IFERROR(__xludf.DUMMYFUNCTION("""COMPUTED_VALUE"""),"Cypress Assistance Ministries")</f>
        <v>Cypress Assistance Ministries</v>
      </c>
      <c r="D244" s="9" t="str">
        <f>IFERROR(__xludf.DUMMYFUNCTION("""COMPUTED_VALUE"""),"12930 Cypress N Houston Road")</f>
        <v>12930 Cypress N Houston Road</v>
      </c>
      <c r="E244" s="9"/>
      <c r="F244" s="9" t="str">
        <f>IFERROR(__xludf.DUMMYFUNCTION("""COMPUTED_VALUE"""),"Houston")</f>
        <v>Houston</v>
      </c>
      <c r="G244" s="9" t="str">
        <f>IFERROR(__xludf.DUMMYFUNCTION("""COMPUTED_VALUE"""),"TX")</f>
        <v>TX</v>
      </c>
      <c r="H244" s="9" t="str">
        <f>IFERROR(__xludf.DUMMYFUNCTION("""COMPUTED_VALUE"""),"77429")</f>
        <v>77429</v>
      </c>
      <c r="I244" s="9" t="str">
        <f>IFERROR(__xludf.DUMMYFUNCTION("""COMPUTED_VALUE"""),"281-955-7684")</f>
        <v>281-955-7684</v>
      </c>
      <c r="J244" s="9" t="str">
        <f>IFERROR(__xludf.DUMMYFUNCTION("""COMPUTED_VALUE"""),"29.9473923157428, -95.6155285448101")</f>
        <v>29.9473923157428, -95.6155285448101</v>
      </c>
      <c r="K244" s="9" t="str">
        <f>IFERROR(__xludf.DUMMYFUNCTION("""COMPUTED_VALUE"""),"{""regular"":[{""days"":[""Mo"",""We""],""open"":""09:00"",""close"":""17:00""},{""days"":[""Th""],""open"":""09:00"",""close"":""15:00""}]}")</f>
        <v>{"regular":[{"days":["Mo","We"],"open":"09:00","close":"17:00"},{"days":["Th"],"open":"09:00","close":"15:00"}]}</v>
      </c>
      <c r="L244" s="9" t="str">
        <f>IFERROR(__xludf.DUMMYFUNCTION("""COMPUTED_VALUE"""),"Appointment required")</f>
        <v>Appointment required</v>
      </c>
      <c r="M244" s="10">
        <f>IFERROR(__xludf.DUMMYFUNCTION("""COMPUTED_VALUE"""),12.0)</f>
        <v>12</v>
      </c>
      <c r="N244" s="10" t="str">
        <f>IFERROR(__xludf.DUMMYFUNCTION("""COMPUTED_VALUE"""),"Utilities")</f>
        <v>Utilities</v>
      </c>
      <c r="O244" s="10">
        <f>IFERROR(__xludf.DUMMYFUNCTION("""COMPUTED_VALUE"""),1.0)</f>
        <v>1</v>
      </c>
      <c r="P244" s="10" t="str">
        <f>IFERROR(__xludf.DUMMYFUNCTION("""COMPUTED_VALUE"""),"ACTIVE")</f>
        <v>ACTIVE</v>
      </c>
      <c r="Q244" s="11">
        <f>IFERROR(__xludf.DUMMYFUNCTION("""COMPUTED_VALUE"""),46051.0)</f>
        <v>46051</v>
      </c>
      <c r="R244" s="9" t="str">
        <f>IFERROR(__xludf.DUMMYFUNCTION("""COMPUTED_VALUE"""),"Verified by phone")</f>
        <v>Verified by phone</v>
      </c>
      <c r="S244" s="9" t="str">
        <f>IFERROR(__xludf.DUMMYFUNCTION("""COMPUTED_VALUE"""),"Photo ID.
US Citizens/Permanent Residents.
Lease agreement, must be residence for at least four months.
Utility bill
Cannot have a Disconnect Notice.
Proof of financial problem, i.e. loss of income, cut in hours, sickness, etc.")</f>
        <v>Photo ID.
US Citizens/Permanent Residents.
Lease agreement, must be residence for at least four months.
Utility bill
Cannot have a Disconnect Notice.
Proof of financial problem, i.e. loss of income, cut in hours, sickness, etc.</v>
      </c>
      <c r="T244" s="12" t="b">
        <f>IFERROR(__xludf.DUMMYFUNCTION("""COMPUTED_VALUE"""),FALSE)</f>
        <v>0</v>
      </c>
      <c r="U244" s="12" t="b">
        <f>IFERROR(__xludf.DUMMYFUNCTION("""COMPUTED_VALUE"""),FALSE)</f>
        <v>0</v>
      </c>
      <c r="V244" s="13" t="str">
        <f>IFERROR(__xludf.DUMMYFUNCTION("""COMPUTED_VALUE"""),"https://www.cypressassistance.org/")</f>
        <v>https://www.cypressassistance.org/</v>
      </c>
      <c r="W244" s="14" t="str">
        <f>IFERROR(__xludf.DUMMYFUNCTION("""COMPUTED_VALUE"""),"https://maps.google.com/?q=Cypress%20Assistance%20Ministries%2012930%20Cypress%20N%20Houston%20Rd%20Houston%20TX%2077429")</f>
        <v>https://maps.google.com/?q=Cypress%20Assistance%20Ministries%2012930%20Cypress%20N%20Houston%20Rd%20Houston%20TX%2077429</v>
      </c>
      <c r="X244" s="10"/>
      <c r="Y244" s="9" t="str">
        <f>IFERROR(__xludf.DUMMYFUNCTION("""COMPUTED_VALUE"""),"Cypress")</f>
        <v>Cypress</v>
      </c>
      <c r="Z244" s="9" t="str">
        <f>IFERROR(__xludf.DUMMYFUNCTION("""COMPUTED_VALUE"""),"Coles Crossing, Cypress, Rock Creek")</f>
        <v>Coles Crossing, Cypress, Rock Creek</v>
      </c>
      <c r="AA244" s="9" t="str">
        <f>IFERROR(__xludf.DUMMYFUNCTION("""COMPUTED_VALUE"""),"Cypress Assistance Ministries")</f>
        <v>Cypress Assistance Ministries</v>
      </c>
      <c r="AB244" s="9" t="str">
        <f>IFERROR(__xludf.DUMMYFUNCTION("""COMPUTED_VALUE"""),"Cypress")</f>
        <v>Cypress</v>
      </c>
    </row>
    <row r="245" ht="30.0" customHeight="1">
      <c r="A245" s="17">
        <v>244.0</v>
      </c>
      <c r="B245" s="8" t="str">
        <f>IFERROR(__xludf.DUMMYFUNCTION("""COMPUTED_VALUE"""),"[""77065"", ""77095"", ""77429"", ""77433""]")</f>
        <v>["77065", "77095", "77429", "77433"]</v>
      </c>
      <c r="C245" s="9" t="str">
        <f>IFERROR(__xludf.DUMMYFUNCTION("""COMPUTED_VALUE"""),"Cypress Assistance Ministries")</f>
        <v>Cypress Assistance Ministries</v>
      </c>
      <c r="D245" s="9" t="str">
        <f>IFERROR(__xludf.DUMMYFUNCTION("""COMPUTED_VALUE"""),"12930 Cypress N Houston Road")</f>
        <v>12930 Cypress N Houston Road</v>
      </c>
      <c r="E245" s="9"/>
      <c r="F245" s="9" t="str">
        <f>IFERROR(__xludf.DUMMYFUNCTION("""COMPUTED_VALUE"""),"Houston")</f>
        <v>Houston</v>
      </c>
      <c r="G245" s="9" t="str">
        <f>IFERROR(__xludf.DUMMYFUNCTION("""COMPUTED_VALUE"""),"TX")</f>
        <v>TX</v>
      </c>
      <c r="H245" s="9" t="str">
        <f>IFERROR(__xludf.DUMMYFUNCTION("""COMPUTED_VALUE"""),"77429")</f>
        <v>77429</v>
      </c>
      <c r="I245" s="9" t="str">
        <f>IFERROR(__xludf.DUMMYFUNCTION("""COMPUTED_VALUE"""),"281-955-7684")</f>
        <v>281-955-7684</v>
      </c>
      <c r="J245" s="9" t="str">
        <f>IFERROR(__xludf.DUMMYFUNCTION("""COMPUTED_VALUE"""),"29.9473923157428, -95.6155285448101")</f>
        <v>29.9473923157428, -95.6155285448101</v>
      </c>
      <c r="K245" s="9" t="str">
        <f>IFERROR(__xludf.DUMMYFUNCTION("""COMPUTED_VALUE"""),"{""regular"":[{""days"":[""Mo"",""Tu"",""We"",""Th"",""Fr""],""open"":""10:00"",""close"":""13:00""}]}")</f>
        <v>{"regular":[{"days":["Mo","Tu","We","Th","Fr"],"open":"10:00","close":"13:00"}]}</v>
      </c>
      <c r="L245" s="9" t="str">
        <f>IFERROR(__xludf.DUMMYFUNCTION("""COMPUTED_VALUE"""),"Mo &amp; We for appointments only and Th for walk-ins.")</f>
        <v>Mo &amp; We for appointments only and Th for walk-ins.</v>
      </c>
      <c r="M245" s="10">
        <f>IFERROR(__xludf.DUMMYFUNCTION("""COMPUTED_VALUE"""),13.0)</f>
        <v>13</v>
      </c>
      <c r="N245" s="10" t="str">
        <f>IFERROR(__xludf.DUMMYFUNCTION("""COMPUTED_VALUE"""),"Food")</f>
        <v>Food</v>
      </c>
      <c r="O245" s="10">
        <f>IFERROR(__xludf.DUMMYFUNCTION("""COMPUTED_VALUE"""),1.0)</f>
        <v>1</v>
      </c>
      <c r="P245" s="10" t="str">
        <f>IFERROR(__xludf.DUMMYFUNCTION("""COMPUTED_VALUE"""),"ACTIVE")</f>
        <v>ACTIVE</v>
      </c>
      <c r="Q245" s="11">
        <f>IFERROR(__xludf.DUMMYFUNCTION("""COMPUTED_VALUE"""),45772.0)</f>
        <v>45772</v>
      </c>
      <c r="R245" s="9" t="str">
        <f>IFERROR(__xludf.DUMMYFUNCTION("""COMPUTED_VALUE"""),"Cy Fair ISD Only")</f>
        <v>Cy Fair ISD Only</v>
      </c>
      <c r="S245" s="9" t="str">
        <f>IFERROR(__xludf.DUMMYFUNCTION("""COMPUTED_VALUE"""),"Hours can vary, please call ahead.
Photo ID.
Proof of income.
Verification of everyone in household including children.
Proof of residence.")</f>
        <v>Hours can vary, please call ahead.
Photo ID.
Proof of income.
Verification of everyone in household including children.
Proof of residence.</v>
      </c>
      <c r="T245" s="12" t="b">
        <f>IFERROR(__xludf.DUMMYFUNCTION("""COMPUTED_VALUE"""),FALSE)</f>
        <v>0</v>
      </c>
      <c r="U245" s="12" t="b">
        <f>IFERROR(__xludf.DUMMYFUNCTION("""COMPUTED_VALUE"""),FALSE)</f>
        <v>0</v>
      </c>
      <c r="V245" s="13" t="str">
        <f>IFERROR(__xludf.DUMMYFUNCTION("""COMPUTED_VALUE"""),"https://www.cypressassistance.org/")</f>
        <v>https://www.cypressassistance.org/</v>
      </c>
      <c r="W245" s="14" t="str">
        <f>IFERROR(__xludf.DUMMYFUNCTION("""COMPUTED_VALUE"""),"https://maps.google.com/?q=Cypress%20Assistance%20Ministries%2012930%20Cypress%20N%20Houston%20Rd%20Houston%20TX%2077429")</f>
        <v>https://maps.google.com/?q=Cypress%20Assistance%20Ministries%2012930%20Cypress%20N%20Houston%20Rd%20Houston%20TX%2077429</v>
      </c>
      <c r="X245" s="10"/>
      <c r="Y245" s="9" t="str">
        <f>IFERROR(__xludf.DUMMYFUNCTION("""COMPUTED_VALUE"""),"Cypress")</f>
        <v>Cypress</v>
      </c>
      <c r="Z245" s="9" t="str">
        <f>IFERROR(__xludf.DUMMYFUNCTION("""COMPUTED_VALUE"""),"Coles Crossing, Cypress, Rock Creek")</f>
        <v>Coles Crossing, Cypress, Rock Creek</v>
      </c>
      <c r="AA245" s="9" t="str">
        <f>IFERROR(__xludf.DUMMYFUNCTION("""COMPUTED_VALUE"""),"Cypress Assistance Ministries")</f>
        <v>Cypress Assistance Ministries</v>
      </c>
      <c r="AB245" s="9" t="str">
        <f>IFERROR(__xludf.DUMMYFUNCTION("""COMPUTED_VALUE"""),"Cypress")</f>
        <v>Cypress</v>
      </c>
    </row>
    <row r="246" ht="30.0" customHeight="1">
      <c r="A246" s="17">
        <v>245.0</v>
      </c>
      <c r="B246" s="8" t="str">
        <f>IFERROR(__xludf.DUMMYFUNCTION("""COMPUTED_VALUE"""),"[""77065"", ""77095"", ""77429"", ""77433""]")</f>
        <v>["77065", "77095", "77429", "77433"]</v>
      </c>
      <c r="C246" s="9" t="str">
        <f>IFERROR(__xludf.DUMMYFUNCTION("""COMPUTED_VALUE"""),"Cypress Assistance Ministries")</f>
        <v>Cypress Assistance Ministries</v>
      </c>
      <c r="D246" s="9" t="str">
        <f>IFERROR(__xludf.DUMMYFUNCTION("""COMPUTED_VALUE"""),"12930 Cypress N Houston Road")</f>
        <v>12930 Cypress N Houston Road</v>
      </c>
      <c r="E246" s="9"/>
      <c r="F246" s="9" t="str">
        <f>IFERROR(__xludf.DUMMYFUNCTION("""COMPUTED_VALUE"""),"Houston")</f>
        <v>Houston</v>
      </c>
      <c r="G246" s="9" t="str">
        <f>IFERROR(__xludf.DUMMYFUNCTION("""COMPUTED_VALUE"""),"TX")</f>
        <v>TX</v>
      </c>
      <c r="H246" s="9" t="str">
        <f>IFERROR(__xludf.DUMMYFUNCTION("""COMPUTED_VALUE"""),"77429")</f>
        <v>77429</v>
      </c>
      <c r="I246" s="9" t="str">
        <f>IFERROR(__xludf.DUMMYFUNCTION("""COMPUTED_VALUE"""),"281-955-7684")</f>
        <v>281-955-7684</v>
      </c>
      <c r="J246" s="9" t="str">
        <f>IFERROR(__xludf.DUMMYFUNCTION("""COMPUTED_VALUE"""),"29.9473923157428, -95.6155285448101")</f>
        <v>29.9473923157428, -95.6155285448101</v>
      </c>
      <c r="K246" s="9" t="str">
        <f>IFERROR(__xludf.DUMMYFUNCTION("""COMPUTED_VALUE"""),"{""regular"":[{""days"":[""Mo"",""We""],""open"":""09:00"",""close"":""17:00""},{""days"":[""Th""],""open"":""09:00"",""close"":""15:00""}]}")</f>
        <v>{"regular":[{"days":["Mo","We"],"open":"09:00","close":"17:00"},{"days":["Th"],"open":"09:00","close":"15:00"}]}</v>
      </c>
      <c r="L246" s="9" t="str">
        <f>IFERROR(__xludf.DUMMYFUNCTION("""COMPUTED_VALUE"""),"Mo &amp; We for appointments only and Th for walk-ins.")</f>
        <v>Mo &amp; We for appointments only and Th for walk-ins.</v>
      </c>
      <c r="M246" s="10">
        <f>IFERROR(__xludf.DUMMYFUNCTION("""COMPUTED_VALUE"""),14.0)</f>
        <v>14</v>
      </c>
      <c r="N246" s="10" t="str">
        <f>IFERROR(__xludf.DUMMYFUNCTION("""COMPUTED_VALUE"""),"Clothing")</f>
        <v>Clothing</v>
      </c>
      <c r="O246" s="10">
        <f>IFERROR(__xludf.DUMMYFUNCTION("""COMPUTED_VALUE"""),1.0)</f>
        <v>1</v>
      </c>
      <c r="P246" s="10" t="str">
        <f>IFERROR(__xludf.DUMMYFUNCTION("""COMPUTED_VALUE"""),"ACTIVE")</f>
        <v>ACTIVE</v>
      </c>
      <c r="Q246" s="11">
        <f>IFERROR(__xludf.DUMMYFUNCTION("""COMPUTED_VALUE"""),45772.0)</f>
        <v>45772</v>
      </c>
      <c r="R246" s="9"/>
      <c r="S246" s="9" t="str">
        <f>IFERROR(__xludf.DUMMYFUNCTION("""COMPUTED_VALUE"""),"Voucher that can be used in own Resale Store.")</f>
        <v>Voucher that can be used in own Resale Store.</v>
      </c>
      <c r="T246" s="12" t="b">
        <f>IFERROR(__xludf.DUMMYFUNCTION("""COMPUTED_VALUE"""),FALSE)</f>
        <v>0</v>
      </c>
      <c r="U246" s="12" t="b">
        <f>IFERROR(__xludf.DUMMYFUNCTION("""COMPUTED_VALUE"""),FALSE)</f>
        <v>0</v>
      </c>
      <c r="V246" s="13" t="str">
        <f>IFERROR(__xludf.DUMMYFUNCTION("""COMPUTED_VALUE"""),"https://www.cypressassistance.org/")</f>
        <v>https://www.cypressassistance.org/</v>
      </c>
      <c r="W246" s="14" t="str">
        <f>IFERROR(__xludf.DUMMYFUNCTION("""COMPUTED_VALUE"""),"https://maps.google.com/?q=Cypress%20Assistance%20Ministries%2012930%20Cypress%20N%20Houston%20Rd%20Houston%20TX%2077429")</f>
        <v>https://maps.google.com/?q=Cypress%20Assistance%20Ministries%2012930%20Cypress%20N%20Houston%20Rd%20Houston%20TX%2077429</v>
      </c>
      <c r="X246" s="10"/>
      <c r="Y246" s="9" t="str">
        <f>IFERROR(__xludf.DUMMYFUNCTION("""COMPUTED_VALUE"""),"Cypress")</f>
        <v>Cypress</v>
      </c>
      <c r="Z246" s="9" t="str">
        <f>IFERROR(__xludf.DUMMYFUNCTION("""COMPUTED_VALUE"""),"Coles Crossing, Cypress, Rock Creek")</f>
        <v>Coles Crossing, Cypress, Rock Creek</v>
      </c>
      <c r="AA246" s="9" t="str">
        <f>IFERROR(__xludf.DUMMYFUNCTION("""COMPUTED_VALUE"""),"Cypress Assistance Ministries")</f>
        <v>Cypress Assistance Ministries</v>
      </c>
      <c r="AB246" s="9" t="str">
        <f>IFERROR(__xludf.DUMMYFUNCTION("""COMPUTED_VALUE"""),"Cypress")</f>
        <v>Cypress</v>
      </c>
    </row>
    <row r="247" ht="30.0" customHeight="1">
      <c r="A247" s="17">
        <v>246.0</v>
      </c>
      <c r="B247" s="8" t="str">
        <f>IFERROR(__xludf.DUMMYFUNCTION("""COMPUTED_VALUE"""),"[""77065"", ""77095"", ""77429"", ""77433""]")</f>
        <v>["77065", "77095", "77429", "77433"]</v>
      </c>
      <c r="C247" s="9" t="str">
        <f>IFERROR(__xludf.DUMMYFUNCTION("""COMPUTED_VALUE"""),"Cypress Assistance Ministries")</f>
        <v>Cypress Assistance Ministries</v>
      </c>
      <c r="D247" s="9" t="str">
        <f>IFERROR(__xludf.DUMMYFUNCTION("""COMPUTED_VALUE"""),"12930 Cypress N Houston Road")</f>
        <v>12930 Cypress N Houston Road</v>
      </c>
      <c r="E247" s="9"/>
      <c r="F247" s="9" t="str">
        <f>IFERROR(__xludf.DUMMYFUNCTION("""COMPUTED_VALUE"""),"Houston")</f>
        <v>Houston</v>
      </c>
      <c r="G247" s="9" t="str">
        <f>IFERROR(__xludf.DUMMYFUNCTION("""COMPUTED_VALUE"""),"TX")</f>
        <v>TX</v>
      </c>
      <c r="H247" s="9" t="str">
        <f>IFERROR(__xludf.DUMMYFUNCTION("""COMPUTED_VALUE"""),"77429")</f>
        <v>77429</v>
      </c>
      <c r="I247" s="9" t="str">
        <f>IFERROR(__xludf.DUMMYFUNCTION("""COMPUTED_VALUE"""),"281-955-7684")</f>
        <v>281-955-7684</v>
      </c>
      <c r="J247" s="9" t="str">
        <f>IFERROR(__xludf.DUMMYFUNCTION("""COMPUTED_VALUE"""),"29.9473923157428, -95.6155285448101")</f>
        <v>29.9473923157428, -95.6155285448101</v>
      </c>
      <c r="K247" s="9" t="str">
        <f>IFERROR(__xludf.DUMMYFUNCTION("""COMPUTED_VALUE"""),"{""regular"":[{""days"":[""Mo"",""We""],""open"":""09:00"",""close"":""17:00""},{""days"":[""Th""],""open"":""09:00"",""close"":""15:00""}]}")</f>
        <v>{"regular":[{"days":["Mo","We"],"open":"09:00","close":"17:00"},{"days":["Th"],"open":"09:00","close":"15:00"}]}</v>
      </c>
      <c r="L247" s="9" t="str">
        <f>IFERROR(__xludf.DUMMYFUNCTION("""COMPUTED_VALUE"""),"Mo &amp; We for appointments only and Th for walk-ins.")</f>
        <v>Mo &amp; We for appointments only and Th for walk-ins.</v>
      </c>
      <c r="M247" s="10">
        <f>IFERROR(__xludf.DUMMYFUNCTION("""COMPUTED_VALUE"""),51.0)</f>
        <v>51</v>
      </c>
      <c r="N247" s="10" t="str">
        <f>IFERROR(__xludf.DUMMYFUNCTION("""COMPUTED_VALUE"""),"Education - Adults")</f>
        <v>Education - Adults</v>
      </c>
      <c r="O247" s="10">
        <f>IFERROR(__xludf.DUMMYFUNCTION("""COMPUTED_VALUE"""),1.0)</f>
        <v>1</v>
      </c>
      <c r="P247" s="10" t="str">
        <f>IFERROR(__xludf.DUMMYFUNCTION("""COMPUTED_VALUE"""),"ACTIVE")</f>
        <v>ACTIVE</v>
      </c>
      <c r="Q247" s="11"/>
      <c r="R247" s="9"/>
      <c r="S247" s="9" t="str">
        <f>IFERROR(__xludf.DUMMYFUNCTION("""COMPUTED_VALUE"""),"GED and ESL Classes.")</f>
        <v>GED and ESL Classes.</v>
      </c>
      <c r="T247" s="12" t="b">
        <f>IFERROR(__xludf.DUMMYFUNCTION("""COMPUTED_VALUE"""),FALSE)</f>
        <v>0</v>
      </c>
      <c r="U247" s="12" t="b">
        <f>IFERROR(__xludf.DUMMYFUNCTION("""COMPUTED_VALUE"""),FALSE)</f>
        <v>0</v>
      </c>
      <c r="V247" s="13" t="str">
        <f>IFERROR(__xludf.DUMMYFUNCTION("""COMPUTED_VALUE"""),"https://www.cypressassistance.org/")</f>
        <v>https://www.cypressassistance.org/</v>
      </c>
      <c r="W247" s="14" t="str">
        <f>IFERROR(__xludf.DUMMYFUNCTION("""COMPUTED_VALUE"""),"https://maps.google.com/?q=Cypress%20Assistance%20Ministries%2012930%20Cypress%20N%20Houston%20Rd%20Houston%20TX%2077429")</f>
        <v>https://maps.google.com/?q=Cypress%20Assistance%20Ministries%2012930%20Cypress%20N%20Houston%20Rd%20Houston%20TX%2077429</v>
      </c>
      <c r="X247" s="10"/>
      <c r="Y247" s="9" t="str">
        <f>IFERROR(__xludf.DUMMYFUNCTION("""COMPUTED_VALUE"""),"Cypress")</f>
        <v>Cypress</v>
      </c>
      <c r="Z247" s="9" t="str">
        <f>IFERROR(__xludf.DUMMYFUNCTION("""COMPUTED_VALUE"""),"Coles Crossing, Cypress, Rock Creek")</f>
        <v>Coles Crossing, Cypress, Rock Creek</v>
      </c>
      <c r="AA247" s="9" t="str">
        <f>IFERROR(__xludf.DUMMYFUNCTION("""COMPUTED_VALUE"""),"Cypress Assistance Ministries")</f>
        <v>Cypress Assistance Ministries</v>
      </c>
      <c r="AB247" s="9" t="str">
        <f>IFERROR(__xludf.DUMMYFUNCTION("""COMPUTED_VALUE"""),"Cypress")</f>
        <v>Cypress</v>
      </c>
    </row>
    <row r="248" ht="30.0" customHeight="1">
      <c r="A248" s="17">
        <v>247.0</v>
      </c>
      <c r="B248" s="8" t="str">
        <f>IFERROR(__xludf.DUMMYFUNCTION("""COMPUTED_VALUE"""),"[""77065"", ""77095"", ""77429"", ""77433""]")</f>
        <v>["77065", "77095", "77429", "77433"]</v>
      </c>
      <c r="C248" s="9" t="str">
        <f>IFERROR(__xludf.DUMMYFUNCTION("""COMPUTED_VALUE"""),"Cypress Assistance Ministries")</f>
        <v>Cypress Assistance Ministries</v>
      </c>
      <c r="D248" s="9" t="str">
        <f>IFERROR(__xludf.DUMMYFUNCTION("""COMPUTED_VALUE"""),"12930 Cypress N Houston Road")</f>
        <v>12930 Cypress N Houston Road</v>
      </c>
      <c r="E248" s="9"/>
      <c r="F248" s="9" t="str">
        <f>IFERROR(__xludf.DUMMYFUNCTION("""COMPUTED_VALUE"""),"Houston")</f>
        <v>Houston</v>
      </c>
      <c r="G248" s="9" t="str">
        <f>IFERROR(__xludf.DUMMYFUNCTION("""COMPUTED_VALUE"""),"TX")</f>
        <v>TX</v>
      </c>
      <c r="H248" s="9" t="str">
        <f>IFERROR(__xludf.DUMMYFUNCTION("""COMPUTED_VALUE"""),"77429")</f>
        <v>77429</v>
      </c>
      <c r="I248" s="9" t="str">
        <f>IFERROR(__xludf.DUMMYFUNCTION("""COMPUTED_VALUE"""),"281-955-7684")</f>
        <v>281-955-7684</v>
      </c>
      <c r="J248" s="9" t="str">
        <f>IFERROR(__xludf.DUMMYFUNCTION("""COMPUTED_VALUE"""),"29.9473923157428, -95.6155285448101")</f>
        <v>29.9473923157428, -95.6155285448101</v>
      </c>
      <c r="K248" s="9" t="str">
        <f>IFERROR(__xludf.DUMMYFUNCTION("""COMPUTED_VALUE"""),"{""regular"":[{""days"":[""Mo"",""We""],""open"":""09:00"",""close"":""17:00""},{""days"":[""Th""],""open"":""09:00"",""close"":""15:00""}]}")</f>
        <v>{"regular":[{"days":["Mo","We"],"open":"09:00","close":"17:00"},{"days":["Th"],"open":"09:00","close":"15:00"}]}</v>
      </c>
      <c r="L248" s="9" t="str">
        <f>IFERROR(__xludf.DUMMYFUNCTION("""COMPUTED_VALUE"""),"Mo &amp; We for appointments only and Th for walk-ins.")</f>
        <v>Mo &amp; We for appointments only and Th for walk-ins.</v>
      </c>
      <c r="M248" s="10">
        <f>IFERROR(__xludf.DUMMYFUNCTION("""COMPUTED_VALUE"""),52.0)</f>
        <v>52</v>
      </c>
      <c r="N248" s="10" t="str">
        <f>IFERROR(__xludf.DUMMYFUNCTION("""COMPUTED_VALUE"""),"Jobs")</f>
        <v>Jobs</v>
      </c>
      <c r="O248" s="10">
        <f>IFERROR(__xludf.DUMMYFUNCTION("""COMPUTED_VALUE"""),1.0)</f>
        <v>1</v>
      </c>
      <c r="P248" s="10" t="str">
        <f>IFERROR(__xludf.DUMMYFUNCTION("""COMPUTED_VALUE"""),"ACTIVE")</f>
        <v>ACTIVE</v>
      </c>
      <c r="Q248" s="11"/>
      <c r="R248" s="9"/>
      <c r="S248" s="9" t="str">
        <f>IFERROR(__xludf.DUMMYFUNCTION("""COMPUTED_VALUE"""),"Registration required.
Job counseling.
Resume preparation.
Interview skills.
Access to computer and fax machine.
Financial literacy classes.")</f>
        <v>Registration required.
Job counseling.
Resume preparation.
Interview skills.
Access to computer and fax machine.
Financial literacy classes.</v>
      </c>
      <c r="T248" s="12" t="b">
        <f>IFERROR(__xludf.DUMMYFUNCTION("""COMPUTED_VALUE"""),FALSE)</f>
        <v>0</v>
      </c>
      <c r="U248" s="12" t="b">
        <f>IFERROR(__xludf.DUMMYFUNCTION("""COMPUTED_VALUE"""),FALSE)</f>
        <v>0</v>
      </c>
      <c r="V248" s="13" t="str">
        <f>IFERROR(__xludf.DUMMYFUNCTION("""COMPUTED_VALUE"""),"https://www.cypressassistance.org/")</f>
        <v>https://www.cypressassistance.org/</v>
      </c>
      <c r="W248" s="14" t="str">
        <f>IFERROR(__xludf.DUMMYFUNCTION("""COMPUTED_VALUE"""),"https://maps.google.com/?q=Cypress%20Assistance%20Ministries%2012930%20Cypress%20N%20Houston%20Rd%20Houston%20TX%2077429")</f>
        <v>https://maps.google.com/?q=Cypress%20Assistance%20Ministries%2012930%20Cypress%20N%20Houston%20Rd%20Houston%20TX%2077429</v>
      </c>
      <c r="X248" s="10"/>
      <c r="Y248" s="9" t="str">
        <f>IFERROR(__xludf.DUMMYFUNCTION("""COMPUTED_VALUE"""),"Cypress")</f>
        <v>Cypress</v>
      </c>
      <c r="Z248" s="9" t="str">
        <f>IFERROR(__xludf.DUMMYFUNCTION("""COMPUTED_VALUE"""),"Coles Crossing, Cypress, Rock Creek")</f>
        <v>Coles Crossing, Cypress, Rock Creek</v>
      </c>
      <c r="AA248" s="9" t="str">
        <f>IFERROR(__xludf.DUMMYFUNCTION("""COMPUTED_VALUE"""),"Cypress Assistance Ministries")</f>
        <v>Cypress Assistance Ministries</v>
      </c>
      <c r="AB248" s="9" t="str">
        <f>IFERROR(__xludf.DUMMYFUNCTION("""COMPUTED_VALUE"""),"Cypress")</f>
        <v>Cypress</v>
      </c>
    </row>
    <row r="249" ht="30.0" customHeight="1">
      <c r="A249" s="17">
        <v>248.0</v>
      </c>
      <c r="B249" s="8" t="str">
        <f>IFERROR(__xludf.DUMMYFUNCTION("""COMPUTED_VALUE"""),"[""77065"", ""77095"", ""77429"", ""77433""]")</f>
        <v>["77065", "77095", "77429", "77433"]</v>
      </c>
      <c r="C249" s="9" t="str">
        <f>IFERROR(__xludf.DUMMYFUNCTION("""COMPUTED_VALUE"""),"Cypress Assistance Ministries")</f>
        <v>Cypress Assistance Ministries</v>
      </c>
      <c r="D249" s="9" t="str">
        <f>IFERROR(__xludf.DUMMYFUNCTION("""COMPUTED_VALUE"""),"12930 Cypress N Houston Road")</f>
        <v>12930 Cypress N Houston Road</v>
      </c>
      <c r="E249" s="9"/>
      <c r="F249" s="9" t="str">
        <f>IFERROR(__xludf.DUMMYFUNCTION("""COMPUTED_VALUE"""),"Houston")</f>
        <v>Houston</v>
      </c>
      <c r="G249" s="9" t="str">
        <f>IFERROR(__xludf.DUMMYFUNCTION("""COMPUTED_VALUE"""),"TX")</f>
        <v>TX</v>
      </c>
      <c r="H249" s="9" t="str">
        <f>IFERROR(__xludf.DUMMYFUNCTION("""COMPUTED_VALUE"""),"77429")</f>
        <v>77429</v>
      </c>
      <c r="I249" s="9" t="str">
        <f>IFERROR(__xludf.DUMMYFUNCTION("""COMPUTED_VALUE"""),"281-955-7684")</f>
        <v>281-955-7684</v>
      </c>
      <c r="J249" s="9" t="str">
        <f>IFERROR(__xludf.DUMMYFUNCTION("""COMPUTED_VALUE"""),"29.9473923157428, -95.6155285448101")</f>
        <v>29.9473923157428, -95.6155285448101</v>
      </c>
      <c r="K249" s="9" t="str">
        <f>IFERROR(__xludf.DUMMYFUNCTION("""COMPUTED_VALUE"""),"{""regular"":[{""days"":[""Mo"",""We""],""open"":""09:00"",""close"":""17:00""},{""days"":[""Th""],""open"":""09:00"",""close"":""15:00""}]}")</f>
        <v>{"regular":[{"days":["Mo","We"],"open":"09:00","close":"17:00"},{"days":["Th"],"open":"09:00","close":"15:00"}]}</v>
      </c>
      <c r="L249" s="9" t="str">
        <f>IFERROR(__xludf.DUMMYFUNCTION("""COMPUTED_VALUE"""),"Mo &amp; We for appointments only and Th for walk-ins.")</f>
        <v>Mo &amp; We for appointments only and Th for walk-ins.</v>
      </c>
      <c r="M249" s="10">
        <f>IFERROR(__xludf.DUMMYFUNCTION("""COMPUTED_VALUE"""),64.0)</f>
        <v>64</v>
      </c>
      <c r="N249" s="10" t="str">
        <f>IFERROR(__xludf.DUMMYFUNCTION("""COMPUTED_VALUE"""),"Christmas")</f>
        <v>Christmas</v>
      </c>
      <c r="O249" s="10">
        <f>IFERROR(__xludf.DUMMYFUNCTION("""COMPUTED_VALUE"""),1.0)</f>
        <v>1</v>
      </c>
      <c r="P249" s="10" t="str">
        <f>IFERROR(__xludf.DUMMYFUNCTION("""COMPUTED_VALUE"""),"ACTIVE")</f>
        <v>ACTIVE</v>
      </c>
      <c r="Q249" s="11"/>
      <c r="R249" s="9"/>
      <c r="S249" s="9" t="str">
        <f>IFERROR(__xludf.DUMMYFUNCTION("""COMPUTED_VALUE"""),"Toys &amp; Food.")</f>
        <v>Toys &amp; Food.</v>
      </c>
      <c r="T249" s="12" t="b">
        <f>IFERROR(__xludf.DUMMYFUNCTION("""COMPUTED_VALUE"""),FALSE)</f>
        <v>0</v>
      </c>
      <c r="U249" s="12" t="b">
        <f>IFERROR(__xludf.DUMMYFUNCTION("""COMPUTED_VALUE"""),FALSE)</f>
        <v>0</v>
      </c>
      <c r="V249" s="13" t="str">
        <f>IFERROR(__xludf.DUMMYFUNCTION("""COMPUTED_VALUE"""),"https://www.cypressassistance.org/")</f>
        <v>https://www.cypressassistance.org/</v>
      </c>
      <c r="W249" s="14" t="str">
        <f>IFERROR(__xludf.DUMMYFUNCTION("""COMPUTED_VALUE"""),"https://maps.google.com/?q=Cypress%20Assistance%20Ministries%2012930%20Cypress%20N%20Houston%20Rd%20Houston%20TX%2077429")</f>
        <v>https://maps.google.com/?q=Cypress%20Assistance%20Ministries%2012930%20Cypress%20N%20Houston%20Rd%20Houston%20TX%2077429</v>
      </c>
      <c r="X249" s="10"/>
      <c r="Y249" s="9" t="str">
        <f>IFERROR(__xludf.DUMMYFUNCTION("""COMPUTED_VALUE"""),"Cypress")</f>
        <v>Cypress</v>
      </c>
      <c r="Z249" s="9" t="str">
        <f>IFERROR(__xludf.DUMMYFUNCTION("""COMPUTED_VALUE"""),"Coles Crossing, Cypress, Rock Creek")</f>
        <v>Coles Crossing, Cypress, Rock Creek</v>
      </c>
      <c r="AA249" s="9" t="str">
        <f>IFERROR(__xludf.DUMMYFUNCTION("""COMPUTED_VALUE"""),"Cypress Assistance Ministries")</f>
        <v>Cypress Assistance Ministries</v>
      </c>
      <c r="AB249" s="9" t="str">
        <f>IFERROR(__xludf.DUMMYFUNCTION("""COMPUTED_VALUE"""),"Cypress")</f>
        <v>Cypress</v>
      </c>
    </row>
    <row r="250" ht="30.0" customHeight="1">
      <c r="A250" s="17">
        <v>249.0</v>
      </c>
      <c r="B250" s="8" t="str">
        <f>IFERROR(__xludf.DUMMYFUNCTION("""COMPUTED_VALUE"""),"[""99999""]")</f>
        <v>["99999"]</v>
      </c>
      <c r="C250" s="9" t="str">
        <f>IFERROR(__xludf.DUMMYFUNCTION("""COMPUTED_VALUE"""),"Dan's House of Hope")</f>
        <v>Dan's House of Hope</v>
      </c>
      <c r="D250" s="9" t="str">
        <f>IFERROR(__xludf.DUMMYFUNCTION("""COMPUTED_VALUE"""),"4917 Jackson Street")</f>
        <v>4917 Jackson Street</v>
      </c>
      <c r="E250" s="9"/>
      <c r="F250" s="9" t="str">
        <f>IFERROR(__xludf.DUMMYFUNCTION("""COMPUTED_VALUE"""),"Houston")</f>
        <v>Houston</v>
      </c>
      <c r="G250" s="9" t="str">
        <f>IFERROR(__xludf.DUMMYFUNCTION("""COMPUTED_VALUE"""),"TX")</f>
        <v>TX</v>
      </c>
      <c r="H250" s="9" t="str">
        <f>IFERROR(__xludf.DUMMYFUNCTION("""COMPUTED_VALUE"""),"77004")</f>
        <v>77004</v>
      </c>
      <c r="I250" s="9"/>
      <c r="J250" s="9" t="str">
        <f>IFERROR(__xludf.DUMMYFUNCTION("""COMPUTED_VALUE"""),"29.7265387346939, -95.380001122449")</f>
        <v>29.7265387346939, -95.380001122449</v>
      </c>
      <c r="K250" s="9"/>
      <c r="L250" s="9"/>
      <c r="M250" s="10">
        <f>IFERROR(__xludf.DUMMYFUNCTION("""COMPUTED_VALUE"""),37.0)</f>
        <v>37</v>
      </c>
      <c r="N250" s="10" t="str">
        <f>IFERROR(__xludf.DUMMYFUNCTION("""COMPUTED_VALUE"""),"Medical - Housing")</f>
        <v>Medical - Housing</v>
      </c>
      <c r="O250" s="10">
        <f>IFERROR(__xludf.DUMMYFUNCTION("""COMPUTED_VALUE"""),1.0)</f>
        <v>1</v>
      </c>
      <c r="P250" s="10" t="str">
        <f>IFERROR(__xludf.DUMMYFUNCTION("""COMPUTED_VALUE"""),"ACTIVE")</f>
        <v>ACTIVE</v>
      </c>
      <c r="Q250" s="11">
        <f>IFERROR(__xludf.DUMMYFUNCTION("""COMPUTED_VALUE"""),45791.0)</f>
        <v>45791</v>
      </c>
      <c r="R250" s="9" t="str">
        <f>IFERROR(__xludf.DUMMYFUNCTION("""COMPUTED_VALUE"""),"Verified online")</f>
        <v>Verified online</v>
      </c>
      <c r="S250" s="9" t="str">
        <f>IFERROR(__xludf.DUMMYFUNCTION("""COMPUTED_VALUE"""),"Bed &amp; breakfast style housing for four young adult (18-39 years old) cancer patients and their caregivers.
Contact via web page only.
Minimum stay of five nights, maximum of two months.
Med center parking and ride assistance.
Medical housing")</f>
        <v>Bed &amp; breakfast style housing for four young adult (18-39 years old) cancer patients and their caregivers.
Contact via web page only.
Minimum stay of five nights, maximum of two months.
Med center parking and ride assistance.
Medical housing</v>
      </c>
      <c r="T250" s="12" t="b">
        <f>IFERROR(__xludf.DUMMYFUNCTION("""COMPUTED_VALUE"""),FALSE)</f>
        <v>0</v>
      </c>
      <c r="U250" s="12" t="b">
        <f>IFERROR(__xludf.DUMMYFUNCTION("""COMPUTED_VALUE"""),FALSE)</f>
        <v>0</v>
      </c>
      <c r="V250" s="13" t="str">
        <f>IFERROR(__xludf.DUMMYFUNCTION("""COMPUTED_VALUE"""),"https://danshouseofhope.org/")</f>
        <v>https://danshouseofhope.org/</v>
      </c>
      <c r="W250" s="10"/>
      <c r="X250" s="10"/>
      <c r="Y250" s="9" t="str">
        <f>IFERROR(__xludf.DUMMYFUNCTION("""COMPUTED_VALUE"""),"Houston")</f>
        <v>Houston</v>
      </c>
      <c r="Z250"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250" s="9" t="str">
        <f>IFERROR(__xludf.DUMMYFUNCTION("""COMPUTED_VALUE"""),"Dan's House of Hope")</f>
        <v>Dan's House of Hope</v>
      </c>
      <c r="AB250" s="9" t="str">
        <f>IFERROR(__xludf.DUMMYFUNCTION("""COMPUTED_VALUE"""),"Houston Museum District")</f>
        <v>Houston Museum District</v>
      </c>
    </row>
    <row r="251" ht="30.0" customHeight="1">
      <c r="A251" s="17">
        <v>250.0</v>
      </c>
      <c r="B251" s="8" t="str">
        <f>IFERROR(__xludf.DUMMYFUNCTION("""COMPUTED_VALUE"""),"[""99999""]")</f>
        <v>["99999"]</v>
      </c>
      <c r="C251" s="9" t="str">
        <f>IFERROR(__xludf.DUMMYFUNCTION("""COMPUTED_VALUE"""),"Daya")</f>
        <v>Daya</v>
      </c>
      <c r="D251" s="9" t="str">
        <f>IFERROR(__xludf.DUMMYFUNCTION("""COMPUTED_VALUE"""),"P.O. Box 421581")</f>
        <v>P.O. Box 421581</v>
      </c>
      <c r="E251" s="9"/>
      <c r="F251" s="9" t="str">
        <f>IFERROR(__xludf.DUMMYFUNCTION("""COMPUTED_VALUE"""),"Houston")</f>
        <v>Houston</v>
      </c>
      <c r="G251" s="9" t="str">
        <f>IFERROR(__xludf.DUMMYFUNCTION("""COMPUTED_VALUE"""),"TX")</f>
        <v>TX</v>
      </c>
      <c r="H251" s="9" t="str">
        <f>IFERROR(__xludf.DUMMYFUNCTION("""COMPUTED_VALUE"""),"77242")</f>
        <v>77242</v>
      </c>
      <c r="I251" s="9" t="str">
        <f>IFERROR(__xludf.DUMMYFUNCTION("""COMPUTED_VALUE"""),"713-981-7645")</f>
        <v>713-981-7645</v>
      </c>
      <c r="J251" s="9" t="str">
        <f>IFERROR(__xludf.DUMMYFUNCTION("""COMPUTED_VALUE"""),"29.73152686780826, -95.55945044357357")</f>
        <v>29.73152686780826, -95.55945044357357</v>
      </c>
      <c r="K251" s="9" t="str">
        <f>IFERROR(__xludf.DUMMYFUNCTION("""COMPUTED_VALUE"""),"{""regular"":[{""days"":[""Mo"",""Tu"",""We"",""Th"",""Fr""],""open"":""09:00"",""close"":""17:00""}]}")</f>
        <v>{"regular":[{"days":["Mo","Tu","We","Th","Fr"],"open":"09:00","close":"17:00"}]}</v>
      </c>
      <c r="L251" s="9"/>
      <c r="M251" s="10">
        <f>IFERROR(__xludf.DUMMYFUNCTION("""COMPUTED_VALUE"""),42.0)</f>
        <v>42</v>
      </c>
      <c r="N251" s="10" t="str">
        <f>IFERROR(__xludf.DUMMYFUNCTION("""COMPUTED_VALUE"""),"Domestic Abuse - Other")</f>
        <v>Domestic Abuse - Other</v>
      </c>
      <c r="O251" s="10">
        <f>IFERROR(__xludf.DUMMYFUNCTION("""COMPUTED_VALUE"""),1.0)</f>
        <v>1</v>
      </c>
      <c r="P251" s="10" t="str">
        <f>IFERROR(__xludf.DUMMYFUNCTION("""COMPUTED_VALUE"""),"ACTIVE")</f>
        <v>ACTIVE</v>
      </c>
      <c r="Q251" s="11"/>
      <c r="R251" s="9"/>
      <c r="S251" s="9" t="str">
        <f>IFERROR(__xludf.DUMMYFUNCTION("""COMPUTED_VALUE"""),"Focus on South Asian community
Crisis Intervention
Legal Aid
Housing Assistance
Case Management
Counseling
Police accompaniment")</f>
        <v>Focus on South Asian community
Crisis Intervention
Legal Aid
Housing Assistance
Case Management
Counseling
Police accompaniment</v>
      </c>
      <c r="T251" s="12" t="b">
        <f>IFERROR(__xludf.DUMMYFUNCTION("""COMPUTED_VALUE"""),FALSE)</f>
        <v>0</v>
      </c>
      <c r="U251" s="12" t="b">
        <f>IFERROR(__xludf.DUMMYFUNCTION("""COMPUTED_VALUE"""),FALSE)</f>
        <v>0</v>
      </c>
      <c r="V251" s="13" t="str">
        <f>IFERROR(__xludf.DUMMYFUNCTION("""COMPUTED_VALUE"""),"https://www.dayahouston.org/services")</f>
        <v>https://www.dayahouston.org/services</v>
      </c>
      <c r="W251" s="10"/>
      <c r="X251" s="10"/>
      <c r="Y251" s="9" t="str">
        <f>IFERROR(__xludf.DUMMYFUNCTION("""COMPUTED_VALUE"""),"Houston")</f>
        <v>Houston</v>
      </c>
      <c r="Z251" s="9" t="str">
        <f>IFERROR(__xludf.DUMMYFUNCTION("""COMPUTED_VALUE"""),"P.O. Boxes")</f>
        <v>P.O. Boxes</v>
      </c>
      <c r="AA251" s="9" t="str">
        <f>IFERROR(__xludf.DUMMYFUNCTION("""COMPUTED_VALUE"""),"Daya")</f>
        <v>Daya</v>
      </c>
      <c r="AB251" s="9" t="str">
        <f>IFERROR(__xludf.DUMMYFUNCTION("""COMPUTED_VALUE"""),"Westside")</f>
        <v>Westside</v>
      </c>
    </row>
    <row r="252" ht="30.0" customHeight="1">
      <c r="A252" s="17">
        <v>251.0</v>
      </c>
      <c r="B252" s="8" t="str">
        <f>IFERROR(__xludf.DUMMYFUNCTION("""COMPUTED_VALUE"""),"[""77536""]")</f>
        <v>["77536"]</v>
      </c>
      <c r="C252" s="9" t="str">
        <f>IFERROR(__xludf.DUMMYFUNCTION("""COMPUTED_VALUE"""),"Deer Park First Baptist")</f>
        <v>Deer Park First Baptist</v>
      </c>
      <c r="D252" s="9" t="str">
        <f>IFERROR(__xludf.DUMMYFUNCTION("""COMPUTED_VALUE"""),"438 E 8th Street")</f>
        <v>438 E 8th Street</v>
      </c>
      <c r="E252" s="9"/>
      <c r="F252" s="9" t="str">
        <f>IFERROR(__xludf.DUMMYFUNCTION("""COMPUTED_VALUE"""),"Deer Park")</f>
        <v>Deer Park</v>
      </c>
      <c r="G252" s="9" t="str">
        <f>IFERROR(__xludf.DUMMYFUNCTION("""COMPUTED_VALUE"""),"TX")</f>
        <v>TX</v>
      </c>
      <c r="H252" s="9" t="str">
        <f>IFERROR(__xludf.DUMMYFUNCTION("""COMPUTED_VALUE"""),"77536")</f>
        <v>77536</v>
      </c>
      <c r="I252" s="9" t="str">
        <f>IFERROR(__xludf.DUMMYFUNCTION("""COMPUTED_VALUE"""),"281-479-2391")</f>
        <v>281-479-2391</v>
      </c>
      <c r="J252" s="9" t="str">
        <f>IFERROR(__xludf.DUMMYFUNCTION("""COMPUTED_VALUE"""),"29.705066375374, -95.1183645836611")</f>
        <v>29.705066375374, -95.1183645836611</v>
      </c>
      <c r="K252" s="9" t="str">
        <f>IFERROR(__xludf.DUMMYFUNCTION("""COMPUTED_VALUE"""),"{""regular"":[{""days"":[""Mo"",""Tu"",""We"",""Th""],""open"":""08:00"",""close"":""17:00""},{""days"":[""Fr""],""open"":""08:00"",""close"":""13:00""}]}")</f>
        <v>{"regular":[{"days":["Mo","Tu","We","Th"],"open":"08:00","close":"17:00"},{"days":["Fr"],"open":"08:00","close":"13:00"}]}</v>
      </c>
      <c r="L252" s="9"/>
      <c r="M252" s="10">
        <f>IFERROR(__xludf.DUMMYFUNCTION("""COMPUTED_VALUE"""),11.0)</f>
        <v>11</v>
      </c>
      <c r="N252" s="10" t="str">
        <f>IFERROR(__xludf.DUMMYFUNCTION("""COMPUTED_VALUE"""),"Rent")</f>
        <v>Rent</v>
      </c>
      <c r="O252" s="10">
        <f>IFERROR(__xludf.DUMMYFUNCTION("""COMPUTED_VALUE"""),2.0)</f>
        <v>2</v>
      </c>
      <c r="P252" s="10" t="str">
        <f>IFERROR(__xludf.DUMMYFUNCTION("""COMPUTED_VALUE"""),"LIMITED")</f>
        <v>LIMITED</v>
      </c>
      <c r="Q252" s="11">
        <f>IFERROR(__xludf.DUMMYFUNCTION("""COMPUTED_VALUE"""),45663.0)</f>
        <v>45663</v>
      </c>
      <c r="R252" s="9" t="str">
        <f>IFERROR(__xludf.DUMMYFUNCTION("""COMPUTED_VALUE"""),"Deer Park ISD only.")</f>
        <v>Deer Park ISD only.</v>
      </c>
      <c r="S252" s="9"/>
      <c r="T252" s="12" t="b">
        <f>IFERROR(__xludf.DUMMYFUNCTION("""COMPUTED_VALUE"""),FALSE)</f>
        <v>0</v>
      </c>
      <c r="U252" s="12" t="b">
        <f>IFERROR(__xludf.DUMMYFUNCTION("""COMPUTED_VALUE"""),FALSE)</f>
        <v>0</v>
      </c>
      <c r="V252" s="13" t="str">
        <f>IFERROR(__xludf.DUMMYFUNCTION("""COMPUTED_VALUE"""),"https://deerparkfirst.org/")</f>
        <v>https://deerparkfirst.org/</v>
      </c>
      <c r="W252" s="14" t="str">
        <f>IFERROR(__xludf.DUMMYFUNCTION("""COMPUTED_VALUE"""),"https://maps.google.com/?q=Deer%20Park%20First%20Baptist%20%20%20TX%20")</f>
        <v>https://maps.google.com/?q=Deer%20Park%20First%20Baptist%20%20%20TX%20</v>
      </c>
      <c r="X252" s="10"/>
      <c r="Y252" s="9" t="str">
        <f>IFERROR(__xludf.DUMMYFUNCTION("""COMPUTED_VALUE"""),"Deer Park")</f>
        <v>Deer Park</v>
      </c>
      <c r="Z252" s="9" t="str">
        <f>IFERROR(__xludf.DUMMYFUNCTION("""COMPUTED_VALUE"""),"Deer Park, Deer Park Gardens")</f>
        <v>Deer Park, Deer Park Gardens</v>
      </c>
      <c r="AA252" s="9" t="str">
        <f>IFERROR(__xludf.DUMMYFUNCTION("""COMPUTED_VALUE"""),"Deer Park First Baptist")</f>
        <v>Deer Park First Baptist</v>
      </c>
      <c r="AB252" s="9" t="str">
        <f>IFERROR(__xludf.DUMMYFUNCTION("""COMPUTED_VALUE"""),"Deer Park Gardens")</f>
        <v>Deer Park Gardens</v>
      </c>
    </row>
    <row r="253" ht="30.0" customHeight="1">
      <c r="A253" s="17">
        <v>252.0</v>
      </c>
      <c r="B253" s="8" t="str">
        <f>IFERROR(__xludf.DUMMYFUNCTION("""COMPUTED_VALUE"""),"[""77536""]")</f>
        <v>["77536"]</v>
      </c>
      <c r="C253" s="9" t="str">
        <f>IFERROR(__xludf.DUMMYFUNCTION("""COMPUTED_VALUE"""),"Deer Park First Baptist")</f>
        <v>Deer Park First Baptist</v>
      </c>
      <c r="D253" s="9" t="str">
        <f>IFERROR(__xludf.DUMMYFUNCTION("""COMPUTED_VALUE"""),"438 E 8th Street")</f>
        <v>438 E 8th Street</v>
      </c>
      <c r="E253" s="9"/>
      <c r="F253" s="9" t="str">
        <f>IFERROR(__xludf.DUMMYFUNCTION("""COMPUTED_VALUE"""),"Deer Park")</f>
        <v>Deer Park</v>
      </c>
      <c r="G253" s="9" t="str">
        <f>IFERROR(__xludf.DUMMYFUNCTION("""COMPUTED_VALUE"""),"TX")</f>
        <v>TX</v>
      </c>
      <c r="H253" s="9" t="str">
        <f>IFERROR(__xludf.DUMMYFUNCTION("""COMPUTED_VALUE"""),"77536")</f>
        <v>77536</v>
      </c>
      <c r="I253" s="9" t="str">
        <f>IFERROR(__xludf.DUMMYFUNCTION("""COMPUTED_VALUE"""),"281-479-2391")</f>
        <v>281-479-2391</v>
      </c>
      <c r="J253" s="9" t="str">
        <f>IFERROR(__xludf.DUMMYFUNCTION("""COMPUTED_VALUE"""),"29.705066375374, -95.1183645836611")</f>
        <v>29.705066375374, -95.1183645836611</v>
      </c>
      <c r="K253" s="9" t="str">
        <f>IFERROR(__xludf.DUMMYFUNCTION("""COMPUTED_VALUE"""),"{""regular"":[{""days"":[""Mo"",""Tu"",""We"",""Th""],""open"":""08:00"",""close"":""17:00""},{""days"":[""Fr""],""open"":""08:00"",""close"":""13:00""}]}")</f>
        <v>{"regular":[{"days":["Mo","Tu","We","Th"],"open":"08:00","close":"17:00"},{"days":["Fr"],"open":"08:00","close":"13:00"}]}</v>
      </c>
      <c r="L253" s="9"/>
      <c r="M253" s="10">
        <f>IFERROR(__xludf.DUMMYFUNCTION("""COMPUTED_VALUE"""),12.0)</f>
        <v>12</v>
      </c>
      <c r="N253" s="10" t="str">
        <f>IFERROR(__xludf.DUMMYFUNCTION("""COMPUTED_VALUE"""),"Utilities")</f>
        <v>Utilities</v>
      </c>
      <c r="O253" s="10">
        <f>IFERROR(__xludf.DUMMYFUNCTION("""COMPUTED_VALUE"""),2.0)</f>
        <v>2</v>
      </c>
      <c r="P253" s="10" t="str">
        <f>IFERROR(__xludf.DUMMYFUNCTION("""COMPUTED_VALUE"""),"LIMITED")</f>
        <v>LIMITED</v>
      </c>
      <c r="Q253" s="11">
        <f>IFERROR(__xludf.DUMMYFUNCTION("""COMPUTED_VALUE"""),45663.0)</f>
        <v>45663</v>
      </c>
      <c r="R253" s="9" t="str">
        <f>IFERROR(__xludf.DUMMYFUNCTION("""COMPUTED_VALUE"""),"Deer Park ISD only.")</f>
        <v>Deer Park ISD only.</v>
      </c>
      <c r="S253" s="9"/>
      <c r="T253" s="12" t="b">
        <f>IFERROR(__xludf.DUMMYFUNCTION("""COMPUTED_VALUE"""),FALSE)</f>
        <v>0</v>
      </c>
      <c r="U253" s="12" t="b">
        <f>IFERROR(__xludf.DUMMYFUNCTION("""COMPUTED_VALUE"""),FALSE)</f>
        <v>0</v>
      </c>
      <c r="V253" s="13" t="str">
        <f>IFERROR(__xludf.DUMMYFUNCTION("""COMPUTED_VALUE"""),"https://deerparkfirst.org/")</f>
        <v>https://deerparkfirst.org/</v>
      </c>
      <c r="W253" s="14" t="str">
        <f>IFERROR(__xludf.DUMMYFUNCTION("""COMPUTED_VALUE"""),"https://maps.google.com/?q=Deer%20Park%20First%20Baptist%20%20%20TX%20")</f>
        <v>https://maps.google.com/?q=Deer%20Park%20First%20Baptist%20%20%20TX%20</v>
      </c>
      <c r="X253" s="10"/>
      <c r="Y253" s="9" t="str">
        <f>IFERROR(__xludf.DUMMYFUNCTION("""COMPUTED_VALUE"""),"Deer Park")</f>
        <v>Deer Park</v>
      </c>
      <c r="Z253" s="9" t="str">
        <f>IFERROR(__xludf.DUMMYFUNCTION("""COMPUTED_VALUE"""),"Deer Park, Deer Park Gardens")</f>
        <v>Deer Park, Deer Park Gardens</v>
      </c>
      <c r="AA253" s="9" t="str">
        <f>IFERROR(__xludf.DUMMYFUNCTION("""COMPUTED_VALUE"""),"Deer Park First Baptist")</f>
        <v>Deer Park First Baptist</v>
      </c>
      <c r="AB253" s="9" t="str">
        <f>IFERROR(__xludf.DUMMYFUNCTION("""COMPUTED_VALUE"""),"Deer Park Gardens")</f>
        <v>Deer Park Gardens</v>
      </c>
    </row>
    <row r="254" ht="30.0" customHeight="1">
      <c r="A254" s="17">
        <v>253.0</v>
      </c>
      <c r="B254" s="8" t="str">
        <f>IFERROR(__xludf.DUMMYFUNCTION("""COMPUTED_VALUE"""),"[""77536""]")</f>
        <v>["77536"]</v>
      </c>
      <c r="C254" s="9" t="str">
        <f>IFERROR(__xludf.DUMMYFUNCTION("""COMPUTED_VALUE"""),"Deer Park First Baptist")</f>
        <v>Deer Park First Baptist</v>
      </c>
      <c r="D254" s="9" t="str">
        <f>IFERROR(__xludf.DUMMYFUNCTION("""COMPUTED_VALUE"""),"438 E 8th Street")</f>
        <v>438 E 8th Street</v>
      </c>
      <c r="E254" s="9"/>
      <c r="F254" s="9" t="str">
        <f>IFERROR(__xludf.DUMMYFUNCTION("""COMPUTED_VALUE"""),"Deer Park")</f>
        <v>Deer Park</v>
      </c>
      <c r="G254" s="9" t="str">
        <f>IFERROR(__xludf.DUMMYFUNCTION("""COMPUTED_VALUE"""),"TX")</f>
        <v>TX</v>
      </c>
      <c r="H254" s="9" t="str">
        <f>IFERROR(__xludf.DUMMYFUNCTION("""COMPUTED_VALUE"""),"77536")</f>
        <v>77536</v>
      </c>
      <c r="I254" s="9" t="str">
        <f>IFERROR(__xludf.DUMMYFUNCTION("""COMPUTED_VALUE"""),"281-479-2391")</f>
        <v>281-479-2391</v>
      </c>
      <c r="J254" s="9" t="str">
        <f>IFERROR(__xludf.DUMMYFUNCTION("""COMPUTED_VALUE"""),"29.705066375374, -95.1183645836611")</f>
        <v>29.705066375374, -95.1183645836611</v>
      </c>
      <c r="K254" s="9" t="str">
        <f>IFERROR(__xludf.DUMMYFUNCTION("""COMPUTED_VALUE"""),"{""regular"":[{""days"":[""Tu"",""Th""],""open"":""10:00"",""close"":""14:00""}]}")</f>
        <v>{"regular":[{"days":["Tu","Th"],"open":"10:00","close":"14:00"}]}</v>
      </c>
      <c r="L254" s="9"/>
      <c r="M254" s="10">
        <f>IFERROR(__xludf.DUMMYFUNCTION("""COMPUTED_VALUE"""),13.0)</f>
        <v>13</v>
      </c>
      <c r="N254" s="10" t="str">
        <f>IFERROR(__xludf.DUMMYFUNCTION("""COMPUTED_VALUE"""),"Food")</f>
        <v>Food</v>
      </c>
      <c r="O254" s="10">
        <f>IFERROR(__xludf.DUMMYFUNCTION("""COMPUTED_VALUE"""),1.0)</f>
        <v>1</v>
      </c>
      <c r="P254" s="10" t="str">
        <f>IFERROR(__xludf.DUMMYFUNCTION("""COMPUTED_VALUE"""),"ACTIVE")</f>
        <v>ACTIVE</v>
      </c>
      <c r="Q254" s="11">
        <f>IFERROR(__xludf.DUMMYFUNCTION("""COMPUTED_VALUE"""),45663.0)</f>
        <v>45663</v>
      </c>
      <c r="R254" s="9"/>
      <c r="S254" s="9" t="str">
        <f>IFERROR(__xludf.DUMMYFUNCTION("""COMPUTED_VALUE"""),"Does not have its own Food Pantry but does the intake for the Food Pantry located at Deer Park UMC.")</f>
        <v>Does not have its own Food Pantry but does the intake for the Food Pantry located at Deer Park UMC.</v>
      </c>
      <c r="T254" s="12" t="b">
        <f>IFERROR(__xludf.DUMMYFUNCTION("""COMPUTED_VALUE"""),FALSE)</f>
        <v>0</v>
      </c>
      <c r="U254" s="12" t="b">
        <f>IFERROR(__xludf.DUMMYFUNCTION("""COMPUTED_VALUE"""),FALSE)</f>
        <v>0</v>
      </c>
      <c r="V254" s="13" t="str">
        <f>IFERROR(__xludf.DUMMYFUNCTION("""COMPUTED_VALUE"""),"https://deerparkfirst.org/")</f>
        <v>https://deerparkfirst.org/</v>
      </c>
      <c r="W254" s="14" t="str">
        <f>IFERROR(__xludf.DUMMYFUNCTION("""COMPUTED_VALUE"""),"https://maps.google.com/?q=Deer%20Park%20First%20Baptist%20%20%20TX%20")</f>
        <v>https://maps.google.com/?q=Deer%20Park%20First%20Baptist%20%20%20TX%20</v>
      </c>
      <c r="X254" s="10"/>
      <c r="Y254" s="9" t="str">
        <f>IFERROR(__xludf.DUMMYFUNCTION("""COMPUTED_VALUE"""),"Deer Park")</f>
        <v>Deer Park</v>
      </c>
      <c r="Z254" s="9" t="str">
        <f>IFERROR(__xludf.DUMMYFUNCTION("""COMPUTED_VALUE"""),"Deer Park, Deer Park Gardens")</f>
        <v>Deer Park, Deer Park Gardens</v>
      </c>
      <c r="AA254" s="9" t="str">
        <f>IFERROR(__xludf.DUMMYFUNCTION("""COMPUTED_VALUE"""),"Deer Park First Baptist")</f>
        <v>Deer Park First Baptist</v>
      </c>
      <c r="AB254" s="9" t="str">
        <f>IFERROR(__xludf.DUMMYFUNCTION("""COMPUTED_VALUE"""),"Deer Park Gardens")</f>
        <v>Deer Park Gardens</v>
      </c>
    </row>
    <row r="255" ht="30.0" customHeight="1">
      <c r="A255" s="17">
        <v>254.0</v>
      </c>
      <c r="B255" s="8" t="str">
        <f>IFERROR(__xludf.DUMMYFUNCTION("""COMPUTED_VALUE"""),"[""77536""]")</f>
        <v>["77536"]</v>
      </c>
      <c r="C255" s="9" t="str">
        <f>IFERROR(__xludf.DUMMYFUNCTION("""COMPUTED_VALUE"""),"Deer Park UMC")</f>
        <v>Deer Park UMC</v>
      </c>
      <c r="D255" s="9" t="str">
        <f>IFERROR(__xludf.DUMMYFUNCTION("""COMPUTED_VALUE"""),"1300 E 13th Street")</f>
        <v>1300 E 13th Street</v>
      </c>
      <c r="E255" s="9"/>
      <c r="F255" s="9" t="str">
        <f>IFERROR(__xludf.DUMMYFUNCTION("""COMPUTED_VALUE"""),"Deer Park")</f>
        <v>Deer Park</v>
      </c>
      <c r="G255" s="9" t="str">
        <f>IFERROR(__xludf.DUMMYFUNCTION("""COMPUTED_VALUE"""),"TX")</f>
        <v>TX</v>
      </c>
      <c r="H255" s="9" t="str">
        <f>IFERROR(__xludf.DUMMYFUNCTION("""COMPUTED_VALUE"""),"77536")</f>
        <v>77536</v>
      </c>
      <c r="I255" s="9" t="str">
        <f>IFERROR(__xludf.DUMMYFUNCTION("""COMPUTED_VALUE"""),"281-930-1300")</f>
        <v>281-930-1300</v>
      </c>
      <c r="J255" s="9" t="str">
        <f>IFERROR(__xludf.DUMMYFUNCTION("""COMPUTED_VALUE"""),"29.7001473632323, -95.1118777366005")</f>
        <v>29.7001473632323, -95.1118777366005</v>
      </c>
      <c r="K255" s="9"/>
      <c r="L255" s="9"/>
      <c r="M255" s="10">
        <f>IFERROR(__xludf.DUMMYFUNCTION("""COMPUTED_VALUE"""),11.0)</f>
        <v>11</v>
      </c>
      <c r="N255" s="10" t="str">
        <f>IFERROR(__xludf.DUMMYFUNCTION("""COMPUTED_VALUE"""),"Rent")</f>
        <v>Rent</v>
      </c>
      <c r="O255" s="10">
        <f>IFERROR(__xludf.DUMMYFUNCTION("""COMPUTED_VALUE"""),1.0)</f>
        <v>1</v>
      </c>
      <c r="P255" s="10" t="str">
        <f>IFERROR(__xludf.DUMMYFUNCTION("""COMPUTED_VALUE"""),"ACTIVE")</f>
        <v>ACTIVE</v>
      </c>
      <c r="Q255" s="11">
        <f>IFERROR(__xludf.DUMMYFUNCTION("""COMPUTED_VALUE"""),45663.0)</f>
        <v>45663</v>
      </c>
      <c r="R255" s="9"/>
      <c r="S255" s="9"/>
      <c r="T255" s="12" t="b">
        <f>IFERROR(__xludf.DUMMYFUNCTION("""COMPUTED_VALUE"""),FALSE)</f>
        <v>0</v>
      </c>
      <c r="U255" s="12" t="b">
        <f>IFERROR(__xludf.DUMMYFUNCTION("""COMPUTED_VALUE"""),FALSE)</f>
        <v>0</v>
      </c>
      <c r="V255" s="13" t="str">
        <f>IFERROR(__xludf.DUMMYFUNCTION("""COMPUTED_VALUE"""),"https://dpumc.org/outreach/")</f>
        <v>https://dpumc.org/outreach/</v>
      </c>
      <c r="W255" s="14" t="str">
        <f>IFERROR(__xludf.DUMMYFUNCTION("""COMPUTED_VALUE"""),"https://maps.google.com/?q=Deer%20Park%20UMC%201300%20E%2013th%20St%20Deer%20Park%20TX%2077536")</f>
        <v>https://maps.google.com/?q=Deer%20Park%20UMC%201300%20E%2013th%20St%20Deer%20Park%20TX%2077536</v>
      </c>
      <c r="X255" s="10"/>
      <c r="Y255" s="9" t="str">
        <f>IFERROR(__xludf.DUMMYFUNCTION("""COMPUTED_VALUE"""),"Deer Park")</f>
        <v>Deer Park</v>
      </c>
      <c r="Z255" s="9" t="str">
        <f>IFERROR(__xludf.DUMMYFUNCTION("""COMPUTED_VALUE"""),"Deer Park, Deer Park Gardens")</f>
        <v>Deer Park, Deer Park Gardens</v>
      </c>
      <c r="AA255" s="9" t="str">
        <f>IFERROR(__xludf.DUMMYFUNCTION("""COMPUTED_VALUE"""),"Deer Park UMC")</f>
        <v>Deer Park UMC</v>
      </c>
      <c r="AB255" s="9" t="str">
        <f>IFERROR(__xludf.DUMMYFUNCTION("""COMPUTED_VALUE"""),"Deer Park Gardens")</f>
        <v>Deer Park Gardens</v>
      </c>
    </row>
    <row r="256" ht="30.0" customHeight="1">
      <c r="A256" s="17">
        <v>255.0</v>
      </c>
      <c r="B256" s="8" t="str">
        <f>IFERROR(__xludf.DUMMYFUNCTION("""COMPUTED_VALUE"""),"[""77536""]")</f>
        <v>["77536"]</v>
      </c>
      <c r="C256" s="9" t="str">
        <f>IFERROR(__xludf.DUMMYFUNCTION("""COMPUTED_VALUE"""),"Deer Park UMC")</f>
        <v>Deer Park UMC</v>
      </c>
      <c r="D256" s="9" t="str">
        <f>IFERROR(__xludf.DUMMYFUNCTION("""COMPUTED_VALUE"""),"1300 E 13th Street")</f>
        <v>1300 E 13th Street</v>
      </c>
      <c r="E256" s="9"/>
      <c r="F256" s="9" t="str">
        <f>IFERROR(__xludf.DUMMYFUNCTION("""COMPUTED_VALUE"""),"Deer Park")</f>
        <v>Deer Park</v>
      </c>
      <c r="G256" s="9" t="str">
        <f>IFERROR(__xludf.DUMMYFUNCTION("""COMPUTED_VALUE"""),"TX")</f>
        <v>TX</v>
      </c>
      <c r="H256" s="9" t="str">
        <f>IFERROR(__xludf.DUMMYFUNCTION("""COMPUTED_VALUE"""),"77536")</f>
        <v>77536</v>
      </c>
      <c r="I256" s="9" t="str">
        <f>IFERROR(__xludf.DUMMYFUNCTION("""COMPUTED_VALUE"""),"281-930-1300")</f>
        <v>281-930-1300</v>
      </c>
      <c r="J256" s="9" t="str">
        <f>IFERROR(__xludf.DUMMYFUNCTION("""COMPUTED_VALUE"""),"29.7001473632323, -95.1118777366005")</f>
        <v>29.7001473632323, -95.1118777366005</v>
      </c>
      <c r="K256" s="9"/>
      <c r="L256" s="9"/>
      <c r="M256" s="10">
        <f>IFERROR(__xludf.DUMMYFUNCTION("""COMPUTED_VALUE"""),12.0)</f>
        <v>12</v>
      </c>
      <c r="N256" s="10" t="str">
        <f>IFERROR(__xludf.DUMMYFUNCTION("""COMPUTED_VALUE"""),"Utilities")</f>
        <v>Utilities</v>
      </c>
      <c r="O256" s="10">
        <f>IFERROR(__xludf.DUMMYFUNCTION("""COMPUTED_VALUE"""),1.0)</f>
        <v>1</v>
      </c>
      <c r="P256" s="10" t="str">
        <f>IFERROR(__xludf.DUMMYFUNCTION("""COMPUTED_VALUE"""),"ACTIVE")</f>
        <v>ACTIVE</v>
      </c>
      <c r="Q256" s="11">
        <f>IFERROR(__xludf.DUMMYFUNCTION("""COMPUTED_VALUE"""),45663.0)</f>
        <v>45663</v>
      </c>
      <c r="R256" s="9"/>
      <c r="S256" s="9"/>
      <c r="T256" s="12" t="b">
        <f>IFERROR(__xludf.DUMMYFUNCTION("""COMPUTED_VALUE"""),FALSE)</f>
        <v>0</v>
      </c>
      <c r="U256" s="12" t="b">
        <f>IFERROR(__xludf.DUMMYFUNCTION("""COMPUTED_VALUE"""),FALSE)</f>
        <v>0</v>
      </c>
      <c r="V256" s="13" t="str">
        <f>IFERROR(__xludf.DUMMYFUNCTION("""COMPUTED_VALUE"""),"https://dpumc.org/outreach/")</f>
        <v>https://dpumc.org/outreach/</v>
      </c>
      <c r="W256" s="14" t="str">
        <f>IFERROR(__xludf.DUMMYFUNCTION("""COMPUTED_VALUE"""),"https://maps.google.com/?q=Deer%20Park%20UMC%201300%20E%2013th%20St%20Deer%20Park%20TX%2077536")</f>
        <v>https://maps.google.com/?q=Deer%20Park%20UMC%201300%20E%2013th%20St%20Deer%20Park%20TX%2077536</v>
      </c>
      <c r="X256" s="10"/>
      <c r="Y256" s="9" t="str">
        <f>IFERROR(__xludf.DUMMYFUNCTION("""COMPUTED_VALUE"""),"Deer Park")</f>
        <v>Deer Park</v>
      </c>
      <c r="Z256" s="9" t="str">
        <f>IFERROR(__xludf.DUMMYFUNCTION("""COMPUTED_VALUE"""),"Deer Park, Deer Park Gardens")</f>
        <v>Deer Park, Deer Park Gardens</v>
      </c>
      <c r="AA256" s="9" t="str">
        <f>IFERROR(__xludf.DUMMYFUNCTION("""COMPUTED_VALUE"""),"Deer Park UMC")</f>
        <v>Deer Park UMC</v>
      </c>
      <c r="AB256" s="9" t="str">
        <f>IFERROR(__xludf.DUMMYFUNCTION("""COMPUTED_VALUE"""),"Deer Park Gardens")</f>
        <v>Deer Park Gardens</v>
      </c>
    </row>
    <row r="257" ht="30.0" customHeight="1">
      <c r="A257" s="17">
        <v>256.0</v>
      </c>
      <c r="B257" s="8" t="str">
        <f>IFERROR(__xludf.DUMMYFUNCTION("""COMPUTED_VALUE"""),"[""77536""]")</f>
        <v>["77536"]</v>
      </c>
      <c r="C257" s="9" t="str">
        <f>IFERROR(__xludf.DUMMYFUNCTION("""COMPUTED_VALUE"""),"Deer Park UMC")</f>
        <v>Deer Park UMC</v>
      </c>
      <c r="D257" s="9" t="str">
        <f>IFERROR(__xludf.DUMMYFUNCTION("""COMPUTED_VALUE"""),"1300 E 13th Street")</f>
        <v>1300 E 13th Street</v>
      </c>
      <c r="E257" s="9"/>
      <c r="F257" s="9" t="str">
        <f>IFERROR(__xludf.DUMMYFUNCTION("""COMPUTED_VALUE"""),"Deer Park")</f>
        <v>Deer Park</v>
      </c>
      <c r="G257" s="9" t="str">
        <f>IFERROR(__xludf.DUMMYFUNCTION("""COMPUTED_VALUE"""),"TX")</f>
        <v>TX</v>
      </c>
      <c r="H257" s="9" t="str">
        <f>IFERROR(__xludf.DUMMYFUNCTION("""COMPUTED_VALUE"""),"77536")</f>
        <v>77536</v>
      </c>
      <c r="I257" s="9" t="str">
        <f>IFERROR(__xludf.DUMMYFUNCTION("""COMPUTED_VALUE"""),"281-930-1300")</f>
        <v>281-930-1300</v>
      </c>
      <c r="J257" s="9" t="str">
        <f>IFERROR(__xludf.DUMMYFUNCTION("""COMPUTED_VALUE"""),"29.7001473632323, -95.1118777366005")</f>
        <v>29.7001473632323, -95.1118777366005</v>
      </c>
      <c r="K257" s="9" t="str">
        <f>IFERROR(__xludf.DUMMYFUNCTION("""COMPUTED_VALUE"""),"{""regular"":[{""days"":[""Tu"",""Th""],""open"":""10:00"",""close"":""14:00""}]}")</f>
        <v>{"regular":[{"days":["Tu","Th"],"open":"10:00","close":"14:00"}]}</v>
      </c>
      <c r="L257" s="9"/>
      <c r="M257" s="10">
        <f>IFERROR(__xludf.DUMMYFUNCTION("""COMPUTED_VALUE"""),13.0)</f>
        <v>13</v>
      </c>
      <c r="N257" s="10" t="str">
        <f>IFERROR(__xludf.DUMMYFUNCTION("""COMPUTED_VALUE"""),"Food")</f>
        <v>Food</v>
      </c>
      <c r="O257" s="10">
        <f>IFERROR(__xludf.DUMMYFUNCTION("""COMPUTED_VALUE"""),1.0)</f>
        <v>1</v>
      </c>
      <c r="P257" s="10" t="str">
        <f>IFERROR(__xludf.DUMMYFUNCTION("""COMPUTED_VALUE"""),"ACTIVE")</f>
        <v>ACTIVE</v>
      </c>
      <c r="Q257" s="11">
        <f>IFERROR(__xludf.DUMMYFUNCTION("""COMPUTED_VALUE"""),45663.0)</f>
        <v>45663</v>
      </c>
      <c r="R257" s="9"/>
      <c r="S257" s="9"/>
      <c r="T257" s="12" t="b">
        <f>IFERROR(__xludf.DUMMYFUNCTION("""COMPUTED_VALUE"""),FALSE)</f>
        <v>0</v>
      </c>
      <c r="U257" s="12" t="b">
        <f>IFERROR(__xludf.DUMMYFUNCTION("""COMPUTED_VALUE"""),FALSE)</f>
        <v>0</v>
      </c>
      <c r="V257" s="12"/>
      <c r="W257" s="10"/>
      <c r="X257" s="10"/>
      <c r="Y257" s="9" t="str">
        <f>IFERROR(__xludf.DUMMYFUNCTION("""COMPUTED_VALUE"""),"Deer Park")</f>
        <v>Deer Park</v>
      </c>
      <c r="Z257" s="9" t="str">
        <f>IFERROR(__xludf.DUMMYFUNCTION("""COMPUTED_VALUE"""),"Deer Park, Deer Park Gardens")</f>
        <v>Deer Park, Deer Park Gardens</v>
      </c>
      <c r="AA257" s="9" t="str">
        <f>IFERROR(__xludf.DUMMYFUNCTION("""COMPUTED_VALUE"""),"Deer Park UMC")</f>
        <v>Deer Park UMC</v>
      </c>
      <c r="AB257" s="9" t="str">
        <f>IFERROR(__xludf.DUMMYFUNCTION("""COMPUTED_VALUE"""),"Deer Park Gardens")</f>
        <v>Deer Park Gardens</v>
      </c>
    </row>
    <row r="258" ht="30.0" customHeight="1">
      <c r="A258" s="17">
        <v>257.0</v>
      </c>
      <c r="B258" s="8" t="str">
        <f>IFERROR(__xludf.DUMMYFUNCTION("""COMPUTED_VALUE"""),"[""99999""]")</f>
        <v>["99999"]</v>
      </c>
      <c r="C258" s="9" t="str">
        <f>IFERROR(__xludf.DUMMYFUNCTION("""COMPUTED_VALUE"""),"Denver Harbor Family Health Center")</f>
        <v>Denver Harbor Family Health Center</v>
      </c>
      <c r="D258" s="9" t="str">
        <f>IFERROR(__xludf.DUMMYFUNCTION("""COMPUTED_VALUE"""),"424 Hahlo Street")</f>
        <v>424 Hahlo Street</v>
      </c>
      <c r="E258" s="9"/>
      <c r="F258" s="9" t="str">
        <f>IFERROR(__xludf.DUMMYFUNCTION("""COMPUTED_VALUE"""),"Houston")</f>
        <v>Houston</v>
      </c>
      <c r="G258" s="9" t="str">
        <f>IFERROR(__xludf.DUMMYFUNCTION("""COMPUTED_VALUE"""),"TX")</f>
        <v>TX</v>
      </c>
      <c r="H258" s="9" t="str">
        <f>IFERROR(__xludf.DUMMYFUNCTION("""COMPUTED_VALUE"""),"77020")</f>
        <v>77020</v>
      </c>
      <c r="I258" s="9" t="str">
        <f>IFERROR(__xludf.DUMMYFUNCTION("""COMPUTED_VALUE"""),"713-674-3326")</f>
        <v>713-674-3326</v>
      </c>
      <c r="J258" s="9" t="str">
        <f>IFERROR(__xludf.DUMMYFUNCTION("""COMPUTED_VALUE"""),"29.7803014, -95.3098685")</f>
        <v>29.7803014, -95.3098685</v>
      </c>
      <c r="K258" s="9" t="str">
        <f>IFERROR(__xludf.DUMMYFUNCTION("""COMPUTED_VALUE"""),"{""regular"":[{""days"":[""Mo"",""Tu"",""We"",""Th""],""open"":""07:30"",""close"":""20:00""},{""days"":[""Fr""],""open"":""07:30"",""close"":""17:00""}]}")</f>
        <v>{"regular":[{"days":["Mo","Tu","We","Th"],"open":"07:30","close":"20:00"},{"days":["Fr"],"open":"07:30","close":"17:00"}]}</v>
      </c>
      <c r="L258" s="9" t="str">
        <f>IFERROR(__xludf.DUMMYFUNCTION("""COMPUTED_VALUE"""),"Appointment required")</f>
        <v>Appointment required</v>
      </c>
      <c r="M258" s="10">
        <f>IFERROR(__xludf.DUMMYFUNCTION("""COMPUTED_VALUE"""),31.0)</f>
        <v>31</v>
      </c>
      <c r="N258" s="10" t="str">
        <f>IFERROR(__xludf.DUMMYFUNCTION("""COMPUTED_VALUE"""),"Medical - Primary Care")</f>
        <v>Medical - Primary Care</v>
      </c>
      <c r="O258" s="10">
        <f>IFERROR(__xludf.DUMMYFUNCTION("""COMPUTED_VALUE"""),1.0)</f>
        <v>1</v>
      </c>
      <c r="P258" s="10" t="str">
        <f>IFERROR(__xludf.DUMMYFUNCTION("""COMPUTED_VALUE"""),"ACTIVE")</f>
        <v>ACTIVE</v>
      </c>
      <c r="Q258" s="11">
        <f>IFERROR(__xludf.DUMMYFUNCTION("""COMPUTED_VALUE"""),46049.0)</f>
        <v>46049</v>
      </c>
      <c r="R258" s="9" t="str">
        <f>IFERROR(__xludf.DUMMYFUNCTION("""COMPUTED_VALUE"""),"Verified online")</f>
        <v>Verified online</v>
      </c>
      <c r="S258" s="9" t="str">
        <f>IFERROR(__xludf.DUMMYFUNCTION("""COMPUTED_VALUE"""),"All adult, pediatric and senior healthcare services.
Women's health including pre and postnatal care for mother and baby
Specialty care including cardiac care, diabetes management, dysplasia treatment and high blood pressure management
Uninsured patients "&amp;"pay what is affordable based on income and family size.
Will help determine if you qualify for medical assistance programs and help enroll, if you are.
Limited number of same day appointments.")</f>
        <v>All adult, pediatric and senior healthcare services.
Women's health including pre and postnatal care for mother and baby
Specialty care including cardiac care, diabetes management, dysplasia treatment and high blood pressure management
Uninsured patients pay what is affordable based on income and family size.
Will help determine if you qualify for medical assistance programs and help enroll, if you are.
Limited number of same day appointments.</v>
      </c>
      <c r="T258" s="12" t="b">
        <f>IFERROR(__xludf.DUMMYFUNCTION("""COMPUTED_VALUE"""),FALSE)</f>
        <v>0</v>
      </c>
      <c r="U258" s="12" t="b">
        <f>IFERROR(__xludf.DUMMYFUNCTION("""COMPUTED_VALUE"""),FALSE)</f>
        <v>0</v>
      </c>
      <c r="V258" s="13" t="str">
        <f>IFERROR(__xludf.DUMMYFUNCTION("""COMPUTED_VALUE"""),"https://www.denverharborhealthcenter.org")</f>
        <v>https://www.denverharborhealthcenter.org</v>
      </c>
      <c r="W258" s="14" t="str">
        <f>IFERROR(__xludf.DUMMYFUNCTION("""COMPUTED_VALUE"""),"https://www.google.com/maps/place/Vecino's+Denver+Harbor+Family+Health+Center/@29.7804606,-95.3124257,16z/data=!3m1!4b1!4m6!3m5!1s0x8640bbfe0493ec21:0xa8baa6b440546cf3!8m2!3d29.780456!4d-95.3098454!16s%2Fg%2F1td9whln?entry=ttu&amp;g_ep=EgoyMDI0MDkwNC4wIKXMDSo"&amp;"ASAFQAw%3D%3D")</f>
        <v>https://www.google.com/maps/place/Vecino's+Denver+Harbor+Family+Health+Center/@29.7804606,-95.3124257,16z/data=!3m1!4b1!4m6!3m5!1s0x8640bbfe0493ec21:0xa8baa6b440546cf3!8m2!3d29.780456!4d-95.3098454!16s%2Fg%2F1td9whln?entry=ttu&amp;g_ep=EgoyMDI0MDkwNC4wIKXMDSoASAFQAw%3D%3D</v>
      </c>
      <c r="X258" s="10"/>
      <c r="Y258" s="9" t="str">
        <f>IFERROR(__xludf.DUMMYFUNCTION("""COMPUTED_VALUE"""),"Houston")</f>
        <v>Houston</v>
      </c>
      <c r="Z258" s="9" t="str">
        <f>IFERROR(__xludf.DUMMYFUNCTION("""COMPUTED_VALUE"""),"Denver Harbor / Port Houston, Fifth Ward, Northside")</f>
        <v>Denver Harbor / Port Houston, Fifth Ward, Northside</v>
      </c>
      <c r="AA258" s="9" t="str">
        <f>IFERROR(__xludf.DUMMYFUNCTION("""COMPUTED_VALUE"""),"Vecino Health Centers")</f>
        <v>Vecino Health Centers</v>
      </c>
      <c r="AB258" s="9" t="str">
        <f>IFERROR(__xludf.DUMMYFUNCTION("""COMPUTED_VALUE"""),"Denver Harbor / Port Houston")</f>
        <v>Denver Harbor / Port Houston</v>
      </c>
    </row>
    <row r="259" ht="30.0" customHeight="1">
      <c r="A259" s="17">
        <v>258.0</v>
      </c>
      <c r="B259" s="8" t="str">
        <f>IFERROR(__xludf.DUMMYFUNCTION("""COMPUTED_VALUE"""),"[""99999""]")</f>
        <v>["99999"]</v>
      </c>
      <c r="C259" s="9" t="str">
        <f>IFERROR(__xludf.DUMMYFUNCTION("""COMPUTED_VALUE"""),"Denver Harbor Family Health Center")</f>
        <v>Denver Harbor Family Health Center</v>
      </c>
      <c r="D259" s="9" t="str">
        <f>IFERROR(__xludf.DUMMYFUNCTION("""COMPUTED_VALUE"""),"424 Hahlo Street")</f>
        <v>424 Hahlo Street</v>
      </c>
      <c r="E259" s="9"/>
      <c r="F259" s="9" t="str">
        <f>IFERROR(__xludf.DUMMYFUNCTION("""COMPUTED_VALUE"""),"Houston")</f>
        <v>Houston</v>
      </c>
      <c r="G259" s="9" t="str">
        <f>IFERROR(__xludf.DUMMYFUNCTION("""COMPUTED_VALUE"""),"TX")</f>
        <v>TX</v>
      </c>
      <c r="H259" s="9" t="str">
        <f>IFERROR(__xludf.DUMMYFUNCTION("""COMPUTED_VALUE"""),"77020")</f>
        <v>77020</v>
      </c>
      <c r="I259" s="9" t="str">
        <f>IFERROR(__xludf.DUMMYFUNCTION("""COMPUTED_VALUE"""),"713-674-3326")</f>
        <v>713-674-3326</v>
      </c>
      <c r="J259" s="9" t="str">
        <f>IFERROR(__xludf.DUMMYFUNCTION("""COMPUTED_VALUE"""),"29.7803014, -95.3098685")</f>
        <v>29.7803014, -95.3098685</v>
      </c>
      <c r="K259" s="9" t="str">
        <f>IFERROR(__xludf.DUMMYFUNCTION("""COMPUTED_VALUE"""),"{""regular"":[{""days"":[""Mo"",""Tu"",""We"",""Th""],""open"":""07:30"",""close"":""20:00""},{""days"":[""Fr""],""open"":""07:30"",""close"":""17:00""}]}")</f>
        <v>{"regular":[{"days":["Mo","Tu","We","Th"],"open":"07:30","close":"20:00"},{"days":["Fr"],"open":"07:30","close":"17:00"}]}</v>
      </c>
      <c r="L259" s="9" t="str">
        <f>IFERROR(__xludf.DUMMYFUNCTION("""COMPUTED_VALUE"""),"Appointment required")</f>
        <v>Appointment required</v>
      </c>
      <c r="M259" s="10">
        <f>IFERROR(__xludf.DUMMYFUNCTION("""COMPUTED_VALUE"""),32.0)</f>
        <v>32</v>
      </c>
      <c r="N259" s="10" t="str">
        <f>IFERROR(__xludf.DUMMYFUNCTION("""COMPUTED_VALUE"""),"Medical - Dental &amp; Vision")</f>
        <v>Medical - Dental &amp; Vision</v>
      </c>
      <c r="O259" s="10">
        <f>IFERROR(__xludf.DUMMYFUNCTION("""COMPUTED_VALUE"""),1.0)</f>
        <v>1</v>
      </c>
      <c r="P259" s="10" t="str">
        <f>IFERROR(__xludf.DUMMYFUNCTION("""COMPUTED_VALUE"""),"ACTIVE")</f>
        <v>ACTIVE</v>
      </c>
      <c r="Q259" s="11">
        <f>IFERROR(__xludf.DUMMYFUNCTION("""COMPUTED_VALUE"""),46049.0)</f>
        <v>46049</v>
      </c>
      <c r="R259" s="9" t="str">
        <f>IFERROR(__xludf.DUMMYFUNCTION("""COMPUTED_VALUE"""),"Verified online")</f>
        <v>Verified online</v>
      </c>
      <c r="S259" s="9" t="str">
        <f>IFERROR(__xludf.DUMMYFUNCTION("""COMPUTED_VALUE"""),"Dental
Comprehensive dental services including exams, cleaning and cavity fillings.
Will help determine if you qualify for medical assistance programs and help enroll, if you are.
Uninsured patients pay what is affordable based on income and family size.")</f>
        <v>Dental
Comprehensive dental services including exams, cleaning and cavity fillings.
Will help determine if you qualify for medical assistance programs and help enroll, if you are.
Uninsured patients pay what is affordable based on income and family size.</v>
      </c>
      <c r="T259" s="12" t="b">
        <f>IFERROR(__xludf.DUMMYFUNCTION("""COMPUTED_VALUE"""),TRUE)</f>
        <v>1</v>
      </c>
      <c r="U259" s="12" t="b">
        <f>IFERROR(__xludf.DUMMYFUNCTION("""COMPUTED_VALUE"""),FALSE)</f>
        <v>0</v>
      </c>
      <c r="V259" s="13" t="str">
        <f>IFERROR(__xludf.DUMMYFUNCTION("""COMPUTED_VALUE"""),"https://www.denverharborhealthcenter.org")</f>
        <v>https://www.denverharborhealthcenter.org</v>
      </c>
      <c r="W259" s="14" t="str">
        <f>IFERROR(__xludf.DUMMYFUNCTION("""COMPUTED_VALUE"""),"https://www.google.com/maps/place/Vecino's+Denver+Harbor+Family+Health+Center/@29.7804606,-95.3124257,16z/data=!3m1!4b1!4m6!3m5!1s0x8640bbfe0493ec21:0xa8baa6b440546cf3!8m2!3d29.780456!4d-95.3098454!16s%2Fg%2F1td9whln?entry=ttu&amp;g_ep=EgoyMDI0MDkwNC4wIKXMDSo"&amp;"ASAFQAw%3D%3D")</f>
        <v>https://www.google.com/maps/place/Vecino's+Denver+Harbor+Family+Health+Center/@29.7804606,-95.3124257,16z/data=!3m1!4b1!4m6!3m5!1s0x8640bbfe0493ec21:0xa8baa6b440546cf3!8m2!3d29.780456!4d-95.3098454!16s%2Fg%2F1td9whln?entry=ttu&amp;g_ep=EgoyMDI0MDkwNC4wIKXMDSoASAFQAw%3D%3D</v>
      </c>
      <c r="X259" s="10"/>
      <c r="Y259" s="9" t="str">
        <f>IFERROR(__xludf.DUMMYFUNCTION("""COMPUTED_VALUE"""),"Houston")</f>
        <v>Houston</v>
      </c>
      <c r="Z259" s="9" t="str">
        <f>IFERROR(__xludf.DUMMYFUNCTION("""COMPUTED_VALUE"""),"Denver Harbor / Port Houston, Fifth Ward, Northside")</f>
        <v>Denver Harbor / Port Houston, Fifth Ward, Northside</v>
      </c>
      <c r="AA259" s="9" t="str">
        <f>IFERROR(__xludf.DUMMYFUNCTION("""COMPUTED_VALUE"""),"Vecino Health Centers")</f>
        <v>Vecino Health Centers</v>
      </c>
      <c r="AB259" s="9" t="str">
        <f>IFERROR(__xludf.DUMMYFUNCTION("""COMPUTED_VALUE"""),"Denver Harbor / Port Houston")</f>
        <v>Denver Harbor / Port Houston</v>
      </c>
    </row>
    <row r="260" ht="30.0" customHeight="1">
      <c r="A260" s="17">
        <v>259.0</v>
      </c>
      <c r="B260" s="8" t="str">
        <f>IFERROR(__xludf.DUMMYFUNCTION("""COMPUTED_VALUE"""),"[""99999""]")</f>
        <v>["99999"]</v>
      </c>
      <c r="C260" s="9" t="str">
        <f>IFERROR(__xludf.DUMMYFUNCTION("""COMPUTED_VALUE"""),"Denver Harbor Family Health Center")</f>
        <v>Denver Harbor Family Health Center</v>
      </c>
      <c r="D260" s="9" t="str">
        <f>IFERROR(__xludf.DUMMYFUNCTION("""COMPUTED_VALUE"""),"424 Hahlo Street")</f>
        <v>424 Hahlo Street</v>
      </c>
      <c r="E260" s="9"/>
      <c r="F260" s="9" t="str">
        <f>IFERROR(__xludf.DUMMYFUNCTION("""COMPUTED_VALUE"""),"Houston")</f>
        <v>Houston</v>
      </c>
      <c r="G260" s="9" t="str">
        <f>IFERROR(__xludf.DUMMYFUNCTION("""COMPUTED_VALUE"""),"TX")</f>
        <v>TX</v>
      </c>
      <c r="H260" s="9" t="str">
        <f>IFERROR(__xludf.DUMMYFUNCTION("""COMPUTED_VALUE"""),"77020")</f>
        <v>77020</v>
      </c>
      <c r="I260" s="9" t="str">
        <f>IFERROR(__xludf.DUMMYFUNCTION("""COMPUTED_VALUE"""),"713-674-3326")</f>
        <v>713-674-3326</v>
      </c>
      <c r="J260" s="9" t="str">
        <f>IFERROR(__xludf.DUMMYFUNCTION("""COMPUTED_VALUE"""),"29.7803014, -95.3098685")</f>
        <v>29.7803014, -95.3098685</v>
      </c>
      <c r="K260" s="9" t="str">
        <f>IFERROR(__xludf.DUMMYFUNCTION("""COMPUTED_VALUE"""),"{""regular"":[{""days"":[""Mo"",""Tu"",""We"",""Th""],""open"":""07:30"",""close"":""20:00""},{""days"":[""Fr""],""open"":""07:30"",""close"":""17:00""}]}")</f>
        <v>{"regular":[{"days":["Mo","Tu","We","Th"],"open":"07:30","close":"20:00"},{"days":["Fr"],"open":"07:30","close":"17:00"}]}</v>
      </c>
      <c r="L260" s="9" t="str">
        <f>IFERROR(__xludf.DUMMYFUNCTION("""COMPUTED_VALUE"""),"Appointment required")</f>
        <v>Appointment required</v>
      </c>
      <c r="M260" s="10">
        <f>IFERROR(__xludf.DUMMYFUNCTION("""COMPUTED_VALUE"""),33.0)</f>
        <v>33</v>
      </c>
      <c r="N260" s="10" t="str">
        <f>IFERROR(__xludf.DUMMYFUNCTION("""COMPUTED_VALUE"""),"Medical - Behavioral Health")</f>
        <v>Medical - Behavioral Health</v>
      </c>
      <c r="O260" s="10">
        <f>IFERROR(__xludf.DUMMYFUNCTION("""COMPUTED_VALUE"""),1.0)</f>
        <v>1</v>
      </c>
      <c r="P260" s="10" t="str">
        <f>IFERROR(__xludf.DUMMYFUNCTION("""COMPUTED_VALUE"""),"ACTIVE")</f>
        <v>ACTIVE</v>
      </c>
      <c r="Q260" s="11">
        <f>IFERROR(__xludf.DUMMYFUNCTION("""COMPUTED_VALUE"""),46049.0)</f>
        <v>46049</v>
      </c>
      <c r="R260" s="9" t="str">
        <f>IFERROR(__xludf.DUMMYFUNCTION("""COMPUTED_VALUE"""),"Verified online")</f>
        <v>Verified online</v>
      </c>
      <c r="S260" s="9" t="str">
        <f>IFERROR(__xludf.DUMMYFUNCTION("""COMPUTED_VALUE"""),"Behavioral health services including individual, family and group counseling for depression, anxiety, trauma, grief, substance abuse, domestic violence and other stressors.
Uninsured patients pay what is affordable based on income and family size.
Will he"&amp;"lp determine if you qualify for medical assistance programs and help enroll, if you are.
")</f>
        <v>Behavioral health services including individual, family and group counseling for depression, anxiety, trauma, grief, substance abuse, domestic violence and other stressors.
Uninsured patients pay what is affordable based on income and family size.
Will help determine if you qualify for medical assistance programs and help enroll, if you are.
</v>
      </c>
      <c r="T260" s="12" t="b">
        <f>IFERROR(__xludf.DUMMYFUNCTION("""COMPUTED_VALUE"""),FALSE)</f>
        <v>0</v>
      </c>
      <c r="U260" s="12" t="b">
        <f>IFERROR(__xludf.DUMMYFUNCTION("""COMPUTED_VALUE"""),FALSE)</f>
        <v>0</v>
      </c>
      <c r="V260" s="13" t="str">
        <f>IFERROR(__xludf.DUMMYFUNCTION("""COMPUTED_VALUE"""),"https://www.denverharborhealthcenter.org")</f>
        <v>https://www.denverharborhealthcenter.org</v>
      </c>
      <c r="W260" s="14" t="str">
        <f>IFERROR(__xludf.DUMMYFUNCTION("""COMPUTED_VALUE"""),"https://www.google.com/maps/place/Vecino's+Denver+Harbor+Family+Health+Center/@29.7804606,-95.3124257,16z/data=!3m1!4b1!4m6!3m5!1s0x8640bbfe0493ec21:0xa8baa6b440546cf3!8m2!3d29.780456!4d-95.3098454!16s%2Fg%2F1td9whln?entry=ttu&amp;g_ep=EgoyMDI0MDkwNC4wIKXMDSo"&amp;"ASAFQAw%3D%3D")</f>
        <v>https://www.google.com/maps/place/Vecino's+Denver+Harbor+Family+Health+Center/@29.7804606,-95.3124257,16z/data=!3m1!4b1!4m6!3m5!1s0x8640bbfe0493ec21:0xa8baa6b440546cf3!8m2!3d29.780456!4d-95.3098454!16s%2Fg%2F1td9whln?entry=ttu&amp;g_ep=EgoyMDI0MDkwNC4wIKXMDSoASAFQAw%3D%3D</v>
      </c>
      <c r="X260" s="10"/>
      <c r="Y260" s="9" t="str">
        <f>IFERROR(__xludf.DUMMYFUNCTION("""COMPUTED_VALUE"""),"Houston")</f>
        <v>Houston</v>
      </c>
      <c r="Z260" s="9" t="str">
        <f>IFERROR(__xludf.DUMMYFUNCTION("""COMPUTED_VALUE"""),"Denver Harbor / Port Houston, Fifth Ward, Northside")</f>
        <v>Denver Harbor / Port Houston, Fifth Ward, Northside</v>
      </c>
      <c r="AA260" s="9" t="str">
        <f>IFERROR(__xludf.DUMMYFUNCTION("""COMPUTED_VALUE"""),"Vecino Health Centers")</f>
        <v>Vecino Health Centers</v>
      </c>
      <c r="AB260" s="9" t="str">
        <f>IFERROR(__xludf.DUMMYFUNCTION("""COMPUTED_VALUE"""),"Denver Harbor / Port Houston")</f>
        <v>Denver Harbor / Port Houston</v>
      </c>
    </row>
    <row r="261" ht="30.0" customHeight="1">
      <c r="A261" s="17">
        <v>260.0</v>
      </c>
      <c r="B261" s="8" t="str">
        <f>IFERROR(__xludf.DUMMYFUNCTION("""COMPUTED_VALUE"""),"[""99999""]")</f>
        <v>["99999"]</v>
      </c>
      <c r="C261" s="9" t="str">
        <f>IFERROR(__xludf.DUMMYFUNCTION("""COMPUTED_VALUE"""),"Denver Harbor Family Health Center")</f>
        <v>Denver Harbor Family Health Center</v>
      </c>
      <c r="D261" s="9" t="str">
        <f>IFERROR(__xludf.DUMMYFUNCTION("""COMPUTED_VALUE"""),"424 Hahlo Street")</f>
        <v>424 Hahlo Street</v>
      </c>
      <c r="E261" s="9"/>
      <c r="F261" s="9" t="str">
        <f>IFERROR(__xludf.DUMMYFUNCTION("""COMPUTED_VALUE"""),"Houston")</f>
        <v>Houston</v>
      </c>
      <c r="G261" s="9" t="str">
        <f>IFERROR(__xludf.DUMMYFUNCTION("""COMPUTED_VALUE"""),"TX")</f>
        <v>TX</v>
      </c>
      <c r="H261" s="9" t="str">
        <f>IFERROR(__xludf.DUMMYFUNCTION("""COMPUTED_VALUE"""),"77020")</f>
        <v>77020</v>
      </c>
      <c r="I261" s="9" t="str">
        <f>IFERROR(__xludf.DUMMYFUNCTION("""COMPUTED_VALUE"""),"713-674-3326")</f>
        <v>713-674-3326</v>
      </c>
      <c r="J261" s="9" t="str">
        <f>IFERROR(__xludf.DUMMYFUNCTION("""COMPUTED_VALUE"""),"29.7803014, -95.3098685")</f>
        <v>29.7803014, -95.3098685</v>
      </c>
      <c r="K261" s="9" t="str">
        <f>IFERROR(__xludf.DUMMYFUNCTION("""COMPUTED_VALUE"""),"{""regular"":[{""days"":[""Mo"",""Tu"",""We"",""Th""],""open"":""07:30"",""close"":""20:00""},{""days"":[""Fr""],""open"":""07:30"",""close"":""17:00""}]}")</f>
        <v>{"regular":[{"days":["Mo","Tu","We","Th"],"open":"07:30","close":"20:00"},{"days":["Fr"],"open":"07:30","close":"17:00"}]}</v>
      </c>
      <c r="L261" s="9" t="str">
        <f>IFERROR(__xludf.DUMMYFUNCTION("""COMPUTED_VALUE"""),"Appointment required")</f>
        <v>Appointment required</v>
      </c>
      <c r="M261" s="10">
        <f>IFERROR(__xludf.DUMMYFUNCTION("""COMPUTED_VALUE"""),35.0)</f>
        <v>35</v>
      </c>
      <c r="N261" s="10" t="str">
        <f>IFERROR(__xludf.DUMMYFUNCTION("""COMPUTED_VALUE"""),"Medical - Program Enrollment")</f>
        <v>Medical - Program Enrollment</v>
      </c>
      <c r="O261" s="10">
        <f>IFERROR(__xludf.DUMMYFUNCTION("""COMPUTED_VALUE"""),1.0)</f>
        <v>1</v>
      </c>
      <c r="P261" s="10" t="str">
        <f>IFERROR(__xludf.DUMMYFUNCTION("""COMPUTED_VALUE"""),"ACTIVE")</f>
        <v>ACTIVE</v>
      </c>
      <c r="Q261" s="11">
        <f>IFERROR(__xludf.DUMMYFUNCTION("""COMPUTED_VALUE"""),46049.0)</f>
        <v>46049</v>
      </c>
      <c r="R261" s="9" t="str">
        <f>IFERROR(__xludf.DUMMYFUNCTION("""COMPUTED_VALUE"""),"Verified online")</f>
        <v>Verified online</v>
      </c>
      <c r="S261" s="9" t="str">
        <f>IFERROR(__xludf.DUMMYFUNCTION("""COMPUTED_VALUE"""),"TX Health &amp; Human Services Level 3 Community Partner. Help with enrollment, document uploads, benefit renewals and case management.")</f>
        <v>TX Health &amp; Human Services Level 3 Community Partner. Help with enrollment, document uploads, benefit renewals and case management.</v>
      </c>
      <c r="T261" s="12" t="b">
        <f>IFERROR(__xludf.DUMMYFUNCTION("""COMPUTED_VALUE"""),FALSE)</f>
        <v>0</v>
      </c>
      <c r="U261" s="12" t="b">
        <f>IFERROR(__xludf.DUMMYFUNCTION("""COMPUTED_VALUE"""),FALSE)</f>
        <v>0</v>
      </c>
      <c r="V261" s="13" t="str">
        <f>IFERROR(__xludf.DUMMYFUNCTION("""COMPUTED_VALUE"""),"https://www.denverharborhealthcenter.org")</f>
        <v>https://www.denverharborhealthcenter.org</v>
      </c>
      <c r="W261" s="14" t="str">
        <f>IFERROR(__xludf.DUMMYFUNCTION("""COMPUTED_VALUE"""),"https://www.google.com/maps/place/Vecino's+Denver+Harbor+Family+Health+Center/@29.7804606,-95.3124257,16z/data=!3m1!4b1!4m6!3m5!1s0x8640bbfe0493ec21:0xa8baa6b440546cf3!8m2!3d29.780456!4d-95.3098454!16s%2Fg%2F1td9whln?entry=ttu&amp;g_ep=EgoyMDI0MDkwNC4wIKXMDSo"&amp;"ASAFQAw%3D%3D")</f>
        <v>https://www.google.com/maps/place/Vecino's+Denver+Harbor+Family+Health+Center/@29.7804606,-95.3124257,16z/data=!3m1!4b1!4m6!3m5!1s0x8640bbfe0493ec21:0xa8baa6b440546cf3!8m2!3d29.780456!4d-95.3098454!16s%2Fg%2F1td9whln?entry=ttu&amp;g_ep=EgoyMDI0MDkwNC4wIKXMDSoASAFQAw%3D%3D</v>
      </c>
      <c r="X261" s="10"/>
      <c r="Y261" s="9" t="str">
        <f>IFERROR(__xludf.DUMMYFUNCTION("""COMPUTED_VALUE"""),"Houston")</f>
        <v>Houston</v>
      </c>
      <c r="Z261" s="9" t="str">
        <f>IFERROR(__xludf.DUMMYFUNCTION("""COMPUTED_VALUE"""),"Denver Harbor / Port Houston, Fifth Ward, Northside")</f>
        <v>Denver Harbor / Port Houston, Fifth Ward, Northside</v>
      </c>
      <c r="AA261" s="9" t="str">
        <f>IFERROR(__xludf.DUMMYFUNCTION("""COMPUTED_VALUE"""),"Vecino Health Centers")</f>
        <v>Vecino Health Centers</v>
      </c>
      <c r="AB261" s="9" t="str">
        <f>IFERROR(__xludf.DUMMYFUNCTION("""COMPUTED_VALUE"""),"Denver Harbor / Port Houston")</f>
        <v>Denver Harbor / Port Houston</v>
      </c>
    </row>
    <row r="262" ht="30.0" customHeight="1">
      <c r="A262" s="17">
        <v>261.0</v>
      </c>
      <c r="B26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262" s="9" t="str">
        <f>IFERROR(__xludf.DUMMYFUNCTION("""COMPUTED_VALUE"""),"Denver Harbor Multi-Service Center")</f>
        <v>Denver Harbor Multi-Service Center</v>
      </c>
      <c r="D262" s="9" t="str">
        <f>IFERROR(__xludf.DUMMYFUNCTION("""COMPUTED_VALUE"""),"6402 Market Street")</f>
        <v>6402 Market Street</v>
      </c>
      <c r="E262" s="9"/>
      <c r="F262" s="9" t="str">
        <f>IFERROR(__xludf.DUMMYFUNCTION("""COMPUTED_VALUE"""),"Houston")</f>
        <v>Houston</v>
      </c>
      <c r="G262" s="9" t="str">
        <f>IFERROR(__xludf.DUMMYFUNCTION("""COMPUTED_VALUE"""),"TX")</f>
        <v>TX</v>
      </c>
      <c r="H262" s="9" t="str">
        <f>IFERROR(__xludf.DUMMYFUNCTION("""COMPUTED_VALUE"""),"77020")</f>
        <v>77020</v>
      </c>
      <c r="I262" s="9" t="str">
        <f>IFERROR(__xludf.DUMMYFUNCTION("""COMPUTED_VALUE"""),"281-905-7655")</f>
        <v>281-905-7655</v>
      </c>
      <c r="J262" s="9" t="str">
        <f>IFERROR(__xludf.DUMMYFUNCTION("""COMPUTED_VALUE"""),"29.772498821736928, -95.30462445613284")</f>
        <v>29.772498821736928, -95.30462445613284</v>
      </c>
      <c r="K262" s="9" t="str">
        <f>IFERROR(__xludf.DUMMYFUNCTION("""COMPUTED_VALUE"""),"{""regular"":[{""days"":[""Mo"",""Tu"",""We"",""Th""],""open"":""08:00"",""close"":""17:00""}]}")</f>
        <v>{"regular":[{"days":["Mo","Tu","We","Th"],"open":"08:00","close":"17:00"}]}</v>
      </c>
      <c r="L262" s="9"/>
      <c r="M262" s="10">
        <f>IFERROR(__xludf.DUMMYFUNCTION("""COMPUTED_VALUE"""),44.0)</f>
        <v>44</v>
      </c>
      <c r="N262" s="10" t="str">
        <f>IFERROR(__xludf.DUMMYFUNCTION("""COMPUTED_VALUE"""),"Mother &amp; Child")</f>
        <v>Mother &amp; Child</v>
      </c>
      <c r="O262" s="10">
        <f>IFERROR(__xludf.DUMMYFUNCTION("""COMPUTED_VALUE"""),1.0)</f>
        <v>1</v>
      </c>
      <c r="P262" s="10" t="str">
        <f>IFERROR(__xludf.DUMMYFUNCTION("""COMPUTED_VALUE"""),"ACTIVE")</f>
        <v>ACTIVE</v>
      </c>
      <c r="Q262" s="11">
        <f>IFERROR(__xludf.DUMMYFUNCTION("""COMPUTED_VALUE"""),46057.0)</f>
        <v>46057</v>
      </c>
      <c r="R262" s="9" t="str">
        <f>IFERROR(__xludf.DUMMYFUNCTION("""COMPUTED_VALUE"""),"Verified online")</f>
        <v>Verified online</v>
      </c>
      <c r="S262"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262" s="12" t="b">
        <f>IFERROR(__xludf.DUMMYFUNCTION("""COMPUTED_VALUE"""),TRUE)</f>
        <v>1</v>
      </c>
      <c r="U262" s="12" t="b">
        <f>IFERROR(__xludf.DUMMYFUNCTION("""COMPUTED_VALUE"""),FALSE)</f>
        <v>0</v>
      </c>
      <c r="V262" s="13" t="str">
        <f>IFERROR(__xludf.DUMMYFUNCTION("""COMPUTED_VALUE"""),"https://www.houstonhealth.org/services/multi-service-centers/denver-harbor-multi-service-center")</f>
        <v>https://www.houstonhealth.org/services/multi-service-centers/denver-harbor-multi-service-center</v>
      </c>
      <c r="W262" s="14" t="str">
        <f>IFERROR(__xludf.DUMMYFUNCTION("""COMPUTED_VALUE"""),"https://www.google.com/maps/place/Denver+Harbor+Multi-Service+Center/@29.7720985,-95.3095812,16z/data=!3m1!4b1!4m6!3m5!1s0x8640bc00ddfbd2cb:0xd148e224cfb07332!8m2!3d29.7720939!4d-95.3047103!16s%2Fg%2F1tdnlhnb?entry=ttu&amp;g_ep=EgoyMDI2MDIwMS4wIKXMDSoKLDEwMDc"&amp;"5MjA2OUgBUAM%3D")</f>
        <v>https://www.google.com/maps/place/Denver+Harbor+Multi-Service+Center/@29.7720985,-95.3095812,16z/data=!3m1!4b1!4m6!3m5!1s0x8640bc00ddfbd2cb:0xd148e224cfb07332!8m2!3d29.7720939!4d-95.3047103!16s%2Fg%2F1tdnlhnb?entry=ttu&amp;g_ep=EgoyMDI2MDIwMS4wIKXMDSoKLDEwMDc5MjA2OUgBUAM%3D</v>
      </c>
      <c r="X262" s="10"/>
      <c r="Y262" s="9" t="str">
        <f>IFERROR(__xludf.DUMMYFUNCTION("""COMPUTED_VALUE"""),"Houston")</f>
        <v>Houston</v>
      </c>
      <c r="Z262" s="9" t="str">
        <f>IFERROR(__xludf.DUMMYFUNCTION("""COMPUTED_VALUE"""),"Denver Harbor / Port Houston, Fifth Ward, Northside")</f>
        <v>Denver Harbor / Port Houston, Fifth Ward, Northside</v>
      </c>
      <c r="AA262" s="9" t="str">
        <f>IFERROR(__xludf.DUMMYFUNCTION("""COMPUTED_VALUE"""),"City of Houston")</f>
        <v>City of Houston</v>
      </c>
      <c r="AB262" s="9" t="str">
        <f>IFERROR(__xludf.DUMMYFUNCTION("""COMPUTED_VALUE"""),"Denver Harbor / Port Houston")</f>
        <v>Denver Harbor / Port Houston</v>
      </c>
    </row>
    <row r="263" ht="30.0" customHeight="1">
      <c r="A263" s="17">
        <v>262.0</v>
      </c>
      <c r="B26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263" s="9" t="str">
        <f>IFERROR(__xludf.DUMMYFUNCTION("""COMPUTED_VALUE"""),"Denver Harbor Multi-Service Center")</f>
        <v>Denver Harbor Multi-Service Center</v>
      </c>
      <c r="D263" s="9" t="str">
        <f>IFERROR(__xludf.DUMMYFUNCTION("""COMPUTED_VALUE"""),"6402 Market Street")</f>
        <v>6402 Market Street</v>
      </c>
      <c r="E263" s="9"/>
      <c r="F263" s="9" t="str">
        <f>IFERROR(__xludf.DUMMYFUNCTION("""COMPUTED_VALUE"""),"Houston")</f>
        <v>Houston</v>
      </c>
      <c r="G263" s="9" t="str">
        <f>IFERROR(__xludf.DUMMYFUNCTION("""COMPUTED_VALUE"""),"TX")</f>
        <v>TX</v>
      </c>
      <c r="H263" s="9" t="str">
        <f>IFERROR(__xludf.DUMMYFUNCTION("""COMPUTED_VALUE"""),"77020")</f>
        <v>77020</v>
      </c>
      <c r="I263" s="9" t="str">
        <f>IFERROR(__xludf.DUMMYFUNCTION("""COMPUTED_VALUE"""),"281-905-7655")</f>
        <v>281-905-7655</v>
      </c>
      <c r="J263" s="9" t="str">
        <f>IFERROR(__xludf.DUMMYFUNCTION("""COMPUTED_VALUE"""),"29.772498821736928, -95.30462445613284")</f>
        <v>29.772498821736928, -95.30462445613284</v>
      </c>
      <c r="K263" s="9" t="str">
        <f>IFERROR(__xludf.DUMMYFUNCTION("""COMPUTED_VALUE"""),"{""regular"":[{""days"":[""Mo""],""open"":null,""close"":null}]}")</f>
        <v>{"regular":[{"days":["Mo"],"open":null,"close":null}]}</v>
      </c>
      <c r="L263" s="9" t="str">
        <f>IFERROR(__xludf.DUMMYFUNCTION("""COMPUTED_VALUE"""),"Intake applications")</f>
        <v>Intake applications</v>
      </c>
      <c r="M263" s="10">
        <f>IFERROR(__xludf.DUMMYFUNCTION("""COMPUTED_VALUE"""),61.0)</f>
        <v>61</v>
      </c>
      <c r="N263" s="10" t="str">
        <f>IFERROR(__xludf.DUMMYFUNCTION("""COMPUTED_VALUE"""),"Seniors")</f>
        <v>Seniors</v>
      </c>
      <c r="O263" s="10">
        <f>IFERROR(__xludf.DUMMYFUNCTION("""COMPUTED_VALUE"""),1.0)</f>
        <v>1</v>
      </c>
      <c r="P263" s="10" t="str">
        <f>IFERROR(__xludf.DUMMYFUNCTION("""COMPUTED_VALUE"""),"ACTIVE")</f>
        <v>ACTIVE</v>
      </c>
      <c r="Q263" s="11">
        <f>IFERROR(__xludf.DUMMYFUNCTION("""COMPUTED_VALUE"""),46057.0)</f>
        <v>46057</v>
      </c>
      <c r="R263" s="9" t="str">
        <f>IFERROR(__xludf.DUMMYFUNCTION("""COMPUTED_VALUE"""),"Verified online")</f>
        <v>Verified online</v>
      </c>
      <c r="S263" s="9" t="str">
        <f>IFERROR(__xludf.DUMMYFUNCTION("""COMPUTED_VALUE"""),"Food Distribution
by Target Hunger for seniors only.")</f>
        <v>Food Distribution
by Target Hunger for seniors only.</v>
      </c>
      <c r="T263" s="12" t="b">
        <f>IFERROR(__xludf.DUMMYFUNCTION("""COMPUTED_VALUE"""),FALSE)</f>
        <v>0</v>
      </c>
      <c r="U263" s="12" t="b">
        <f>IFERROR(__xludf.DUMMYFUNCTION("""COMPUTED_VALUE"""),FALSE)</f>
        <v>0</v>
      </c>
      <c r="V263" s="13" t="str">
        <f>IFERROR(__xludf.DUMMYFUNCTION("""COMPUTED_VALUE"""),"https://www.houstonhealth.org/services/multi-service-centers/denver-harbor-multi-service-center")</f>
        <v>https://www.houstonhealth.org/services/multi-service-centers/denver-harbor-multi-service-center</v>
      </c>
      <c r="W263" s="14" t="str">
        <f>IFERROR(__xludf.DUMMYFUNCTION("""COMPUTED_VALUE"""),"https://www.google.com/maps/place/Denver+Harbor+Multi-Service+Center/@29.7720985,-95.3095812,16z/data=!3m1!4b1!4m6!3m5!1s0x8640bc00ddfbd2cb:0xd148e224cfb07332!8m2!3d29.7720939!4d-95.3047103!16s%2Fg%2F1tdnlhnb?entry=ttu&amp;g_ep=EgoyMDI2MDIwMS4wIKXMDSoKLDEwMDc"&amp;"5MjA2OUgBUAM%3D")</f>
        <v>https://www.google.com/maps/place/Denver+Harbor+Multi-Service+Center/@29.7720985,-95.3095812,16z/data=!3m1!4b1!4m6!3m5!1s0x8640bc00ddfbd2cb:0xd148e224cfb07332!8m2!3d29.7720939!4d-95.3047103!16s%2Fg%2F1tdnlhnb?entry=ttu&amp;g_ep=EgoyMDI2MDIwMS4wIKXMDSoKLDEwMDc5MjA2OUgBUAM%3D</v>
      </c>
      <c r="X263" s="10"/>
      <c r="Y263" s="9" t="str">
        <f>IFERROR(__xludf.DUMMYFUNCTION("""COMPUTED_VALUE"""),"Houston")</f>
        <v>Houston</v>
      </c>
      <c r="Z263" s="9" t="str">
        <f>IFERROR(__xludf.DUMMYFUNCTION("""COMPUTED_VALUE"""),"Denver Harbor / Port Houston, Fifth Ward, Northside")</f>
        <v>Denver Harbor / Port Houston, Fifth Ward, Northside</v>
      </c>
      <c r="AA263" s="9" t="str">
        <f>IFERROR(__xludf.DUMMYFUNCTION("""COMPUTED_VALUE"""),"City of Houston")</f>
        <v>City of Houston</v>
      </c>
      <c r="AB263" s="9" t="str">
        <f>IFERROR(__xludf.DUMMYFUNCTION("""COMPUTED_VALUE"""),"Denver Harbor / Port Houston")</f>
        <v>Denver Harbor / Port Houston</v>
      </c>
    </row>
    <row r="264" ht="30.0" customHeight="1">
      <c r="A264" s="17">
        <v>263.0</v>
      </c>
      <c r="B264" s="8" t="str">
        <f>IFERROR(__xludf.DUMMYFUNCTION("""COMPUTED_VALUE"""),"[""99999""]")</f>
        <v>["99999"]</v>
      </c>
      <c r="C264" s="9" t="str">
        <f>IFERROR(__xludf.DUMMYFUNCTION("""COMPUTED_VALUE"""),"Dollar For")</f>
        <v>Dollar For</v>
      </c>
      <c r="D264" s="9" t="str">
        <f>IFERROR(__xludf.DUMMYFUNCTION("""COMPUTED_VALUE"""),"104 W 9th Street")</f>
        <v>104 W 9th Street</v>
      </c>
      <c r="E264" s="9" t="str">
        <f>IFERROR(__xludf.DUMMYFUNCTION("""COMPUTED_VALUE"""),"Suite 205")</f>
        <v>Suite 205</v>
      </c>
      <c r="F264" s="9" t="str">
        <f>IFERROR(__xludf.DUMMYFUNCTION("""COMPUTED_VALUE"""),"Vancouver")</f>
        <v>Vancouver</v>
      </c>
      <c r="G264" s="9" t="str">
        <f>IFERROR(__xludf.DUMMYFUNCTION("""COMPUTED_VALUE"""),"WA")</f>
        <v>WA</v>
      </c>
      <c r="H264" s="9" t="str">
        <f>IFERROR(__xludf.DUMMYFUNCTION("""COMPUTED_VALUE"""),"98660")</f>
        <v>98660</v>
      </c>
      <c r="I264" s="9"/>
      <c r="J264" s="9" t="str">
        <f>IFERROR(__xludf.DUMMYFUNCTION("""COMPUTED_VALUE"""),"45.62838572146929, -122.67229390595595")</f>
        <v>45.62838572146929, -122.67229390595595</v>
      </c>
      <c r="K264" s="9" t="str">
        <f>IFERROR(__xludf.DUMMYFUNCTION("""COMPUTED_VALUE"""),"{""regular"":[{""days"":[""Mo"",""Tu"",""We"",""Th"",""Fr"",""Sa"",""Su""],""open"":""00:00"",""close"":""23:59""}]}")</f>
        <v>{"regular":[{"days":["Mo","Tu","We","Th","Fr","Sa","Su"],"open":"00:00","close":"23:59"}]}</v>
      </c>
      <c r="L264" s="9"/>
      <c r="M264" s="10">
        <f>IFERROR(__xludf.DUMMYFUNCTION("""COMPUTED_VALUE"""),36.0)</f>
        <v>36</v>
      </c>
      <c r="N264" s="10" t="str">
        <f>IFERROR(__xludf.DUMMYFUNCTION("""COMPUTED_VALUE"""),"Medical - Bill Payment")</f>
        <v>Medical - Bill Payment</v>
      </c>
      <c r="O264" s="10">
        <f>IFERROR(__xludf.DUMMYFUNCTION("""COMPUTED_VALUE"""),1.0)</f>
        <v>1</v>
      </c>
      <c r="P264" s="10" t="str">
        <f>IFERROR(__xludf.DUMMYFUNCTION("""COMPUTED_VALUE"""),"ACTIVE")</f>
        <v>ACTIVE</v>
      </c>
      <c r="Q264" s="11">
        <f>IFERROR(__xludf.DUMMYFUNCTION("""COMPUTED_VALUE"""),46044.0)</f>
        <v>46044</v>
      </c>
      <c r="R264" s="9" t="str">
        <f>IFERROR(__xludf.DUMMYFUNCTION("""COMPUTED_VALUE"""),"Matt Ryan referral")</f>
        <v>Matt Ryan referral</v>
      </c>
      <c r="S264" s="9" t="str">
        <f>IFERROR(__xludf.DUMMYFUNCTION("""COMPUTED_VALUE"""),"Dollar For does not provide direct financial assistance.
Their efforts are in helping clients receive financial assistance from the medical facility that provided the services.
Start by filling out an online form to determine eligibility.")</f>
        <v>Dollar For does not provide direct financial assistance.
Their efforts are in helping clients receive financial assistance from the medical facility that provided the services.
Start by filling out an online form to determine eligibility.</v>
      </c>
      <c r="T264" s="12" t="b">
        <f>IFERROR(__xludf.DUMMYFUNCTION("""COMPUTED_VALUE"""),FALSE)</f>
        <v>0</v>
      </c>
      <c r="U264" s="12" t="b">
        <f>IFERROR(__xludf.DUMMYFUNCTION("""COMPUTED_VALUE"""),FALSE)</f>
        <v>0</v>
      </c>
      <c r="V264" s="13" t="str">
        <f>IFERROR(__xludf.DUMMYFUNCTION("""COMPUTED_VALUE"""),"https://dollarfor.org/how-we-help/")</f>
        <v>https://dollarfor.org/how-we-help/</v>
      </c>
      <c r="W264" s="14" t="str">
        <f>IFERROR(__xludf.DUMMYFUNCTION("""COMPUTED_VALUE"""),"https://www.google.com/maps/place/104+W+9th+St,+Vancouver,+WA+98660/@45.6280387,-122.6736554,17z/data=!4m16!1m9!3m8!1s0x5495a8b1216919e5:0xf8b2ecd84f1da722!2s104+W+9th+St,+Vancouver,+WA+98660!3b1!8m2!3d45.6281757!4d-122.672251!10e3!16s%2Fg%2F11cs83vv_f!3m"&amp;"5!1s0x5495a8b1216919e5:0xf8b2ecd84f1da722!8m2!3d45.6281757!4d-122.672251!16s%2Fg%2F11cs83vv_f?entry=ttu&amp;g_ep=EgoyMDI2MDEyMC4wIKXMDSoKLDEwMDc5MjA2OUgBUAM%3D")</f>
        <v>https://www.google.com/maps/place/104+W+9th+St,+Vancouver,+WA+98660/@45.6280387,-122.6736554,17z/data=!4m16!1m9!3m8!1s0x5495a8b1216919e5:0xf8b2ecd84f1da722!2s104+W+9th+St,+Vancouver,+WA+98660!3b1!8m2!3d45.6281757!4d-122.672251!10e3!16s%2Fg%2F11cs83vv_f!3m5!1s0x5495a8b1216919e5:0xf8b2ecd84f1da722!8m2!3d45.6281757!4d-122.672251!16s%2Fg%2F11cs83vv_f?entry=ttu&amp;g_ep=EgoyMDI2MDEyMC4wIKXMDSoKLDEwMDc5MjA2OUgBUAM%3D</v>
      </c>
      <c r="X264" s="10"/>
      <c r="Y264" s="9" t="str">
        <f>IFERROR(__xludf.DUMMYFUNCTION("""COMPUTED_VALUE"""),"Vancouver")</f>
        <v>Vancouver</v>
      </c>
      <c r="Z264" s="9" t="str">
        <f>IFERROR(__xludf.DUMMYFUNCTION("""COMPUTED_VALUE"""),"Felida")</f>
        <v>Felida</v>
      </c>
      <c r="AA264" s="9" t="str">
        <f>IFERROR(__xludf.DUMMYFUNCTION("""COMPUTED_VALUE"""),"Dollar For")</f>
        <v>Dollar For</v>
      </c>
      <c r="AB264" s="9" t="str">
        <f>IFERROR(__xludf.DUMMYFUNCTION("""COMPUTED_VALUE"""),"Vancouver")</f>
        <v>Vancouver</v>
      </c>
    </row>
    <row r="265" ht="30.0" customHeight="1">
      <c r="A265" s="17">
        <v>264.0</v>
      </c>
      <c r="B265" s="8" t="str">
        <f>IFERROR(__xludf.DUMMYFUNCTION("""COMPUTED_VALUE"""),"[""99999""]")</f>
        <v>["99999"]</v>
      </c>
      <c r="C265" s="9" t="str">
        <f>IFERROR(__xludf.DUMMYFUNCTION("""COMPUTED_VALUE"""),"Dress For Success")</f>
        <v>Dress For Success</v>
      </c>
      <c r="D265" s="9" t="str">
        <f>IFERROR(__xludf.DUMMYFUNCTION("""COMPUTED_VALUE"""),"3310 Eastside Street")</f>
        <v>3310 Eastside Street</v>
      </c>
      <c r="E265" s="9"/>
      <c r="F265" s="10" t="str">
        <f>IFERROR(__xludf.DUMMYFUNCTION("""COMPUTED_VALUE"""),"Houston")</f>
        <v>Houston</v>
      </c>
      <c r="G265" s="9" t="str">
        <f>IFERROR(__xludf.DUMMYFUNCTION("""COMPUTED_VALUE"""),"TX")</f>
        <v>TX</v>
      </c>
      <c r="H265" s="9" t="str">
        <f>IFERROR(__xludf.DUMMYFUNCTION("""COMPUTED_VALUE"""),"77098")</f>
        <v>77098</v>
      </c>
      <c r="I265" s="9" t="str">
        <f>IFERROR(__xludf.DUMMYFUNCTION("""COMPUTED_VALUE"""),"713-957-3779")</f>
        <v>713-957-3779</v>
      </c>
      <c r="J265" s="9" t="str">
        <f>IFERROR(__xludf.DUMMYFUNCTION("""COMPUTED_VALUE"""),"29.736231, -95.42501")</f>
        <v>29.736231, -95.42501</v>
      </c>
      <c r="K265" s="9" t="str">
        <f>IFERROR(__xludf.DUMMYFUNCTION("""COMPUTED_VALUE"""),"{""regular"":[{""days"":[""Mo"",""Tu"",""We"",""Th"",""Fr""],""open"":""09:00"",""close"":""16:30""}]}")</f>
        <v>{"regular":[{"days":["Mo","Tu","We","Th","Fr"],"open":"09:00","close":"16:30"}]}</v>
      </c>
      <c r="L265" s="9"/>
      <c r="M265" s="10">
        <f>IFERROR(__xludf.DUMMYFUNCTION("""COMPUTED_VALUE"""),14.0)</f>
        <v>14</v>
      </c>
      <c r="N265" s="10" t="str">
        <f>IFERROR(__xludf.DUMMYFUNCTION("""COMPUTED_VALUE"""),"Clothing")</f>
        <v>Clothing</v>
      </c>
      <c r="O265" s="10">
        <f>IFERROR(__xludf.DUMMYFUNCTION("""COMPUTED_VALUE"""),1.0)</f>
        <v>1</v>
      </c>
      <c r="P265" s="10" t="str">
        <f>IFERROR(__xludf.DUMMYFUNCTION("""COMPUTED_VALUE"""),"ACTIVE")</f>
        <v>ACTIVE</v>
      </c>
      <c r="Q265" s="11"/>
      <c r="R265" s="9"/>
      <c r="S265" s="9"/>
      <c r="T265" s="12" t="b">
        <f>IFERROR(__xludf.DUMMYFUNCTION("""COMPUTED_VALUE"""),FALSE)</f>
        <v>0</v>
      </c>
      <c r="U265" s="12" t="b">
        <f>IFERROR(__xludf.DUMMYFUNCTION("""COMPUTED_VALUE"""),FALSE)</f>
        <v>0</v>
      </c>
      <c r="V265" s="13" t="str">
        <f>IFERROR(__xludf.DUMMYFUNCTION("""COMPUTED_VALUE"""),"https://www.dfshouston.org/get-support")</f>
        <v>https://www.dfshouston.org/get-support</v>
      </c>
      <c r="W265" s="14" t="str">
        <f>IFERROR(__xludf.DUMMYFUNCTION("""COMPUTED_VALUE"""),"https://maps.google.com/?q=Dress%20For%20Success%20%20%20TX%20")</f>
        <v>https://maps.google.com/?q=Dress%20For%20Success%20%20%20TX%20</v>
      </c>
      <c r="X265" s="10"/>
      <c r="Y265" s="9" t="str">
        <f>IFERROR(__xludf.DUMMYFUNCTION("""COMPUTED_VALUE"""),"Houston")</f>
        <v>Houston</v>
      </c>
      <c r="Z265" s="9" t="str">
        <f>IFERROR(__xludf.DUMMYFUNCTION("""COMPUTED_VALUE"""),"Greenway / Upper Kirby Area, River Oaks, Upper Kirby")</f>
        <v>Greenway / Upper Kirby Area, River Oaks, Upper Kirby</v>
      </c>
      <c r="AA265" s="9" t="str">
        <f>IFERROR(__xludf.DUMMYFUNCTION("""COMPUTED_VALUE"""),"Dress For Success")</f>
        <v>Dress For Success</v>
      </c>
      <c r="AB265" s="9" t="str">
        <f>IFERROR(__xludf.DUMMYFUNCTION("""COMPUTED_VALUE"""),"Greenway / Upper Kirby Area")</f>
        <v>Greenway / Upper Kirby Area</v>
      </c>
    </row>
    <row r="266" ht="30.0" customHeight="1">
      <c r="A266" s="17">
        <v>265.0</v>
      </c>
      <c r="B266" s="8" t="str">
        <f>IFERROR(__xludf.DUMMYFUNCTION("""COMPUTED_VALUE"""),"[""99999""]")</f>
        <v>["99999"]</v>
      </c>
      <c r="C266" s="9" t="str">
        <f>IFERROR(__xludf.DUMMYFUNCTION("""COMPUTED_VALUE"""),"East End Social Services, Inc.")</f>
        <v>East End Social Services, Inc.</v>
      </c>
      <c r="D266" s="9" t="str">
        <f>IFERROR(__xludf.DUMMYFUNCTION("""COMPUTED_VALUE"""),"6801 Avenue U")</f>
        <v>6801 Avenue U</v>
      </c>
      <c r="E266" s="9"/>
      <c r="F266" s="9" t="str">
        <f>IFERROR(__xludf.DUMMYFUNCTION("""COMPUTED_VALUE"""),"Houston")</f>
        <v>Houston</v>
      </c>
      <c r="G266" s="9" t="str">
        <f>IFERROR(__xludf.DUMMYFUNCTION("""COMPUTED_VALUE"""),"TX")</f>
        <v>TX</v>
      </c>
      <c r="H266" s="9" t="str">
        <f>IFERROR(__xludf.DUMMYFUNCTION("""COMPUTED_VALUE"""),"77011")</f>
        <v>77011</v>
      </c>
      <c r="I266" s="9" t="str">
        <f>IFERROR(__xludf.DUMMYFUNCTION("""COMPUTED_VALUE"""),"713-928-3823")</f>
        <v>713-928-3823</v>
      </c>
      <c r="J266" s="9" t="str">
        <f>IFERROR(__xludf.DUMMYFUNCTION("""COMPUTED_VALUE"""),"29.750464, -95.300517")</f>
        <v>29.750464, -95.300517</v>
      </c>
      <c r="K266" s="9" t="str">
        <f>IFERROR(__xludf.DUMMYFUNCTION("""COMPUTED_VALUE"""),"{""regular"":[{""days"":[""Mo"",""Tu"",""We""],""open"":""08:00"",""close"":""12:00""}]}")</f>
        <v>{"regular":[{"days":["Mo","Tu","We"],"open":"08:00","close":"12:00"}]}</v>
      </c>
      <c r="L266" s="9" t="str">
        <f>IFERROR(__xludf.DUMMYFUNCTION("""COMPUTED_VALUE"""),"Appointment required")</f>
        <v>Appointment required</v>
      </c>
      <c r="M266" s="10">
        <f>IFERROR(__xludf.DUMMYFUNCTION("""COMPUTED_VALUE"""),13.0)</f>
        <v>13</v>
      </c>
      <c r="N266" s="10" t="str">
        <f>IFERROR(__xludf.DUMMYFUNCTION("""COMPUTED_VALUE"""),"Food")</f>
        <v>Food</v>
      </c>
      <c r="O266" s="10">
        <f>IFERROR(__xludf.DUMMYFUNCTION("""COMPUTED_VALUE"""),1.0)</f>
        <v>1</v>
      </c>
      <c r="P266" s="10" t="str">
        <f>IFERROR(__xludf.DUMMYFUNCTION("""COMPUTED_VALUE"""),"ACTIVE")</f>
        <v>ACTIVE</v>
      </c>
      <c r="Q266" s="11">
        <f>IFERROR(__xludf.DUMMYFUNCTION("""COMPUTED_VALUE"""),45813.0)</f>
        <v>45813</v>
      </c>
      <c r="R266" s="9" t="str">
        <f>IFERROR(__xludf.DUMMYFUNCTION("""COMPUTED_VALUE"""),"Verified online")</f>
        <v>Verified online</v>
      </c>
      <c r="S266" s="9" t="str">
        <f>IFERROR(__xludf.DUMMYFUNCTION("""COMPUTED_VALUE"""),"Also known as the House of Hope Food Pantry")</f>
        <v>Also known as the House of Hope Food Pantry</v>
      </c>
      <c r="T266" s="12" t="b">
        <f>IFERROR(__xludf.DUMMYFUNCTION("""COMPUTED_VALUE"""),FALSE)</f>
        <v>0</v>
      </c>
      <c r="U266" s="12" t="b">
        <f>IFERROR(__xludf.DUMMYFUNCTION("""COMPUTED_VALUE"""),FALSE)</f>
        <v>0</v>
      </c>
      <c r="V266" s="13" t="str">
        <f>IFERROR(__xludf.DUMMYFUNCTION("""COMPUTED_VALUE"""),"https://eastendsocialservices.org/about-us")</f>
        <v>https://eastendsocialservices.org/about-us</v>
      </c>
      <c r="W266" s="14" t="str">
        <f>IFERROR(__xludf.DUMMYFUNCTION("""COMPUTED_VALUE"""),"https://www.google.com/maps/place/East+End+Social+Services+Inc./@29.7505279,-95.3053317,17z/data=!4m15!1m8!3m7!1s0x8640bc22c586e303:0x1c1e980397081ddc!2s6801+Avenue+U,+Houston,+TX+77011!3b1!8m2!3d29.7505233!4d-95.3004554!16s%2Fg%2F11pw0kncx6!3m5!1s0x8640b"&amp;"c22c5874fd3:0x944629381533dfed!8m2!3d29.7505233!4d-95.3004554!16s%2Fg%2F11jk3rdb_8?entry=ttu&amp;g_ep=EgoyMDI1MDYwMy4wIKXMDSoASAFQAw%3D%3D")</f>
        <v>https://www.google.com/maps/place/East+End+Social+Services+Inc./@29.7505279,-95.3053317,17z/data=!4m15!1m8!3m7!1s0x8640bc22c586e303:0x1c1e980397081ddc!2s6801+Avenue+U,+Houston,+TX+77011!3b1!8m2!3d29.7505233!4d-95.3004554!16s%2Fg%2F11pw0kncx6!3m5!1s0x8640bc22c5874fd3:0x944629381533dfed!8m2!3d29.7505233!4d-95.3004554!16s%2Fg%2F11jk3rdb_8?entry=ttu&amp;g_ep=EgoyMDI1MDYwMy4wIKXMDSoASAFQAw%3D%3D</v>
      </c>
      <c r="X266" s="10"/>
      <c r="Y266" s="9" t="str">
        <f>IFERROR(__xludf.DUMMYFUNCTION("""COMPUTED_VALUE"""),"Houston")</f>
        <v>Houston</v>
      </c>
      <c r="Z266" s="9" t="str">
        <f>IFERROR(__xludf.DUMMYFUNCTION("""COMPUTED_VALUE"""),"Eastwood, Magnolia Park, Second Ward, South Central Houston")</f>
        <v>Eastwood, Magnolia Park, Second Ward, South Central Houston</v>
      </c>
      <c r="AA266" s="9" t="str">
        <f>IFERROR(__xludf.DUMMYFUNCTION("""COMPUTED_VALUE"""),"East End Social Services, Inc.")</f>
        <v>East End Social Services, Inc.</v>
      </c>
      <c r="AB266" s="9" t="str">
        <f>IFERROR(__xludf.DUMMYFUNCTION("""COMPUTED_VALUE"""),"Magnolia Park")</f>
        <v>Magnolia Park</v>
      </c>
    </row>
    <row r="267" ht="30.0" customHeight="1">
      <c r="A267" s="17">
        <v>266.0</v>
      </c>
      <c r="B267" s="8" t="str">
        <f>IFERROR(__xludf.DUMMYFUNCTION("""COMPUTED_VALUE"""),"[""77053"", ""77083"", ""77085"", ""77099"", ""77301"", ""777407"", ""7477"", ""77478"", ""77479"", ""77483"", ""77459"", ""77469"", ""77489"", ""77498"", ""77545"", ""77583""]")</f>
        <v>["77053", "77083", "77085", "77099", "77301", "777407", "7477", "77478", "77479", "77483", "77459", "77469", "77489", "77498", "77545", "77583"]</v>
      </c>
      <c r="C267" s="9" t="str">
        <f>IFERROR(__xludf.DUMMYFUNCTION("""COMPUTED_VALUE"""),"East Ft Bend Human Needs")</f>
        <v>East Ft Bend Human Needs</v>
      </c>
      <c r="D267" s="9" t="str">
        <f>IFERROR(__xludf.DUMMYFUNCTION("""COMPUTED_VALUE"""),"435 Stafford Run Road")</f>
        <v>435 Stafford Run Road</v>
      </c>
      <c r="E267" s="9"/>
      <c r="F267" s="9" t="str">
        <f>IFERROR(__xludf.DUMMYFUNCTION("""COMPUTED_VALUE"""),"Stafford")</f>
        <v>Stafford</v>
      </c>
      <c r="G267" s="9" t="str">
        <f>IFERROR(__xludf.DUMMYFUNCTION("""COMPUTED_VALUE"""),"TX")</f>
        <v>TX</v>
      </c>
      <c r="H267" s="9" t="str">
        <f>IFERROR(__xludf.DUMMYFUNCTION("""COMPUTED_VALUE"""),"77477")</f>
        <v>77477</v>
      </c>
      <c r="I267" s="9" t="str">
        <f>IFERROR(__xludf.DUMMYFUNCTION("""COMPUTED_VALUE"""),"281-261-5470")</f>
        <v>281-261-5470</v>
      </c>
      <c r="J267" s="9" t="str">
        <f>IFERROR(__xludf.DUMMYFUNCTION("""COMPUTED_VALUE"""),"29.613855, -95.559963")</f>
        <v>29.613855, -95.559963</v>
      </c>
      <c r="K267" s="9" t="str">
        <f>IFERROR(__xludf.DUMMYFUNCTION("""COMPUTED_VALUE"""),"{""regular"":[{""days"":[""Tu""],""open"":""10:00"",""close"":""12:00""}]}")</f>
        <v>{"regular":[{"days":["Tu"],"open":"10:00","close":"12:00"}]}</v>
      </c>
      <c r="L267" s="9"/>
      <c r="M267" s="10">
        <f>IFERROR(__xludf.DUMMYFUNCTION("""COMPUTED_VALUE"""),11.0)</f>
        <v>11</v>
      </c>
      <c r="N267" s="10" t="str">
        <f>IFERROR(__xludf.DUMMYFUNCTION("""COMPUTED_VALUE"""),"Rent")</f>
        <v>Rent</v>
      </c>
      <c r="O267" s="10">
        <f>IFERROR(__xludf.DUMMYFUNCTION("""COMPUTED_VALUE"""),1.0)</f>
        <v>1</v>
      </c>
      <c r="P267" s="10" t="str">
        <f>IFERROR(__xludf.DUMMYFUNCTION("""COMPUTED_VALUE"""),"ACTIVE")</f>
        <v>ACTIVE</v>
      </c>
      <c r="Q267" s="11">
        <f>IFERROR(__xludf.DUMMYFUNCTION("""COMPUTED_VALUE"""),45772.0)</f>
        <v>45772</v>
      </c>
      <c r="R267" s="9" t="str">
        <f>IFERROR(__xludf.DUMMYFUNCTION("""COMPUTED_VALUE"""),"Must be in Ft Bend ISD")</f>
        <v>Must be in Ft Bend ISD</v>
      </c>
      <c r="S267" s="9" t="str">
        <f>IFERROR(__xludf.DUMMYFUNCTION("""COMPUTED_VALUE"""),"Must have some income.")</f>
        <v>Must have some income.</v>
      </c>
      <c r="T267" s="12" t="b">
        <f>IFERROR(__xludf.DUMMYFUNCTION("""COMPUTED_VALUE"""),FALSE)</f>
        <v>0</v>
      </c>
      <c r="U267" s="12" t="b">
        <f>IFERROR(__xludf.DUMMYFUNCTION("""COMPUTED_VALUE"""),FALSE)</f>
        <v>0</v>
      </c>
      <c r="V267" s="13" t="str">
        <f>IFERROR(__xludf.DUMMYFUNCTION("""COMPUTED_VALUE"""),"https://www.humanneeds.org/")</f>
        <v>https://www.humanneeds.org/</v>
      </c>
      <c r="W267" s="14" t="str">
        <f>IFERROR(__xludf.DUMMYFUNCTION("""COMPUTED_VALUE"""),"https://maps.google.com/?q=East%20Ft%20Bend%20Human%20Needs%20435%20Stafford%20Run%20Rd%20Stafford%20TX%2077477")</f>
        <v>https://maps.google.com/?q=East%20Ft%20Bend%20Human%20Needs%20435%20Stafford%20Run%20Rd%20Stafford%20TX%2077477</v>
      </c>
      <c r="X267" s="10"/>
      <c r="Y267" s="9" t="str">
        <f>IFERROR(__xludf.DUMMYFUNCTION("""COMPUTED_VALUE"""),"Stafford")</f>
        <v>Stafford</v>
      </c>
      <c r="Z267" s="9" t="str">
        <f>IFERROR(__xludf.DUMMYFUNCTION("""COMPUTED_VALUE"""),"Clark Plaza One, Corporate Bus Park, Greenbriar Southwest, Stafford, The Fountains")</f>
        <v>Clark Plaza One, Corporate Bus Park, Greenbriar Southwest, Stafford, The Fountains</v>
      </c>
      <c r="AA267" s="9" t="str">
        <f>IFERROR(__xludf.DUMMYFUNCTION("""COMPUTED_VALUE"""),"East Ft Bend Human Needs")</f>
        <v>East Ft Bend Human Needs</v>
      </c>
      <c r="AB267" s="9" t="str">
        <f>IFERROR(__xludf.DUMMYFUNCTION("""COMPUTED_VALUE"""),"Clark Plaza One")</f>
        <v>Clark Plaza One</v>
      </c>
    </row>
    <row r="268" ht="30.0" customHeight="1">
      <c r="A268" s="17">
        <v>267.0</v>
      </c>
      <c r="B268" s="8" t="str">
        <f>IFERROR(__xludf.DUMMYFUNCTION("""COMPUTED_VALUE"""),"[""77053"", ""77083"", ""77085"", ""77099"", ""77301"", ""777407"", ""7477"", ""77478"", ""77479"", ""77483"", ""77459"", ""77469"", ""77489"", ""77498"", ""77545"", ""77583""]")</f>
        <v>["77053", "77083", "77085", "77099", "77301", "777407", "7477", "77478", "77479", "77483", "77459", "77469", "77489", "77498", "77545", "77583"]</v>
      </c>
      <c r="C268" s="9" t="str">
        <f>IFERROR(__xludf.DUMMYFUNCTION("""COMPUTED_VALUE"""),"East Ft Bend Human Needs")</f>
        <v>East Ft Bend Human Needs</v>
      </c>
      <c r="D268" s="9" t="str">
        <f>IFERROR(__xludf.DUMMYFUNCTION("""COMPUTED_VALUE"""),"435 Stafford Run Road")</f>
        <v>435 Stafford Run Road</v>
      </c>
      <c r="E268" s="9"/>
      <c r="F268" s="9" t="str">
        <f>IFERROR(__xludf.DUMMYFUNCTION("""COMPUTED_VALUE"""),"Stafford")</f>
        <v>Stafford</v>
      </c>
      <c r="G268" s="9" t="str">
        <f>IFERROR(__xludf.DUMMYFUNCTION("""COMPUTED_VALUE"""),"TX")</f>
        <v>TX</v>
      </c>
      <c r="H268" s="9" t="str">
        <f>IFERROR(__xludf.DUMMYFUNCTION("""COMPUTED_VALUE"""),"77477")</f>
        <v>77477</v>
      </c>
      <c r="I268" s="9" t="str">
        <f>IFERROR(__xludf.DUMMYFUNCTION("""COMPUTED_VALUE"""),"281-261-5470")</f>
        <v>281-261-5470</v>
      </c>
      <c r="J268" s="9" t="str">
        <f>IFERROR(__xludf.DUMMYFUNCTION("""COMPUTED_VALUE"""),"29.613855, -95.559963")</f>
        <v>29.613855, -95.559963</v>
      </c>
      <c r="K268" s="9" t="str">
        <f>IFERROR(__xludf.DUMMYFUNCTION("""COMPUTED_VALUE"""),"{""regular"":[{""days"":[""Tu""],""open"":""10:00"",""close"":""12:00""}]}")</f>
        <v>{"regular":[{"days":["Tu"],"open":"10:00","close":"12:00"}]}</v>
      </c>
      <c r="L268" s="9"/>
      <c r="M268" s="10">
        <f>IFERROR(__xludf.DUMMYFUNCTION("""COMPUTED_VALUE"""),12.0)</f>
        <v>12</v>
      </c>
      <c r="N268" s="10" t="str">
        <f>IFERROR(__xludf.DUMMYFUNCTION("""COMPUTED_VALUE"""),"Utilities")</f>
        <v>Utilities</v>
      </c>
      <c r="O268" s="10">
        <f>IFERROR(__xludf.DUMMYFUNCTION("""COMPUTED_VALUE"""),1.0)</f>
        <v>1</v>
      </c>
      <c r="P268" s="10" t="str">
        <f>IFERROR(__xludf.DUMMYFUNCTION("""COMPUTED_VALUE"""),"ACTIVE")</f>
        <v>ACTIVE</v>
      </c>
      <c r="Q268" s="11">
        <f>IFERROR(__xludf.DUMMYFUNCTION("""COMPUTED_VALUE"""),45772.0)</f>
        <v>45772</v>
      </c>
      <c r="R268" s="9" t="str">
        <f>IFERROR(__xludf.DUMMYFUNCTION("""COMPUTED_VALUE"""),"Must be in Ft Bend ISD")</f>
        <v>Must be in Ft Bend ISD</v>
      </c>
      <c r="S268" s="9" t="str">
        <f>IFERROR(__xludf.DUMMYFUNCTION("""COMPUTED_VALUE"""),"Must have some income.")</f>
        <v>Must have some income.</v>
      </c>
      <c r="T268" s="12" t="b">
        <f>IFERROR(__xludf.DUMMYFUNCTION("""COMPUTED_VALUE"""),FALSE)</f>
        <v>0</v>
      </c>
      <c r="U268" s="12" t="b">
        <f>IFERROR(__xludf.DUMMYFUNCTION("""COMPUTED_VALUE"""),FALSE)</f>
        <v>0</v>
      </c>
      <c r="V268" s="13" t="str">
        <f>IFERROR(__xludf.DUMMYFUNCTION("""COMPUTED_VALUE"""),"https://www.humanneeds.org/")</f>
        <v>https://www.humanneeds.org/</v>
      </c>
      <c r="W268" s="14" t="str">
        <f>IFERROR(__xludf.DUMMYFUNCTION("""COMPUTED_VALUE"""),"https://maps.google.com/?q=East%20Ft%20Bend%20Human%20Needs%20435%20Stafford%20Run%20Rd%20Stafford%20TX%2077477")</f>
        <v>https://maps.google.com/?q=East%20Ft%20Bend%20Human%20Needs%20435%20Stafford%20Run%20Rd%20Stafford%20TX%2077477</v>
      </c>
      <c r="X268" s="10"/>
      <c r="Y268" s="9" t="str">
        <f>IFERROR(__xludf.DUMMYFUNCTION("""COMPUTED_VALUE"""),"Stafford")</f>
        <v>Stafford</v>
      </c>
      <c r="Z268" s="9" t="str">
        <f>IFERROR(__xludf.DUMMYFUNCTION("""COMPUTED_VALUE"""),"Clark Plaza One, Corporate Bus Park, Greenbriar Southwest, Stafford, The Fountains")</f>
        <v>Clark Plaza One, Corporate Bus Park, Greenbriar Southwest, Stafford, The Fountains</v>
      </c>
      <c r="AA268" s="9" t="str">
        <f>IFERROR(__xludf.DUMMYFUNCTION("""COMPUTED_VALUE"""),"East Ft Bend Human Needs")</f>
        <v>East Ft Bend Human Needs</v>
      </c>
      <c r="AB268" s="9" t="str">
        <f>IFERROR(__xludf.DUMMYFUNCTION("""COMPUTED_VALUE"""),"Clark Plaza One")</f>
        <v>Clark Plaza One</v>
      </c>
    </row>
    <row r="269" ht="30.0" customHeight="1">
      <c r="A269" s="17">
        <v>268.0</v>
      </c>
      <c r="B269" s="8" t="str">
        <f>IFERROR(__xludf.DUMMYFUNCTION("""COMPUTED_VALUE"""),"[""77053"", ""77083"", ""77085"", ""77099"", ""77301"", ""777407"", ""7477"", ""77478"", ""77479"", ""77483"", ""77459"", ""77469"", ""77489"", ""77498"", ""77545"", ""77583""]")</f>
        <v>["77053", "77083", "77085", "77099", "77301", "777407", "7477", "77478", "77479", "77483", "77459", "77469", "77489", "77498", "77545", "77583"]</v>
      </c>
      <c r="C269" s="9" t="str">
        <f>IFERROR(__xludf.DUMMYFUNCTION("""COMPUTED_VALUE"""),"East Ft Bend Human Needs")</f>
        <v>East Ft Bend Human Needs</v>
      </c>
      <c r="D269" s="9" t="str">
        <f>IFERROR(__xludf.DUMMYFUNCTION("""COMPUTED_VALUE"""),"435 Stafford Run Road")</f>
        <v>435 Stafford Run Road</v>
      </c>
      <c r="E269" s="9"/>
      <c r="F269" s="9" t="str">
        <f>IFERROR(__xludf.DUMMYFUNCTION("""COMPUTED_VALUE"""),"Stafford")</f>
        <v>Stafford</v>
      </c>
      <c r="G269" s="9" t="str">
        <f>IFERROR(__xludf.DUMMYFUNCTION("""COMPUTED_VALUE"""),"TX")</f>
        <v>TX</v>
      </c>
      <c r="H269" s="9" t="str">
        <f>IFERROR(__xludf.DUMMYFUNCTION("""COMPUTED_VALUE"""),"77477")</f>
        <v>77477</v>
      </c>
      <c r="I269" s="9" t="str">
        <f>IFERROR(__xludf.DUMMYFUNCTION("""COMPUTED_VALUE"""),"281-261-1006")</f>
        <v>281-261-1006</v>
      </c>
      <c r="J269" s="9" t="str">
        <f>IFERROR(__xludf.DUMMYFUNCTION("""COMPUTED_VALUE"""),"29.613855, -95.559963")</f>
        <v>29.613855, -95.559963</v>
      </c>
      <c r="K269" s="9" t="str">
        <f>IFERROR(__xludf.DUMMYFUNCTION("""COMPUTED_VALUE"""),"{""regular"":[{""days"":[""Tu"",""Th"",""Fr""],""open"":""10:00"",""close"":""12:30""},{""days"":[""We""],""open"":""18:00"",""close"":""20:00""}]}")</f>
        <v>{"regular":[{"days":["Tu","Th","Fr"],"open":"10:00","close":"12:30"},{"days":["We"],"open":"18:00","close":"20:00"}]}</v>
      </c>
      <c r="L269" s="9" t="str">
        <f>IFERROR(__xludf.DUMMYFUNCTION("""COMPUTED_VALUE"""),"Every other We")</f>
        <v>Every other We</v>
      </c>
      <c r="M269" s="10">
        <f>IFERROR(__xludf.DUMMYFUNCTION("""COMPUTED_VALUE"""),13.0)</f>
        <v>13</v>
      </c>
      <c r="N269" s="10" t="str">
        <f>IFERROR(__xludf.DUMMYFUNCTION("""COMPUTED_VALUE"""),"Food")</f>
        <v>Food</v>
      </c>
      <c r="O269" s="10">
        <f>IFERROR(__xludf.DUMMYFUNCTION("""COMPUTED_VALUE"""),1.0)</f>
        <v>1</v>
      </c>
      <c r="P269" s="10" t="str">
        <f>IFERROR(__xludf.DUMMYFUNCTION("""COMPUTED_VALUE"""),"ACTIVE")</f>
        <v>ACTIVE</v>
      </c>
      <c r="Q269" s="11">
        <f>IFERROR(__xludf.DUMMYFUNCTION("""COMPUTED_VALUE"""),45772.0)</f>
        <v>45772</v>
      </c>
      <c r="R269" s="9" t="str">
        <f>IFERROR(__xludf.DUMMYFUNCTION("""COMPUTED_VALUE"""),"Must be in Ft Bend ISD")</f>
        <v>Must be in Ft Bend ISD</v>
      </c>
      <c r="S269" s="9"/>
      <c r="T269" s="12" t="b">
        <f>IFERROR(__xludf.DUMMYFUNCTION("""COMPUTED_VALUE"""),FALSE)</f>
        <v>0</v>
      </c>
      <c r="U269" s="12" t="b">
        <f>IFERROR(__xludf.DUMMYFUNCTION("""COMPUTED_VALUE"""),FALSE)</f>
        <v>0</v>
      </c>
      <c r="V269" s="13" t="str">
        <f>IFERROR(__xludf.DUMMYFUNCTION("""COMPUTED_VALUE"""),"https://www.humanneeds.org/")</f>
        <v>https://www.humanneeds.org/</v>
      </c>
      <c r="W269" s="14" t="str">
        <f>IFERROR(__xludf.DUMMYFUNCTION("""COMPUTED_VALUE"""),"https://maps.google.com/?q=East%20Ft%20Bend%20Human%20Needs%20435%20Stafford%20Run%20Rd%20Stafford%20TX%2077477")</f>
        <v>https://maps.google.com/?q=East%20Ft%20Bend%20Human%20Needs%20435%20Stafford%20Run%20Rd%20Stafford%20TX%2077477</v>
      </c>
      <c r="X269" s="10"/>
      <c r="Y269" s="9" t="str">
        <f>IFERROR(__xludf.DUMMYFUNCTION("""COMPUTED_VALUE"""),"Stafford")</f>
        <v>Stafford</v>
      </c>
      <c r="Z269" s="9" t="str">
        <f>IFERROR(__xludf.DUMMYFUNCTION("""COMPUTED_VALUE"""),"Clark Plaza One, Corporate Bus Park, Greenbriar Southwest, Stafford, The Fountains")</f>
        <v>Clark Plaza One, Corporate Bus Park, Greenbriar Southwest, Stafford, The Fountains</v>
      </c>
      <c r="AA269" s="9" t="str">
        <f>IFERROR(__xludf.DUMMYFUNCTION("""COMPUTED_VALUE"""),"East Ft Bend Human Needs")</f>
        <v>East Ft Bend Human Needs</v>
      </c>
      <c r="AB269" s="9" t="str">
        <f>IFERROR(__xludf.DUMMYFUNCTION("""COMPUTED_VALUE"""),"Clark Plaza One")</f>
        <v>Clark Plaza One</v>
      </c>
    </row>
    <row r="270" ht="30.0" customHeight="1">
      <c r="A270" s="17">
        <v>269.0</v>
      </c>
      <c r="B270" s="8" t="str">
        <f>IFERROR(__xludf.DUMMYFUNCTION("""COMPUTED_VALUE"""),"[""77099"", ""77301"", ""77477"", ""77479"", ""77483""]")</f>
        <v>["77099", "77301", "77477", "77479", "77483"]</v>
      </c>
      <c r="C270" s="9" t="str">
        <f>IFERROR(__xludf.DUMMYFUNCTION("""COMPUTED_VALUE"""),"East Ft Bend Human Needs")</f>
        <v>East Ft Bend Human Needs</v>
      </c>
      <c r="D270" s="9" t="str">
        <f>IFERROR(__xludf.DUMMYFUNCTION("""COMPUTED_VALUE"""),"435 Stafford Run Road")</f>
        <v>435 Stafford Run Road</v>
      </c>
      <c r="E270" s="9"/>
      <c r="F270" s="9" t="str">
        <f>IFERROR(__xludf.DUMMYFUNCTION("""COMPUTED_VALUE"""),"Stafford")</f>
        <v>Stafford</v>
      </c>
      <c r="G270" s="9" t="str">
        <f>IFERROR(__xludf.DUMMYFUNCTION("""COMPUTED_VALUE"""),"TX")</f>
        <v>TX</v>
      </c>
      <c r="H270" s="9" t="str">
        <f>IFERROR(__xludf.DUMMYFUNCTION("""COMPUTED_VALUE"""),"77477")</f>
        <v>77477</v>
      </c>
      <c r="I270" s="9" t="str">
        <f>IFERROR(__xludf.DUMMYFUNCTION("""COMPUTED_VALUE"""),"281-261-1006")</f>
        <v>281-261-1006</v>
      </c>
      <c r="J270" s="9" t="str">
        <f>IFERROR(__xludf.DUMMYFUNCTION("""COMPUTED_VALUE"""),"29.613855, -95.559963")</f>
        <v>29.613855, -95.559963</v>
      </c>
      <c r="K270" s="9" t="str">
        <f>IFERROR(__xludf.DUMMYFUNCTION("""COMPUTED_VALUE"""),"{""regular"":[{""days"":[""Tu""],""open"":""10:00"",""close"":""12:00""}]}")</f>
        <v>{"regular":[{"days":["Tu"],"open":"10:00","close":"12:00"}]}</v>
      </c>
      <c r="L270" s="9"/>
      <c r="M270" s="10">
        <f>IFERROR(__xludf.DUMMYFUNCTION("""COMPUTED_VALUE"""),64.0)</f>
        <v>64</v>
      </c>
      <c r="N270" s="10" t="str">
        <f>IFERROR(__xludf.DUMMYFUNCTION("""COMPUTED_VALUE"""),"Christmas")</f>
        <v>Christmas</v>
      </c>
      <c r="O270" s="10">
        <f>IFERROR(__xludf.DUMMYFUNCTION("""COMPUTED_VALUE"""),1.0)</f>
        <v>1</v>
      </c>
      <c r="P270" s="10" t="str">
        <f>IFERROR(__xludf.DUMMYFUNCTION("""COMPUTED_VALUE"""),"ACTIVE")</f>
        <v>ACTIVE</v>
      </c>
      <c r="Q270" s="11"/>
      <c r="R270" s="9"/>
      <c r="S270" s="9" t="str">
        <f>IFERROR(__xludf.DUMMYFUNCTION("""COMPUTED_VALUE"""),"Food only.")</f>
        <v>Food only.</v>
      </c>
      <c r="T270" s="12" t="b">
        <f>IFERROR(__xludf.DUMMYFUNCTION("""COMPUTED_VALUE"""),FALSE)</f>
        <v>0</v>
      </c>
      <c r="U270" s="12" t="b">
        <f>IFERROR(__xludf.DUMMYFUNCTION("""COMPUTED_VALUE"""),FALSE)</f>
        <v>0</v>
      </c>
      <c r="V270" s="13" t="str">
        <f>IFERROR(__xludf.DUMMYFUNCTION("""COMPUTED_VALUE"""),"https://www.humanneeds.org/")</f>
        <v>https://www.humanneeds.org/</v>
      </c>
      <c r="W270" s="14" t="str">
        <f>IFERROR(__xludf.DUMMYFUNCTION("""COMPUTED_VALUE"""),"https://maps.google.com/?q=East%20Ft%20Bend%20Human%20Needs%20435%20Stafford%20Run%20Rd%20Stafford%20TX%2077477")</f>
        <v>https://maps.google.com/?q=East%20Ft%20Bend%20Human%20Needs%20435%20Stafford%20Run%20Rd%20Stafford%20TX%2077477</v>
      </c>
      <c r="X270" s="10"/>
      <c r="Y270" s="9" t="str">
        <f>IFERROR(__xludf.DUMMYFUNCTION("""COMPUTED_VALUE"""),"Stafford")</f>
        <v>Stafford</v>
      </c>
      <c r="Z270" s="9" t="str">
        <f>IFERROR(__xludf.DUMMYFUNCTION("""COMPUTED_VALUE"""),"Clark Plaza One, Corporate Bus Park, Greenbriar Southwest, Stafford, The Fountains")</f>
        <v>Clark Plaza One, Corporate Bus Park, Greenbriar Southwest, Stafford, The Fountains</v>
      </c>
      <c r="AA270" s="9" t="str">
        <f>IFERROR(__xludf.DUMMYFUNCTION("""COMPUTED_VALUE"""),"East Ft Bend Human Needs")</f>
        <v>East Ft Bend Human Needs</v>
      </c>
      <c r="AB270" s="9" t="str">
        <f>IFERROR(__xludf.DUMMYFUNCTION("""COMPUTED_VALUE"""),"Clark Plaza One")</f>
        <v>Clark Plaza One</v>
      </c>
    </row>
    <row r="271" ht="30.0" customHeight="1">
      <c r="A271" s="17">
        <v>270.0</v>
      </c>
      <c r="B271" s="8" t="str">
        <f>IFERROR(__xludf.DUMMYFUNCTION("""COMPUTED_VALUE"""),"[""77024"", ""77041"", ""77043"", ""77055"", ""77080"", ""77092""]")</f>
        <v>["77024", "77041", "77043", "77055", "77080", "77092"]</v>
      </c>
      <c r="C271" s="9" t="str">
        <f>IFERROR(__xludf.DUMMYFUNCTION("""COMPUTED_VALUE"""),"East Spring Branch Food Pantry")</f>
        <v>East Spring Branch Food Pantry</v>
      </c>
      <c r="D271" s="9" t="str">
        <f>IFERROR(__xludf.DUMMYFUNCTION("""COMPUTED_VALUE"""),"7901 Westview Drive")</f>
        <v>7901 Westview Drive</v>
      </c>
      <c r="E271" s="9"/>
      <c r="F271" s="9" t="str">
        <f>IFERROR(__xludf.DUMMYFUNCTION("""COMPUTED_VALUE"""),"Houston")</f>
        <v>Houston</v>
      </c>
      <c r="G271" s="9" t="str">
        <f>IFERROR(__xludf.DUMMYFUNCTION("""COMPUTED_VALUE"""),"TX")</f>
        <v>TX</v>
      </c>
      <c r="H271" s="9" t="str">
        <f>IFERROR(__xludf.DUMMYFUNCTION("""COMPUTED_VALUE"""),"77055")</f>
        <v>77055</v>
      </c>
      <c r="I271" s="9" t="str">
        <f>IFERROR(__xludf.DUMMYFUNCTION("""COMPUTED_VALUE"""),"713-464-0852")</f>
        <v>713-464-0852</v>
      </c>
      <c r="J271" s="9" t="str">
        <f>IFERROR(__xludf.DUMMYFUNCTION("""COMPUTED_VALUE"""),"29.7943705, -95.4858496497902")</f>
        <v>29.7943705, -95.4858496497902</v>
      </c>
      <c r="K271" s="9" t="str">
        <f>IFERROR(__xludf.DUMMYFUNCTION("""COMPUTED_VALUE"""),"{""regular"":[{""days"":[""Mo"",""Tu"",""Th""],""open"":""11:00"",""close"":""14:00""},{""days"":[""Th""],""open"":""17:00"",""close"":""19:00""},{""days"":[""Fr""],""open"":""10:00"",""close"":""12:00""}]}")</f>
        <v>{"regular":[{"days":["Mo","Tu","Th"],"open":"11:00","close":"14:00"},{"days":["Th"],"open":"17:00","close":"19:00"},{"days":["Fr"],"open":"10:00","close":"12:00"}]}</v>
      </c>
      <c r="L271" s="9"/>
      <c r="M271" s="10">
        <f>IFERROR(__xludf.DUMMYFUNCTION("""COMPUTED_VALUE"""),13.0)</f>
        <v>13</v>
      </c>
      <c r="N271" s="10" t="str">
        <f>IFERROR(__xludf.DUMMYFUNCTION("""COMPUTED_VALUE"""),"Food")</f>
        <v>Food</v>
      </c>
      <c r="O271" s="10">
        <f>IFERROR(__xludf.DUMMYFUNCTION("""COMPUTED_VALUE"""),1.0)</f>
        <v>1</v>
      </c>
      <c r="P271" s="10" t="str">
        <f>IFERROR(__xludf.DUMMYFUNCTION("""COMPUTED_VALUE"""),"ACTIVE")</f>
        <v>ACTIVE</v>
      </c>
      <c r="Q271" s="11"/>
      <c r="R271" s="9"/>
      <c r="S271" s="9"/>
      <c r="T271" s="12" t="b">
        <f>IFERROR(__xludf.DUMMYFUNCTION("""COMPUTED_VALUE"""),FALSE)</f>
        <v>0</v>
      </c>
      <c r="U271" s="12" t="b">
        <f>IFERROR(__xludf.DUMMYFUNCTION("""COMPUTED_VALUE"""),FALSE)</f>
        <v>0</v>
      </c>
      <c r="V271" s="13" t="str">
        <f>IFERROR(__xludf.DUMMYFUNCTION("""COMPUTED_VALUE"""),"https://eastspringbranchfoodpantry.com/")</f>
        <v>https://eastspringbranchfoodpantry.com/</v>
      </c>
      <c r="W271" s="14" t="str">
        <f>IFERROR(__xludf.DUMMYFUNCTION("""COMPUTED_VALUE"""),"https://maps.google.com/?q=East%20Spring%20Branch%20Food%20Pantry%207901%20Westview%20Dr%20Houston%20TX%2077055")</f>
        <v>https://maps.google.com/?q=East%20Spring%20Branch%20Food%20Pantry%207901%20Westview%20Dr%20Houston%20TX%2077055</v>
      </c>
      <c r="X271" s="10"/>
      <c r="Y271" s="9" t="str">
        <f>IFERROR(__xludf.DUMMYFUNCTION("""COMPUTED_VALUE"""),"Houston")</f>
        <v>Houston</v>
      </c>
      <c r="Z271" s="9" t="str">
        <f>IFERROR(__xludf.DUMMYFUNCTION("""COMPUTED_VALUE"""),"Hilshire Village, Montrose, Northwest Houston, Spring Branch East, Washington Avenue Coalition / Memorial Park")</f>
        <v>Hilshire Village, Montrose, Northwest Houston, Spring Branch East, Washington Avenue Coalition / Memorial Park</v>
      </c>
      <c r="AA271" s="9" t="str">
        <f>IFERROR(__xludf.DUMMYFUNCTION("""COMPUTED_VALUE"""),"East Spring Branch Food Pantry")</f>
        <v>East Spring Branch Food Pantry</v>
      </c>
      <c r="AB271" s="9" t="str">
        <f>IFERROR(__xludf.DUMMYFUNCTION("""COMPUTED_VALUE"""),"Northwest Houston")</f>
        <v>Northwest Houston</v>
      </c>
    </row>
    <row r="272" ht="30.0" customHeight="1">
      <c r="A272" s="17">
        <v>271.0</v>
      </c>
      <c r="B272" s="8" t="str">
        <f>IFERROR(__xludf.DUMMYFUNCTION("""COMPUTED_VALUE"""),"[""99999""]")</f>
        <v>["99999"]</v>
      </c>
      <c r="C272" s="9" t="str">
        <f>IFERROR(__xludf.DUMMYFUNCTION("""COMPUTED_VALUE"""),"ECDC Houston Multicultural Center")</f>
        <v>ECDC Houston Multicultural Center</v>
      </c>
      <c r="D272" s="9" t="str">
        <f>IFERROR(__xludf.DUMMYFUNCTION("""COMPUTED_VALUE"""),"11011 Richmond Avenue")</f>
        <v>11011 Richmond Avenue</v>
      </c>
      <c r="E272" s="9" t="str">
        <f>IFERROR(__xludf.DUMMYFUNCTION("""COMPUTED_VALUE"""),"Suite 450")</f>
        <v>Suite 450</v>
      </c>
      <c r="F272" s="9" t="str">
        <f>IFERROR(__xludf.DUMMYFUNCTION("""COMPUTED_VALUE"""),"Houston")</f>
        <v>Houston</v>
      </c>
      <c r="G272" s="9" t="str">
        <f>IFERROR(__xludf.DUMMYFUNCTION("""COMPUTED_VALUE"""),"TX")</f>
        <v>TX</v>
      </c>
      <c r="H272" s="9" t="str">
        <f>IFERROR(__xludf.DUMMYFUNCTION("""COMPUTED_VALUE"""),"77042")</f>
        <v>77042</v>
      </c>
      <c r="I272" s="9" t="str">
        <f>IFERROR(__xludf.DUMMYFUNCTION("""COMPUTED_VALUE"""),"346-626-1550")</f>
        <v>346-626-1550</v>
      </c>
      <c r="J272" s="9" t="str">
        <f>IFERROR(__xludf.DUMMYFUNCTION("""COMPUTED_VALUE"""),"29.727614793071112, -95.5709100905474")</f>
        <v>29.727614793071112, -95.5709100905474</v>
      </c>
      <c r="K272" s="9" t="str">
        <f>IFERROR(__xludf.DUMMYFUNCTION("""COMPUTED_VALUE"""),"{""regular"":[{""days"":[""Mo"",""Tu"",""We"",""Th"",""Fr""],""open"":""08:30"",""close"":""17:00""}]}")</f>
        <v>{"regular":[{"days":["Mo","Tu","We","Th","Fr"],"open":"08:30","close":"17:00"}]}</v>
      </c>
      <c r="L272" s="9"/>
      <c r="M272" s="10">
        <f>IFERROR(__xludf.DUMMYFUNCTION("""COMPUTED_VALUE"""),11.0)</f>
        <v>11</v>
      </c>
      <c r="N272" s="10" t="str">
        <f>IFERROR(__xludf.DUMMYFUNCTION("""COMPUTED_VALUE"""),"Rent")</f>
        <v>Rent</v>
      </c>
      <c r="O272" s="10">
        <f>IFERROR(__xludf.DUMMYFUNCTION("""COMPUTED_VALUE"""),2.0)</f>
        <v>2</v>
      </c>
      <c r="P272" s="10" t="str">
        <f>IFERROR(__xludf.DUMMYFUNCTION("""COMPUTED_VALUE"""),"LIMITED")</f>
        <v>LIMITED</v>
      </c>
      <c r="Q272" s="11">
        <f>IFERROR(__xludf.DUMMYFUNCTION("""COMPUTED_VALUE"""),45859.0)</f>
        <v>45859</v>
      </c>
      <c r="R272" s="9" t="str">
        <f>IFERROR(__xludf.DUMMYFUNCTION("""COMPUTED_VALUE"""),"For refugees only")</f>
        <v>For refugees only</v>
      </c>
      <c r="S272" s="9" t="str">
        <f>IFERROR(__xludf.DUMMYFUNCTION("""COMPUTED_VALUE"""),"This program is available only to refugees as defined by the US government.")</f>
        <v>This program is available only to refugees as defined by the US government.</v>
      </c>
      <c r="T272" s="12" t="b">
        <f>IFERROR(__xludf.DUMMYFUNCTION("""COMPUTED_VALUE"""),FALSE)</f>
        <v>0</v>
      </c>
      <c r="U272" s="12" t="b">
        <f>IFERROR(__xludf.DUMMYFUNCTION("""COMPUTED_VALUE"""),FALSE)</f>
        <v>0</v>
      </c>
      <c r="V272" s="13" t="str">
        <f>IFERROR(__xludf.DUMMYFUNCTION("""COMPUTED_VALUE"""),"https://ecdchmc.org/refugee-resettlement-services#randp")</f>
        <v>https://ecdchmc.org/refugee-resettlement-services#randp</v>
      </c>
      <c r="W272" s="14" t="str">
        <f>IFERROR(__xludf.DUMMYFUNCTION("""COMPUTED_VALUE"""),"https://www.google.com/maps/place/ECDC+HMC/@29.7272049,-95.573485,16z/data=!3m2!4b1!5s0x8640dcc54868f8f9:0x86f50a9fafa8b2e2!4m6!3m5!1s0x8640dd000be24131:0xf996ff29ae5ee5d2!8m2!3d29.7272049!4d-95.5709101!16s%2Fg%2F11y7s_m6ph?entry=ttu&amp;g_ep=EgoyMDI1MDcxMy4w"&amp;"IKXMDSoASAFQAw%3D%3D")</f>
        <v>https://www.google.com/maps/place/ECDC+HMC/@29.7272049,-95.573485,16z/data=!3m2!4b1!5s0x8640dcc54868f8f9:0x86f50a9fafa8b2e2!4m6!3m5!1s0x8640dd000be24131:0xf996ff29ae5ee5d2!8m2!3d29.7272049!4d-95.5709101!16s%2Fg%2F11y7s_m6ph?entry=ttu&amp;g_ep=EgoyMDI1MDcxMy4wIKXMDSoASAFQAw%3D%3D</v>
      </c>
      <c r="X272" s="10"/>
      <c r="Y272" s="9" t="str">
        <f>IFERROR(__xludf.DUMMYFUNCTION("""COMPUTED_VALUE"""),"Houston")</f>
        <v>Houston</v>
      </c>
      <c r="Z272" s="9" t="str">
        <f>IFERROR(__xludf.DUMMYFUNCTION("""COMPUTED_VALUE"""),"Royal Oaks, Westchase, Westside")</f>
        <v>Royal Oaks, Westchase, Westside</v>
      </c>
      <c r="AA272" s="9" t="str">
        <f>IFERROR(__xludf.DUMMYFUNCTION("""COMPUTED_VALUE"""),"ECDC Houston Multicultural Center")</f>
        <v>ECDC Houston Multicultural Center</v>
      </c>
      <c r="AB272" s="9" t="str">
        <f>IFERROR(__xludf.DUMMYFUNCTION("""COMPUTED_VALUE"""),"Westside")</f>
        <v>Westside</v>
      </c>
    </row>
    <row r="273" ht="30.0" customHeight="1">
      <c r="A273" s="17">
        <v>272.0</v>
      </c>
      <c r="B273" s="8" t="str">
        <f>IFERROR(__xludf.DUMMYFUNCTION("""COMPUTED_VALUE"""),"[""99999""]")</f>
        <v>["99999"]</v>
      </c>
      <c r="C273" s="9" t="str">
        <f>IFERROR(__xludf.DUMMYFUNCTION("""COMPUTED_VALUE"""),"ECDC Houston Multicultural Center")</f>
        <v>ECDC Houston Multicultural Center</v>
      </c>
      <c r="D273" s="9" t="str">
        <f>IFERROR(__xludf.DUMMYFUNCTION("""COMPUTED_VALUE"""),"11011 Richmond Avenue")</f>
        <v>11011 Richmond Avenue</v>
      </c>
      <c r="E273" s="9" t="str">
        <f>IFERROR(__xludf.DUMMYFUNCTION("""COMPUTED_VALUE"""),"Suite 450")</f>
        <v>Suite 450</v>
      </c>
      <c r="F273" s="9" t="str">
        <f>IFERROR(__xludf.DUMMYFUNCTION("""COMPUTED_VALUE"""),"Houston")</f>
        <v>Houston</v>
      </c>
      <c r="G273" s="9" t="str">
        <f>IFERROR(__xludf.DUMMYFUNCTION("""COMPUTED_VALUE"""),"TX")</f>
        <v>TX</v>
      </c>
      <c r="H273" s="9" t="str">
        <f>IFERROR(__xludf.DUMMYFUNCTION("""COMPUTED_VALUE"""),"77042")</f>
        <v>77042</v>
      </c>
      <c r="I273" s="9" t="str">
        <f>IFERROR(__xludf.DUMMYFUNCTION("""COMPUTED_VALUE"""),"346-626-1550")</f>
        <v>346-626-1550</v>
      </c>
      <c r="J273" s="9" t="str">
        <f>IFERROR(__xludf.DUMMYFUNCTION("""COMPUTED_VALUE"""),"29.727614793071112, -95.5709100905474")</f>
        <v>29.727614793071112, -95.5709100905474</v>
      </c>
      <c r="K273" s="9" t="str">
        <f>IFERROR(__xludf.DUMMYFUNCTION("""COMPUTED_VALUE"""),"{""regular"":[{""days"":[""Mo"",""Tu"",""We"",""Th"",""Fr""],""open"":""08:30"",""close"":""17:00""}]}")</f>
        <v>{"regular":[{"days":["Mo","Tu","We","Th","Fr"],"open":"08:30","close":"17:00"}]}</v>
      </c>
      <c r="L273" s="9"/>
      <c r="M273" s="10">
        <f>IFERROR(__xludf.DUMMYFUNCTION("""COMPUTED_VALUE"""),51.0)</f>
        <v>51</v>
      </c>
      <c r="N273" s="10" t="str">
        <f>IFERROR(__xludf.DUMMYFUNCTION("""COMPUTED_VALUE"""),"Education - Adults")</f>
        <v>Education - Adults</v>
      </c>
      <c r="O273" s="10">
        <f>IFERROR(__xludf.DUMMYFUNCTION("""COMPUTED_VALUE"""),1.0)</f>
        <v>1</v>
      </c>
      <c r="P273" s="10" t="str">
        <f>IFERROR(__xludf.DUMMYFUNCTION("""COMPUTED_VALUE"""),"ACTIVE")</f>
        <v>ACTIVE</v>
      </c>
      <c r="Q273" s="11">
        <f>IFERROR(__xludf.DUMMYFUNCTION("""COMPUTED_VALUE"""),45854.0)</f>
        <v>45854</v>
      </c>
      <c r="R273" s="9" t="str">
        <f>IFERROR(__xludf.DUMMYFUNCTION("""COMPUTED_VALUE"""),"Verified in person")</f>
        <v>Verified in person</v>
      </c>
      <c r="S273" s="9" t="str">
        <f>IFERROR(__xludf.DUMMYFUNCTION("""COMPUTED_VALUE"""),"English as a Second Language classes
Beginner and intermediate levels tailored towards practical language skills to help navigate daily life.
Driver's Education.
Additional classes in financial literacy, navigating the US healthcare system and skills to s"&amp;"tart a small business.  Specific program to help refugee women start and manage a home based childcare business.")</f>
        <v>English as a Second Language classes
Beginner and intermediate levels tailored towards practical language skills to help navigate daily life.
Driver's Education.
Additional classes in financial literacy, navigating the US healthcare system and skills to start a small business.  Specific program to help refugee women start and manage a home based childcare business.</v>
      </c>
      <c r="T273" s="12" t="b">
        <f>IFERROR(__xludf.DUMMYFUNCTION("""COMPUTED_VALUE"""),FALSE)</f>
        <v>0</v>
      </c>
      <c r="U273" s="12" t="b">
        <f>IFERROR(__xludf.DUMMYFUNCTION("""COMPUTED_VALUE"""),FALSE)</f>
        <v>0</v>
      </c>
      <c r="V273" s="13" t="str">
        <f>IFERROR(__xludf.DUMMYFUNCTION("""COMPUTED_VALUE"""),"https://ecdchmc.org/refugee-resettlement-services#randp")</f>
        <v>https://ecdchmc.org/refugee-resettlement-services#randp</v>
      </c>
      <c r="W273" s="14" t="str">
        <f>IFERROR(__xludf.DUMMYFUNCTION("""COMPUTED_VALUE"""),"https://www.google.com/maps/place/ECDC+HMC/@29.7272049,-95.573485,16z/data=!3m2!4b1!5s0x8640dcc54868f8f9:0x86f50a9fafa8b2e2!4m6!3m5!1s0x8640dd000be24131:0xf996ff29ae5ee5d2!8m2!3d29.7272049!4d-95.5709101!16s%2Fg%2F11y7s_m6ph?entry=ttu&amp;g_ep=EgoyMDI1MDcxMy4w"&amp;"IKXMDSoASAFQAw%3D%3D")</f>
        <v>https://www.google.com/maps/place/ECDC+HMC/@29.7272049,-95.573485,16z/data=!3m2!4b1!5s0x8640dcc54868f8f9:0x86f50a9fafa8b2e2!4m6!3m5!1s0x8640dd000be24131:0xf996ff29ae5ee5d2!8m2!3d29.7272049!4d-95.5709101!16s%2Fg%2F11y7s_m6ph?entry=ttu&amp;g_ep=EgoyMDI1MDcxMy4wIKXMDSoASAFQAw%3D%3D</v>
      </c>
      <c r="X273" s="10"/>
      <c r="Y273" s="9" t="str">
        <f>IFERROR(__xludf.DUMMYFUNCTION("""COMPUTED_VALUE"""),"Houston")</f>
        <v>Houston</v>
      </c>
      <c r="Z273" s="9" t="str">
        <f>IFERROR(__xludf.DUMMYFUNCTION("""COMPUTED_VALUE"""),"Royal Oaks, Westchase, Westside")</f>
        <v>Royal Oaks, Westchase, Westside</v>
      </c>
      <c r="AA273" s="9" t="str">
        <f>IFERROR(__xludf.DUMMYFUNCTION("""COMPUTED_VALUE"""),"ECDC Houston Multicultural Center")</f>
        <v>ECDC Houston Multicultural Center</v>
      </c>
      <c r="AB273" s="9" t="str">
        <f>IFERROR(__xludf.DUMMYFUNCTION("""COMPUTED_VALUE"""),"Westside")</f>
        <v>Westside</v>
      </c>
    </row>
    <row r="274" ht="30.0" customHeight="1">
      <c r="A274" s="17">
        <v>273.0</v>
      </c>
      <c r="B274" s="8" t="str">
        <f>IFERROR(__xludf.DUMMYFUNCTION("""COMPUTED_VALUE"""),"[""99999""]")</f>
        <v>["99999"]</v>
      </c>
      <c r="C274" s="9" t="str">
        <f>IFERROR(__xludf.DUMMYFUNCTION("""COMPUTED_VALUE"""),"ECDC Houston Multicultural Center")</f>
        <v>ECDC Houston Multicultural Center</v>
      </c>
      <c r="D274" s="9" t="str">
        <f>IFERROR(__xludf.DUMMYFUNCTION("""COMPUTED_VALUE"""),"11011 Richmond Avenue")</f>
        <v>11011 Richmond Avenue</v>
      </c>
      <c r="E274" s="9" t="str">
        <f>IFERROR(__xludf.DUMMYFUNCTION("""COMPUTED_VALUE"""),"Suite 450")</f>
        <v>Suite 450</v>
      </c>
      <c r="F274" s="9" t="str">
        <f>IFERROR(__xludf.DUMMYFUNCTION("""COMPUTED_VALUE"""),"Houston")</f>
        <v>Houston</v>
      </c>
      <c r="G274" s="9" t="str">
        <f>IFERROR(__xludf.DUMMYFUNCTION("""COMPUTED_VALUE"""),"TX")</f>
        <v>TX</v>
      </c>
      <c r="H274" s="9" t="str">
        <f>IFERROR(__xludf.DUMMYFUNCTION("""COMPUTED_VALUE"""),"77042")</f>
        <v>77042</v>
      </c>
      <c r="I274" s="9" t="str">
        <f>IFERROR(__xludf.DUMMYFUNCTION("""COMPUTED_VALUE"""),"346-626-1550")</f>
        <v>346-626-1550</v>
      </c>
      <c r="J274" s="9" t="str">
        <f>IFERROR(__xludf.DUMMYFUNCTION("""COMPUTED_VALUE"""),"29.727614793071112, -95.5709100905474")</f>
        <v>29.727614793071112, -95.5709100905474</v>
      </c>
      <c r="K274" s="9" t="str">
        <f>IFERROR(__xludf.DUMMYFUNCTION("""COMPUTED_VALUE"""),"{""regular"":[{""days"":[""Mo"",""Tu"",""We"",""Th"",""Fr""],""open"":""08:30"",""close"":""17:00""}]}")</f>
        <v>{"regular":[{"days":["Mo","Tu","We","Th","Fr"],"open":"08:30","close":"17:00"}]}</v>
      </c>
      <c r="L274" s="9"/>
      <c r="M274" s="10">
        <f>IFERROR(__xludf.DUMMYFUNCTION("""COMPUTED_VALUE"""),55.0)</f>
        <v>55</v>
      </c>
      <c r="N274" s="10" t="str">
        <f>IFERROR(__xludf.DUMMYFUNCTION("""COMPUTED_VALUE"""),"Immigration")</f>
        <v>Immigration</v>
      </c>
      <c r="O274" s="10">
        <f>IFERROR(__xludf.DUMMYFUNCTION("""COMPUTED_VALUE"""),1.0)</f>
        <v>1</v>
      </c>
      <c r="P274" s="10" t="str">
        <f>IFERROR(__xludf.DUMMYFUNCTION("""COMPUTED_VALUE"""),"ACTIVE")</f>
        <v>ACTIVE</v>
      </c>
      <c r="Q274" s="11">
        <f>IFERROR(__xludf.DUMMYFUNCTION("""COMPUTED_VALUE"""),45854.0)</f>
        <v>45854</v>
      </c>
      <c r="R274" s="9" t="str">
        <f>IFERROR(__xludf.DUMMYFUNCTION("""COMPUTED_VALUE"""),"Verified in person")</f>
        <v>Verified in person</v>
      </c>
      <c r="S274" s="9" t="str">
        <f>IFERROR(__xludf.DUMMYFUNCTION("""COMPUTED_VALUE"""),"Provides resettlement services to refugees, asylum seekers, Cuban and Haitian Entrants, Special Immigrant Visa holder from Iraq and Afghanistan, certified victims of severe forms of trafficking, specific Amerasians, Afghan and Ukranian Humanitarian Parole"&amp;"es and other individuals as designated by the US Government.")</f>
        <v>Provides resettlement services to refugees, asylum seekers, Cuban and Haitian Entrants, Special Immigrant Visa holder from Iraq and Afghanistan, certified victims of severe forms of trafficking, specific Amerasians, Afghan and Ukranian Humanitarian Parolees and other individuals as designated by the US Government.</v>
      </c>
      <c r="T274" s="12" t="b">
        <f>IFERROR(__xludf.DUMMYFUNCTION("""COMPUTED_VALUE"""),FALSE)</f>
        <v>0</v>
      </c>
      <c r="U274" s="12" t="b">
        <f>IFERROR(__xludf.DUMMYFUNCTION("""COMPUTED_VALUE"""),FALSE)</f>
        <v>0</v>
      </c>
      <c r="V274" s="13" t="str">
        <f>IFERROR(__xludf.DUMMYFUNCTION("""COMPUTED_VALUE"""),"https://ecdchmc.org/refugee-resettlement-services#randp")</f>
        <v>https://ecdchmc.org/refugee-resettlement-services#randp</v>
      </c>
      <c r="W274" s="14" t="str">
        <f>IFERROR(__xludf.DUMMYFUNCTION("""COMPUTED_VALUE"""),"https://www.google.com/maps/place/ECDC+HMC/@29.7272049,-95.573485,16z/data=!3m2!4b1!5s0x8640dcc54868f8f9:0x86f50a9fafa8b2e2!4m6!3m5!1s0x8640dd000be24131:0xf996ff29ae5ee5d2!8m2!3d29.7272049!4d-95.5709101!16s%2Fg%2F11y7s_m6ph?entry=ttu&amp;g_ep=EgoyMDI1MDcxMy4w"&amp;"IKXMDSoASAFQAw%3D%3D")</f>
        <v>https://www.google.com/maps/place/ECDC+HMC/@29.7272049,-95.573485,16z/data=!3m2!4b1!5s0x8640dcc54868f8f9:0x86f50a9fafa8b2e2!4m6!3m5!1s0x8640dd000be24131:0xf996ff29ae5ee5d2!8m2!3d29.7272049!4d-95.5709101!16s%2Fg%2F11y7s_m6ph?entry=ttu&amp;g_ep=EgoyMDI1MDcxMy4wIKXMDSoASAFQAw%3D%3D</v>
      </c>
      <c r="X274" s="10"/>
      <c r="Y274" s="9" t="str">
        <f>IFERROR(__xludf.DUMMYFUNCTION("""COMPUTED_VALUE"""),"Houston")</f>
        <v>Houston</v>
      </c>
      <c r="Z274" s="9" t="str">
        <f>IFERROR(__xludf.DUMMYFUNCTION("""COMPUTED_VALUE"""),"Royal Oaks, Westchase, Westside")</f>
        <v>Royal Oaks, Westchase, Westside</v>
      </c>
      <c r="AA274" s="9" t="str">
        <f>IFERROR(__xludf.DUMMYFUNCTION("""COMPUTED_VALUE"""),"ECDC Houston Multicultural Center")</f>
        <v>ECDC Houston Multicultural Center</v>
      </c>
      <c r="AB274" s="9" t="str">
        <f>IFERROR(__xludf.DUMMYFUNCTION("""COMPUTED_VALUE"""),"Westside")</f>
        <v>Westside</v>
      </c>
    </row>
    <row r="275" ht="30.0" customHeight="1">
      <c r="A275" s="17">
        <v>274.0</v>
      </c>
      <c r="B275" s="8" t="str">
        <f>IFERROR(__xludf.DUMMYFUNCTION("""COMPUTED_VALUE"""),"[""99999""]")</f>
        <v>["99999"]</v>
      </c>
      <c r="C275" s="9" t="str">
        <f>IFERROR(__xludf.DUMMYFUNCTION("""COMPUTED_VALUE"""),"El Centro de Corazón - Eastwood")</f>
        <v>El Centro de Corazón - Eastwood</v>
      </c>
      <c r="D275" s="9" t="str">
        <f>IFERROR(__xludf.DUMMYFUNCTION("""COMPUTED_VALUE"""),"412 Telephone Road")</f>
        <v>412 Telephone Road</v>
      </c>
      <c r="E275" s="9"/>
      <c r="F275" s="9" t="str">
        <f>IFERROR(__xludf.DUMMYFUNCTION("""COMPUTED_VALUE"""),"Houston")</f>
        <v>Houston</v>
      </c>
      <c r="G275" s="9" t="str">
        <f>IFERROR(__xludf.DUMMYFUNCTION("""COMPUTED_VALUE"""),"TX")</f>
        <v>TX</v>
      </c>
      <c r="H275" s="9" t="str">
        <f>IFERROR(__xludf.DUMMYFUNCTION("""COMPUTED_VALUE"""),"77023")</f>
        <v>77023</v>
      </c>
      <c r="I275" s="9" t="str">
        <f>IFERROR(__xludf.DUMMYFUNCTION("""COMPUTED_VALUE"""),"713-660-1880")</f>
        <v>713-660-1880</v>
      </c>
      <c r="J275" s="9" t="str">
        <f>IFERROR(__xludf.DUMMYFUNCTION("""COMPUTED_VALUE"""),"29.7378298335786, -95.3327423000631")</f>
        <v>29.7378298335786, -95.3327423000631</v>
      </c>
      <c r="K275" s="9" t="str">
        <f>IFERROR(__xludf.DUMMYFUNCTION("""COMPUTED_VALUE"""),"{""regular"":[{""days"":[""Mo"",""Tu"",""We"",""Th"",""Fr""],""open"":null,""close"":null}]}")</f>
        <v>{"regular":[{"days":["Mo","Tu","We","Th","Fr"],"open":null,"close":null}]}</v>
      </c>
      <c r="L275" s="9"/>
      <c r="M275" s="10">
        <f>IFERROR(__xludf.DUMMYFUNCTION("""COMPUTED_VALUE"""),31.0)</f>
        <v>31</v>
      </c>
      <c r="N275" s="10" t="str">
        <f>IFERROR(__xludf.DUMMYFUNCTION("""COMPUTED_VALUE"""),"Medical - Primary Care")</f>
        <v>Medical - Primary Care</v>
      </c>
      <c r="O275" s="10">
        <f>IFERROR(__xludf.DUMMYFUNCTION("""COMPUTED_VALUE"""),3.0)</f>
        <v>3</v>
      </c>
      <c r="P275" s="10" t="str">
        <f>IFERROR(__xludf.DUMMYFUNCTION("""COMPUTED_VALUE"""),"INACTIVE")</f>
        <v>INACTIVE</v>
      </c>
      <c r="Q275" s="11">
        <f>IFERROR(__xludf.DUMMYFUNCTION("""COMPUTED_VALUE"""),46049.0)</f>
        <v>46049</v>
      </c>
      <c r="R275" s="9" t="str">
        <f>IFERROR(__xludf.DUMMYFUNCTION("""COMPUTED_VALUE"""),"Temporarily closed for building maintenance.")</f>
        <v>Temporarily closed for building maintenance.</v>
      </c>
      <c r="S275" s="9" t="str">
        <f>IFERROR(__xludf.DUMMYFUNCTION("""COMPUTED_VALUE"""),"Offering adult primary care including chronic disease management, sick visits, immunizations after after hours care.
Women's health services including OB-GYN, prenatal and postpartum care, family planning, and male newborn circumcisions.
Pediatric primary"&amp;" care including well-exams, school and sports physical exams, sick visits, immunizations, newborn screenings, hearing and vision screenings, chronic disease management and after hours care.
Adult and pediatric behavioral health services including psychiat"&amp;"ric evaluation, medication management, individual and family therapy and trauma focused cognitive behavioral therapy.
Case management and eligibility assistance.
Accepts Medicaid/CHIP and offers a sliding fee based on household size and income.  No one re"&amp;"fused service.")</f>
        <v>Offering adult primary care including chronic disease management, sick visits, immunizations after after hours care.
Women's health services including OB-GYN, prenatal and postpartum care, family planning, and male newborn circumcisions.
Pediatric primary care including well-exams, school and sports physical exams, sick visits, immunizations, newborn screenings, hearing and vision screenings, chronic disease management and after hours care.
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v>
      </c>
      <c r="T275" s="12" t="b">
        <f>IFERROR(__xludf.DUMMYFUNCTION("""COMPUTED_VALUE"""),FALSE)</f>
        <v>0</v>
      </c>
      <c r="U275" s="12" t="b">
        <f>IFERROR(__xludf.DUMMYFUNCTION("""COMPUTED_VALUE"""),FALSE)</f>
        <v>0</v>
      </c>
      <c r="V275" s="13" t="str">
        <f>IFERROR(__xludf.DUMMYFUNCTION("""COMPUTED_VALUE"""),"https://www.elcentrodecorazon.org")</f>
        <v>https://www.elcentrodecorazon.org</v>
      </c>
      <c r="W275" s="14" t="str">
        <f>IFERROR(__xludf.DUMMYFUNCTION("""COMPUTED_VALUE"""),"https://www.google.com/maps/place/El+Centro+de+Coraz%C3%B3n+Eastwood+Health+Center/@29.7163825,-95.3305561,14z/data=!4m10!1m2!2m1!1sel+centro+de+coraz%C3%B3n!3m6!1s0x8640bef2eebb3775:0xee5adc09c97b91fd!8m2!3d29.7377401!4d-95.3329128!15sChVlbCBjZW50cm8gZGU"&amp;"gY29yYXrDs24iA4gBAZIBDm1lZGljYWxfY2VudGVyqgFaCg0vZy8xMWNzcTVma2gyCgsvZy8xdGZkejcycRABMh8QASIb3yDdK1axM9nPCA6dUh9b0FMcoYV7J-ume196MhkQAiIVZWwgY2VudHJvIGRlIGNvcmF6w7Nu4AEA!16s%2Fg%2F1thqh3zr?entry=ttu&amp;g_ep=EgoyMDI1MDcwOS4wIKXMDSoASAFQAw%3D%3D")</f>
        <v>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v>
      </c>
      <c r="X275" s="10"/>
      <c r="Y275" s="9" t="str">
        <f>IFERROR(__xludf.DUMMYFUNCTION("""COMPUTED_VALUE"""),"Houston")</f>
        <v>Houston</v>
      </c>
      <c r="Z275" s="9" t="str">
        <f>IFERROR(__xludf.DUMMYFUNCTION("""COMPUTED_VALUE"""),"Eastwood, Gulfgate Riverview / Pine Valley, Idylwood, Lawndale / Wayside, Magnolia Park, South Central Houston")</f>
        <v>Eastwood, Gulfgate Riverview / Pine Valley, Idylwood, Lawndale / Wayside, Magnolia Park, South Central Houston</v>
      </c>
      <c r="AA275" s="9" t="str">
        <f>IFERROR(__xludf.DUMMYFUNCTION("""COMPUTED_VALUE"""),"El Centro de Corazón")</f>
        <v>El Centro de Corazón</v>
      </c>
      <c r="AB275" s="9" t="str">
        <f>IFERROR(__xludf.DUMMYFUNCTION("""COMPUTED_VALUE"""),"South Central Houston")</f>
        <v>South Central Houston</v>
      </c>
    </row>
    <row r="276" ht="30.0" customHeight="1">
      <c r="A276" s="17">
        <v>275.0</v>
      </c>
      <c r="B276" s="8" t="str">
        <f>IFERROR(__xludf.DUMMYFUNCTION("""COMPUTED_VALUE"""),"[""99999""]")</f>
        <v>["99999"]</v>
      </c>
      <c r="C276" s="9" t="str">
        <f>IFERROR(__xludf.DUMMYFUNCTION("""COMPUTED_VALUE"""),"El Centro de Corazón - Eastwood")</f>
        <v>El Centro de Corazón - Eastwood</v>
      </c>
      <c r="D276" s="9" t="str">
        <f>IFERROR(__xludf.DUMMYFUNCTION("""COMPUTED_VALUE"""),"412 Telephone Road")</f>
        <v>412 Telephone Road</v>
      </c>
      <c r="E276" s="9"/>
      <c r="F276" s="9" t="str">
        <f>IFERROR(__xludf.DUMMYFUNCTION("""COMPUTED_VALUE"""),"Houston")</f>
        <v>Houston</v>
      </c>
      <c r="G276" s="9" t="str">
        <f>IFERROR(__xludf.DUMMYFUNCTION("""COMPUTED_VALUE"""),"TX")</f>
        <v>TX</v>
      </c>
      <c r="H276" s="9" t="str">
        <f>IFERROR(__xludf.DUMMYFUNCTION("""COMPUTED_VALUE"""),"77023")</f>
        <v>77023</v>
      </c>
      <c r="I276" s="9" t="str">
        <f>IFERROR(__xludf.DUMMYFUNCTION("""COMPUTED_VALUE"""),"713-660-1880")</f>
        <v>713-660-1880</v>
      </c>
      <c r="J276" s="9" t="str">
        <f>IFERROR(__xludf.DUMMYFUNCTION("""COMPUTED_VALUE"""),"29.7378298335786, -95.3327423000631")</f>
        <v>29.7378298335786, -95.3327423000631</v>
      </c>
      <c r="K276" s="9" t="str">
        <f>IFERROR(__xludf.DUMMYFUNCTION("""COMPUTED_VALUE"""),"{""regular"":[{""days"":[""Mo"",""Tu"",""We"",""Th"",""Fr""],""open"":null,""close"":null}]}")</f>
        <v>{"regular":[{"days":["Mo","Tu","We","Th","Fr"],"open":null,"close":null}]}</v>
      </c>
      <c r="L276" s="9"/>
      <c r="M276" s="10">
        <f>IFERROR(__xludf.DUMMYFUNCTION("""COMPUTED_VALUE"""),32.0)</f>
        <v>32</v>
      </c>
      <c r="N276" s="10" t="str">
        <f>IFERROR(__xludf.DUMMYFUNCTION("""COMPUTED_VALUE"""),"Medical - Dental &amp; Vision")</f>
        <v>Medical - Dental &amp; Vision</v>
      </c>
      <c r="O276" s="10">
        <f>IFERROR(__xludf.DUMMYFUNCTION("""COMPUTED_VALUE"""),3.0)</f>
        <v>3</v>
      </c>
      <c r="P276" s="10" t="str">
        <f>IFERROR(__xludf.DUMMYFUNCTION("""COMPUTED_VALUE"""),"INACTIVE")</f>
        <v>INACTIVE</v>
      </c>
      <c r="Q276" s="11">
        <f>IFERROR(__xludf.DUMMYFUNCTION("""COMPUTED_VALUE"""),46049.0)</f>
        <v>46049</v>
      </c>
      <c r="R276" s="9" t="str">
        <f>IFERROR(__xludf.DUMMYFUNCTION("""COMPUTED_VALUE"""),"Temporarily closed for building maintenance.")</f>
        <v>Temporarily closed for building maintenance.</v>
      </c>
      <c r="S276" s="9" t="str">
        <f>IFERROR(__xludf.DUMMYFUNCTION("""COMPUTED_VALUE"""),"Dental
For adults 19+ limited exams and x-rays.
Pediatric dental services includes preventative care, exams, x-rays, cleanings, sealand and extractions.")</f>
        <v>Dental
For adults 19+ limited exams and x-rays.
Pediatric dental services includes preventative care, exams, x-rays, cleanings, sealand and extractions.</v>
      </c>
      <c r="T276" s="12" t="b">
        <f>IFERROR(__xludf.DUMMYFUNCTION("""COMPUTED_VALUE"""),TRUE)</f>
        <v>1</v>
      </c>
      <c r="U276" s="12" t="b">
        <f>IFERROR(__xludf.DUMMYFUNCTION("""COMPUTED_VALUE"""),FALSE)</f>
        <v>0</v>
      </c>
      <c r="V276" s="13" t="str">
        <f>IFERROR(__xludf.DUMMYFUNCTION("""COMPUTED_VALUE"""),"https://www.elcentrodecorazon.org")</f>
        <v>https://www.elcentrodecorazon.org</v>
      </c>
      <c r="W276" s="14" t="str">
        <f>IFERROR(__xludf.DUMMYFUNCTION("""COMPUTED_VALUE"""),"https://www.google.com/maps/place/El+Centro+de+Coraz%C3%B3n+Eastwood+Health+Center/@29.7163825,-95.3305561,14z/data=!4m10!1m2!2m1!1sel+centro+de+coraz%C3%B3n!3m6!1s0x8640bef2eebb3775:0xee5adc09c97b91fd!8m2!3d29.7377401!4d-95.3329128!15sChVlbCBjZW50cm8gZGU"&amp;"gY29yYXrDs24iA4gBAZIBDm1lZGljYWxfY2VudGVyqgFaCg0vZy8xMWNzcTVma2gyCgsvZy8xdGZkejcycRABMh8QASIb3yDdK1axM9nPCA6dUh9b0FMcoYV7J-ume196MhkQAiIVZWwgY2VudHJvIGRlIGNvcmF6w7Nu4AEA!16s%2Fg%2F1thqh3zr?entry=ttu&amp;g_ep=EgoyMDI1MDcwOS4wIKXMDSoASAFQAw%3D%3D")</f>
        <v>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v>
      </c>
      <c r="X276" s="10"/>
      <c r="Y276" s="9" t="str">
        <f>IFERROR(__xludf.DUMMYFUNCTION("""COMPUTED_VALUE"""),"Houston")</f>
        <v>Houston</v>
      </c>
      <c r="Z276" s="9" t="str">
        <f>IFERROR(__xludf.DUMMYFUNCTION("""COMPUTED_VALUE"""),"Eastwood, Gulfgate Riverview / Pine Valley, Idylwood, Lawndale / Wayside, Magnolia Park, South Central Houston")</f>
        <v>Eastwood, Gulfgate Riverview / Pine Valley, Idylwood, Lawndale / Wayside, Magnolia Park, South Central Houston</v>
      </c>
      <c r="AA276" s="9" t="str">
        <f>IFERROR(__xludf.DUMMYFUNCTION("""COMPUTED_VALUE"""),"El Centro de Corazón")</f>
        <v>El Centro de Corazón</v>
      </c>
      <c r="AB276" s="9" t="str">
        <f>IFERROR(__xludf.DUMMYFUNCTION("""COMPUTED_VALUE"""),"South Central Houston")</f>
        <v>South Central Houston</v>
      </c>
    </row>
    <row r="277" ht="30.0" customHeight="1">
      <c r="A277" s="17">
        <v>276.0</v>
      </c>
      <c r="B277" s="8" t="str">
        <f>IFERROR(__xludf.DUMMYFUNCTION("""COMPUTED_VALUE"""),"[""99999""]")</f>
        <v>["99999"]</v>
      </c>
      <c r="C277" s="9" t="str">
        <f>IFERROR(__xludf.DUMMYFUNCTION("""COMPUTED_VALUE"""),"El Centro de Corazón - Eastwood")</f>
        <v>El Centro de Corazón - Eastwood</v>
      </c>
      <c r="D277" s="9" t="str">
        <f>IFERROR(__xludf.DUMMYFUNCTION("""COMPUTED_VALUE"""),"412 Telephone Road")</f>
        <v>412 Telephone Road</v>
      </c>
      <c r="E277" s="9"/>
      <c r="F277" s="9" t="str">
        <f>IFERROR(__xludf.DUMMYFUNCTION("""COMPUTED_VALUE"""),"Houston")</f>
        <v>Houston</v>
      </c>
      <c r="G277" s="9" t="str">
        <f>IFERROR(__xludf.DUMMYFUNCTION("""COMPUTED_VALUE"""),"TX")</f>
        <v>TX</v>
      </c>
      <c r="H277" s="9" t="str">
        <f>IFERROR(__xludf.DUMMYFUNCTION("""COMPUTED_VALUE"""),"77023")</f>
        <v>77023</v>
      </c>
      <c r="I277" s="9" t="str">
        <f>IFERROR(__xludf.DUMMYFUNCTION("""COMPUTED_VALUE"""),"713-660-1880")</f>
        <v>713-660-1880</v>
      </c>
      <c r="J277" s="9" t="str">
        <f>IFERROR(__xludf.DUMMYFUNCTION("""COMPUTED_VALUE"""),"29.7378298335786, -95.3327423000631")</f>
        <v>29.7378298335786, -95.3327423000631</v>
      </c>
      <c r="K277" s="9" t="str">
        <f>IFERROR(__xludf.DUMMYFUNCTION("""COMPUTED_VALUE"""),"{""regular"":[{""days"":[""Mo"",""Tu"",""We"",""Th"",""Fr""],""open"":null,""close"":null}]}")</f>
        <v>{"regular":[{"days":["Mo","Tu","We","Th","Fr"],"open":null,"close":null}]}</v>
      </c>
      <c r="L277" s="9"/>
      <c r="M277" s="10">
        <f>IFERROR(__xludf.DUMMYFUNCTION("""COMPUTED_VALUE"""),33.0)</f>
        <v>33</v>
      </c>
      <c r="N277" s="10" t="str">
        <f>IFERROR(__xludf.DUMMYFUNCTION("""COMPUTED_VALUE"""),"Medical - Behavioral Health")</f>
        <v>Medical - Behavioral Health</v>
      </c>
      <c r="O277" s="10">
        <f>IFERROR(__xludf.DUMMYFUNCTION("""COMPUTED_VALUE"""),3.0)</f>
        <v>3</v>
      </c>
      <c r="P277" s="10" t="str">
        <f>IFERROR(__xludf.DUMMYFUNCTION("""COMPUTED_VALUE"""),"INACTIVE")</f>
        <v>INACTIVE</v>
      </c>
      <c r="Q277" s="11">
        <f>IFERROR(__xludf.DUMMYFUNCTION("""COMPUTED_VALUE"""),46049.0)</f>
        <v>46049</v>
      </c>
      <c r="R277" s="9" t="str">
        <f>IFERROR(__xludf.DUMMYFUNCTION("""COMPUTED_VALUE"""),"Temporarily closed for building maintenance.")</f>
        <v>Temporarily closed for building maintenance.</v>
      </c>
      <c r="S277" s="9" t="str">
        <f>IFERROR(__xludf.DUMMYFUNCTION("""COMPUTED_VALUE"""),"Adult and pediatric behavioral health services including psychiatric evaluation, medication management, individual and family therapy and trauma focused cognitive behavioral therapy.
Case management and eligibility assistance.
Accepts Medicaid/CHIP and of"&amp;"fers a sliding fee based on household size and income.  No one refused service.")</f>
        <v>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v>
      </c>
      <c r="T277" s="12" t="b">
        <f>IFERROR(__xludf.DUMMYFUNCTION("""COMPUTED_VALUE"""),FALSE)</f>
        <v>0</v>
      </c>
      <c r="U277" s="12" t="b">
        <f>IFERROR(__xludf.DUMMYFUNCTION("""COMPUTED_VALUE"""),FALSE)</f>
        <v>0</v>
      </c>
      <c r="V277" s="13" t="str">
        <f>IFERROR(__xludf.DUMMYFUNCTION("""COMPUTED_VALUE"""),"https://www.elcentrodecorazon.org")</f>
        <v>https://www.elcentrodecorazon.org</v>
      </c>
      <c r="W277" s="14" t="str">
        <f>IFERROR(__xludf.DUMMYFUNCTION("""COMPUTED_VALUE"""),"https://www.google.com/maps/place/El+Centro+de+Coraz%C3%B3n+Eastwood+Health+Center/@29.7163825,-95.3305561,14z/data=!4m10!1m2!2m1!1sel+centro+de+coraz%C3%B3n!3m6!1s0x8640bef2eebb3775:0xee5adc09c97b91fd!8m2!3d29.7377401!4d-95.3329128!15sChVlbCBjZW50cm8gZGU"&amp;"gY29yYXrDs24iA4gBAZIBDm1lZGljYWxfY2VudGVyqgFaCg0vZy8xMWNzcTVma2gyCgsvZy8xdGZkejcycRABMh8QASIb3yDdK1axM9nPCA6dUh9b0FMcoYV7J-ume196MhkQAiIVZWwgY2VudHJvIGRlIGNvcmF6w7Nu4AEA!16s%2Fg%2F1thqh3zr?entry=ttu&amp;g_ep=EgoyMDI1MDcwOS4wIKXMDSoASAFQAw%3D%3D")</f>
        <v>https://www.google.com/maps/place/El+Centro+de+Coraz%C3%B3n+Eastwood+Health+Center/@29.7163825,-95.3305561,14z/data=!4m10!1m2!2m1!1sel+centro+de+coraz%C3%B3n!3m6!1s0x8640bef2eebb3775:0xee5adc09c97b91fd!8m2!3d29.7377401!4d-95.3329128!15sChVlbCBjZW50cm8gZGUgY29yYXrDs24iA4gBAZIBDm1lZGljYWxfY2VudGVyqgFaCg0vZy8xMWNzcTVma2gyCgsvZy8xdGZkejcycRABMh8QASIb3yDdK1axM9nPCA6dUh9b0FMcoYV7J-ume196MhkQAiIVZWwgY2VudHJvIGRlIGNvcmF6w7Nu4AEA!16s%2Fg%2F1thqh3zr?entry=ttu&amp;g_ep=EgoyMDI1MDcwOS4wIKXMDSoASAFQAw%3D%3D</v>
      </c>
      <c r="X277" s="10"/>
      <c r="Y277" s="9" t="str">
        <f>IFERROR(__xludf.DUMMYFUNCTION("""COMPUTED_VALUE"""),"Houston")</f>
        <v>Houston</v>
      </c>
      <c r="Z277" s="9" t="str">
        <f>IFERROR(__xludf.DUMMYFUNCTION("""COMPUTED_VALUE"""),"Eastwood, Gulfgate Riverview / Pine Valley, Idylwood, Lawndale / Wayside, Magnolia Park, South Central Houston")</f>
        <v>Eastwood, Gulfgate Riverview / Pine Valley, Idylwood, Lawndale / Wayside, Magnolia Park, South Central Houston</v>
      </c>
      <c r="AA277" s="9" t="str">
        <f>IFERROR(__xludf.DUMMYFUNCTION("""COMPUTED_VALUE"""),"El Centro de Corazón")</f>
        <v>El Centro de Corazón</v>
      </c>
      <c r="AB277" s="9" t="str">
        <f>IFERROR(__xludf.DUMMYFUNCTION("""COMPUTED_VALUE"""),"South Central Houston")</f>
        <v>South Central Houston</v>
      </c>
    </row>
    <row r="278" ht="30.0" customHeight="1">
      <c r="A278" s="17">
        <v>277.0</v>
      </c>
      <c r="B278" s="8" t="str">
        <f>IFERROR(__xludf.DUMMYFUNCTION("""COMPUTED_VALUE"""),"[""99999""]")</f>
        <v>["99999"]</v>
      </c>
      <c r="C278" s="9" t="str">
        <f>IFERROR(__xludf.DUMMYFUNCTION("""COMPUTED_VALUE"""),"El Centro de Corazón - John S Dunn")</f>
        <v>El Centro de Corazón - John S Dunn</v>
      </c>
      <c r="D278" s="9" t="str">
        <f>IFERROR(__xludf.DUMMYFUNCTION("""COMPUTED_VALUE"""),"7635 Canal Street")</f>
        <v>7635 Canal Street</v>
      </c>
      <c r="E278" s="9"/>
      <c r="F278" s="9" t="str">
        <f>IFERROR(__xludf.DUMMYFUNCTION("""COMPUTED_VALUE"""),"Houston")</f>
        <v>Houston</v>
      </c>
      <c r="G278" s="9" t="str">
        <f>IFERROR(__xludf.DUMMYFUNCTION("""COMPUTED_VALUE"""),"TX")</f>
        <v>TX</v>
      </c>
      <c r="H278" s="9" t="str">
        <f>IFERROR(__xludf.DUMMYFUNCTION("""COMPUTED_VALUE"""),"77012")</f>
        <v>77012</v>
      </c>
      <c r="I278" s="9" t="str">
        <f>IFERROR(__xludf.DUMMYFUNCTION("""COMPUTED_VALUE"""),"713-660-1880")</f>
        <v>713-660-1880</v>
      </c>
      <c r="J278" s="9" t="str">
        <f>IFERROR(__xludf.DUMMYFUNCTION("""COMPUTED_VALUE"""),"29.7358007346939, -95.287740877551")</f>
        <v>29.7358007346939, -95.287740877551</v>
      </c>
      <c r="K278" s="9" t="str">
        <f>IFERROR(__xludf.DUMMYFUNCTION("""COMPUTED_VALUE"""),"{""regular"":[{""days"":[""Mo"",""Tu"",""We"",""Th""],""open"":""07:00"",""close"":""17:00""},{""days"":[""Fr""],""open"":""07:30"",""close"":""17:00""},{""days"":[""Sa""],""open"":""09:00"",""close"":""16:00""}]}")</f>
        <v>{"regular":[{"days":["Mo","Tu","We","Th"],"open":"07:00","close":"17:00"},{"days":["Fr"],"open":"07:30","close":"17:00"},{"days":["Sa"],"open":"09:00","close":"16:00"}]}</v>
      </c>
      <c r="L278" s="9" t="str">
        <f>IFERROR(__xludf.DUMMYFUNCTION("""COMPUTED_VALUE"""),"Appointment required")</f>
        <v>Appointment required</v>
      </c>
      <c r="M278" s="10">
        <f>IFERROR(__xludf.DUMMYFUNCTION("""COMPUTED_VALUE"""),31.0)</f>
        <v>31</v>
      </c>
      <c r="N278" s="10" t="str">
        <f>IFERROR(__xludf.DUMMYFUNCTION("""COMPUTED_VALUE"""),"Medical - Primary Care")</f>
        <v>Medical - Primary Care</v>
      </c>
      <c r="O278" s="10">
        <f>IFERROR(__xludf.DUMMYFUNCTION("""COMPUTED_VALUE"""),1.0)</f>
        <v>1</v>
      </c>
      <c r="P278" s="10" t="str">
        <f>IFERROR(__xludf.DUMMYFUNCTION("""COMPUTED_VALUE"""),"ACTIVE")</f>
        <v>ACTIVE</v>
      </c>
      <c r="Q278" s="11">
        <f>IFERROR(__xludf.DUMMYFUNCTION("""COMPUTED_VALUE"""),46049.0)</f>
        <v>46049</v>
      </c>
      <c r="R278" s="9" t="str">
        <f>IFERROR(__xludf.DUMMYFUNCTION("""COMPUTED_VALUE"""),"Verified online")</f>
        <v>Verified online</v>
      </c>
      <c r="S278" s="9" t="str">
        <f>IFERROR(__xludf.DUMMYFUNCTION("""COMPUTED_VALUE"""),"Offering adult primary care including chronic disease management, sick visits, immunizations after after hours care.
Women's health services including OB-GYN, prenatal and postpartum care, family planning, and male newborn circumcisions.
Pediatric primary"&amp;" care including well-exams, school and sports physical exams, sick visits, immunizations, newborn screenings, hearing and vision screenings, chronic disease management and after hours care.
Adult and pediatric behavioral health services including psychiat"&amp;"ric evaluation, medication management, individual and family therapy and trauma focused cognitive behavioral therapy.
Case management and eligibility assistance.
Accepts Medicaid/CHIP and offers a sliding fee based on household size and income.  No one re"&amp;"fused service.")</f>
        <v>Offering adult primary care including chronic disease management, sick visits, immunizations after after hours care.
Women's health services including OB-GYN, prenatal and postpartum care, family planning, and male newborn circumcisions.
Pediatric primary care including well-exams, school and sports physical exams, sick visits, immunizations, newborn screenings, hearing and vision screenings, chronic disease management and after hours care.
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v>
      </c>
      <c r="T278" s="12" t="b">
        <f>IFERROR(__xludf.DUMMYFUNCTION("""COMPUTED_VALUE"""),FALSE)</f>
        <v>0</v>
      </c>
      <c r="U278" s="12" t="b">
        <f>IFERROR(__xludf.DUMMYFUNCTION("""COMPUTED_VALUE"""),FALSE)</f>
        <v>0</v>
      </c>
      <c r="V278" s="13" t="str">
        <f>IFERROR(__xludf.DUMMYFUNCTION("""COMPUTED_VALUE"""),"https://www.elcentrodecorazon.org")</f>
        <v>https://www.elcentrodecorazon.org</v>
      </c>
      <c r="W278" s="14" t="str">
        <f>IFERROR(__xludf.DUMMYFUNCTION("""COMPUTED_VALUE"""),"https://www.google.com/maps/place/El+Centro+de+Coraz%C3%B3n+John+S.+Dunn+Health+Center/@29.7163825,-95.3305561,14z/data=!4m10!1m2!2m1!1sel+centro+de+coraz%C3%B3n!3m6!1s0x8640bc49810c3495:0x805ac196cb4a9051!8m2!3d29.735883!4d-95.2869146!15sChVlbCBjZW50cm8g"&amp;"ZGUgY29yYXrDs24iA4gBAZIBDm1lZGljYWxfY2xpbmljqgFaCg0vZy8xMWNzcTVma2gyCgsvZy8xdGZkejcycRABMh8QASIb3yDdK1axM9nPCA6dUh9b0FMcoYV7J-ume196MhkQAiIVZWwgY2VudHJvIGRlIGNvcmF6w7Nu4AEA!16s%2Fg%2F1tyzzcfm?entry=ttu&amp;g_ep=EgoyMDI1MDcwOS4wIKXMDSoASAFQAw%3D%3D")</f>
        <v>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v>
      </c>
      <c r="X278" s="10"/>
      <c r="Y278" s="9" t="str">
        <f>IFERROR(__xludf.DUMMYFUNCTION("""COMPUTED_VALUE"""),"Houston")</f>
        <v>Houston</v>
      </c>
      <c r="Z278" s="9" t="str">
        <f>IFERROR(__xludf.DUMMYFUNCTION("""COMPUTED_VALUE"""),"Greater East End, Harrisburg, Magnolia Park")</f>
        <v>Greater East End, Harrisburg, Magnolia Park</v>
      </c>
      <c r="AA278" s="9" t="str">
        <f>IFERROR(__xludf.DUMMYFUNCTION("""COMPUTED_VALUE"""),"El Centro de Corazón")</f>
        <v>El Centro de Corazón</v>
      </c>
      <c r="AB278" s="9" t="str">
        <f>IFERROR(__xludf.DUMMYFUNCTION("""COMPUTED_VALUE"""),"Magnolia Park")</f>
        <v>Magnolia Park</v>
      </c>
    </row>
    <row r="279" ht="30.0" customHeight="1">
      <c r="A279" s="17">
        <v>278.0</v>
      </c>
      <c r="B279" s="8" t="str">
        <f>IFERROR(__xludf.DUMMYFUNCTION("""COMPUTED_VALUE"""),"[""99999""]")</f>
        <v>["99999"]</v>
      </c>
      <c r="C279" s="9" t="str">
        <f>IFERROR(__xludf.DUMMYFUNCTION("""COMPUTED_VALUE"""),"El Centro de Corazón - John S Dunn")</f>
        <v>El Centro de Corazón - John S Dunn</v>
      </c>
      <c r="D279" s="9" t="str">
        <f>IFERROR(__xludf.DUMMYFUNCTION("""COMPUTED_VALUE"""),"7635 Canal Street")</f>
        <v>7635 Canal Street</v>
      </c>
      <c r="E279" s="9"/>
      <c r="F279" s="9" t="str">
        <f>IFERROR(__xludf.DUMMYFUNCTION("""COMPUTED_VALUE"""),"Houston")</f>
        <v>Houston</v>
      </c>
      <c r="G279" s="9" t="str">
        <f>IFERROR(__xludf.DUMMYFUNCTION("""COMPUTED_VALUE"""),"TX")</f>
        <v>TX</v>
      </c>
      <c r="H279" s="9" t="str">
        <f>IFERROR(__xludf.DUMMYFUNCTION("""COMPUTED_VALUE"""),"77012")</f>
        <v>77012</v>
      </c>
      <c r="I279" s="9" t="str">
        <f>IFERROR(__xludf.DUMMYFUNCTION("""COMPUTED_VALUE"""),"713-660-1880")</f>
        <v>713-660-1880</v>
      </c>
      <c r="J279" s="9" t="str">
        <f>IFERROR(__xludf.DUMMYFUNCTION("""COMPUTED_VALUE"""),"29.7358007346939, -95.287740877551")</f>
        <v>29.7358007346939, -95.287740877551</v>
      </c>
      <c r="K279" s="9" t="str">
        <f>IFERROR(__xludf.DUMMYFUNCTION("""COMPUTED_VALUE"""),"{""regular"":[{""days"":[""Mo"",""Tu"",""We"",""Th""],""open"":""07:00"",""close"":""17:00""},{""days"":[""Fr""],""open"":""07:30"",""close"":""17:00""},{""days"":[""Sa""],""open"":""09:00"",""close"":""16:00""}]}")</f>
        <v>{"regular":[{"days":["Mo","Tu","We","Th"],"open":"07:00","close":"17:00"},{"days":["Fr"],"open":"07:30","close":"17:00"},{"days":["Sa"],"open":"09:00","close":"16:00"}]}</v>
      </c>
      <c r="L279" s="9" t="str">
        <f>IFERROR(__xludf.DUMMYFUNCTION("""COMPUTED_VALUE"""),"Appointment required")</f>
        <v>Appointment required</v>
      </c>
      <c r="M279" s="10">
        <f>IFERROR(__xludf.DUMMYFUNCTION("""COMPUTED_VALUE"""),32.0)</f>
        <v>32</v>
      </c>
      <c r="N279" s="10" t="str">
        <f>IFERROR(__xludf.DUMMYFUNCTION("""COMPUTED_VALUE"""),"Medical - Dental &amp; Vision")</f>
        <v>Medical - Dental &amp; Vision</v>
      </c>
      <c r="O279" s="10">
        <f>IFERROR(__xludf.DUMMYFUNCTION("""COMPUTED_VALUE"""),1.0)</f>
        <v>1</v>
      </c>
      <c r="P279" s="10" t="str">
        <f>IFERROR(__xludf.DUMMYFUNCTION("""COMPUTED_VALUE"""),"ACTIVE")</f>
        <v>ACTIVE</v>
      </c>
      <c r="Q279" s="11">
        <f>IFERROR(__xludf.DUMMYFUNCTION("""COMPUTED_VALUE"""),46049.0)</f>
        <v>46049</v>
      </c>
      <c r="R279" s="9" t="str">
        <f>IFERROR(__xludf.DUMMYFUNCTION("""COMPUTED_VALUE"""),"Verified online")</f>
        <v>Verified online</v>
      </c>
      <c r="S279" s="9" t="str">
        <f>IFERROR(__xludf.DUMMYFUNCTION("""COMPUTED_VALUE"""),"Dental
For adults 19+ limited exams and x-rays.
Pediatric dental services includes preventative care, exams, x-rays, cleanings, sealand and extractions.")</f>
        <v>Dental
For adults 19+ limited exams and x-rays.
Pediatric dental services includes preventative care, exams, x-rays, cleanings, sealand and extractions.</v>
      </c>
      <c r="T279" s="12" t="b">
        <f>IFERROR(__xludf.DUMMYFUNCTION("""COMPUTED_VALUE"""),TRUE)</f>
        <v>1</v>
      </c>
      <c r="U279" s="12" t="b">
        <f>IFERROR(__xludf.DUMMYFUNCTION("""COMPUTED_VALUE"""),FALSE)</f>
        <v>0</v>
      </c>
      <c r="V279" s="13" t="str">
        <f>IFERROR(__xludf.DUMMYFUNCTION("""COMPUTED_VALUE"""),"https://www.elcentrodecorazon.org")</f>
        <v>https://www.elcentrodecorazon.org</v>
      </c>
      <c r="W279" s="14" t="str">
        <f>IFERROR(__xludf.DUMMYFUNCTION("""COMPUTED_VALUE"""),"https://www.google.com/maps/place/El+Centro+de+Coraz%C3%B3n+John+S.+Dunn+Health+Center/@29.7163825,-95.3305561,14z/data=!4m10!1m2!2m1!1sel+centro+de+coraz%C3%B3n!3m6!1s0x8640bc49810c3495:0x805ac196cb4a9051!8m2!3d29.735883!4d-95.2869146!15sChVlbCBjZW50cm8g"&amp;"ZGUgY29yYXrDs24iA4gBAZIBDm1lZGljYWxfY2xpbmljqgFaCg0vZy8xMWNzcTVma2gyCgsvZy8xdGZkejcycRABMh8QASIb3yDdK1axM9nPCA6dUh9b0FMcoYV7J-ume196MhkQAiIVZWwgY2VudHJvIGRlIGNvcmF6w7Nu4AEA!16s%2Fg%2F1tyzzcfm?entry=ttu&amp;g_ep=EgoyMDI1MDcwOS4wIKXMDSoASAFQAw%3D%3D")</f>
        <v>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v>
      </c>
      <c r="X279" s="10"/>
      <c r="Y279" s="9" t="str">
        <f>IFERROR(__xludf.DUMMYFUNCTION("""COMPUTED_VALUE"""),"Houston")</f>
        <v>Houston</v>
      </c>
      <c r="Z279" s="9" t="str">
        <f>IFERROR(__xludf.DUMMYFUNCTION("""COMPUTED_VALUE"""),"Greater East End, Harrisburg, Magnolia Park")</f>
        <v>Greater East End, Harrisburg, Magnolia Park</v>
      </c>
      <c r="AA279" s="9" t="str">
        <f>IFERROR(__xludf.DUMMYFUNCTION("""COMPUTED_VALUE"""),"El Centro de Corazón")</f>
        <v>El Centro de Corazón</v>
      </c>
      <c r="AB279" s="9" t="str">
        <f>IFERROR(__xludf.DUMMYFUNCTION("""COMPUTED_VALUE"""),"Magnolia Park")</f>
        <v>Magnolia Park</v>
      </c>
    </row>
    <row r="280" ht="30.0" customHeight="1">
      <c r="A280" s="17">
        <v>279.0</v>
      </c>
      <c r="B280" s="8" t="str">
        <f>IFERROR(__xludf.DUMMYFUNCTION("""COMPUTED_VALUE"""),"[""99999""]")</f>
        <v>["99999"]</v>
      </c>
      <c r="C280" s="9" t="str">
        <f>IFERROR(__xludf.DUMMYFUNCTION("""COMPUTED_VALUE"""),"El Centro de Corazón - John S Dunn")</f>
        <v>El Centro de Corazón - John S Dunn</v>
      </c>
      <c r="D280" s="9" t="str">
        <f>IFERROR(__xludf.DUMMYFUNCTION("""COMPUTED_VALUE"""),"7635 Canal Street")</f>
        <v>7635 Canal Street</v>
      </c>
      <c r="E280" s="9"/>
      <c r="F280" s="9" t="str">
        <f>IFERROR(__xludf.DUMMYFUNCTION("""COMPUTED_VALUE"""),"Houston")</f>
        <v>Houston</v>
      </c>
      <c r="G280" s="9" t="str">
        <f>IFERROR(__xludf.DUMMYFUNCTION("""COMPUTED_VALUE"""),"TX")</f>
        <v>TX</v>
      </c>
      <c r="H280" s="9" t="str">
        <f>IFERROR(__xludf.DUMMYFUNCTION("""COMPUTED_VALUE"""),"77012")</f>
        <v>77012</v>
      </c>
      <c r="I280" s="9" t="str">
        <f>IFERROR(__xludf.DUMMYFUNCTION("""COMPUTED_VALUE"""),"713-660-1880")</f>
        <v>713-660-1880</v>
      </c>
      <c r="J280" s="9" t="str">
        <f>IFERROR(__xludf.DUMMYFUNCTION("""COMPUTED_VALUE"""),"29.7358007346939, -95.287740877551")</f>
        <v>29.7358007346939, -95.287740877551</v>
      </c>
      <c r="K280" s="9" t="str">
        <f>IFERROR(__xludf.DUMMYFUNCTION("""COMPUTED_VALUE"""),"{""regular"":[{""days"":[""Mo"",""Tu"",""We"",""Th""],""open"":""07:00"",""close"":""17:00""},{""days"":[""Fr""],""open"":""07:30"",""close"":""17:00""},{""days"":[""Sa""],""open"":""09:00"",""close"":""16:00""}]}")</f>
        <v>{"regular":[{"days":["Mo","Tu","We","Th"],"open":"07:00","close":"17:00"},{"days":["Fr"],"open":"07:30","close":"17:00"},{"days":["Sa"],"open":"09:00","close":"16:00"}]}</v>
      </c>
      <c r="L280" s="9" t="str">
        <f>IFERROR(__xludf.DUMMYFUNCTION("""COMPUTED_VALUE"""),"Appointment required")</f>
        <v>Appointment required</v>
      </c>
      <c r="M280" s="10">
        <f>IFERROR(__xludf.DUMMYFUNCTION("""COMPUTED_VALUE"""),33.0)</f>
        <v>33</v>
      </c>
      <c r="N280" s="10" t="str">
        <f>IFERROR(__xludf.DUMMYFUNCTION("""COMPUTED_VALUE"""),"Medical - Behavioral Health")</f>
        <v>Medical - Behavioral Health</v>
      </c>
      <c r="O280" s="10">
        <f>IFERROR(__xludf.DUMMYFUNCTION("""COMPUTED_VALUE"""),1.0)</f>
        <v>1</v>
      </c>
      <c r="P280" s="10" t="str">
        <f>IFERROR(__xludf.DUMMYFUNCTION("""COMPUTED_VALUE"""),"ACTIVE")</f>
        <v>ACTIVE</v>
      </c>
      <c r="Q280" s="11">
        <f>IFERROR(__xludf.DUMMYFUNCTION("""COMPUTED_VALUE"""),46049.0)</f>
        <v>46049</v>
      </c>
      <c r="R280" s="9" t="str">
        <f>IFERROR(__xludf.DUMMYFUNCTION("""COMPUTED_VALUE"""),"Verified online")</f>
        <v>Verified online</v>
      </c>
      <c r="S280" s="9" t="str">
        <f>IFERROR(__xludf.DUMMYFUNCTION("""COMPUTED_VALUE"""),"Adult and pediatric behavioral health services including psychiatric evaluation, medication management, individual and family therapy and trauma focused cognitive behavioral therapy.
Case management and eligibility assistance.
Accepts Medicaid/CHIP and of"&amp;"fers a sliding fee based on household size and income.  No one refused service.")</f>
        <v>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v>
      </c>
      <c r="T280" s="12" t="b">
        <f>IFERROR(__xludf.DUMMYFUNCTION("""COMPUTED_VALUE"""),FALSE)</f>
        <v>0</v>
      </c>
      <c r="U280" s="12" t="b">
        <f>IFERROR(__xludf.DUMMYFUNCTION("""COMPUTED_VALUE"""),FALSE)</f>
        <v>0</v>
      </c>
      <c r="V280" s="13" t="str">
        <f>IFERROR(__xludf.DUMMYFUNCTION("""COMPUTED_VALUE"""),"https://www.elcentrodecorazon.org")</f>
        <v>https://www.elcentrodecorazon.org</v>
      </c>
      <c r="W280" s="14" t="str">
        <f>IFERROR(__xludf.DUMMYFUNCTION("""COMPUTED_VALUE"""),"https://www.google.com/maps/place/El+Centro+de+Coraz%C3%B3n+John+S.+Dunn+Health+Center/@29.7163825,-95.3305561,14z/data=!4m10!1m2!2m1!1sel+centro+de+coraz%C3%B3n!3m6!1s0x8640bc49810c3495:0x805ac196cb4a9051!8m2!3d29.735883!4d-95.2869146!15sChVlbCBjZW50cm8g"&amp;"ZGUgY29yYXrDs24iA4gBAZIBDm1lZGljYWxfY2xpbmljqgFaCg0vZy8xMWNzcTVma2gyCgsvZy8xdGZkejcycRABMh8QASIb3yDdK1axM9nPCA6dUh9b0FMcoYV7J-ume196MhkQAiIVZWwgY2VudHJvIGRlIGNvcmF6w7Nu4AEA!16s%2Fg%2F1tyzzcfm?entry=ttu&amp;g_ep=EgoyMDI1MDcwOS4wIKXMDSoASAFQAw%3D%3D")</f>
        <v>https://www.google.com/maps/place/El+Centro+de+Coraz%C3%B3n+John+S.+Dunn+Health+Center/@29.7163825,-95.3305561,14z/data=!4m10!1m2!2m1!1sel+centro+de+coraz%C3%B3n!3m6!1s0x8640bc49810c3495:0x805ac196cb4a9051!8m2!3d29.735883!4d-95.2869146!15sChVlbCBjZW50cm8gZGUgY29yYXrDs24iA4gBAZIBDm1lZGljYWxfY2xpbmljqgFaCg0vZy8xMWNzcTVma2gyCgsvZy8xdGZkejcycRABMh8QASIb3yDdK1axM9nPCA6dUh9b0FMcoYV7J-ume196MhkQAiIVZWwgY2VudHJvIGRlIGNvcmF6w7Nu4AEA!16s%2Fg%2F1tyzzcfm?entry=ttu&amp;g_ep=EgoyMDI1MDcwOS4wIKXMDSoASAFQAw%3D%3D</v>
      </c>
      <c r="X280" s="10"/>
      <c r="Y280" s="9" t="str">
        <f>IFERROR(__xludf.DUMMYFUNCTION("""COMPUTED_VALUE"""),"Houston")</f>
        <v>Houston</v>
      </c>
      <c r="Z280" s="9" t="str">
        <f>IFERROR(__xludf.DUMMYFUNCTION("""COMPUTED_VALUE"""),"Greater East End, Harrisburg, Magnolia Park")</f>
        <v>Greater East End, Harrisburg, Magnolia Park</v>
      </c>
      <c r="AA280" s="9" t="str">
        <f>IFERROR(__xludf.DUMMYFUNCTION("""COMPUTED_VALUE"""),"El Centro de Corazón")</f>
        <v>El Centro de Corazón</v>
      </c>
      <c r="AB280" s="9" t="str">
        <f>IFERROR(__xludf.DUMMYFUNCTION("""COMPUTED_VALUE"""),"Magnolia Park")</f>
        <v>Magnolia Park</v>
      </c>
    </row>
    <row r="281" ht="30.0" customHeight="1">
      <c r="A281" s="17">
        <v>280.0</v>
      </c>
      <c r="B281" s="8" t="str">
        <f>IFERROR(__xludf.DUMMYFUNCTION("""COMPUTED_VALUE"""),"[""99999""]")</f>
        <v>["99999"]</v>
      </c>
      <c r="C281" s="9" t="str">
        <f>IFERROR(__xludf.DUMMYFUNCTION("""COMPUTED_VALUE"""),"El Centro de Corazón - Magnolia")</f>
        <v>El Centro de Corazón - Magnolia</v>
      </c>
      <c r="D281" s="9" t="str">
        <f>IFERROR(__xludf.DUMMYFUNCTION("""COMPUTED_VALUE"""),"7037 Capitol Street")</f>
        <v>7037 Capitol Street</v>
      </c>
      <c r="E281" s="9" t="str">
        <f>IFERROR(__xludf.DUMMYFUNCTION("""COMPUTED_VALUE"""),"Suite N100")</f>
        <v>Suite N100</v>
      </c>
      <c r="F281" s="9" t="str">
        <f>IFERROR(__xludf.DUMMYFUNCTION("""COMPUTED_VALUE"""),"Houston")</f>
        <v>Houston</v>
      </c>
      <c r="G281" s="9" t="str">
        <f>IFERROR(__xludf.DUMMYFUNCTION("""COMPUTED_VALUE"""),"TX")</f>
        <v>TX</v>
      </c>
      <c r="H281" s="9" t="str">
        <f>IFERROR(__xludf.DUMMYFUNCTION("""COMPUTED_VALUE"""),"77011")</f>
        <v>77011</v>
      </c>
      <c r="I281" s="9" t="str">
        <f>IFERROR(__xludf.DUMMYFUNCTION("""COMPUTED_VALUE"""),"713-660-1880")</f>
        <v>713-660-1880</v>
      </c>
      <c r="J281" s="9" t="str">
        <f>IFERROR(__xludf.DUMMYFUNCTION("""COMPUTED_VALUE"""),"29.7344102040816, -95.3023322244898")</f>
        <v>29.7344102040816, -95.3023322244898</v>
      </c>
      <c r="K281" s="9" t="str">
        <f>IFERROR(__xludf.DUMMYFUNCTION("""COMPUTED_VALUE"""),"{""regular"":[{""days"":[""Mo"",""Tu"",""We"",""Th"",""Fr""],""open"":""07:30"",""close"":""17:00""}]}")</f>
        <v>{"regular":[{"days":["Mo","Tu","We","Th","Fr"],"open":"07:30","close":"17:00"}]}</v>
      </c>
      <c r="L281" s="9" t="str">
        <f>IFERROR(__xludf.DUMMYFUNCTION("""COMPUTED_VALUE"""),"Appointment required")</f>
        <v>Appointment required</v>
      </c>
      <c r="M281" s="10">
        <f>IFERROR(__xludf.DUMMYFUNCTION("""COMPUTED_VALUE"""),31.0)</f>
        <v>31</v>
      </c>
      <c r="N281" s="10" t="str">
        <f>IFERROR(__xludf.DUMMYFUNCTION("""COMPUTED_VALUE"""),"Medical - Primary Care")</f>
        <v>Medical - Primary Care</v>
      </c>
      <c r="O281" s="10">
        <f>IFERROR(__xludf.DUMMYFUNCTION("""COMPUTED_VALUE"""),1.0)</f>
        <v>1</v>
      </c>
      <c r="P281" s="10" t="str">
        <f>IFERROR(__xludf.DUMMYFUNCTION("""COMPUTED_VALUE"""),"ACTIVE")</f>
        <v>ACTIVE</v>
      </c>
      <c r="Q281" s="11">
        <f>IFERROR(__xludf.DUMMYFUNCTION("""COMPUTED_VALUE"""),46049.0)</f>
        <v>46049</v>
      </c>
      <c r="R281" s="9" t="str">
        <f>IFERROR(__xludf.DUMMYFUNCTION("""COMPUTED_VALUE"""),"Verified online")</f>
        <v>Verified online</v>
      </c>
      <c r="S281" s="9" t="str">
        <f>IFERROR(__xludf.DUMMYFUNCTION("""COMPUTED_VALUE"""),"Offering adult primary care including chronic disease management, sick visits, immunizations after after hours care.
Women's health services including OB-GYN, prenatal and postpartum care, family planning, and male newborn circumcisions.
Pediatric primary"&amp;" care including well-exams, school and sports physical exams, sick visits, immunizations, newborn screenings, hearing and vision screenings, chronic disease management and after hours care.
Adult and pediatric behavioral health services including psychiat"&amp;"ric evaluation, medication management, individual and family therapy and trauma focused cognitive behavioral therapy.
Case management and eligibility assistance.
Accepts Medicaid/CHIP and offers a sliding fee based on household size and income.  No one re"&amp;"fused service.")</f>
        <v>Offering adult primary care including chronic disease management, sick visits, immunizations after after hours care.
Women's health services including OB-GYN, prenatal and postpartum care, family planning, and male newborn circumcisions.
Pediatric primary care including well-exams, school and sports physical exams, sick visits, immunizations, newborn screenings, hearing and vision screenings, chronic disease management and after hours care.
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v>
      </c>
      <c r="T281" s="12" t="b">
        <f>IFERROR(__xludf.DUMMYFUNCTION("""COMPUTED_VALUE"""),FALSE)</f>
        <v>0</v>
      </c>
      <c r="U281" s="12" t="b">
        <f>IFERROR(__xludf.DUMMYFUNCTION("""COMPUTED_VALUE"""),FALSE)</f>
        <v>0</v>
      </c>
      <c r="V281" s="13" t="str">
        <f>IFERROR(__xludf.DUMMYFUNCTION("""COMPUTED_VALUE"""),"https://www.elcentrodecorazon.org")</f>
        <v>https://www.elcentrodecorazon.org</v>
      </c>
      <c r="W281" s="14" t="str">
        <f>IFERROR(__xludf.DUMMYFUNCTION("""COMPUTED_VALUE"""),"https://www.google.com/maps/place/El+Centro+de+Coraz%C3%B3n+Magnolia+Health+Center/@29.7163825,-95.3305561,14z/data=!4m10!1m2!2m1!1sel+centro+de+coraz%C3%B3n!3m6!1s0x8640bc2de78f87a3:0xff84ec90c05bbafa!8m2!3d29.734449!4d-95.300924!15sChVlbCBjZW50cm8gZGUgY"&amp;"29yYXrDs24iA4gBAZIBDm1lZGljYWxfY2VudGVyqgFaCg0vZy8xMWNzcTVma2gyCgsvZy8xdGZkejcycRABMh8QASIb3yDdK1axM9nPCA6dUh9b0FMcoYV7J-ume196MhkQAiIVZWwgY2VudHJvIGRlIGNvcmF6w7Nu4AEA!16s%2Fg%2F1tfdz72q?entry=ttu&amp;g_ep=EgoyMDI1MDcwOS4wIKXMDSoASAFQAw%3D%3D")</f>
        <v>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v>
      </c>
      <c r="X281" s="10"/>
      <c r="Y281" s="9" t="str">
        <f>IFERROR(__xludf.DUMMYFUNCTION("""COMPUTED_VALUE"""),"Houston")</f>
        <v>Houston</v>
      </c>
      <c r="Z281" s="9" t="str">
        <f>IFERROR(__xludf.DUMMYFUNCTION("""COMPUTED_VALUE"""),"Eastwood, Magnolia Park, Second Ward, South Central Houston")</f>
        <v>Eastwood, Magnolia Park, Second Ward, South Central Houston</v>
      </c>
      <c r="AA281" s="9" t="str">
        <f>IFERROR(__xludf.DUMMYFUNCTION("""COMPUTED_VALUE"""),"El Centro de Corazón")</f>
        <v>El Centro de Corazón</v>
      </c>
      <c r="AB281" s="9" t="str">
        <f>IFERROR(__xludf.DUMMYFUNCTION("""COMPUTED_VALUE"""),"Magnolia Park")</f>
        <v>Magnolia Park</v>
      </c>
    </row>
    <row r="282" ht="30.0" customHeight="1">
      <c r="A282" s="17">
        <v>281.0</v>
      </c>
      <c r="B282" s="8" t="str">
        <f>IFERROR(__xludf.DUMMYFUNCTION("""COMPUTED_VALUE"""),"[""99999""]")</f>
        <v>["99999"]</v>
      </c>
      <c r="C282" s="9" t="str">
        <f>IFERROR(__xludf.DUMMYFUNCTION("""COMPUTED_VALUE"""),"El Centro de Corazón - Magnolia")</f>
        <v>El Centro de Corazón - Magnolia</v>
      </c>
      <c r="D282" s="9" t="str">
        <f>IFERROR(__xludf.DUMMYFUNCTION("""COMPUTED_VALUE"""),"7037 Capitol Street")</f>
        <v>7037 Capitol Street</v>
      </c>
      <c r="E282" s="9" t="str">
        <f>IFERROR(__xludf.DUMMYFUNCTION("""COMPUTED_VALUE"""),"Suite N100")</f>
        <v>Suite N100</v>
      </c>
      <c r="F282" s="9" t="str">
        <f>IFERROR(__xludf.DUMMYFUNCTION("""COMPUTED_VALUE"""),"Houston")</f>
        <v>Houston</v>
      </c>
      <c r="G282" s="9" t="str">
        <f>IFERROR(__xludf.DUMMYFUNCTION("""COMPUTED_VALUE"""),"TX")</f>
        <v>TX</v>
      </c>
      <c r="H282" s="9" t="str">
        <f>IFERROR(__xludf.DUMMYFUNCTION("""COMPUTED_VALUE"""),"77011")</f>
        <v>77011</v>
      </c>
      <c r="I282" s="9" t="str">
        <f>IFERROR(__xludf.DUMMYFUNCTION("""COMPUTED_VALUE"""),"713-660-1880")</f>
        <v>713-660-1880</v>
      </c>
      <c r="J282" s="9" t="str">
        <f>IFERROR(__xludf.DUMMYFUNCTION("""COMPUTED_VALUE"""),"29.7344102040816, -95.3023322244898")</f>
        <v>29.7344102040816, -95.3023322244898</v>
      </c>
      <c r="K282" s="9" t="str">
        <f>IFERROR(__xludf.DUMMYFUNCTION("""COMPUTED_VALUE"""),"{""regular"":[{""days"":[""Mo"",""Tu"",""We"",""Th"",""Fr""],""open"":""07:30"",""close"":""17:00""}]}")</f>
        <v>{"regular":[{"days":["Mo","Tu","We","Th","Fr"],"open":"07:30","close":"17:00"}]}</v>
      </c>
      <c r="L282" s="9" t="str">
        <f>IFERROR(__xludf.DUMMYFUNCTION("""COMPUTED_VALUE"""),"Appointment required")</f>
        <v>Appointment required</v>
      </c>
      <c r="M282" s="10">
        <f>IFERROR(__xludf.DUMMYFUNCTION("""COMPUTED_VALUE"""),32.0)</f>
        <v>32</v>
      </c>
      <c r="N282" s="10" t="str">
        <f>IFERROR(__xludf.DUMMYFUNCTION("""COMPUTED_VALUE"""),"Medical - Dental &amp; Vision")</f>
        <v>Medical - Dental &amp; Vision</v>
      </c>
      <c r="O282" s="10">
        <f>IFERROR(__xludf.DUMMYFUNCTION("""COMPUTED_VALUE"""),1.0)</f>
        <v>1</v>
      </c>
      <c r="P282" s="10" t="str">
        <f>IFERROR(__xludf.DUMMYFUNCTION("""COMPUTED_VALUE"""),"ACTIVE")</f>
        <v>ACTIVE</v>
      </c>
      <c r="Q282" s="11">
        <f>IFERROR(__xludf.DUMMYFUNCTION("""COMPUTED_VALUE"""),46049.0)</f>
        <v>46049</v>
      </c>
      <c r="R282" s="9" t="str">
        <f>IFERROR(__xludf.DUMMYFUNCTION("""COMPUTED_VALUE"""),"Verified online")</f>
        <v>Verified online</v>
      </c>
      <c r="S282" s="9" t="str">
        <f>IFERROR(__xludf.DUMMYFUNCTION("""COMPUTED_VALUE"""),"Dental
For adults 19+ limited exams and x-rays.
Pediatric dental services includes preventative care, exams, x-rays, cleanings, sealand and extractions.")</f>
        <v>Dental
For adults 19+ limited exams and x-rays.
Pediatric dental services includes preventative care, exams, x-rays, cleanings, sealand and extractions.</v>
      </c>
      <c r="T282" s="12" t="b">
        <f>IFERROR(__xludf.DUMMYFUNCTION("""COMPUTED_VALUE"""),TRUE)</f>
        <v>1</v>
      </c>
      <c r="U282" s="12" t="b">
        <f>IFERROR(__xludf.DUMMYFUNCTION("""COMPUTED_VALUE"""),FALSE)</f>
        <v>0</v>
      </c>
      <c r="V282" s="13" t="str">
        <f>IFERROR(__xludf.DUMMYFUNCTION("""COMPUTED_VALUE"""),"https://www.elcentrodecorazon.org")</f>
        <v>https://www.elcentrodecorazon.org</v>
      </c>
      <c r="W282" s="14" t="str">
        <f>IFERROR(__xludf.DUMMYFUNCTION("""COMPUTED_VALUE"""),"https://www.google.com/maps/place/El+Centro+de+Coraz%C3%B3n+Magnolia+Health+Center/@29.7163825,-95.3305561,14z/data=!4m10!1m2!2m1!1sel+centro+de+coraz%C3%B3n!3m6!1s0x8640bc2de78f87a3:0xff84ec90c05bbafa!8m2!3d29.734449!4d-95.300924!15sChVlbCBjZW50cm8gZGUgY"&amp;"29yYXrDs24iA4gBAZIBDm1lZGljYWxfY2VudGVyqgFaCg0vZy8xMWNzcTVma2gyCgsvZy8xdGZkejcycRABMh8QASIb3yDdK1axM9nPCA6dUh9b0FMcoYV7J-ume196MhkQAiIVZWwgY2VudHJvIGRlIGNvcmF6w7Nu4AEA!16s%2Fg%2F1tfdz72q?entry=ttu&amp;g_ep=EgoyMDI1MDcwOS4wIKXMDSoASAFQAw%3D%3D")</f>
        <v>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v>
      </c>
      <c r="X282" s="10"/>
      <c r="Y282" s="9" t="str">
        <f>IFERROR(__xludf.DUMMYFUNCTION("""COMPUTED_VALUE"""),"Houston")</f>
        <v>Houston</v>
      </c>
      <c r="Z282" s="9" t="str">
        <f>IFERROR(__xludf.DUMMYFUNCTION("""COMPUTED_VALUE"""),"Eastwood, Magnolia Park, Second Ward, South Central Houston")</f>
        <v>Eastwood, Magnolia Park, Second Ward, South Central Houston</v>
      </c>
      <c r="AA282" s="9" t="str">
        <f>IFERROR(__xludf.DUMMYFUNCTION("""COMPUTED_VALUE"""),"El Centro de Corazón")</f>
        <v>El Centro de Corazón</v>
      </c>
      <c r="AB282" s="9" t="str">
        <f>IFERROR(__xludf.DUMMYFUNCTION("""COMPUTED_VALUE"""),"Magnolia Park")</f>
        <v>Magnolia Park</v>
      </c>
    </row>
    <row r="283" ht="30.0" customHeight="1">
      <c r="A283" s="17">
        <v>282.0</v>
      </c>
      <c r="B283" s="8" t="str">
        <f>IFERROR(__xludf.DUMMYFUNCTION("""COMPUTED_VALUE"""),"[""99999""]")</f>
        <v>["99999"]</v>
      </c>
      <c r="C283" s="9" t="str">
        <f>IFERROR(__xludf.DUMMYFUNCTION("""COMPUTED_VALUE"""),"El Centro de Corazón - Magnolia")</f>
        <v>El Centro de Corazón - Magnolia</v>
      </c>
      <c r="D283" s="9" t="str">
        <f>IFERROR(__xludf.DUMMYFUNCTION("""COMPUTED_VALUE"""),"7037 Capitol Street")</f>
        <v>7037 Capitol Street</v>
      </c>
      <c r="E283" s="9" t="str">
        <f>IFERROR(__xludf.DUMMYFUNCTION("""COMPUTED_VALUE"""),"Suite N100")</f>
        <v>Suite N100</v>
      </c>
      <c r="F283" s="9" t="str">
        <f>IFERROR(__xludf.DUMMYFUNCTION("""COMPUTED_VALUE"""),"Houston")</f>
        <v>Houston</v>
      </c>
      <c r="G283" s="9" t="str">
        <f>IFERROR(__xludf.DUMMYFUNCTION("""COMPUTED_VALUE"""),"TX")</f>
        <v>TX</v>
      </c>
      <c r="H283" s="9" t="str">
        <f>IFERROR(__xludf.DUMMYFUNCTION("""COMPUTED_VALUE"""),"77011")</f>
        <v>77011</v>
      </c>
      <c r="I283" s="9" t="str">
        <f>IFERROR(__xludf.DUMMYFUNCTION("""COMPUTED_VALUE"""),"713-660-1880")</f>
        <v>713-660-1880</v>
      </c>
      <c r="J283" s="9" t="str">
        <f>IFERROR(__xludf.DUMMYFUNCTION("""COMPUTED_VALUE"""),"29.7344102040816, -95.3023322244898")</f>
        <v>29.7344102040816, -95.3023322244898</v>
      </c>
      <c r="K283" s="9" t="str">
        <f>IFERROR(__xludf.DUMMYFUNCTION("""COMPUTED_VALUE"""),"{""regular"":[{""days"":[""Mo"",""Tu"",""We"",""Th"",""Fr""],""open"":""07:30"",""close"":""17:00""}]}")</f>
        <v>{"regular":[{"days":["Mo","Tu","We","Th","Fr"],"open":"07:30","close":"17:00"}]}</v>
      </c>
      <c r="L283" s="9" t="str">
        <f>IFERROR(__xludf.DUMMYFUNCTION("""COMPUTED_VALUE"""),"Appointment required")</f>
        <v>Appointment required</v>
      </c>
      <c r="M283" s="10">
        <f>IFERROR(__xludf.DUMMYFUNCTION("""COMPUTED_VALUE"""),33.0)</f>
        <v>33</v>
      </c>
      <c r="N283" s="10" t="str">
        <f>IFERROR(__xludf.DUMMYFUNCTION("""COMPUTED_VALUE"""),"Medical - Behavioral Health")</f>
        <v>Medical - Behavioral Health</v>
      </c>
      <c r="O283" s="10">
        <f>IFERROR(__xludf.DUMMYFUNCTION("""COMPUTED_VALUE"""),1.0)</f>
        <v>1</v>
      </c>
      <c r="P283" s="10" t="str">
        <f>IFERROR(__xludf.DUMMYFUNCTION("""COMPUTED_VALUE"""),"ACTIVE")</f>
        <v>ACTIVE</v>
      </c>
      <c r="Q283" s="11">
        <f>IFERROR(__xludf.DUMMYFUNCTION("""COMPUTED_VALUE"""),46049.0)</f>
        <v>46049</v>
      </c>
      <c r="R283" s="9" t="str">
        <f>IFERROR(__xludf.DUMMYFUNCTION("""COMPUTED_VALUE"""),"Verified online")</f>
        <v>Verified online</v>
      </c>
      <c r="S283" s="9" t="str">
        <f>IFERROR(__xludf.DUMMYFUNCTION("""COMPUTED_VALUE"""),"Adult and pediatric behavioral health services including psychiatric evaluation, medication management, individual and family therapy and trauma focused cognitive behavioral therapy.
Case management and eligibility assistance.
Accepts Medicaid/CHIP and of"&amp;"fers a sliding fee based on household size and income.  No one refused service.")</f>
        <v>Adult and pediatric behavioral health services including psychiatric evaluation, medication management, individual and family therapy and trauma focused cognitive behavioral therapy.
Case management and eligibility assistance.
Accepts Medicaid/CHIP and offers a sliding fee based on household size and income.  No one refused service.</v>
      </c>
      <c r="T283" s="12" t="b">
        <f>IFERROR(__xludf.DUMMYFUNCTION("""COMPUTED_VALUE"""),FALSE)</f>
        <v>0</v>
      </c>
      <c r="U283" s="12" t="b">
        <f>IFERROR(__xludf.DUMMYFUNCTION("""COMPUTED_VALUE"""),FALSE)</f>
        <v>0</v>
      </c>
      <c r="V283" s="13" t="str">
        <f>IFERROR(__xludf.DUMMYFUNCTION("""COMPUTED_VALUE"""),"https://www.elcentrodecorazon.org")</f>
        <v>https://www.elcentrodecorazon.org</v>
      </c>
      <c r="W283" s="14" t="str">
        <f>IFERROR(__xludf.DUMMYFUNCTION("""COMPUTED_VALUE"""),"https://www.google.com/maps/place/El+Centro+de+Coraz%C3%B3n+Magnolia+Health+Center/@29.7163825,-95.3305561,14z/data=!4m10!1m2!2m1!1sel+centro+de+coraz%C3%B3n!3m6!1s0x8640bc2de78f87a3:0xff84ec90c05bbafa!8m2!3d29.734449!4d-95.300924!15sChVlbCBjZW50cm8gZGUgY"&amp;"29yYXrDs24iA4gBAZIBDm1lZGljYWxfY2VudGVyqgFaCg0vZy8xMWNzcTVma2gyCgsvZy8xdGZkejcycRABMh8QASIb3yDdK1axM9nPCA6dUh9b0FMcoYV7J-ume196MhkQAiIVZWwgY2VudHJvIGRlIGNvcmF6w7Nu4AEA!16s%2Fg%2F1tfdz72q?entry=ttu&amp;g_ep=EgoyMDI1MDcwOS4wIKXMDSoASAFQAw%3D%3D")</f>
        <v>https://www.google.com/maps/place/El+Centro+de+Coraz%C3%B3n+Magnolia+Health+Center/@29.7163825,-95.3305561,14z/data=!4m10!1m2!2m1!1sel+centro+de+coraz%C3%B3n!3m6!1s0x8640bc2de78f87a3:0xff84ec90c05bbafa!8m2!3d29.734449!4d-95.300924!15sChVlbCBjZW50cm8gZGUgY29yYXrDs24iA4gBAZIBDm1lZGljYWxfY2VudGVyqgFaCg0vZy8xMWNzcTVma2gyCgsvZy8xdGZkejcycRABMh8QASIb3yDdK1axM9nPCA6dUh9b0FMcoYV7J-ume196MhkQAiIVZWwgY2VudHJvIGRlIGNvcmF6w7Nu4AEA!16s%2Fg%2F1tfdz72q?entry=ttu&amp;g_ep=EgoyMDI1MDcwOS4wIKXMDSoASAFQAw%3D%3D</v>
      </c>
      <c r="X283" s="10"/>
      <c r="Y283" s="9" t="str">
        <f>IFERROR(__xludf.DUMMYFUNCTION("""COMPUTED_VALUE"""),"Houston")</f>
        <v>Houston</v>
      </c>
      <c r="Z283" s="9" t="str">
        <f>IFERROR(__xludf.DUMMYFUNCTION("""COMPUTED_VALUE"""),"Eastwood, Magnolia Park, Second Ward, South Central Houston")</f>
        <v>Eastwood, Magnolia Park, Second Ward, South Central Houston</v>
      </c>
      <c r="AA283" s="9" t="str">
        <f>IFERROR(__xludf.DUMMYFUNCTION("""COMPUTED_VALUE"""),"El Centro de Corazón")</f>
        <v>El Centro de Corazón</v>
      </c>
      <c r="AB283" s="9" t="str">
        <f>IFERROR(__xludf.DUMMYFUNCTION("""COMPUTED_VALUE"""),"Magnolia Park")</f>
        <v>Magnolia Park</v>
      </c>
    </row>
    <row r="284" ht="30.0" customHeight="1">
      <c r="A284" s="17">
        <v>283.0</v>
      </c>
      <c r="B284" s="8" t="str">
        <f>IFERROR(__xludf.DUMMYFUNCTION("""COMPUTED_VALUE"""),"[""99999""]")</f>
        <v>["99999"]</v>
      </c>
      <c r="C284" s="9" t="str">
        <f>IFERROR(__xludf.DUMMYFUNCTION("""COMPUTED_VALUE"""),"Emancipet Clinics")</f>
        <v>Emancipet Clinics</v>
      </c>
      <c r="D284" s="9" t="str">
        <f>IFERROR(__xludf.DUMMYFUNCTION("""COMPUTED_VALUE"""),"13830 NW Fwy")</f>
        <v>13830 NW Fwy</v>
      </c>
      <c r="E284" s="9"/>
      <c r="F284" s="9" t="str">
        <f>IFERROR(__xludf.DUMMYFUNCTION("""COMPUTED_VALUE"""),"Houston")</f>
        <v>Houston</v>
      </c>
      <c r="G284" s="9" t="str">
        <f>IFERROR(__xludf.DUMMYFUNCTION("""COMPUTED_VALUE"""),"TX")</f>
        <v>TX</v>
      </c>
      <c r="H284" s="9" t="str">
        <f>IFERROR(__xludf.DUMMYFUNCTION("""COMPUTED_VALUE"""),"77040")</f>
        <v>77040</v>
      </c>
      <c r="I284" s="9" t="str">
        <f>IFERROR(__xludf.DUMMYFUNCTION("""COMPUTED_VALUE"""),"713-321-2713")</f>
        <v>713-321-2713</v>
      </c>
      <c r="J284" s="9" t="str">
        <f>IFERROR(__xludf.DUMMYFUNCTION("""COMPUTED_VALUE"""),"29.862918200025973, -95.51258877158962")</f>
        <v>29.862918200025973, -95.51258877158962</v>
      </c>
      <c r="K284" s="9" t="str">
        <f>IFERROR(__xludf.DUMMYFUNCTION("""COMPUTED_VALUE"""),"{""regular"":[{""days"":[""Th"",""Fr"",""Sa""],""open"":""10:00"",""close"":""18:00""}]}")</f>
        <v>{"regular":[{"days":["Th","Fr","Sa"],"open":"10:00","close":"18:00"}]}</v>
      </c>
      <c r="L284" s="9"/>
      <c r="M284" s="10">
        <f>IFERROR(__xludf.DUMMYFUNCTION("""COMPUTED_VALUE"""),63.0)</f>
        <v>63</v>
      </c>
      <c r="N284" s="10" t="str">
        <f>IFERROR(__xludf.DUMMYFUNCTION("""COMPUTED_VALUE"""),"Animals")</f>
        <v>Animals</v>
      </c>
      <c r="O284" s="10">
        <f>IFERROR(__xludf.DUMMYFUNCTION("""COMPUTED_VALUE"""),1.0)</f>
        <v>1</v>
      </c>
      <c r="P284" s="10" t="str">
        <f>IFERROR(__xludf.DUMMYFUNCTION("""COMPUTED_VALUE"""),"ACTIVE")</f>
        <v>ACTIVE</v>
      </c>
      <c r="Q284" s="11">
        <f>IFERROR(__xludf.DUMMYFUNCTION("""COMPUTED_VALUE"""),45925.0)</f>
        <v>45925</v>
      </c>
      <c r="R284" s="9"/>
      <c r="S284" s="9" t="str">
        <f>IFERROR(__xludf.DUMMYFUNCTION("""COMPUTED_VALUE"""),"Non-profit that operates three clinics in the Houston area providing low-cost veterinary care.")</f>
        <v>Non-profit that operates three clinics in the Houston area providing low-cost veterinary care.</v>
      </c>
      <c r="T284" s="12" t="b">
        <f>IFERROR(__xludf.DUMMYFUNCTION("""COMPUTED_VALUE"""),FALSE)</f>
        <v>0</v>
      </c>
      <c r="U284" s="12" t="b">
        <f>IFERROR(__xludf.DUMMYFUNCTION("""COMPUTED_VALUE"""),FALSE)</f>
        <v>0</v>
      </c>
      <c r="V284" s="13" t="str">
        <f>IFERROR(__xludf.DUMMYFUNCTION("""COMPUTED_VALUE"""),"https://emancipet.org")</f>
        <v>https://emancipet.org</v>
      </c>
      <c r="W284" s="14" t="str">
        <f>IFERROR(__xludf.DUMMYFUNCTION("""COMPUTED_VALUE"""),"https://www.google.com/maps/place/Emancipet/@29.8557388,-95.518464,17z/data=!3m1!4b1!4m6!3m5!1s0x8640c585812011f3:0xc56ecfbc063f8b4a!8m2!3d29.8557342!4d-95.5135931!16s%2Fg%2F11pz8shnc3?entry=ttu&amp;g_ep=EgoyMDI1MDkyMi4wIKXMDSoASAFQAw%3D%3D")</f>
        <v>https://www.google.com/maps/place/Emancipet/@29.8557388,-95.518464,17z/data=!3m1!4b1!4m6!3m5!1s0x8640c585812011f3:0xc56ecfbc063f8b4a!8m2!3d29.8557342!4d-95.5135931!16s%2Fg%2F11pz8shnc3?entry=ttu&amp;g_ep=EgoyMDI1MDkyMi4wIKXMDSoASAFQAw%3D%3D</v>
      </c>
      <c r="X284" s="10"/>
      <c r="Y284" s="9" t="str">
        <f>IFERROR(__xludf.DUMMYFUNCTION("""COMPUTED_VALUE"""),"Houston")</f>
        <v>Houston</v>
      </c>
      <c r="Z284" s="9" t="str">
        <f>IFERROR(__xludf.DUMMYFUNCTION("""COMPUTED_VALUE"""),"Fairbanks / Northwest Crossing, Jersey Village, Northside, Oak Hollow")</f>
        <v>Fairbanks / Northwest Crossing, Jersey Village, Northside, Oak Hollow</v>
      </c>
      <c r="AA284" s="9" t="str">
        <f>IFERROR(__xludf.DUMMYFUNCTION("""COMPUTED_VALUE"""),"Emancipet Clinics")</f>
        <v>Emancipet Clinics</v>
      </c>
      <c r="AB284" s="9" t="str">
        <f>IFERROR(__xludf.DUMMYFUNCTION("""COMPUTED_VALUE"""),"Fairbanks / Northwest Crossing")</f>
        <v>Fairbanks / Northwest Crossing</v>
      </c>
    </row>
    <row r="285" ht="30.0" customHeight="1">
      <c r="A285" s="17">
        <v>284.0</v>
      </c>
      <c r="B285" s="8" t="str">
        <f>IFERROR(__xludf.DUMMYFUNCTION("""COMPUTED_VALUE"""),"[""99999""]")</f>
        <v>["99999"]</v>
      </c>
      <c r="C285" s="9" t="str">
        <f>IFERROR(__xludf.DUMMYFUNCTION("""COMPUTED_VALUE"""),"Emancipet Clinics")</f>
        <v>Emancipet Clinics</v>
      </c>
      <c r="D285" s="9" t="str">
        <f>IFERROR(__xludf.DUMMYFUNCTION("""COMPUTED_VALUE"""),"8533 Gulf Fwy")</f>
        <v>8533 Gulf Fwy</v>
      </c>
      <c r="E285" s="9"/>
      <c r="F285" s="9" t="str">
        <f>IFERROR(__xludf.DUMMYFUNCTION("""COMPUTED_VALUE"""),"Houston")</f>
        <v>Houston</v>
      </c>
      <c r="G285" s="9" t="str">
        <f>IFERROR(__xludf.DUMMYFUNCTION("""COMPUTED_VALUE"""),"TX")</f>
        <v>TX</v>
      </c>
      <c r="H285" s="9" t="str">
        <f>IFERROR(__xludf.DUMMYFUNCTION("""COMPUTED_VALUE"""),"77017")</f>
        <v>77017</v>
      </c>
      <c r="I285" s="9" t="str">
        <f>IFERROR(__xludf.DUMMYFUNCTION("""COMPUTED_VALUE"""),"713-321-2713")</f>
        <v>713-321-2713</v>
      </c>
      <c r="J285" s="9" t="str">
        <f>IFERROR(__xludf.DUMMYFUNCTION("""COMPUTED_VALUE"""),"29.67632437344807, -95.26308275326133")</f>
        <v>29.67632437344807, -95.26308275326133</v>
      </c>
      <c r="K285" s="9" t="str">
        <f>IFERROR(__xludf.DUMMYFUNCTION("""COMPUTED_VALUE"""),"{""regular"":[{""days"":[""Mo"",""Th"",""Fr"",""Sa""],""open"":""10:00"",""close"":""18:00""}]}")</f>
        <v>{"regular":[{"days":["Mo","Th","Fr","Sa"],"open":"10:00","close":"18:00"}]}</v>
      </c>
      <c r="L285" s="9"/>
      <c r="M285" s="10">
        <f>IFERROR(__xludf.DUMMYFUNCTION("""COMPUTED_VALUE"""),63.0)</f>
        <v>63</v>
      </c>
      <c r="N285" s="10" t="str">
        <f>IFERROR(__xludf.DUMMYFUNCTION("""COMPUTED_VALUE"""),"Animals")</f>
        <v>Animals</v>
      </c>
      <c r="O285" s="10">
        <f>IFERROR(__xludf.DUMMYFUNCTION("""COMPUTED_VALUE"""),1.0)</f>
        <v>1</v>
      </c>
      <c r="P285" s="10" t="str">
        <f>IFERROR(__xludf.DUMMYFUNCTION("""COMPUTED_VALUE"""),"ACTIVE")</f>
        <v>ACTIVE</v>
      </c>
      <c r="Q285" s="11">
        <f>IFERROR(__xludf.DUMMYFUNCTION("""COMPUTED_VALUE"""),45925.0)</f>
        <v>45925</v>
      </c>
      <c r="R285" s="9"/>
      <c r="S285" s="9" t="str">
        <f>IFERROR(__xludf.DUMMYFUNCTION("""COMPUTED_VALUE"""),"Non-profit that operates three clinics in the Houston area providing low-cost veterinary care.")</f>
        <v>Non-profit that operates three clinics in the Houston area providing low-cost veterinary care.</v>
      </c>
      <c r="T285" s="12" t="b">
        <f>IFERROR(__xludf.DUMMYFUNCTION("""COMPUTED_VALUE"""),FALSE)</f>
        <v>0</v>
      </c>
      <c r="U285" s="12" t="b">
        <f>IFERROR(__xludf.DUMMYFUNCTION("""COMPUTED_VALUE"""),FALSE)</f>
        <v>0</v>
      </c>
      <c r="V285" s="13" t="str">
        <f>IFERROR(__xludf.DUMMYFUNCTION("""COMPUTED_VALUE"""),"https://emancipet.org")</f>
        <v>https://emancipet.org</v>
      </c>
      <c r="W285" s="14" t="str">
        <f>IFERROR(__xludf.DUMMYFUNCTION("""COMPUTED_VALUE"""),"https://www.google.com/maps/place/Emancipet/@29.6688965,-95.2639586,17z/data=!3m1!4b1!4m6!3m5!1s0x8640979908914191:0x163eb3eb8b2b690d!8m2!3d29.6688919!4d-95.2613837!16s%2Fg%2F11j8x8mgxd?entry=ttu&amp;g_ep=EgoyMDI1MDkyMi4wIKXMDSoASAFQAw%3D%3D")</f>
        <v>https://www.google.com/maps/place/Emancipet/@29.6688965,-95.2639586,17z/data=!3m1!4b1!4m6!3m5!1s0x8640979908914191:0x163eb3eb8b2b690d!8m2!3d29.6688919!4d-95.2613837!16s%2Fg%2F11j8x8mgxd?entry=ttu&amp;g_ep=EgoyMDI1MDkyMi4wIKXMDSoASAFQAw%3D%3D</v>
      </c>
      <c r="X285" s="10"/>
      <c r="Y285" s="9" t="str">
        <f>IFERROR(__xludf.DUMMYFUNCTION("""COMPUTED_VALUE"""),"Houston")</f>
        <v>Houston</v>
      </c>
      <c r="Z285" s="9" t="str">
        <f>IFERROR(__xludf.DUMMYFUNCTION("""COMPUTED_VALUE"""),"Meadowbrook / Allendale, Meadowcreek Village, Park Place")</f>
        <v>Meadowbrook / Allendale, Meadowcreek Village, Park Place</v>
      </c>
      <c r="AA285" s="9" t="str">
        <f>IFERROR(__xludf.DUMMYFUNCTION("""COMPUTED_VALUE"""),"Emancipet Clinics")</f>
        <v>Emancipet Clinics</v>
      </c>
      <c r="AB285" s="9" t="str">
        <f>IFERROR(__xludf.DUMMYFUNCTION("""COMPUTED_VALUE"""),"Meadowbrook / Allendale")</f>
        <v>Meadowbrook / Allendale</v>
      </c>
    </row>
    <row r="286" ht="30.0" customHeight="1">
      <c r="A286" s="17">
        <v>285.0</v>
      </c>
      <c r="B286" s="8" t="str">
        <f>IFERROR(__xludf.DUMMYFUNCTION("""COMPUTED_VALUE"""),"[""99999""]")</f>
        <v>["99999"]</v>
      </c>
      <c r="C286" s="9" t="str">
        <f>IFERROR(__xludf.DUMMYFUNCTION("""COMPUTED_VALUE"""),"Emancipet Clinics")</f>
        <v>Emancipet Clinics</v>
      </c>
      <c r="D286" s="9" t="str">
        <f>IFERROR(__xludf.DUMMYFUNCTION("""COMPUTED_VALUE"""),"910 South Wayside Drive")</f>
        <v>910 South Wayside Drive</v>
      </c>
      <c r="E286" s="9" t="str">
        <f>IFERROR(__xludf.DUMMYFUNCTION("""COMPUTED_VALUE"""),"Suite 100")</f>
        <v>Suite 100</v>
      </c>
      <c r="F286" s="9" t="str">
        <f>IFERROR(__xludf.DUMMYFUNCTION("""COMPUTED_VALUE"""),"Houston")</f>
        <v>Houston</v>
      </c>
      <c r="G286" s="9" t="str">
        <f>IFERROR(__xludf.DUMMYFUNCTION("""COMPUTED_VALUE"""),"TX")</f>
        <v>TX</v>
      </c>
      <c r="H286" s="9" t="str">
        <f>IFERROR(__xludf.DUMMYFUNCTION("""COMPUTED_VALUE"""),"77023")</f>
        <v>77023</v>
      </c>
      <c r="I286" s="9" t="str">
        <f>IFERROR(__xludf.DUMMYFUNCTION("""COMPUTED_VALUE"""),"713-321-2713")</f>
        <v>713-321-2713</v>
      </c>
      <c r="J286" s="9" t="str">
        <f>IFERROR(__xludf.DUMMYFUNCTION("""COMPUTED_VALUE"""),"29.736640967000774, -95.30965518617849")</f>
        <v>29.736640967000774, -95.30965518617849</v>
      </c>
      <c r="K286" s="9" t="str">
        <f>IFERROR(__xludf.DUMMYFUNCTION("""COMPUTED_VALUE"""),"{""regular"":[{""days"":[""Tu"",""We"",""Th"",""Fr"",""Sa""],""open"":""10:00"",""close"":""18:00""}]}")</f>
        <v>{"regular":[{"days":["Tu","We","Th","Fr","Sa"],"open":"10:00","close":"18:00"}]}</v>
      </c>
      <c r="L286" s="9"/>
      <c r="M286" s="10">
        <f>IFERROR(__xludf.DUMMYFUNCTION("""COMPUTED_VALUE"""),63.0)</f>
        <v>63</v>
      </c>
      <c r="N286" s="10" t="str">
        <f>IFERROR(__xludf.DUMMYFUNCTION("""COMPUTED_VALUE"""),"Animals")</f>
        <v>Animals</v>
      </c>
      <c r="O286" s="10">
        <f>IFERROR(__xludf.DUMMYFUNCTION("""COMPUTED_VALUE"""),1.0)</f>
        <v>1</v>
      </c>
      <c r="P286" s="10" t="str">
        <f>IFERROR(__xludf.DUMMYFUNCTION("""COMPUTED_VALUE"""),"ACTIVE")</f>
        <v>ACTIVE</v>
      </c>
      <c r="Q286" s="11">
        <f>IFERROR(__xludf.DUMMYFUNCTION("""COMPUTED_VALUE"""),45925.0)</f>
        <v>45925</v>
      </c>
      <c r="R286" s="9"/>
      <c r="S286" s="9" t="str">
        <f>IFERROR(__xludf.DUMMYFUNCTION("""COMPUTED_VALUE"""),"Non-profit that operates three clinics in the Houston area providing low-cost veterinary care.")</f>
        <v>Non-profit that operates three clinics in the Houston area providing low-cost veterinary care.</v>
      </c>
      <c r="T286" s="12" t="b">
        <f>IFERROR(__xludf.DUMMYFUNCTION("""COMPUTED_VALUE"""),FALSE)</f>
        <v>0</v>
      </c>
      <c r="U286" s="12" t="b">
        <f>IFERROR(__xludf.DUMMYFUNCTION("""COMPUTED_VALUE"""),FALSE)</f>
        <v>0</v>
      </c>
      <c r="V286" s="13" t="str">
        <f>IFERROR(__xludf.DUMMYFUNCTION("""COMPUTED_VALUE"""),"https://emancipet.org")</f>
        <v>https://emancipet.org</v>
      </c>
      <c r="W286" s="14" t="str">
        <f>IFERROR(__xludf.DUMMYFUNCTION("""COMPUTED_VALUE"""),"https://www.google.com/maps/place/Emancipet/@29.7301277,-95.315564,17z/data=!3m1!4b1!4m6!3m5!1s0x8640bebfd377fb23:0x5e7286da59d12d14!8m2!3d29.7301231!4d-95.3106931!16s%2Fg%2F11cjn0f9dc?entry=ttu&amp;g_ep=EgoyMDI1MDkyMi4wIKXMDSoASAFQAw%3D%3D")</f>
        <v>https://www.google.com/maps/place/Emancipet/@29.7301277,-95.315564,17z/data=!3m1!4b1!4m6!3m5!1s0x8640bebfd377fb23:0x5e7286da59d12d14!8m2!3d29.7301231!4d-95.3106931!16s%2Fg%2F11cjn0f9dc?entry=ttu&amp;g_ep=EgoyMDI1MDkyMi4wIKXMDSoASAFQAw%3D%3D</v>
      </c>
      <c r="X286" s="10"/>
      <c r="Y286" s="9" t="str">
        <f>IFERROR(__xludf.DUMMYFUNCTION("""COMPUTED_VALUE"""),"Houston")</f>
        <v>Houston</v>
      </c>
      <c r="Z286" s="9" t="str">
        <f>IFERROR(__xludf.DUMMYFUNCTION("""COMPUTED_VALUE"""),"Eastwood, Gulfgate Riverview / Pine Valley, Idylwood, Lawndale / Wayside, Magnolia Park, South Central Houston")</f>
        <v>Eastwood, Gulfgate Riverview / Pine Valley, Idylwood, Lawndale / Wayside, Magnolia Park, South Central Houston</v>
      </c>
      <c r="AA286" s="9" t="str">
        <f>IFERROR(__xludf.DUMMYFUNCTION("""COMPUTED_VALUE"""),"Emancipet Clinics")</f>
        <v>Emancipet Clinics</v>
      </c>
      <c r="AB286" s="9" t="str">
        <f>IFERROR(__xludf.DUMMYFUNCTION("""COMPUTED_VALUE"""),"Magnolia Park")</f>
        <v>Magnolia Park</v>
      </c>
    </row>
    <row r="287" ht="30.0" customHeight="1">
      <c r="A287" s="17">
        <v>286.0</v>
      </c>
      <c r="B287" s="8" t="str">
        <f>IFERROR(__xludf.DUMMYFUNCTION("""COMPUTED_VALUE"""),"[""99999""]")</f>
        <v>["99999"]</v>
      </c>
      <c r="C287" s="9" t="str">
        <f>IFERROR(__xludf.DUMMYFUNCTION("""COMPUTED_VALUE"""),"Emergency Aid Coalition")</f>
        <v>Emergency Aid Coalition</v>
      </c>
      <c r="D287" s="9" t="str">
        <f>IFERROR(__xludf.DUMMYFUNCTION("""COMPUTED_VALUE"""),"5401 Fannin Street")</f>
        <v>5401 Fannin Street</v>
      </c>
      <c r="E287" s="9"/>
      <c r="F287" s="9" t="str">
        <f>IFERROR(__xludf.DUMMYFUNCTION("""COMPUTED_VALUE"""),"Houston")</f>
        <v>Houston</v>
      </c>
      <c r="G287" s="9" t="str">
        <f>IFERROR(__xludf.DUMMYFUNCTION("""COMPUTED_VALUE"""),"TX")</f>
        <v>TX</v>
      </c>
      <c r="H287" s="9" t="str">
        <f>IFERROR(__xludf.DUMMYFUNCTION("""COMPUTED_VALUE"""),"77004")</f>
        <v>77004</v>
      </c>
      <c r="I287" s="9" t="str">
        <f>IFERROR(__xludf.DUMMYFUNCTION("""COMPUTED_VALUE"""),"713-343-3061")</f>
        <v>713-343-3061</v>
      </c>
      <c r="J287" s="9" t="str">
        <f>IFERROR(__xludf.DUMMYFUNCTION("""COMPUTED_VALUE"""),"29.72651219388407, -95.38749923534392")</f>
        <v>29.72651219388407, -95.38749923534392</v>
      </c>
      <c r="K287" s="9" t="str">
        <f>IFERROR(__xludf.DUMMYFUNCTION("""COMPUTED_VALUE"""),"{""regular"":[{""days"":[""Mo"",""Tu"",""We"",""Th"",""Fr""],""open"":""09:00"",""close"":""12:30""}]}")</f>
        <v>{"regular":[{"days":["Mo","Tu","We","Th","Fr"],"open":"09:00","close":"12:30"}]}</v>
      </c>
      <c r="L287" s="9" t="str">
        <f>IFERROR(__xludf.DUMMYFUNCTION("""COMPUTED_VALUE"""),"Appointment required")</f>
        <v>Appointment required</v>
      </c>
      <c r="M287" s="10">
        <f>IFERROR(__xludf.DUMMYFUNCTION("""COMPUTED_VALUE"""),13.0)</f>
        <v>13</v>
      </c>
      <c r="N287" s="10" t="str">
        <f>IFERROR(__xludf.DUMMYFUNCTION("""COMPUTED_VALUE"""),"Food")</f>
        <v>Food</v>
      </c>
      <c r="O287" s="10">
        <f>IFERROR(__xludf.DUMMYFUNCTION("""COMPUTED_VALUE"""),1.0)</f>
        <v>1</v>
      </c>
      <c r="P287" s="10" t="str">
        <f>IFERROR(__xludf.DUMMYFUNCTION("""COMPUTED_VALUE"""),"ACTIVE")</f>
        <v>ACTIVE</v>
      </c>
      <c r="Q287" s="11">
        <f>IFERROR(__xludf.DUMMYFUNCTION("""COMPUTED_VALUE"""),45546.0)</f>
        <v>45546</v>
      </c>
      <c r="R287" s="9"/>
      <c r="S287" s="9" t="str">
        <f>IFERROR(__xludf.DUMMYFUNCTION("""COMPUTED_VALUE"""),"By appointment only.
Current photo ID.
Proof of residence (lease or utility bill).
Birth certificates for children 18 or younger.
Food package once every 60 days but need appointment each time.
Must meet federal poverty guidelines")</f>
        <v>By appointment only.
Current photo ID.
Proof of residence (lease or utility bill).
Birth certificates for children 18 or younger.
Food package once every 60 days but need appointment each time.
Must meet federal poverty guidelines</v>
      </c>
      <c r="T287" s="12" t="b">
        <f>IFERROR(__xludf.DUMMYFUNCTION("""COMPUTED_VALUE"""),FALSE)</f>
        <v>0</v>
      </c>
      <c r="U287" s="12" t="b">
        <f>IFERROR(__xludf.DUMMYFUNCTION("""COMPUTED_VALUE"""),FALSE)</f>
        <v>0</v>
      </c>
      <c r="V287" s="13" t="str">
        <f>IFERROR(__xludf.DUMMYFUNCTION("""COMPUTED_VALUE"""),"https://eachouston.org/")</f>
        <v>https://eachouston.org/</v>
      </c>
      <c r="W287" s="14" t="str">
        <f>IFERROR(__xludf.DUMMYFUNCTION("""COMPUTED_VALUE"""),"https://maps.google.com/?q=Emergency%20Aid%20Coalition%205401%20Fanin%20St%20Houston%20TX%2077004")</f>
        <v>https://maps.google.com/?q=Emergency%20Aid%20Coalition%205401%20Fanin%20St%20Houston%20TX%2077004</v>
      </c>
      <c r="X287" s="10"/>
      <c r="Y287" s="9" t="str">
        <f>IFERROR(__xludf.DUMMYFUNCTION("""COMPUTED_VALUE"""),"Houston")</f>
        <v>Houston</v>
      </c>
      <c r="Z287"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287" s="9" t="str">
        <f>IFERROR(__xludf.DUMMYFUNCTION("""COMPUTED_VALUE"""),"Emergency Aid Coalition")</f>
        <v>Emergency Aid Coalition</v>
      </c>
      <c r="AB287" s="9" t="str">
        <f>IFERROR(__xludf.DUMMYFUNCTION("""COMPUTED_VALUE"""),"Houston Museum District")</f>
        <v>Houston Museum District</v>
      </c>
    </row>
    <row r="288" ht="30.0" customHeight="1">
      <c r="A288" s="17">
        <v>287.0</v>
      </c>
      <c r="B288" s="8" t="str">
        <f>IFERROR(__xludf.DUMMYFUNCTION("""COMPUTED_VALUE"""),"[""99999""]")</f>
        <v>["99999"]</v>
      </c>
      <c r="C288" s="9" t="str">
        <f>IFERROR(__xludf.DUMMYFUNCTION("""COMPUTED_VALUE"""),"Emergency Aid Coalition")</f>
        <v>Emergency Aid Coalition</v>
      </c>
      <c r="D288" s="9" t="str">
        <f>IFERROR(__xludf.DUMMYFUNCTION("""COMPUTED_VALUE"""),"5401 Fannin Street")</f>
        <v>5401 Fannin Street</v>
      </c>
      <c r="E288" s="9"/>
      <c r="F288" s="10" t="str">
        <f>IFERROR(__xludf.DUMMYFUNCTION("""COMPUTED_VALUE"""),"Houston")</f>
        <v>Houston</v>
      </c>
      <c r="G288" s="9" t="str">
        <f>IFERROR(__xludf.DUMMYFUNCTION("""COMPUTED_VALUE"""),"TX")</f>
        <v>TX</v>
      </c>
      <c r="H288" s="9" t="str">
        <f>IFERROR(__xludf.DUMMYFUNCTION("""COMPUTED_VALUE"""),"77004")</f>
        <v>77004</v>
      </c>
      <c r="I288" s="9" t="str">
        <f>IFERROR(__xludf.DUMMYFUNCTION("""COMPUTED_VALUE"""),"713-343-3061")</f>
        <v>713-343-3061</v>
      </c>
      <c r="J288" s="9" t="str">
        <f>IFERROR(__xludf.DUMMYFUNCTION("""COMPUTED_VALUE"""),"29.72651219388407, -95.38749923534392")</f>
        <v>29.72651219388407, -95.38749923534392</v>
      </c>
      <c r="K288" s="9" t="str">
        <f>IFERROR(__xludf.DUMMYFUNCTION("""COMPUTED_VALUE"""),"{""regular"":[{""days"":[""Mo"",""Tu"",""We"",""Th"",""Fr""],""open"":""09:00"",""close"":""12:30""}]}")</f>
        <v>{"regular":[{"days":["Mo","Tu","We","Th","Fr"],"open":"09:00","close":"12:30"}]}</v>
      </c>
      <c r="L288" s="9" t="str">
        <f>IFERROR(__xludf.DUMMYFUNCTION("""COMPUTED_VALUE"""),"Appointment required")</f>
        <v>Appointment required</v>
      </c>
      <c r="M288" s="10">
        <f>IFERROR(__xludf.DUMMYFUNCTION("""COMPUTED_VALUE"""),14.0)</f>
        <v>14</v>
      </c>
      <c r="N288" s="10" t="str">
        <f>IFERROR(__xludf.DUMMYFUNCTION("""COMPUTED_VALUE"""),"Clothing")</f>
        <v>Clothing</v>
      </c>
      <c r="O288" s="10">
        <f>IFERROR(__xludf.DUMMYFUNCTION("""COMPUTED_VALUE"""),1.0)</f>
        <v>1</v>
      </c>
      <c r="P288" s="10" t="str">
        <f>IFERROR(__xludf.DUMMYFUNCTION("""COMPUTED_VALUE"""),"ACTIVE")</f>
        <v>ACTIVE</v>
      </c>
      <c r="Q288" s="11">
        <f>IFERROR(__xludf.DUMMYFUNCTION("""COMPUTED_VALUE"""),45546.0)</f>
        <v>45546</v>
      </c>
      <c r="R288" s="9"/>
      <c r="S288" s="9" t="str">
        <f>IFERROR(__xludf.DUMMYFUNCTION("""COMPUTED_VALUE"""),"By appointment only.
Current photo ID.
Birth certificates for children 18 or younger.
May return every two months but must have an appointment each time.")</f>
        <v>By appointment only.
Current photo ID.
Birth certificates for children 18 or younger.
May return every two months but must have an appointment each time.</v>
      </c>
      <c r="T288" s="12" t="b">
        <f>IFERROR(__xludf.DUMMYFUNCTION("""COMPUTED_VALUE"""),FALSE)</f>
        <v>0</v>
      </c>
      <c r="U288" s="12" t="b">
        <f>IFERROR(__xludf.DUMMYFUNCTION("""COMPUTED_VALUE"""),FALSE)</f>
        <v>0</v>
      </c>
      <c r="V288" s="13" t="str">
        <f>IFERROR(__xludf.DUMMYFUNCTION("""COMPUTED_VALUE"""),"https://eachouston.org/")</f>
        <v>https://eachouston.org/</v>
      </c>
      <c r="W288" s="14" t="str">
        <f>IFERROR(__xludf.DUMMYFUNCTION("""COMPUTED_VALUE"""),"https://maps.google.com/?q=Emergency%20Aid%20Coalition%205401%20Fanin%20St%20Houston%20TX%2077004")</f>
        <v>https://maps.google.com/?q=Emergency%20Aid%20Coalition%205401%20Fanin%20St%20Houston%20TX%2077004</v>
      </c>
      <c r="X288" s="10"/>
      <c r="Y288" s="9" t="str">
        <f>IFERROR(__xludf.DUMMYFUNCTION("""COMPUTED_VALUE"""),"Houston")</f>
        <v>Houston</v>
      </c>
      <c r="Z288"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288" s="9" t="str">
        <f>IFERROR(__xludf.DUMMYFUNCTION("""COMPUTED_VALUE"""),"Emergency Aid Coalition")</f>
        <v>Emergency Aid Coalition</v>
      </c>
      <c r="AB288" s="9" t="str">
        <f>IFERROR(__xludf.DUMMYFUNCTION("""COMPUTED_VALUE"""),"Houston Museum District")</f>
        <v>Houston Museum District</v>
      </c>
    </row>
    <row r="289" ht="30.0" customHeight="1">
      <c r="A289" s="17">
        <v>288.0</v>
      </c>
      <c r="B289" s="8" t="str">
        <f>IFERROR(__xludf.DUMMYFUNCTION("""COMPUTED_VALUE"""),"[""77031"", ""77035"", ""77036"", ""77071"", ""77072"", ""77074"", ""77081"", ""77096"", ""77099""]")</f>
        <v>["77031", "77035", "77036", "77071", "77072", "77074", "77081", "77096", "77099"]</v>
      </c>
      <c r="C289" s="9" t="str">
        <f>IFERROR(__xludf.DUMMYFUNCTION("""COMPUTED_VALUE"""),"Epiphany Community Health Outreach Services ECHOS (SW Harris County)")</f>
        <v>Epiphany Community Health Outreach Services ECHOS (SW Harris County)</v>
      </c>
      <c r="D289" s="9" t="str">
        <f>IFERROR(__xludf.DUMMYFUNCTION("""COMPUTED_VALUE"""),"9894 Bissonnet Street")</f>
        <v>9894 Bissonnet Street</v>
      </c>
      <c r="E289" s="9" t="str">
        <f>IFERROR(__xludf.DUMMYFUNCTION("""COMPUTED_VALUE"""),"Suite 900")</f>
        <v>Suite 900</v>
      </c>
      <c r="F289" s="9" t="str">
        <f>IFERROR(__xludf.DUMMYFUNCTION("""COMPUTED_VALUE"""),"Houston")</f>
        <v>Houston</v>
      </c>
      <c r="G289" s="9" t="str">
        <f>IFERROR(__xludf.DUMMYFUNCTION("""COMPUTED_VALUE"""),"TX")</f>
        <v>TX</v>
      </c>
      <c r="H289" s="9" t="str">
        <f>IFERROR(__xludf.DUMMYFUNCTION("""COMPUTED_VALUE"""),"77036")</f>
        <v>77036</v>
      </c>
      <c r="I289" s="9" t="str">
        <f>IFERROR(__xludf.DUMMYFUNCTION("""COMPUTED_VALUE"""),"713-270-0369")</f>
        <v>713-270-0369</v>
      </c>
      <c r="J289" s="9" t="str">
        <f>IFERROR(__xludf.DUMMYFUNCTION("""COMPUTED_VALUE"""),"29.6751815714286, -95.5534594285714")</f>
        <v>29.6751815714286, -95.5534594285714</v>
      </c>
      <c r="K289" s="9" t="str">
        <f>IFERROR(__xludf.DUMMYFUNCTION("""COMPUTED_VALUE"""),"{""regular"":[{""days"":[""Mo"",""Tu"",""We"",""Th""],""open"":""08:00"",""close"":""14:00""},{""days"":[""Fr""],""open"":""08:00"",""close"":""12:00""}]}")</f>
        <v>{"regular":[{"days":["Mo","Tu","We","Th"],"open":"08:00","close":"14:00"},{"days":["Fr"],"open":"08:00","close":"12:00"}]}</v>
      </c>
      <c r="L289" s="9"/>
      <c r="M289" s="10">
        <f>IFERROR(__xludf.DUMMYFUNCTION("""COMPUTED_VALUE"""),11.0)</f>
        <v>11</v>
      </c>
      <c r="N289" s="10" t="str">
        <f>IFERROR(__xludf.DUMMYFUNCTION("""COMPUTED_VALUE"""),"Rent")</f>
        <v>Rent</v>
      </c>
      <c r="O289" s="10">
        <f>IFERROR(__xludf.DUMMYFUNCTION("""COMPUTED_VALUE"""),3.0)</f>
        <v>3</v>
      </c>
      <c r="P289" s="10" t="str">
        <f>IFERROR(__xludf.DUMMYFUNCTION("""COMPUTED_VALUE"""),"INACTIVE")</f>
        <v>INACTIVE</v>
      </c>
      <c r="Q289" s="11">
        <f>IFERROR(__xludf.DUMMYFUNCTION("""COMPUTED_VALUE"""),46064.0)</f>
        <v>46064</v>
      </c>
      <c r="R289" s="9" t="str">
        <f>IFERROR(__xludf.DUMMYFUNCTION("""COMPUTED_VALUE"""),"waiting list is closed")</f>
        <v>waiting list is closed</v>
      </c>
      <c r="S289" s="9" t="str">
        <f>IFERROR(__xludf.DUMMYFUNCTION("""COMPUTED_VALUE"""),"Must call and speak to a staff member. Do not leave voice message.
Proof of address and valid lease in your name.")</f>
        <v>Must call and speak to a staff member. Do not leave voice message.
Proof of address and valid lease in your name.</v>
      </c>
      <c r="T289" s="12" t="b">
        <f>IFERROR(__xludf.DUMMYFUNCTION("""COMPUTED_VALUE"""),FALSE)</f>
        <v>0</v>
      </c>
      <c r="U289" s="12" t="b">
        <f>IFERROR(__xludf.DUMMYFUNCTION("""COMPUTED_VALUE"""),FALSE)</f>
        <v>0</v>
      </c>
      <c r="V289" s="13" t="str">
        <f>IFERROR(__xludf.DUMMYFUNCTION("""COMPUTED_VALUE"""),"https://echoshouston.org/client-services/financial_assistance/")</f>
        <v>https://echoshouston.org/client-services/financial_assistance/</v>
      </c>
      <c r="W289" s="14" t="str">
        <f>IFERROR(__xludf.DUMMYFUNCTION("""COMPUTED_VALUE"""),"https://maps.google.com/?q=Epiphany%20Community%20Health%20Outreach%20Services%20ECHOS%20(SW%20Harris%20County)%209894%20Bissonnet%20St%20%23918%20Houston%20TX%2077036")</f>
        <v>https://maps.google.com/?q=Epiphany%20Community%20Health%20Outreach%20Services%20ECHOS%20(SW%20Harris%20County)%209894%20Bissonnet%20St%20%23918%20Houston%20TX%2077036</v>
      </c>
      <c r="X289" s="10"/>
      <c r="Y289" s="9" t="str">
        <f>IFERROR(__xludf.DUMMYFUNCTION("""COMPUTED_VALUE"""),"Houston")</f>
        <v>Houston</v>
      </c>
      <c r="Z289" s="9" t="str">
        <f>IFERROR(__xludf.DUMMYFUNCTION("""COMPUTED_VALUE"""),"Chinatown, Sharpstown, Westside")</f>
        <v>Chinatown, Sharpstown, Westside</v>
      </c>
      <c r="AA289" s="9" t="str">
        <f>IFERROR(__xludf.DUMMYFUNCTION("""COMPUTED_VALUE"""),"Epiphany Community Health Outreach Services ECHOS (SW Harris County)")</f>
        <v>Epiphany Community Health Outreach Services ECHOS (SW Harris County)</v>
      </c>
      <c r="AB289" s="9" t="str">
        <f>IFERROR(__xludf.DUMMYFUNCTION("""COMPUTED_VALUE"""),"Westside")</f>
        <v>Westside</v>
      </c>
    </row>
    <row r="290" ht="30.0" customHeight="1">
      <c r="A290" s="17">
        <v>289.0</v>
      </c>
      <c r="B290" s="8" t="str">
        <f>IFERROR(__xludf.DUMMYFUNCTION("""COMPUTED_VALUE"""),"[""77031"", ""77035"", ""77036"", ""77071"", ""77072"", ""77074"", ""77081"", ""77096"", ""77099""]")</f>
        <v>["77031", "77035", "77036", "77071", "77072", "77074", "77081", "77096", "77099"]</v>
      </c>
      <c r="C290" s="9" t="str">
        <f>IFERROR(__xludf.DUMMYFUNCTION("""COMPUTED_VALUE"""),"Epiphany Community Health Outreach Services ECHOS (SW Harris County)")</f>
        <v>Epiphany Community Health Outreach Services ECHOS (SW Harris County)</v>
      </c>
      <c r="D290" s="9" t="str">
        <f>IFERROR(__xludf.DUMMYFUNCTION("""COMPUTED_VALUE"""),"9894 Bissonnet Street")</f>
        <v>9894 Bissonnet Street</v>
      </c>
      <c r="E290" s="9" t="str">
        <f>IFERROR(__xludf.DUMMYFUNCTION("""COMPUTED_VALUE"""),"Suite 900")</f>
        <v>Suite 900</v>
      </c>
      <c r="F290" s="10" t="str">
        <f>IFERROR(__xludf.DUMMYFUNCTION("""COMPUTED_VALUE"""),"Houston")</f>
        <v>Houston</v>
      </c>
      <c r="G290" s="9" t="str">
        <f>IFERROR(__xludf.DUMMYFUNCTION("""COMPUTED_VALUE"""),"TX")</f>
        <v>TX</v>
      </c>
      <c r="H290" s="9" t="str">
        <f>IFERROR(__xludf.DUMMYFUNCTION("""COMPUTED_VALUE"""),"77036")</f>
        <v>77036</v>
      </c>
      <c r="I290" s="9" t="str">
        <f>IFERROR(__xludf.DUMMYFUNCTION("""COMPUTED_VALUE"""),"713-270-0369")</f>
        <v>713-270-0369</v>
      </c>
      <c r="J290" s="9" t="str">
        <f>IFERROR(__xludf.DUMMYFUNCTION("""COMPUTED_VALUE"""),"29.6751815714286, -95.5534594285714")</f>
        <v>29.6751815714286, -95.5534594285714</v>
      </c>
      <c r="K290" s="9" t="str">
        <f>IFERROR(__xludf.DUMMYFUNCTION("""COMPUTED_VALUE"""),"{""regular"":[{""days"":[""Mo"",""Tu"",""We"",""Th""],""open"":""08:00"",""close"":""14:00""},{""days"":[""Fr""],""open"":""08:00"",""close"":""12:00""}]}")</f>
        <v>{"regular":[{"days":["Mo","Tu","We","Th"],"open":"08:00","close":"14:00"},{"days":["Fr"],"open":"08:00","close":"12:00"}]}</v>
      </c>
      <c r="L290" s="9"/>
      <c r="M290" s="10">
        <f>IFERROR(__xludf.DUMMYFUNCTION("""COMPUTED_VALUE"""),12.0)</f>
        <v>12</v>
      </c>
      <c r="N290" s="10" t="str">
        <f>IFERROR(__xludf.DUMMYFUNCTION("""COMPUTED_VALUE"""),"Utilities")</f>
        <v>Utilities</v>
      </c>
      <c r="O290" s="10">
        <f>IFERROR(__xludf.DUMMYFUNCTION("""COMPUTED_VALUE"""),3.0)</f>
        <v>3</v>
      </c>
      <c r="P290" s="10" t="str">
        <f>IFERROR(__xludf.DUMMYFUNCTION("""COMPUTED_VALUE"""),"INACTIVE")</f>
        <v>INACTIVE</v>
      </c>
      <c r="Q290" s="11">
        <f>IFERROR(__xludf.DUMMYFUNCTION("""COMPUTED_VALUE"""),46064.0)</f>
        <v>46064</v>
      </c>
      <c r="R290" s="9" t="str">
        <f>IFERROR(__xludf.DUMMYFUNCTION("""COMPUTED_VALUE"""),"waiting list is closed")</f>
        <v>waiting list is closed</v>
      </c>
      <c r="S290" s="9" t="str">
        <f>IFERROR(__xludf.DUMMYFUNCTION("""COMPUTED_VALUE"""),"Must call and speak to a staff member. Do not leave voice message.
Proof of address, valid lease and copy of bill.")</f>
        <v>Must call and speak to a staff member. Do not leave voice message.
Proof of address, valid lease and copy of bill.</v>
      </c>
      <c r="T290" s="12" t="b">
        <f>IFERROR(__xludf.DUMMYFUNCTION("""COMPUTED_VALUE"""),FALSE)</f>
        <v>0</v>
      </c>
      <c r="U290" s="12" t="b">
        <f>IFERROR(__xludf.DUMMYFUNCTION("""COMPUTED_VALUE"""),FALSE)</f>
        <v>0</v>
      </c>
      <c r="V290" s="13" t="str">
        <f>IFERROR(__xludf.DUMMYFUNCTION("""COMPUTED_VALUE"""),"https://echoshouston.org/client-services/financial_assistance/")</f>
        <v>https://echoshouston.org/client-services/financial_assistance/</v>
      </c>
      <c r="W290" s="14" t="str">
        <f>IFERROR(__xludf.DUMMYFUNCTION("""COMPUTED_VALUE"""),"https://maps.google.com/?q=Epiphany%20Community%20Health%20Outreach%20Services%20ECHOS%20(SW%20Harris%20County)%209894%20Bissonnet%20St%20%23918%20Houston%20TX%2077036")</f>
        <v>https://maps.google.com/?q=Epiphany%20Community%20Health%20Outreach%20Services%20ECHOS%20(SW%20Harris%20County)%209894%20Bissonnet%20St%20%23918%20Houston%20TX%2077036</v>
      </c>
      <c r="X290" s="10"/>
      <c r="Y290" s="9" t="str">
        <f>IFERROR(__xludf.DUMMYFUNCTION("""COMPUTED_VALUE"""),"Houston")</f>
        <v>Houston</v>
      </c>
      <c r="Z290" s="9" t="str">
        <f>IFERROR(__xludf.DUMMYFUNCTION("""COMPUTED_VALUE"""),"Chinatown, Sharpstown, Westside")</f>
        <v>Chinatown, Sharpstown, Westside</v>
      </c>
      <c r="AA290" s="9" t="str">
        <f>IFERROR(__xludf.DUMMYFUNCTION("""COMPUTED_VALUE"""),"Epiphany Community Health Outreach Services ECHOS (SW Harris County)")</f>
        <v>Epiphany Community Health Outreach Services ECHOS (SW Harris County)</v>
      </c>
      <c r="AB290" s="9" t="str">
        <f>IFERROR(__xludf.DUMMYFUNCTION("""COMPUTED_VALUE"""),"Westside")</f>
        <v>Westside</v>
      </c>
    </row>
    <row r="291" ht="30.0" customHeight="1">
      <c r="A291" s="17">
        <v>290.0</v>
      </c>
      <c r="B291" s="8" t="str">
        <f>IFERROR(__xludf.DUMMYFUNCTION("""COMPUTED_VALUE"""),"[""77031"", ""77035"", ""77036"", ""77071"", ""77072"", ""77074"", ""77081"", ""77096"", ""77099""]")</f>
        <v>["77031", "77035", "77036", "77071", "77072", "77074", "77081", "77096", "77099"]</v>
      </c>
      <c r="C291" s="9" t="str">
        <f>IFERROR(__xludf.DUMMYFUNCTION("""COMPUTED_VALUE"""),"Epiphany Community Health Outreach Services ECHOS (SW Harris County)")</f>
        <v>Epiphany Community Health Outreach Services ECHOS (SW Harris County)</v>
      </c>
      <c r="D291" s="9" t="str">
        <f>IFERROR(__xludf.DUMMYFUNCTION("""COMPUTED_VALUE"""),"9894 Bissonnet Street")</f>
        <v>9894 Bissonnet Street</v>
      </c>
      <c r="E291" s="9" t="str">
        <f>IFERROR(__xludf.DUMMYFUNCTION("""COMPUTED_VALUE"""),"Suite 900")</f>
        <v>Suite 900</v>
      </c>
      <c r="F291" s="9" t="str">
        <f>IFERROR(__xludf.DUMMYFUNCTION("""COMPUTED_VALUE"""),"Houston")</f>
        <v>Houston</v>
      </c>
      <c r="G291" s="9" t="str">
        <f>IFERROR(__xludf.DUMMYFUNCTION("""COMPUTED_VALUE"""),"TX")</f>
        <v>TX</v>
      </c>
      <c r="H291" s="9" t="str">
        <f>IFERROR(__xludf.DUMMYFUNCTION("""COMPUTED_VALUE"""),"77036")</f>
        <v>77036</v>
      </c>
      <c r="I291" s="9" t="str">
        <f>IFERROR(__xludf.DUMMYFUNCTION("""COMPUTED_VALUE"""),"713-270-0369")</f>
        <v>713-270-0369</v>
      </c>
      <c r="J291" s="9" t="str">
        <f>IFERROR(__xludf.DUMMYFUNCTION("""COMPUTED_VALUE"""),"29.6751815714286, -95.5534594285714")</f>
        <v>29.6751815714286, -95.5534594285714</v>
      </c>
      <c r="K291" s="9" t="str">
        <f>IFERROR(__xludf.DUMMYFUNCTION("""COMPUTED_VALUE"""),"{""regular"":[{""days"":[""Mo"",""Tu"",""We"",""Th""],""open"":""08:00"",""close"":""14:00""},{""days"":[""Fr""],""open"":""08:00"",""close"":""12:00""}]}")</f>
        <v>{"regular":[{"days":["Mo","Tu","We","Th"],"open":"08:00","close":"14:00"},{"days":["Fr"],"open":"08:00","close":"12:00"}]}</v>
      </c>
      <c r="L291" s="9"/>
      <c r="M291" s="10">
        <f>IFERROR(__xludf.DUMMYFUNCTION("""COMPUTED_VALUE"""),13.0)</f>
        <v>13</v>
      </c>
      <c r="N291" s="10" t="str">
        <f>IFERROR(__xludf.DUMMYFUNCTION("""COMPUTED_VALUE"""),"Food")</f>
        <v>Food</v>
      </c>
      <c r="O291" s="10">
        <f>IFERROR(__xludf.DUMMYFUNCTION("""COMPUTED_VALUE"""),3.0)</f>
        <v>3</v>
      </c>
      <c r="P291" s="10" t="str">
        <f>IFERROR(__xludf.DUMMYFUNCTION("""COMPUTED_VALUE"""),"INACTIVE")</f>
        <v>INACTIVE</v>
      </c>
      <c r="Q291" s="11">
        <f>IFERROR(__xludf.DUMMYFUNCTION("""COMPUTED_VALUE"""),46064.0)</f>
        <v>46064</v>
      </c>
      <c r="R291" s="9" t="str">
        <f>IFERROR(__xludf.DUMMYFUNCTION("""COMPUTED_VALUE"""),"Verified online")</f>
        <v>Verified online</v>
      </c>
      <c r="S291" s="9" t="str">
        <f>IFERROR(__xludf.DUMMYFUNCTION("""COMPUTED_VALUE"""),"Must call and speak to a staff member. Do not leave voice message.
No Food Pantry. Provide HEB Gift Cards.")</f>
        <v>Must call and speak to a staff member. Do not leave voice message.
No Food Pantry. Provide HEB Gift Cards.</v>
      </c>
      <c r="T291" s="12" t="b">
        <f>IFERROR(__xludf.DUMMYFUNCTION("""COMPUTED_VALUE"""),FALSE)</f>
        <v>0</v>
      </c>
      <c r="U291" s="12" t="b">
        <f>IFERROR(__xludf.DUMMYFUNCTION("""COMPUTED_VALUE"""),FALSE)</f>
        <v>0</v>
      </c>
      <c r="V291" s="13" t="str">
        <f>IFERROR(__xludf.DUMMYFUNCTION("""COMPUTED_VALUE"""),"https://echoshouston.org/")</f>
        <v>https://echoshouston.org/</v>
      </c>
      <c r="W291" s="14" t="str">
        <f>IFERROR(__xludf.DUMMYFUNCTION("""COMPUTED_VALUE"""),"https://maps.google.com/?q=Epiphany%20Community%20Health%20Outreach%20Services%20ECHOS%20(SW%20Harris%20County)%209894%20Bissonnet%20St%20%23918%20Houston%20TX%2077036")</f>
        <v>https://maps.google.com/?q=Epiphany%20Community%20Health%20Outreach%20Services%20ECHOS%20(SW%20Harris%20County)%209894%20Bissonnet%20St%20%23918%20Houston%20TX%2077036</v>
      </c>
      <c r="X291" s="10"/>
      <c r="Y291" s="9" t="str">
        <f>IFERROR(__xludf.DUMMYFUNCTION("""COMPUTED_VALUE"""),"Houston")</f>
        <v>Houston</v>
      </c>
      <c r="Z291" s="9" t="str">
        <f>IFERROR(__xludf.DUMMYFUNCTION("""COMPUTED_VALUE"""),"Chinatown, Sharpstown, Westside")</f>
        <v>Chinatown, Sharpstown, Westside</v>
      </c>
      <c r="AA291" s="9" t="str">
        <f>IFERROR(__xludf.DUMMYFUNCTION("""COMPUTED_VALUE"""),"Epiphany Community Health Outreach Services ECHOS (SW Harris County)")</f>
        <v>Epiphany Community Health Outreach Services ECHOS (SW Harris County)</v>
      </c>
      <c r="AB291" s="9" t="str">
        <f>IFERROR(__xludf.DUMMYFUNCTION("""COMPUTED_VALUE"""),"Westside")</f>
        <v>Westside</v>
      </c>
    </row>
    <row r="292" ht="30.0" customHeight="1">
      <c r="A292" s="17">
        <v>291.0</v>
      </c>
      <c r="B292" s="8" t="str">
        <f>IFERROR(__xludf.DUMMYFUNCTION("""COMPUTED_VALUE"""),"[""77031"", ""77035"", ""77036"", ""77071"", ""77072"", ""77074"", ""77081"", ""77096"", ""77099""]")</f>
        <v>["77031", "77035", "77036", "77071", "77072", "77074", "77081", "77096", "77099"]</v>
      </c>
      <c r="C292" s="9" t="str">
        <f>IFERROR(__xludf.DUMMYFUNCTION("""COMPUTED_VALUE"""),"Epiphany Community Health Outreach Services ECHOS (SW Harris County)")</f>
        <v>Epiphany Community Health Outreach Services ECHOS (SW Harris County)</v>
      </c>
      <c r="D292" s="9" t="str">
        <f>IFERROR(__xludf.DUMMYFUNCTION("""COMPUTED_VALUE"""),"9894 Bissonnet Street")</f>
        <v>9894 Bissonnet Street</v>
      </c>
      <c r="E292" s="9" t="str">
        <f>IFERROR(__xludf.DUMMYFUNCTION("""COMPUTED_VALUE"""),"Suite 900")</f>
        <v>Suite 900</v>
      </c>
      <c r="F292" s="10" t="str">
        <f>IFERROR(__xludf.DUMMYFUNCTION("""COMPUTED_VALUE"""),"Houston")</f>
        <v>Houston</v>
      </c>
      <c r="G292" s="9" t="str">
        <f>IFERROR(__xludf.DUMMYFUNCTION("""COMPUTED_VALUE"""),"TX")</f>
        <v>TX</v>
      </c>
      <c r="H292" s="9" t="str">
        <f>IFERROR(__xludf.DUMMYFUNCTION("""COMPUTED_VALUE"""),"77036")</f>
        <v>77036</v>
      </c>
      <c r="I292" s="9" t="str">
        <f>IFERROR(__xludf.DUMMYFUNCTION("""COMPUTED_VALUE"""),"713-270-0369")</f>
        <v>713-270-0369</v>
      </c>
      <c r="J292" s="9" t="str">
        <f>IFERROR(__xludf.DUMMYFUNCTION("""COMPUTED_VALUE"""),"29.6751815714286, -95.5534594285714")</f>
        <v>29.6751815714286, -95.5534594285714</v>
      </c>
      <c r="K292" s="9" t="str">
        <f>IFERROR(__xludf.DUMMYFUNCTION("""COMPUTED_VALUE"""),"{""regular"":[{""days"":[""Mo"",""Tu"",""We"",""Th""],""open"":""08:00"",""close"":""14:00""},{""days"":[""Fr""],""open"":""08:00"",""close"":""12:00""}]}")</f>
        <v>{"regular":[{"days":["Mo","Tu","We","Th"],"open":"08:00","close":"14:00"},{"days":["Fr"],"open":"08:00","close":"12:00"}]}</v>
      </c>
      <c r="L292" s="9"/>
      <c r="M292" s="10">
        <f>IFERROR(__xludf.DUMMYFUNCTION("""COMPUTED_VALUE"""),35.0)</f>
        <v>35</v>
      </c>
      <c r="N292" s="10" t="str">
        <f>IFERROR(__xludf.DUMMYFUNCTION("""COMPUTED_VALUE"""),"Medical - Program Enrollment")</f>
        <v>Medical - Program Enrollment</v>
      </c>
      <c r="O292" s="10">
        <f>IFERROR(__xludf.DUMMYFUNCTION("""COMPUTED_VALUE"""),1.0)</f>
        <v>1</v>
      </c>
      <c r="P292" s="10" t="str">
        <f>IFERROR(__xludf.DUMMYFUNCTION("""COMPUTED_VALUE"""),"ACTIVE")</f>
        <v>ACTIVE</v>
      </c>
      <c r="Q292" s="11">
        <f>IFERROR(__xludf.DUMMYFUNCTION("""COMPUTED_VALUE"""),46064.0)</f>
        <v>46064</v>
      </c>
      <c r="R292" s="9" t="str">
        <f>IFERROR(__xludf.DUMMYFUNCTION("""COMPUTED_VALUE"""),"Verified online")</f>
        <v>Verified online</v>
      </c>
      <c r="S292" s="9" t="str">
        <f>IFERROR(__xludf.DUMMYFUNCTION("""COMPUTED_VALUE"""),"Must call and speak to a staff member. Do not leave voice message.
ECHOS assists families in accessing healthcare services that they are eligible to receive.  They provide assistance with submitting applications for state and county medical and social ser"&amp;"vices.  
Check website for document requirements.")</f>
        <v>Must call and speak to a staff member. Do not leave voice message.
ECHOS assists families in accessing healthcare services that they are eligible to receive.  They provide assistance with submitting applications for state and county medical and social services.  
Check website for document requirements.</v>
      </c>
      <c r="T292" s="12" t="b">
        <f>IFERROR(__xludf.DUMMYFUNCTION("""COMPUTED_VALUE"""),FALSE)</f>
        <v>0</v>
      </c>
      <c r="U292" s="12" t="b">
        <f>IFERROR(__xludf.DUMMYFUNCTION("""COMPUTED_VALUE"""),FALSE)</f>
        <v>0</v>
      </c>
      <c r="V292" s="13" t="str">
        <f>IFERROR(__xludf.DUMMYFUNCTION("""COMPUTED_VALUE"""),"https://echoshouston.org/client-services/application-assistance/")</f>
        <v>https://echoshouston.org/client-services/application-assistance/</v>
      </c>
      <c r="W292" s="14" t="str">
        <f>IFERROR(__xludf.DUMMYFUNCTION("""COMPUTED_VALUE"""),"https://maps.google.com/?q=Epiphany%20Community%20Health%20Outreach%20Services%20ECHOS%20(SW%20Harris%20County)%209894%20Bissonnet%20St%20%23918%20Houston%20TX%2077036")</f>
        <v>https://maps.google.com/?q=Epiphany%20Community%20Health%20Outreach%20Services%20ECHOS%20(SW%20Harris%20County)%209894%20Bissonnet%20St%20%23918%20Houston%20TX%2077036</v>
      </c>
      <c r="X292" s="10"/>
      <c r="Y292" s="9" t="str">
        <f>IFERROR(__xludf.DUMMYFUNCTION("""COMPUTED_VALUE"""),"Houston")</f>
        <v>Houston</v>
      </c>
      <c r="Z292" s="9" t="str">
        <f>IFERROR(__xludf.DUMMYFUNCTION("""COMPUTED_VALUE"""),"Chinatown, Sharpstown, Westside")</f>
        <v>Chinatown, Sharpstown, Westside</v>
      </c>
      <c r="AA292" s="9" t="str">
        <f>IFERROR(__xludf.DUMMYFUNCTION("""COMPUTED_VALUE"""),"Epiphany Community Health Outreach Services ECHOS (SW Harris County)")</f>
        <v>Epiphany Community Health Outreach Services ECHOS (SW Harris County)</v>
      </c>
      <c r="AB292" s="9" t="str">
        <f>IFERROR(__xludf.DUMMYFUNCTION("""COMPUTED_VALUE"""),"Westside")</f>
        <v>Westside</v>
      </c>
    </row>
    <row r="293" ht="30.0" customHeight="1">
      <c r="A293" s="17">
        <v>292.0</v>
      </c>
      <c r="B293" s="8" t="str">
        <f>IFERROR(__xludf.DUMMYFUNCTION("""COMPUTED_VALUE"""),"[""77094"", ""77449"", ""77450"", ""77493"", ""77494""]")</f>
        <v>["77094", "77449", "77450", "77493", "77494"]</v>
      </c>
      <c r="C293" s="9" t="str">
        <f>IFERROR(__xludf.DUMMYFUNCTION("""COMPUTED_VALUE"""),"Epiphany of the Lord (SVdP D4) Katy")</f>
        <v>Epiphany of the Lord (SVdP D4) Katy</v>
      </c>
      <c r="D293" s="9" t="str">
        <f>IFERROR(__xludf.DUMMYFUNCTION("""COMPUTED_VALUE"""),"1530 Norwalk Drive")</f>
        <v>1530 Norwalk Drive</v>
      </c>
      <c r="E293" s="9"/>
      <c r="F293" s="10" t="str">
        <f>IFERROR(__xludf.DUMMYFUNCTION("""COMPUTED_VALUE"""),"Katy")</f>
        <v>Katy</v>
      </c>
      <c r="G293" s="9" t="str">
        <f>IFERROR(__xludf.DUMMYFUNCTION("""COMPUTED_VALUE"""),"TX")</f>
        <v>TX</v>
      </c>
      <c r="H293" s="9" t="str">
        <f>IFERROR(__xludf.DUMMYFUNCTION("""COMPUTED_VALUE"""),"77450")</f>
        <v>77450</v>
      </c>
      <c r="I293" s="9" t="str">
        <f>IFERROR(__xludf.DUMMYFUNCTION("""COMPUTED_VALUE"""),"281-578-3845")</f>
        <v>281-578-3845</v>
      </c>
      <c r="J293" s="9" t="str">
        <f>IFERROR(__xludf.DUMMYFUNCTION("""COMPUTED_VALUE"""),"29.76081855, -95.7301647535071")</f>
        <v>29.76081855, -95.7301647535071</v>
      </c>
      <c r="K293" s="9"/>
      <c r="L293" s="9" t="str">
        <f>IFERROR(__xludf.DUMMYFUNCTION("""COMPUTED_VALUE"""),"Appointment required")</f>
        <v>Appointment required</v>
      </c>
      <c r="M293" s="10">
        <f>IFERROR(__xludf.DUMMYFUNCTION("""COMPUTED_VALUE"""),11.0)</f>
        <v>11</v>
      </c>
      <c r="N293" s="10" t="str">
        <f>IFERROR(__xludf.DUMMYFUNCTION("""COMPUTED_VALUE"""),"Rent")</f>
        <v>Rent</v>
      </c>
      <c r="O293" s="10">
        <f>IFERROR(__xludf.DUMMYFUNCTION("""COMPUTED_VALUE"""),1.0)</f>
        <v>1</v>
      </c>
      <c r="P293" s="10" t="str">
        <f>IFERROR(__xludf.DUMMYFUNCTION("""COMPUTED_VALUE"""),"ACTIVE")</f>
        <v>ACTIVE</v>
      </c>
      <c r="Q293" s="11">
        <f>IFERROR(__xludf.DUMMYFUNCTION("""COMPUTED_VALUE"""),45758.0)</f>
        <v>45758</v>
      </c>
      <c r="R293" s="9"/>
      <c r="S293" s="9" t="str">
        <f>IFERROR(__xludf.DUMMYFUNCTION("""COMPUTED_VALUE"""),"Epiphany SVdP manages the financial assistance program for St Bartholomew. Epiphany schedules and conducts all interviews and then refers approved clients back to St Bartholomew.
")</f>
        <v>Epiphany SVdP manages the financial assistance program for St Bartholomew. Epiphany schedules and conducts all interviews and then refers approved clients back to St Bartholomew.
</v>
      </c>
      <c r="T293" s="12" t="b">
        <f>IFERROR(__xludf.DUMMYFUNCTION("""COMPUTED_VALUE"""),FALSE)</f>
        <v>0</v>
      </c>
      <c r="U293" s="12" t="b">
        <f>IFERROR(__xludf.DUMMYFUNCTION("""COMPUTED_VALUE"""),FALSE)</f>
        <v>0</v>
      </c>
      <c r="V293" s="13" t="str">
        <f>IFERROR(__xludf.DUMMYFUNCTION("""COMPUTED_VALUE"""),"https://www.epiphanycatholic.org/outreach")</f>
        <v>https://www.epiphanycatholic.org/outreach</v>
      </c>
      <c r="W293" s="14" t="str">
        <f>IFERROR(__xludf.DUMMYFUNCTION("""COMPUTED_VALUE"""),"https://maps.google.com/?q=Epiphany%20of%20the%20Lord%20(SVdP%20D4)%20Katy%201530%20Norwalk%20Dr%20Katy%20TX%2077450")</f>
        <v>https://maps.google.com/?q=Epiphany%20of%20the%20Lord%20(SVdP%20D4)%20Katy%201530%20Norwalk%20Dr%20Katy%20TX%2077450</v>
      </c>
      <c r="X293" s="10"/>
      <c r="Y293" s="9" t="str">
        <f>IFERROR(__xludf.DUMMYFUNCTION("""COMPUTED_VALUE"""),"Katy")</f>
        <v>Katy</v>
      </c>
      <c r="Z293" s="9" t="str">
        <f>IFERROR(__xludf.DUMMYFUNCTION("""COMPUTED_VALUE"""),"Cinco Ranch East, Katy (South), Nottingham Country")</f>
        <v>Cinco Ranch East, Katy (South), Nottingham Country</v>
      </c>
      <c r="AA293" s="9" t="str">
        <f>IFERROR(__xludf.DUMMYFUNCTION("""COMPUTED_VALUE"""),"Society of St Vincent de Paul")</f>
        <v>Society of St Vincent de Paul</v>
      </c>
      <c r="AB293" s="9" t="str">
        <f>IFERROR(__xludf.DUMMYFUNCTION("""COMPUTED_VALUE"""),"Nottingham Country")</f>
        <v>Nottingham Country</v>
      </c>
    </row>
    <row r="294" ht="30.0" customHeight="1">
      <c r="A294" s="17">
        <v>293.0</v>
      </c>
      <c r="B294" s="8" t="str">
        <f>IFERROR(__xludf.DUMMYFUNCTION("""COMPUTED_VALUE"""),"[""77094"", ""77449"", ""77450"", ""77493"", ""77494""]")</f>
        <v>["77094", "77449", "77450", "77493", "77494"]</v>
      </c>
      <c r="C294" s="9" t="str">
        <f>IFERROR(__xludf.DUMMYFUNCTION("""COMPUTED_VALUE"""),"Epiphany of the Lord (SVdP D4) Katy")</f>
        <v>Epiphany of the Lord (SVdP D4) Katy</v>
      </c>
      <c r="D294" s="9" t="str">
        <f>IFERROR(__xludf.DUMMYFUNCTION("""COMPUTED_VALUE"""),"1530 Norwalk Drive")</f>
        <v>1530 Norwalk Drive</v>
      </c>
      <c r="E294" s="9"/>
      <c r="F294" s="9" t="str">
        <f>IFERROR(__xludf.DUMMYFUNCTION("""COMPUTED_VALUE"""),"Katy")</f>
        <v>Katy</v>
      </c>
      <c r="G294" s="9" t="str">
        <f>IFERROR(__xludf.DUMMYFUNCTION("""COMPUTED_VALUE"""),"TX")</f>
        <v>TX</v>
      </c>
      <c r="H294" s="9" t="str">
        <f>IFERROR(__xludf.DUMMYFUNCTION("""COMPUTED_VALUE"""),"77450")</f>
        <v>77450</v>
      </c>
      <c r="I294" s="9" t="str">
        <f>IFERROR(__xludf.DUMMYFUNCTION("""COMPUTED_VALUE"""),"281-578-3845")</f>
        <v>281-578-3845</v>
      </c>
      <c r="J294" s="9" t="str">
        <f>IFERROR(__xludf.DUMMYFUNCTION("""COMPUTED_VALUE"""),"29.76081855, -95.7301647535071")</f>
        <v>29.76081855, -95.7301647535071</v>
      </c>
      <c r="K294" s="9"/>
      <c r="L294" s="9" t="str">
        <f>IFERROR(__xludf.DUMMYFUNCTION("""COMPUTED_VALUE"""),"Appointment required")</f>
        <v>Appointment required</v>
      </c>
      <c r="M294" s="10">
        <f>IFERROR(__xludf.DUMMYFUNCTION("""COMPUTED_VALUE"""),12.0)</f>
        <v>12</v>
      </c>
      <c r="N294" s="10" t="str">
        <f>IFERROR(__xludf.DUMMYFUNCTION("""COMPUTED_VALUE"""),"Utilities")</f>
        <v>Utilities</v>
      </c>
      <c r="O294" s="10">
        <f>IFERROR(__xludf.DUMMYFUNCTION("""COMPUTED_VALUE"""),1.0)</f>
        <v>1</v>
      </c>
      <c r="P294" s="10" t="str">
        <f>IFERROR(__xludf.DUMMYFUNCTION("""COMPUTED_VALUE"""),"ACTIVE")</f>
        <v>ACTIVE</v>
      </c>
      <c r="Q294" s="11">
        <f>IFERROR(__xludf.DUMMYFUNCTION("""COMPUTED_VALUE"""),45758.0)</f>
        <v>45758</v>
      </c>
      <c r="R294" s="9"/>
      <c r="S294" s="9" t="str">
        <f>IFERROR(__xludf.DUMMYFUNCTION("""COMPUTED_VALUE"""),"Epiphany SVdP manages the financial assistance program for St Bartholomew. Epiphany schedules and conducts all interviews and then refers approved clients back to St Bartholomew.
")</f>
        <v>Epiphany SVdP manages the financial assistance program for St Bartholomew. Epiphany schedules and conducts all interviews and then refers approved clients back to St Bartholomew.
</v>
      </c>
      <c r="T294" s="12" t="b">
        <f>IFERROR(__xludf.DUMMYFUNCTION("""COMPUTED_VALUE"""),FALSE)</f>
        <v>0</v>
      </c>
      <c r="U294" s="12" t="b">
        <f>IFERROR(__xludf.DUMMYFUNCTION("""COMPUTED_VALUE"""),FALSE)</f>
        <v>0</v>
      </c>
      <c r="V294" s="13" t="str">
        <f>IFERROR(__xludf.DUMMYFUNCTION("""COMPUTED_VALUE"""),"https://www.epiphanycatholic.org/outreach")</f>
        <v>https://www.epiphanycatholic.org/outreach</v>
      </c>
      <c r="W294" s="14" t="str">
        <f>IFERROR(__xludf.DUMMYFUNCTION("""COMPUTED_VALUE"""),"https://maps.google.com/?q=Epiphany%20of%20the%20Lord%20(SVdP%20D4)%20Katy%201530%20Norwalk%20Dr%20Katy%20TX%2077450")</f>
        <v>https://maps.google.com/?q=Epiphany%20of%20the%20Lord%20(SVdP%20D4)%20Katy%201530%20Norwalk%20Dr%20Katy%20TX%2077450</v>
      </c>
      <c r="X294" s="10"/>
      <c r="Y294" s="9" t="str">
        <f>IFERROR(__xludf.DUMMYFUNCTION("""COMPUTED_VALUE"""),"Katy")</f>
        <v>Katy</v>
      </c>
      <c r="Z294" s="9" t="str">
        <f>IFERROR(__xludf.DUMMYFUNCTION("""COMPUTED_VALUE"""),"Cinco Ranch East, Katy (South), Nottingham Country")</f>
        <v>Cinco Ranch East, Katy (South), Nottingham Country</v>
      </c>
      <c r="AA294" s="9" t="str">
        <f>IFERROR(__xludf.DUMMYFUNCTION("""COMPUTED_VALUE"""),"Society of St Vincent de Paul")</f>
        <v>Society of St Vincent de Paul</v>
      </c>
      <c r="AB294" s="9" t="str">
        <f>IFERROR(__xludf.DUMMYFUNCTION("""COMPUTED_VALUE"""),"Nottingham Country")</f>
        <v>Nottingham Country</v>
      </c>
    </row>
    <row r="295" ht="30.0" customHeight="1">
      <c r="A295" s="17">
        <v>294.0</v>
      </c>
      <c r="B295" s="8" t="str">
        <f>IFERROR(__xludf.DUMMYFUNCTION("""COMPUTED_VALUE"""),"[""77094"", ""77449"", ""77450"", ""77493"", ""77494""]")</f>
        <v>["77094", "77449", "77450", "77493", "77494"]</v>
      </c>
      <c r="C295" s="9" t="str">
        <f>IFERROR(__xludf.DUMMYFUNCTION("""COMPUTED_VALUE"""),"Epiphany of the Lord (SVdP D4) Katy")</f>
        <v>Epiphany of the Lord (SVdP D4) Katy</v>
      </c>
      <c r="D295" s="9" t="str">
        <f>IFERROR(__xludf.DUMMYFUNCTION("""COMPUTED_VALUE"""),"1530 Norwalk Drive")</f>
        <v>1530 Norwalk Drive</v>
      </c>
      <c r="E295" s="9"/>
      <c r="F295" s="10" t="str">
        <f>IFERROR(__xludf.DUMMYFUNCTION("""COMPUTED_VALUE"""),"Katy")</f>
        <v>Katy</v>
      </c>
      <c r="G295" s="9" t="str">
        <f>IFERROR(__xludf.DUMMYFUNCTION("""COMPUTED_VALUE"""),"TX")</f>
        <v>TX</v>
      </c>
      <c r="H295" s="9" t="str">
        <f>IFERROR(__xludf.DUMMYFUNCTION("""COMPUTED_VALUE"""),"77450")</f>
        <v>77450</v>
      </c>
      <c r="I295" s="9" t="str">
        <f>IFERROR(__xludf.DUMMYFUNCTION("""COMPUTED_VALUE"""),"281-578-3845")</f>
        <v>281-578-3845</v>
      </c>
      <c r="J295" s="9" t="str">
        <f>IFERROR(__xludf.DUMMYFUNCTION("""COMPUTED_VALUE"""),"29.76081855, -95.7301647535071")</f>
        <v>29.76081855, -95.7301647535071</v>
      </c>
      <c r="K295" s="9" t="str">
        <f>IFERROR(__xludf.DUMMYFUNCTION("""COMPUTED_VALUE"""),"{""regular"":[{""days"":[""Tu"",""Th""],""open"":""16:30"",""close"":""17:30""}]}")</f>
        <v>{"regular":[{"days":["Tu","Th"],"open":"16:30","close":"17:30"}]}</v>
      </c>
      <c r="L295" s="9"/>
      <c r="M295" s="10">
        <f>IFERROR(__xludf.DUMMYFUNCTION("""COMPUTED_VALUE"""),13.0)</f>
        <v>13</v>
      </c>
      <c r="N295" s="10" t="str">
        <f>IFERROR(__xludf.DUMMYFUNCTION("""COMPUTED_VALUE"""),"Food")</f>
        <v>Food</v>
      </c>
      <c r="O295" s="10">
        <f>IFERROR(__xludf.DUMMYFUNCTION("""COMPUTED_VALUE"""),1.0)</f>
        <v>1</v>
      </c>
      <c r="P295" s="10" t="str">
        <f>IFERROR(__xludf.DUMMYFUNCTION("""COMPUTED_VALUE"""),"ACTIVE")</f>
        <v>ACTIVE</v>
      </c>
      <c r="Q295" s="11">
        <f>IFERROR(__xludf.DUMMYFUNCTION("""COMPUTED_VALUE"""),45758.0)</f>
        <v>45758</v>
      </c>
      <c r="R295" s="9"/>
      <c r="S295" s="9" t="str">
        <f>IFERROR(__xludf.DUMMYFUNCTION("""COMPUTED_VALUE"""),"Food Pantry located at St Bartholomew.
")</f>
        <v>Food Pantry located at St Bartholomew.
</v>
      </c>
      <c r="T295" s="12" t="b">
        <f>IFERROR(__xludf.DUMMYFUNCTION("""COMPUTED_VALUE"""),FALSE)</f>
        <v>0</v>
      </c>
      <c r="U295" s="12" t="b">
        <f>IFERROR(__xludf.DUMMYFUNCTION("""COMPUTED_VALUE"""),FALSE)</f>
        <v>0</v>
      </c>
      <c r="V295" s="13" t="str">
        <f>IFERROR(__xludf.DUMMYFUNCTION("""COMPUTED_VALUE"""),"https://www.epiphanycatholic.org/outreach")</f>
        <v>https://www.epiphanycatholic.org/outreach</v>
      </c>
      <c r="W295" s="14" t="str">
        <f>IFERROR(__xludf.DUMMYFUNCTION("""COMPUTED_VALUE"""),"https://maps.google.com/?q=Epiphany%20of%20the%20Lord%20(SVdP%20D4)%20Katy%201530%20Norwalk%20Dr%20Katy%20TX%2077450")</f>
        <v>https://maps.google.com/?q=Epiphany%20of%20the%20Lord%20(SVdP%20D4)%20Katy%201530%20Norwalk%20Dr%20Katy%20TX%2077450</v>
      </c>
      <c r="X295" s="10"/>
      <c r="Y295" s="9" t="str">
        <f>IFERROR(__xludf.DUMMYFUNCTION("""COMPUTED_VALUE"""),"Katy")</f>
        <v>Katy</v>
      </c>
      <c r="Z295" s="9" t="str">
        <f>IFERROR(__xludf.DUMMYFUNCTION("""COMPUTED_VALUE"""),"Cinco Ranch East, Katy (South), Nottingham Country")</f>
        <v>Cinco Ranch East, Katy (South), Nottingham Country</v>
      </c>
      <c r="AA295" s="9" t="str">
        <f>IFERROR(__xludf.DUMMYFUNCTION("""COMPUTED_VALUE"""),"Society of St Vincent de Paul")</f>
        <v>Society of St Vincent de Paul</v>
      </c>
      <c r="AB295" s="9" t="str">
        <f>IFERROR(__xludf.DUMMYFUNCTION("""COMPUTED_VALUE"""),"Nottingham Country")</f>
        <v>Nottingham Country</v>
      </c>
    </row>
    <row r="296" ht="30.0" customHeight="1">
      <c r="A296" s="17">
        <v>295.0</v>
      </c>
      <c r="B296" s="8" t="str">
        <f>IFERROR(__xludf.DUMMYFUNCTION("""COMPUTED_VALUE"""),"[""77024"", ""77027"", ""77041"", ""77043"", ""77055"", ""77056"", ""77079"", ""77080""]")</f>
        <v>["77024", "77027", "77041", "77043", "77055", "77056", "77079", "77080"]</v>
      </c>
      <c r="C296" s="9" t="str">
        <f>IFERROR(__xludf.DUMMYFUNCTION("""COMPUTED_VALUE"""),"Fair Haven Methodist Church")</f>
        <v>Fair Haven Methodist Church</v>
      </c>
      <c r="D296" s="9" t="str">
        <f>IFERROR(__xludf.DUMMYFUNCTION("""COMPUTED_VALUE"""),"1330 Gessner Road")</f>
        <v>1330 Gessner Road</v>
      </c>
      <c r="E296" s="9"/>
      <c r="F296" s="9" t="str">
        <f>IFERROR(__xludf.DUMMYFUNCTION("""COMPUTED_VALUE"""),"Houston")</f>
        <v>Houston</v>
      </c>
      <c r="G296" s="9" t="str">
        <f>IFERROR(__xludf.DUMMYFUNCTION("""COMPUTED_VALUE"""),"TX")</f>
        <v>TX</v>
      </c>
      <c r="H296" s="9" t="str">
        <f>IFERROR(__xludf.DUMMYFUNCTION("""COMPUTED_VALUE"""),"77055")</f>
        <v>77055</v>
      </c>
      <c r="I296" s="9" t="str">
        <f>IFERROR(__xludf.DUMMYFUNCTION("""COMPUTED_VALUE"""),"713-467-4363")</f>
        <v>713-467-4363</v>
      </c>
      <c r="J296" s="9" t="str">
        <f>IFERROR(__xludf.DUMMYFUNCTION("""COMPUTED_VALUE"""),"29.7916168979592, -95.5445215306122")</f>
        <v>29.7916168979592, -95.5445215306122</v>
      </c>
      <c r="K296" s="9" t="str">
        <f>IFERROR(__xludf.DUMMYFUNCTION("""COMPUTED_VALUE"""),"{""regular"":[{""days"":[""Mo"",""Tu"",""We"",""Th"",""Fr""],""open"":""10:00"",""close"":""13:40""}]}")</f>
        <v>{"regular":[{"days":["Mo","Tu","We","Th","Fr"],"open":"10:00","close":"13:40"}]}</v>
      </c>
      <c r="L296" s="9" t="str">
        <f>IFERROR(__xludf.DUMMYFUNCTION("""COMPUTED_VALUE"""),"New clients register in person, Mo - Th before 1 p.m.")</f>
        <v>New clients register in person, Mo - Th before 1 p.m.</v>
      </c>
      <c r="M296" s="10">
        <f>IFERROR(__xludf.DUMMYFUNCTION("""COMPUTED_VALUE"""),13.0)</f>
        <v>13</v>
      </c>
      <c r="N296" s="10" t="str">
        <f>IFERROR(__xludf.DUMMYFUNCTION("""COMPUTED_VALUE"""),"Food")</f>
        <v>Food</v>
      </c>
      <c r="O296" s="10">
        <f>IFERROR(__xludf.DUMMYFUNCTION("""COMPUTED_VALUE"""),1.0)</f>
        <v>1</v>
      </c>
      <c r="P296" s="10" t="str">
        <f>IFERROR(__xludf.DUMMYFUNCTION("""COMPUTED_VALUE"""),"ACTIVE")</f>
        <v>ACTIVE</v>
      </c>
      <c r="Q296" s="11"/>
      <c r="R296" s="9"/>
      <c r="S296" s="9" t="str">
        <f>IFERROR(__xludf.DUMMYFUNCTION("""COMPUTED_VALUE"""),"Photo ID.
Proof of residence.")</f>
        <v>Photo ID.
Proof of residence.</v>
      </c>
      <c r="T296" s="12" t="b">
        <f>IFERROR(__xludf.DUMMYFUNCTION("""COMPUTED_VALUE"""),FALSE)</f>
        <v>0</v>
      </c>
      <c r="U296" s="12" t="b">
        <f>IFERROR(__xludf.DUMMYFUNCTION("""COMPUTED_VALUE"""),FALSE)</f>
        <v>0</v>
      </c>
      <c r="V296" s="13" t="str">
        <f>IFERROR(__xludf.DUMMYFUNCTION("""COMPUTED_VALUE"""),"https://www.chapelwood.org/sanctuary/get-involved/serving-opportunities/fair-haven-food-pantry/249/")</f>
        <v>https://www.chapelwood.org/sanctuary/get-involved/serving-opportunities/fair-haven-food-pantry/249/</v>
      </c>
      <c r="W296" s="14" t="str">
        <f>IFERROR(__xludf.DUMMYFUNCTION("""COMPUTED_VALUE"""),"https://maps.google.com/?q=Fair%20Haven%20Methodist%20Church%201330%20Gessner%20Rd%20Houston%20TX%2077055")</f>
        <v>https://maps.google.com/?q=Fair%20Haven%20Methodist%20Church%201330%20Gessner%20Rd%20Houston%20TX%2077055</v>
      </c>
      <c r="X296" s="10"/>
      <c r="Y296" s="9" t="str">
        <f>IFERROR(__xludf.DUMMYFUNCTION("""COMPUTED_VALUE"""),"Houston")</f>
        <v>Houston</v>
      </c>
      <c r="Z296" s="9" t="str">
        <f>IFERROR(__xludf.DUMMYFUNCTION("""COMPUTED_VALUE"""),"Hilshire Village, Montrose, Northwest Houston, Spring Branch East, Washington Avenue Coalition / Memorial Park")</f>
        <v>Hilshire Village, Montrose, Northwest Houston, Spring Branch East, Washington Avenue Coalition / Memorial Park</v>
      </c>
      <c r="AA296" s="9" t="str">
        <f>IFERROR(__xludf.DUMMYFUNCTION("""COMPUTED_VALUE"""),"Fair Haven Methodist Church")</f>
        <v>Fair Haven Methodist Church</v>
      </c>
      <c r="AB296" s="9" t="str">
        <f>IFERROR(__xludf.DUMMYFUNCTION("""COMPUTED_VALUE"""),"Northwest Houston")</f>
        <v>Northwest Houston</v>
      </c>
    </row>
    <row r="297" ht="30.0" customHeight="1">
      <c r="A297" s="17">
        <v>296.0</v>
      </c>
      <c r="B297" s="8" t="str">
        <f>IFERROR(__xludf.DUMMYFUNCTION("""COMPUTED_VALUE"""),"[""77048"",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C297" s="9" t="str">
        <f>IFERROR(__xludf.DUMMYFUNCTION("""COMPUTED_VALUE"""),"Family Promise of Clear Creek")</f>
        <v>Family Promise of Clear Creek</v>
      </c>
      <c r="D297" s="9" t="str">
        <f>IFERROR(__xludf.DUMMYFUNCTION("""COMPUTED_VALUE"""),"14550 State Hwy 3")</f>
        <v>14550 State Hwy 3</v>
      </c>
      <c r="E297" s="9"/>
      <c r="F297" s="9" t="str">
        <f>IFERROR(__xludf.DUMMYFUNCTION("""COMPUTED_VALUE"""),"Webster")</f>
        <v>Webster</v>
      </c>
      <c r="G297" s="9" t="str">
        <f>IFERROR(__xludf.DUMMYFUNCTION("""COMPUTED_VALUE"""),"TX")</f>
        <v>TX</v>
      </c>
      <c r="H297" s="9" t="str">
        <f>IFERROR(__xludf.DUMMYFUNCTION("""COMPUTED_VALUE"""),"77598")</f>
        <v>77598</v>
      </c>
      <c r="I297" s="9" t="str">
        <f>IFERROR(__xludf.DUMMYFUNCTION("""COMPUTED_VALUE"""),"832-932-3963")</f>
        <v>832-932-3963</v>
      </c>
      <c r="J297" s="9" t="str">
        <f>IFERROR(__xludf.DUMMYFUNCTION("""COMPUTED_VALUE"""),"29.57402537157227, -95.15268520887969")</f>
        <v>29.57402537157227, -95.15268520887969</v>
      </c>
      <c r="K297" s="9" t="str">
        <f>IFERROR(__xludf.DUMMYFUNCTION("""COMPUTED_VALUE"""),"{""regular"":[{""days"":[""Mo"",""Tu"",""We"",""Th"",""Fr""],""open"":""09:00"",""close"":""17:00""}]}")</f>
        <v>{"regular":[{"days":["Mo","Tu","We","Th","Fr"],"open":"09:00","close":"17:00"}]}</v>
      </c>
      <c r="L297" s="9" t="str">
        <f>IFERROR(__xludf.DUMMYFUNCTION("""COMPUTED_VALUE"""),"Alvin, Clear Creek, Friendswood and Pearland School Districts only.")</f>
        <v>Alvin, Clear Creek, Friendswood and Pearland School Districts only.</v>
      </c>
      <c r="M297" s="10">
        <f>IFERROR(__xludf.DUMMYFUNCTION("""COMPUTED_VALUE"""),11.0)</f>
        <v>11</v>
      </c>
      <c r="N297" s="10" t="str">
        <f>IFERROR(__xludf.DUMMYFUNCTION("""COMPUTED_VALUE"""),"Rent")</f>
        <v>Rent</v>
      </c>
      <c r="O297" s="10">
        <f>IFERROR(__xludf.DUMMYFUNCTION("""COMPUTED_VALUE"""),1.0)</f>
        <v>1</v>
      </c>
      <c r="P297" s="10" t="str">
        <f>IFERROR(__xludf.DUMMYFUNCTION("""COMPUTED_VALUE"""),"ACTIVE")</f>
        <v>ACTIVE</v>
      </c>
      <c r="Q297" s="11">
        <f>IFERROR(__xludf.DUMMYFUNCTION("""COMPUTED_VALUE"""),46016.0)</f>
        <v>46016</v>
      </c>
      <c r="R297" s="9" t="str">
        <f>IFERROR(__xludf.DUMMYFUNCTION("""COMPUTED_VALUE"""),"Verified online")</f>
        <v>Verified online</v>
      </c>
      <c r="S297" s="9" t="str">
        <f>IFERROR(__xludf.DUMMYFUNCTION("""COMPUTED_VALUE"""),"Homelessness prevention by finding alternative housing, case management, landlord mediation, and payments for back rent if an eviction notice has been issued.
Must have a child under 18 years.")</f>
        <v>Homelessness prevention by finding alternative housing, case management, landlord mediation, and payments for back rent if an eviction notice has been issued.
Must have a child under 18 years.</v>
      </c>
      <c r="T297" s="12" t="b">
        <f>IFERROR(__xludf.DUMMYFUNCTION("""COMPUTED_VALUE"""),FALSE)</f>
        <v>0</v>
      </c>
      <c r="U297" s="12" t="b">
        <f>IFERROR(__xludf.DUMMYFUNCTION("""COMPUTED_VALUE"""),FALSE)</f>
        <v>0</v>
      </c>
      <c r="V297" s="13" t="str">
        <f>IFERROR(__xludf.DUMMYFUNCTION("""COMPUTED_VALUE"""),"https://www.ccfamilypromise.org/programs-and-services/")</f>
        <v>https://www.ccfamilypromise.org/programs-and-services/</v>
      </c>
      <c r="W297" s="14" t="str">
        <f>IFERROR(__xludf.DUMMYFUNCTION("""COMPUTED_VALUE"""),"https://www.google.com/maps/place/14550+State+Hwy+3,+Webster,+TX+77598/@29.5738434,-95.1552923,17z/data=!3m1!4b1!4m6!3m5!1s0x86409bf2b16bea43:0x88d42ed69bcbdcff!8m2!3d29.5738388!4d-95.1527174!16s%2Fg%2F11ckqnx3bk?entry=ttu&amp;g_ep=EgoyMDI1MTIwOS4wIKXMDSoKLDE"&amp;"wMDc5MjA2OUgBUAM%3D")</f>
        <v>https://www.google.com/maps/place/14550+State+Hwy+3,+Webster,+TX+77598/@29.5738434,-95.1552923,17z/data=!3m1!4b1!4m6!3m5!1s0x86409bf2b16bea43:0x88d42ed69bcbdcff!8m2!3d29.5738388!4d-95.1527174!16s%2Fg%2F11ckqnx3bk?entry=ttu&amp;g_ep=EgoyMDI1MTIwOS4wIKXMDSoKLDEwMDc5MjA2OUgBUAM%3D</v>
      </c>
      <c r="X297" s="10"/>
      <c r="Y297" s="9" t="str">
        <f>IFERROR(__xludf.DUMMYFUNCTION("""COMPUTED_VALUE"""),"Webster")</f>
        <v>Webster</v>
      </c>
      <c r="Z297" s="9" t="str">
        <f>IFERROR(__xludf.DUMMYFUNCTION("""COMPUTED_VALUE"""),"Clear Lake, Webster")</f>
        <v>Clear Lake, Webster</v>
      </c>
      <c r="AA297" s="9" t="str">
        <f>IFERROR(__xludf.DUMMYFUNCTION("""COMPUTED_VALUE"""),"Family Promise")</f>
        <v>Family Promise</v>
      </c>
      <c r="AB297" s="9" t="str">
        <f>IFERROR(__xludf.DUMMYFUNCTION("""COMPUTED_VALUE"""),"Clear Lake")</f>
        <v>Clear Lake</v>
      </c>
    </row>
    <row r="298" ht="30.0" customHeight="1">
      <c r="A298" s="17">
        <v>297.0</v>
      </c>
      <c r="B298" s="8" t="str">
        <f>IFERROR(__xludf.DUMMYFUNCTION("""COMPUTED_VALUE"""),"[""77048"",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C298" s="9" t="str">
        <f>IFERROR(__xludf.DUMMYFUNCTION("""COMPUTED_VALUE"""),"Family Promise of Clear Creek")</f>
        <v>Family Promise of Clear Creek</v>
      </c>
      <c r="D298" s="9" t="str">
        <f>IFERROR(__xludf.DUMMYFUNCTION("""COMPUTED_VALUE"""),"14550 State Hwy 3")</f>
        <v>14550 State Hwy 3</v>
      </c>
      <c r="E298" s="10"/>
      <c r="F298" s="10" t="str">
        <f>IFERROR(__xludf.DUMMYFUNCTION("""COMPUTED_VALUE"""),"Webster")</f>
        <v>Webster</v>
      </c>
      <c r="G298" s="9" t="str">
        <f>IFERROR(__xludf.DUMMYFUNCTION("""COMPUTED_VALUE"""),"TX")</f>
        <v>TX</v>
      </c>
      <c r="H298" s="9" t="str">
        <f>IFERROR(__xludf.DUMMYFUNCTION("""COMPUTED_VALUE"""),"77598")</f>
        <v>77598</v>
      </c>
      <c r="I298" s="9" t="str">
        <f>IFERROR(__xludf.DUMMYFUNCTION("""COMPUTED_VALUE"""),"832-932-3963")</f>
        <v>832-932-3963</v>
      </c>
      <c r="J298" s="9" t="str">
        <f>IFERROR(__xludf.DUMMYFUNCTION("""COMPUTED_VALUE"""),"29.57402537157227, -95.15268520887969")</f>
        <v>29.57402537157227, -95.15268520887969</v>
      </c>
      <c r="K298" s="9" t="str">
        <f>IFERROR(__xludf.DUMMYFUNCTION("""COMPUTED_VALUE"""),"{""regular"":[{""days"":[""Mo"",""Tu"",""We"",""Th"",""Fr""],""open"":""09:00"",""close"":""17:00""}]}")</f>
        <v>{"regular":[{"days":["Mo","Tu","We","Th","Fr"],"open":"09:00","close":"17:00"}]}</v>
      </c>
      <c r="L298" s="9" t="str">
        <f>IFERROR(__xludf.DUMMYFUNCTION("""COMPUTED_VALUE"""),"Alvin, Clear Creek, Friendswood and Pearland School Districts only.")</f>
        <v>Alvin, Clear Creek, Friendswood and Pearland School Districts only.</v>
      </c>
      <c r="M298" s="10">
        <f>IFERROR(__xludf.DUMMYFUNCTION("""COMPUTED_VALUE"""),21.0)</f>
        <v>21</v>
      </c>
      <c r="N298" s="10" t="str">
        <f>IFERROR(__xludf.DUMMYFUNCTION("""COMPUTED_VALUE"""),"Homeless - Shelters")</f>
        <v>Homeless - Shelters</v>
      </c>
      <c r="O298" s="10">
        <f>IFERROR(__xludf.DUMMYFUNCTION("""COMPUTED_VALUE"""),1.0)</f>
        <v>1</v>
      </c>
      <c r="P298" s="10" t="str">
        <f>IFERROR(__xludf.DUMMYFUNCTION("""COMPUTED_VALUE"""),"ACTIVE")</f>
        <v>ACTIVE</v>
      </c>
      <c r="Q298" s="11">
        <f>IFERROR(__xludf.DUMMYFUNCTION("""COMPUTED_VALUE"""),46016.0)</f>
        <v>46016</v>
      </c>
      <c r="R298" s="9" t="str">
        <f>IFERROR(__xludf.DUMMYFUNCTION("""COMPUTED_VALUE"""),"Verified online")</f>
        <v>Verified online</v>
      </c>
      <c r="S298" s="9" t="str">
        <f>IFERROR(__xludf.DUMMYFUNCTION("""COMPUTED_VALUE"""),"Overnight stays for families at various host congregations.  Stays are up to a week at a single location but may rotate to another congregations site at the end of the week.
Must have a child under 18 years.
Pass a criminal background check and drug scree"&amp;"ning.")</f>
        <v>Overnight stays for families at various host congregations.  Stays are up to a week at a single location but may rotate to another congregations site at the end of the week.
Must have a child under 18 years.
Pass a criminal background check and drug screening.</v>
      </c>
      <c r="T298" s="12" t="b">
        <f>IFERROR(__xludf.DUMMYFUNCTION("""COMPUTED_VALUE"""),FALSE)</f>
        <v>0</v>
      </c>
      <c r="U298" s="12" t="b">
        <f>IFERROR(__xludf.DUMMYFUNCTION("""COMPUTED_VALUE"""),FALSE)</f>
        <v>0</v>
      </c>
      <c r="V298" s="13" t="str">
        <f>IFERROR(__xludf.DUMMYFUNCTION("""COMPUTED_VALUE"""),"https://www.ccfamilypromise.org/programs-and-services/")</f>
        <v>https://www.ccfamilypromise.org/programs-and-services/</v>
      </c>
      <c r="W298" s="14" t="str">
        <f>IFERROR(__xludf.DUMMYFUNCTION("""COMPUTED_VALUE"""),"https://www.google.com/maps/place/14550+State+Hwy+3,+Webster,+TX+77598/@29.5738434,-95.1552923,17z/data=!3m1!4b1!4m6!3m5!1s0x86409bf2b16bea43:0x88d42ed69bcbdcff!8m2!3d29.5738388!4d-95.1527174!16s%2Fg%2F11ckqnx3bk?entry=ttu&amp;g_ep=EgoyMDI1MTIwOS4wIKXMDSoKLDE"&amp;"wMDc5MjA2OUgBUAM%3D")</f>
        <v>https://www.google.com/maps/place/14550+State+Hwy+3,+Webster,+TX+77598/@29.5738434,-95.1552923,17z/data=!3m1!4b1!4m6!3m5!1s0x86409bf2b16bea43:0x88d42ed69bcbdcff!8m2!3d29.5738388!4d-95.1527174!16s%2Fg%2F11ckqnx3bk?entry=ttu&amp;g_ep=EgoyMDI1MTIwOS4wIKXMDSoKLDEwMDc5MjA2OUgBUAM%3D</v>
      </c>
      <c r="X298" s="10"/>
      <c r="Y298" s="9" t="str">
        <f>IFERROR(__xludf.DUMMYFUNCTION("""COMPUTED_VALUE"""),"Webster")</f>
        <v>Webster</v>
      </c>
      <c r="Z298" s="9" t="str">
        <f>IFERROR(__xludf.DUMMYFUNCTION("""COMPUTED_VALUE"""),"Clear Lake, Webster")</f>
        <v>Clear Lake, Webster</v>
      </c>
      <c r="AA298" s="9" t="str">
        <f>IFERROR(__xludf.DUMMYFUNCTION("""COMPUTED_VALUE"""),"Family Promise")</f>
        <v>Family Promise</v>
      </c>
      <c r="AB298" s="9" t="str">
        <f>IFERROR(__xludf.DUMMYFUNCTION("""COMPUTED_VALUE"""),"Clear Lake")</f>
        <v>Clear Lake</v>
      </c>
    </row>
    <row r="299" ht="30.0" customHeight="1">
      <c r="A299" s="17">
        <v>298.0</v>
      </c>
      <c r="B299" s="8" t="str">
        <f>IFERROR(__xludf.DUMMYFUNCTION("""COMPUTED_VALUE"""),"[""77048"",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C299" s="9" t="str">
        <f>IFERROR(__xludf.DUMMYFUNCTION("""COMPUTED_VALUE"""),"Family Promise of Clear Creek")</f>
        <v>Family Promise of Clear Creek</v>
      </c>
      <c r="D299" s="9" t="str">
        <f>IFERROR(__xludf.DUMMYFUNCTION("""COMPUTED_VALUE"""),"14550 State Hwy 3")</f>
        <v>14550 State Hwy 3</v>
      </c>
      <c r="E299" s="9"/>
      <c r="F299" s="9" t="str">
        <f>IFERROR(__xludf.DUMMYFUNCTION("""COMPUTED_VALUE"""),"Webster")</f>
        <v>Webster</v>
      </c>
      <c r="G299" s="9" t="str">
        <f>IFERROR(__xludf.DUMMYFUNCTION("""COMPUTED_VALUE"""),"TX")</f>
        <v>TX</v>
      </c>
      <c r="H299" s="9" t="str">
        <f>IFERROR(__xludf.DUMMYFUNCTION("""COMPUTED_VALUE"""),"77598")</f>
        <v>77598</v>
      </c>
      <c r="I299" s="9" t="str">
        <f>IFERROR(__xludf.DUMMYFUNCTION("""COMPUTED_VALUE"""),"832-932-3963")</f>
        <v>832-932-3963</v>
      </c>
      <c r="J299" s="9" t="str">
        <f>IFERROR(__xludf.DUMMYFUNCTION("""COMPUTED_VALUE"""),"29.57402537157227, -95.15268520887969")</f>
        <v>29.57402537157227, -95.15268520887969</v>
      </c>
      <c r="K299" s="9" t="str">
        <f>IFERROR(__xludf.DUMMYFUNCTION("""COMPUTED_VALUE"""),"{""regular"":[{""days"":[""Mo"",""Tu"",""We"",""Th"",""Fr""],""open"":""09:00"",""close"":""17:00""}]}")</f>
        <v>{"regular":[{"days":["Mo","Tu","We","Th","Fr"],"open":"09:00","close":"17:00"}]}</v>
      </c>
      <c r="L299" s="9" t="str">
        <f>IFERROR(__xludf.DUMMYFUNCTION("""COMPUTED_VALUE"""),"Alvin, Clear Creek, Friendswood and Pearland School Districts only.")</f>
        <v>Alvin, Clear Creek, Friendswood and Pearland School Districts only.</v>
      </c>
      <c r="M299" s="10">
        <f>IFERROR(__xludf.DUMMYFUNCTION("""COMPUTED_VALUE"""),22.0)</f>
        <v>22</v>
      </c>
      <c r="N299" s="10" t="str">
        <f>IFERROR(__xludf.DUMMYFUNCTION("""COMPUTED_VALUE"""),"Homeless - Day Centers")</f>
        <v>Homeless - Day Centers</v>
      </c>
      <c r="O299" s="10">
        <f>IFERROR(__xludf.DUMMYFUNCTION("""COMPUTED_VALUE"""),1.0)</f>
        <v>1</v>
      </c>
      <c r="P299" s="10" t="str">
        <f>IFERROR(__xludf.DUMMYFUNCTION("""COMPUTED_VALUE"""),"ACTIVE")</f>
        <v>ACTIVE</v>
      </c>
      <c r="Q299" s="11">
        <f>IFERROR(__xludf.DUMMYFUNCTION("""COMPUTED_VALUE"""),46016.0)</f>
        <v>46016</v>
      </c>
      <c r="R299" s="9" t="str">
        <f>IFERROR(__xludf.DUMMYFUNCTION("""COMPUTED_VALUE"""),"Verified online")</f>
        <v>Verified online</v>
      </c>
      <c r="S299" s="9" t="str">
        <f>IFERROR(__xludf.DUMMYFUNCTION("""COMPUTED_VALUE"""),"The day center provides a consistent home base for families staying in their shelters.  A place to network and look for jobs and permanent housing.")</f>
        <v>The day center provides a consistent home base for families staying in their shelters.  A place to network and look for jobs and permanent housing.</v>
      </c>
      <c r="T299" s="12" t="b">
        <f>IFERROR(__xludf.DUMMYFUNCTION("""COMPUTED_VALUE"""),FALSE)</f>
        <v>0</v>
      </c>
      <c r="U299" s="12" t="b">
        <f>IFERROR(__xludf.DUMMYFUNCTION("""COMPUTED_VALUE"""),FALSE)</f>
        <v>0</v>
      </c>
      <c r="V299" s="13" t="str">
        <f>IFERROR(__xludf.DUMMYFUNCTION("""COMPUTED_VALUE"""),"https://www.ccfamilypromise.org/programs-and-services/")</f>
        <v>https://www.ccfamilypromise.org/programs-and-services/</v>
      </c>
      <c r="W299" s="14" t="str">
        <f>IFERROR(__xludf.DUMMYFUNCTION("""COMPUTED_VALUE"""),"https://www.google.com/maps/place/14550+State+Hwy+3,+Webster,+TX+77598/@29.5738434,-95.1552923,17z/data=!3m1!4b1!4m6!3m5!1s0x86409bf2b16bea43:0x88d42ed69bcbdcff!8m2!3d29.5738388!4d-95.1527174!16s%2Fg%2F11ckqnx3bk?entry=ttu&amp;g_ep=EgoyMDI1MTIwOS4wIKXMDSoKLDE"&amp;"wMDc5MjA2OUgBUAM%3D")</f>
        <v>https://www.google.com/maps/place/14550+State+Hwy+3,+Webster,+TX+77598/@29.5738434,-95.1552923,17z/data=!3m1!4b1!4m6!3m5!1s0x86409bf2b16bea43:0x88d42ed69bcbdcff!8m2!3d29.5738388!4d-95.1527174!16s%2Fg%2F11ckqnx3bk?entry=ttu&amp;g_ep=EgoyMDI1MTIwOS4wIKXMDSoKLDEwMDc5MjA2OUgBUAM%3D</v>
      </c>
      <c r="X299" s="10"/>
      <c r="Y299" s="9" t="str">
        <f>IFERROR(__xludf.DUMMYFUNCTION("""COMPUTED_VALUE"""),"Webster")</f>
        <v>Webster</v>
      </c>
      <c r="Z299" s="9" t="str">
        <f>IFERROR(__xludf.DUMMYFUNCTION("""COMPUTED_VALUE"""),"Clear Lake, Webster")</f>
        <v>Clear Lake, Webster</v>
      </c>
      <c r="AA299" s="9" t="str">
        <f>IFERROR(__xludf.DUMMYFUNCTION("""COMPUTED_VALUE"""),"Family Promise")</f>
        <v>Family Promise</v>
      </c>
      <c r="AB299" s="9" t="str">
        <f>IFERROR(__xludf.DUMMYFUNCTION("""COMPUTED_VALUE"""),"Clear Lake")</f>
        <v>Clear Lake</v>
      </c>
    </row>
    <row r="300" ht="30.0" customHeight="1">
      <c r="A300" s="17">
        <v>299.0</v>
      </c>
      <c r="B300" s="8" t="str">
        <f>IFERROR(__xludf.DUMMYFUNCTION("""COMPUTED_VALUE"""),"[""77048"",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C300" s="9" t="str">
        <f>IFERROR(__xludf.DUMMYFUNCTION("""COMPUTED_VALUE"""),"Family Promise of Clear Creek")</f>
        <v>Family Promise of Clear Creek</v>
      </c>
      <c r="D300" s="9" t="str">
        <f>IFERROR(__xludf.DUMMYFUNCTION("""COMPUTED_VALUE"""),"14550 State Hwy 3")</f>
        <v>14550 State Hwy 3</v>
      </c>
      <c r="E300" s="9"/>
      <c r="F300" s="10" t="str">
        <f>IFERROR(__xludf.DUMMYFUNCTION("""COMPUTED_VALUE"""),"Webster")</f>
        <v>Webster</v>
      </c>
      <c r="G300" s="9" t="str">
        <f>IFERROR(__xludf.DUMMYFUNCTION("""COMPUTED_VALUE"""),"TX")</f>
        <v>TX</v>
      </c>
      <c r="H300" s="9" t="str">
        <f>IFERROR(__xludf.DUMMYFUNCTION("""COMPUTED_VALUE"""),"77598")</f>
        <v>77598</v>
      </c>
      <c r="I300" s="9" t="str">
        <f>IFERROR(__xludf.DUMMYFUNCTION("""COMPUTED_VALUE"""),"832-932-3963")</f>
        <v>832-932-3963</v>
      </c>
      <c r="J300" s="9" t="str">
        <f>IFERROR(__xludf.DUMMYFUNCTION("""COMPUTED_VALUE"""),"29.57402537157227, -95.15268520887969")</f>
        <v>29.57402537157227, -95.15268520887969</v>
      </c>
      <c r="K300" s="9" t="str">
        <f>IFERROR(__xludf.DUMMYFUNCTION("""COMPUTED_VALUE"""),"{""regular"":[{""days"":[""Mo"",""Tu"",""We"",""Th"",""Fr""],""open"":""09:00"",""close"":""17:00""}]}")</f>
        <v>{"regular":[{"days":["Mo","Tu","We","Th","Fr"],"open":"09:00","close":"17:00"}]}</v>
      </c>
      <c r="L300" s="9" t="str">
        <f>IFERROR(__xludf.DUMMYFUNCTION("""COMPUTED_VALUE"""),"Alvin, Clear Creek, Friendswood and Pearland School Districts only.")</f>
        <v>Alvin, Clear Creek, Friendswood and Pearland School Districts only.</v>
      </c>
      <c r="M300" s="10">
        <f>IFERROR(__xludf.DUMMYFUNCTION("""COMPUTED_VALUE"""),65.0)</f>
        <v>65</v>
      </c>
      <c r="N300" s="10" t="str">
        <f>IFERROR(__xludf.DUMMYFUNCTION("""COMPUTED_VALUE"""),"Other")</f>
        <v>Other</v>
      </c>
      <c r="O300" s="10">
        <f>IFERROR(__xludf.DUMMYFUNCTION("""COMPUTED_VALUE"""),1.0)</f>
        <v>1</v>
      </c>
      <c r="P300" s="10" t="str">
        <f>IFERROR(__xludf.DUMMYFUNCTION("""COMPUTED_VALUE"""),"ACTIVE")</f>
        <v>ACTIVE</v>
      </c>
      <c r="Q300" s="11">
        <f>IFERROR(__xludf.DUMMYFUNCTION("""COMPUTED_VALUE"""),46016.0)</f>
        <v>46016</v>
      </c>
      <c r="R300" s="9" t="str">
        <f>IFERROR(__xludf.DUMMYFUNCTION("""COMPUTED_VALUE"""),"Verified online")</f>
        <v>Verified online</v>
      </c>
      <c r="S300" s="9" t="str">
        <f>IFERROR(__xludf.DUMMYFUNCTION("""COMPUTED_VALUE"""),"Non-residential services including case management, obtaining legal documents (driver's license, social security card) and referrals for counseling and therapy, legal assistance (protective orders, custody, civil rights) and community resources.
")</f>
        <v>Non-residential services including case management, obtaining legal documents (driver's license, social security card) and referrals for counseling and therapy, legal assistance (protective orders, custody, civil rights) and community resources.
</v>
      </c>
      <c r="T300" s="12" t="b">
        <f>IFERROR(__xludf.DUMMYFUNCTION("""COMPUTED_VALUE"""),FALSE)</f>
        <v>0</v>
      </c>
      <c r="U300" s="12" t="b">
        <f>IFERROR(__xludf.DUMMYFUNCTION("""COMPUTED_VALUE"""),FALSE)</f>
        <v>0</v>
      </c>
      <c r="V300" s="13" t="str">
        <f>IFERROR(__xludf.DUMMYFUNCTION("""COMPUTED_VALUE"""),"https://www.ccfamilypromise.org/programs-and-services/")</f>
        <v>https://www.ccfamilypromise.org/programs-and-services/</v>
      </c>
      <c r="W300" s="14" t="str">
        <f>IFERROR(__xludf.DUMMYFUNCTION("""COMPUTED_VALUE"""),"https://www.google.com/maps/place/14550+State+Hwy+3,+Webster,+TX+77598/@29.5738434,-95.1552923,17z/data=!3m1!4b1!4m6!3m5!1s0x86409bf2b16bea43:0x88d42ed69bcbdcff!8m2!3d29.5738388!4d-95.1527174!16s%2Fg%2F11ckqnx3bk?entry=ttu&amp;g_ep=EgoyMDI1MTIwOS4wIKXMDSoKLDE"&amp;"wMDc5MjA2OUgBUAM%3D")</f>
        <v>https://www.google.com/maps/place/14550+State+Hwy+3,+Webster,+TX+77598/@29.5738434,-95.1552923,17z/data=!3m1!4b1!4m6!3m5!1s0x86409bf2b16bea43:0x88d42ed69bcbdcff!8m2!3d29.5738388!4d-95.1527174!16s%2Fg%2F11ckqnx3bk?entry=ttu&amp;g_ep=EgoyMDI1MTIwOS4wIKXMDSoKLDEwMDc5MjA2OUgBUAM%3D</v>
      </c>
      <c r="X300" s="10"/>
      <c r="Y300" s="9" t="str">
        <f>IFERROR(__xludf.DUMMYFUNCTION("""COMPUTED_VALUE"""),"Webster")</f>
        <v>Webster</v>
      </c>
      <c r="Z300" s="9" t="str">
        <f>IFERROR(__xludf.DUMMYFUNCTION("""COMPUTED_VALUE"""),"Clear Lake, Webster")</f>
        <v>Clear Lake, Webster</v>
      </c>
      <c r="AA300" s="9" t="str">
        <f>IFERROR(__xludf.DUMMYFUNCTION("""COMPUTED_VALUE"""),"Family Promise")</f>
        <v>Family Promise</v>
      </c>
      <c r="AB300" s="9" t="str">
        <f>IFERROR(__xludf.DUMMYFUNCTION("""COMPUTED_VALUE"""),"Clear Lake")</f>
        <v>Clear Lake</v>
      </c>
    </row>
    <row r="301" ht="30.0" customHeight="1">
      <c r="A301" s="17">
        <v>300.0</v>
      </c>
      <c r="B301" s="8" t="str">
        <f>IFERROR(__xludf.DUMMYFUNCTION("""COMPUTED_VALUE"""),"[""77336"", ""77338"", ""77339"", ""77345"", ""77346"", ""77347"", ""77365"", ""77396""]")</f>
        <v>["77336", "77338", "77339", "77345", "77346", "77347", "77365", "77396"]</v>
      </c>
      <c r="C301" s="9" t="str">
        <f>IFERROR(__xludf.DUMMYFUNCTION("""COMPUTED_VALUE"""),"Family Promise of Lake Houston")</f>
        <v>Family Promise of Lake Houston</v>
      </c>
      <c r="D301" s="9" t="str">
        <f>IFERROR(__xludf.DUMMYFUNCTION("""COMPUTED_VALUE"""),"1590 FM 1960 Bypass Road E")</f>
        <v>1590 FM 1960 Bypass Road E</v>
      </c>
      <c r="E301" s="9"/>
      <c r="F301" s="10" t="str">
        <f>IFERROR(__xludf.DUMMYFUNCTION("""COMPUTED_VALUE"""),"Humble")</f>
        <v>Humble</v>
      </c>
      <c r="G301" s="9" t="str">
        <f>IFERROR(__xludf.DUMMYFUNCTION("""COMPUTED_VALUE"""),"TX")</f>
        <v>TX</v>
      </c>
      <c r="H301" s="9" t="str">
        <f>IFERROR(__xludf.DUMMYFUNCTION("""COMPUTED_VALUE"""),"77338")</f>
        <v>77338</v>
      </c>
      <c r="I301" s="9" t="str">
        <f>IFERROR(__xludf.DUMMYFUNCTION("""COMPUTED_VALUE"""),"281-441-3754")</f>
        <v>281-441-3754</v>
      </c>
      <c r="J301" s="9" t="str">
        <f>IFERROR(__xludf.DUMMYFUNCTION("""COMPUTED_VALUE"""),"30.002484620383402, -95.25164704820197")</f>
        <v>30.002484620383402, -95.25164704820197</v>
      </c>
      <c r="K301" s="9" t="str">
        <f>IFERROR(__xludf.DUMMYFUNCTION("""COMPUTED_VALUE"""),"{""regular"":[{""days"":[""Mo"",""Tu"",""We"",""Th"",""Fr""],""open"":""09:00"",""close"":""16:30""}]}")</f>
        <v>{"regular":[{"days":["Mo","Tu","We","Th","Fr"],"open":"09:00","close":"16:30"}]}</v>
      </c>
      <c r="L301" s="9" t="str">
        <f>IFERROR(__xludf.DUMMYFUNCTION("""COMPUTED_VALUE"""),"Service area unclear.")</f>
        <v>Service area unclear.</v>
      </c>
      <c r="M301" s="10">
        <f>IFERROR(__xludf.DUMMYFUNCTION("""COMPUTED_VALUE"""),21.0)</f>
        <v>21</v>
      </c>
      <c r="N301" s="10" t="str">
        <f>IFERROR(__xludf.DUMMYFUNCTION("""COMPUTED_VALUE"""),"Homeless - Shelters")</f>
        <v>Homeless - Shelters</v>
      </c>
      <c r="O301" s="10">
        <f>IFERROR(__xludf.DUMMYFUNCTION("""COMPUTED_VALUE"""),1.0)</f>
        <v>1</v>
      </c>
      <c r="P301" s="10" t="str">
        <f>IFERROR(__xludf.DUMMYFUNCTION("""COMPUTED_VALUE"""),"ACTIVE")</f>
        <v>ACTIVE</v>
      </c>
      <c r="Q301" s="11">
        <f>IFERROR(__xludf.DUMMYFUNCTION("""COMPUTED_VALUE"""),46016.0)</f>
        <v>46016</v>
      </c>
      <c r="R301" s="9" t="str">
        <f>IFERROR(__xludf.DUMMYFUNCTION("""COMPUTED_VALUE"""),"Verified online")</f>
        <v>Verified online</v>
      </c>
      <c r="S301" s="9" t="str">
        <f>IFERROR(__xludf.DUMMYFUNCTION("""COMPUTED_VALUE"""),"Overnight stays for families at several host congregations located in Humble, Atascocita, Huffman, Kingwood and Porter.
Must have a child under 18 years.
Required to be drug free and save 80% of income while staying in one of the shelters.")</f>
        <v>Overnight stays for families at several host congregations located in Humble, Atascocita, Huffman, Kingwood and Porter.
Must have a child under 18 years.
Required to be drug free and save 80% of income while staying in one of the shelters.</v>
      </c>
      <c r="T301" s="12" t="b">
        <f>IFERROR(__xludf.DUMMYFUNCTION("""COMPUTED_VALUE"""),FALSE)</f>
        <v>0</v>
      </c>
      <c r="U301" s="12" t="b">
        <f>IFERROR(__xludf.DUMMYFUNCTION("""COMPUTED_VALUE"""),FALSE)</f>
        <v>0</v>
      </c>
      <c r="V301" s="13" t="str">
        <f>IFERROR(__xludf.DUMMYFUNCTION("""COMPUTED_VALUE"""),"https://fplh.org/about/")</f>
        <v>https://fplh.org/about/</v>
      </c>
      <c r="W301" s="14" t="str">
        <f>IFERROR(__xludf.DUMMYFUNCTION("""COMPUTED_VALUE"""),"https://www.google.com/maps/place/Family+Promise+of+Lake+Houston/@30.002266,-95.2516454,21z/data=!4m15!1m8!3m7!1s0x8640b25c1efdbcad:0xf66edb82895e947!2s1590+Farm+to+Market+1960+Bypass+Rd+E,+Humble,+TX+77338!3b1!8m2!3d30.0022711!4d-95.2516256!16s%2Fg%2F11r"&amp;"yq0ncf8!3m5!1s0x8640b24fdbb98f69:0x929c8a92fc784fcb!8m2!3d30.002266!4d-95.2516454!16s%2Fg%2F1tfshsj8?entry=ttu&amp;g_ep=EgoyMDI1MTIwOS4wIKXMDSoKLDEwMDc5MjA2OUgBUAM%3D")</f>
        <v>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v>
      </c>
      <c r="X301" s="10"/>
      <c r="Y301" s="9" t="str">
        <f>IFERROR(__xludf.DUMMYFUNCTION("""COMPUTED_VALUE"""),"Humble")</f>
        <v>Humble</v>
      </c>
      <c r="Z301" s="9" t="str">
        <f>IFERROR(__xludf.DUMMYFUNCTION("""COMPUTED_VALUE"""),"Humble, Humble (Old Town), Northshire")</f>
        <v>Humble, Humble (Old Town), Northshire</v>
      </c>
      <c r="AA301" s="9" t="str">
        <f>IFERROR(__xludf.DUMMYFUNCTION("""COMPUTED_VALUE"""),"Family Promise")</f>
        <v>Family Promise</v>
      </c>
      <c r="AB301" s="9" t="str">
        <f>IFERROR(__xludf.DUMMYFUNCTION("""COMPUTED_VALUE"""),"Humble")</f>
        <v>Humble</v>
      </c>
    </row>
    <row r="302" ht="30.0" customHeight="1">
      <c r="A302" s="17">
        <v>301.0</v>
      </c>
      <c r="B302" s="8" t="str">
        <f>IFERROR(__xludf.DUMMYFUNCTION("""COMPUTED_VALUE"""),"[""77336"", ""77338"", ""77339"", ""77345"", ""77346"", ""77347"", ""77365"", ""77396""]")</f>
        <v>["77336", "77338", "77339", "77345", "77346", "77347", "77365", "77396"]</v>
      </c>
      <c r="C302" s="9" t="str">
        <f>IFERROR(__xludf.DUMMYFUNCTION("""COMPUTED_VALUE"""),"Family Promise of Lake Houston")</f>
        <v>Family Promise of Lake Houston</v>
      </c>
      <c r="D302" s="9" t="str">
        <f>IFERROR(__xludf.DUMMYFUNCTION("""COMPUTED_VALUE"""),"1590 FM 1960 Bypass Road E")</f>
        <v>1590 FM 1960 Bypass Road E</v>
      </c>
      <c r="E302" s="9"/>
      <c r="F302" s="9" t="str">
        <f>IFERROR(__xludf.DUMMYFUNCTION("""COMPUTED_VALUE"""),"Humble")</f>
        <v>Humble</v>
      </c>
      <c r="G302" s="9" t="str">
        <f>IFERROR(__xludf.DUMMYFUNCTION("""COMPUTED_VALUE"""),"TX")</f>
        <v>TX</v>
      </c>
      <c r="H302" s="9" t="str">
        <f>IFERROR(__xludf.DUMMYFUNCTION("""COMPUTED_VALUE"""),"77338")</f>
        <v>77338</v>
      </c>
      <c r="I302" s="9" t="str">
        <f>IFERROR(__xludf.DUMMYFUNCTION("""COMPUTED_VALUE"""),"281-441-3754")</f>
        <v>281-441-3754</v>
      </c>
      <c r="J302" s="9" t="str">
        <f>IFERROR(__xludf.DUMMYFUNCTION("""COMPUTED_VALUE"""),"30.002484620383402, -95.25164704820197")</f>
        <v>30.002484620383402, -95.25164704820197</v>
      </c>
      <c r="K302" s="9" t="str">
        <f>IFERROR(__xludf.DUMMYFUNCTION("""COMPUTED_VALUE"""),"{""regular"":[{""days"":[""Mo"",""Tu"",""We"",""Th"",""Fr""],""open"":""09:00"",""close"":""16:30""}]}")</f>
        <v>{"regular":[{"days":["Mo","Tu","We","Th","Fr"],"open":"09:00","close":"16:30"}]}</v>
      </c>
      <c r="L302" s="9" t="str">
        <f>IFERROR(__xludf.DUMMYFUNCTION("""COMPUTED_VALUE"""),"Service area unclear.")</f>
        <v>Service area unclear.</v>
      </c>
      <c r="M302" s="10">
        <f>IFERROR(__xludf.DUMMYFUNCTION("""COMPUTED_VALUE"""),22.0)</f>
        <v>22</v>
      </c>
      <c r="N302" s="10" t="str">
        <f>IFERROR(__xludf.DUMMYFUNCTION("""COMPUTED_VALUE"""),"Homeless - Day Centers")</f>
        <v>Homeless - Day Centers</v>
      </c>
      <c r="O302" s="10">
        <f>IFERROR(__xludf.DUMMYFUNCTION("""COMPUTED_VALUE"""),1.0)</f>
        <v>1</v>
      </c>
      <c r="P302" s="10" t="str">
        <f>IFERROR(__xludf.DUMMYFUNCTION("""COMPUTED_VALUE"""),"ACTIVE")</f>
        <v>ACTIVE</v>
      </c>
      <c r="Q302" s="11">
        <f>IFERROR(__xludf.DUMMYFUNCTION("""COMPUTED_VALUE"""),46016.0)</f>
        <v>46016</v>
      </c>
      <c r="R302" s="9" t="str">
        <f>IFERROR(__xludf.DUMMYFUNCTION("""COMPUTED_VALUE"""),"Verified online")</f>
        <v>Verified online</v>
      </c>
      <c r="S302" s="9" t="str">
        <f>IFERROR(__xludf.DUMMYFUNCTION("""COMPUTED_VALUE"""),"During the day time, the day centers serves as the home base for the families in the shelters.
Assistance with case management, goal setting, GED certification, job search and classes on parenting and money management.")</f>
        <v>During the day time, the day centers serves as the home base for the families in the shelters.
Assistance with case management, goal setting, GED certification, job search and classes on parenting and money management.</v>
      </c>
      <c r="T302" s="12" t="b">
        <f>IFERROR(__xludf.DUMMYFUNCTION("""COMPUTED_VALUE"""),FALSE)</f>
        <v>0</v>
      </c>
      <c r="U302" s="12" t="b">
        <f>IFERROR(__xludf.DUMMYFUNCTION("""COMPUTED_VALUE"""),FALSE)</f>
        <v>0</v>
      </c>
      <c r="V302" s="13" t="str">
        <f>IFERROR(__xludf.DUMMYFUNCTION("""COMPUTED_VALUE"""),"https://fplh.org/about/")</f>
        <v>https://fplh.org/about/</v>
      </c>
      <c r="W302" s="14" t="str">
        <f>IFERROR(__xludf.DUMMYFUNCTION("""COMPUTED_VALUE"""),"https://www.google.com/maps/place/Family+Promise+of+Lake+Houston/@30.002266,-95.2516454,21z/data=!4m15!1m8!3m7!1s0x8640b25c1efdbcad:0xf66edb82895e947!2s1590+Farm+to+Market+1960+Bypass+Rd+E,+Humble,+TX+77338!3b1!8m2!3d30.0022711!4d-95.2516256!16s%2Fg%2F11r"&amp;"yq0ncf8!3m5!1s0x8640b24fdbb98f69:0x929c8a92fc784fcb!8m2!3d30.002266!4d-95.2516454!16s%2Fg%2F1tfshsj8?entry=ttu&amp;g_ep=EgoyMDI1MTIwOS4wIKXMDSoKLDEwMDc5MjA2OUgBUAM%3D")</f>
        <v>https://www.google.com/maps/place/Family+Promise+of+Lake+Houston/@30.002266,-95.2516454,21z/data=!4m15!1m8!3m7!1s0x8640b25c1efdbcad:0xf66edb82895e947!2s1590+Farm+to+Market+1960+Bypass+Rd+E,+Humble,+TX+77338!3b1!8m2!3d30.0022711!4d-95.2516256!16s%2Fg%2F11ryq0ncf8!3m5!1s0x8640b24fdbb98f69:0x929c8a92fc784fcb!8m2!3d30.002266!4d-95.2516454!16s%2Fg%2F1tfshsj8?entry=ttu&amp;g_ep=EgoyMDI1MTIwOS4wIKXMDSoKLDEwMDc5MjA2OUgBUAM%3D</v>
      </c>
      <c r="X302" s="10"/>
      <c r="Y302" s="9" t="str">
        <f>IFERROR(__xludf.DUMMYFUNCTION("""COMPUTED_VALUE"""),"Humble")</f>
        <v>Humble</v>
      </c>
      <c r="Z302" s="9" t="str">
        <f>IFERROR(__xludf.DUMMYFUNCTION("""COMPUTED_VALUE"""),"Humble, Humble (Old Town), Northshire")</f>
        <v>Humble, Humble (Old Town), Northshire</v>
      </c>
      <c r="AA302" s="9" t="str">
        <f>IFERROR(__xludf.DUMMYFUNCTION("""COMPUTED_VALUE"""),"Family Promise")</f>
        <v>Family Promise</v>
      </c>
      <c r="AB302" s="9" t="str">
        <f>IFERROR(__xludf.DUMMYFUNCTION("""COMPUTED_VALUE"""),"Humble")</f>
        <v>Humble</v>
      </c>
    </row>
    <row r="303" ht="30.0" customHeight="1">
      <c r="A303" s="17">
        <v>302.0</v>
      </c>
      <c r="B303"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303" s="9" t="str">
        <f>IFERROR(__xludf.DUMMYFUNCTION("""COMPUTED_VALUE"""),"Family Promise of Montgomery County")</f>
        <v>Family Promise of Montgomery County</v>
      </c>
      <c r="D303" s="9" t="str">
        <f>IFERROR(__xludf.DUMMYFUNCTION("""COMPUTED_VALUE"""),"109 Commercial Circle")</f>
        <v>109 Commercial Circle</v>
      </c>
      <c r="E303" s="9"/>
      <c r="F303" s="9" t="str">
        <f>IFERROR(__xludf.DUMMYFUNCTION("""COMPUTED_VALUE"""),"Conroe")</f>
        <v>Conroe</v>
      </c>
      <c r="G303" s="9" t="str">
        <f>IFERROR(__xludf.DUMMYFUNCTION("""COMPUTED_VALUE"""),"TX")</f>
        <v>TX</v>
      </c>
      <c r="H303" s="9" t="str">
        <f>IFERROR(__xludf.DUMMYFUNCTION("""COMPUTED_VALUE"""),"77304")</f>
        <v>77304</v>
      </c>
      <c r="I303" s="9" t="str">
        <f>IFERROR(__xludf.DUMMYFUNCTION("""COMPUTED_VALUE"""),"936-441-8778")</f>
        <v>936-441-8778</v>
      </c>
      <c r="J303" s="9" t="str">
        <f>IFERROR(__xludf.DUMMYFUNCTION("""COMPUTED_VALUE"""),"30.309972878178684, -95.47997381672214")</f>
        <v>30.309972878178684, -95.47997381672214</v>
      </c>
      <c r="K303" s="9" t="str">
        <f>IFERROR(__xludf.DUMMYFUNCTION("""COMPUTED_VALUE"""),"{""regular"":[{""days"":[""Mo"",""Tu"",""We"",""Th"",""Fr""],""open"":""09:00"",""close"":""17:00""}]}")</f>
        <v>{"regular":[{"days":["Mo","Tu","We","Th","Fr"],"open":"09:00","close":"17:00"}]}</v>
      </c>
      <c r="L303" s="9"/>
      <c r="M303" s="10">
        <f>IFERROR(__xludf.DUMMYFUNCTION("""COMPUTED_VALUE"""),21.0)</f>
        <v>21</v>
      </c>
      <c r="N303" s="10" t="str">
        <f>IFERROR(__xludf.DUMMYFUNCTION("""COMPUTED_VALUE"""),"Homeless - Shelters")</f>
        <v>Homeless - Shelters</v>
      </c>
      <c r="O303" s="10">
        <f>IFERROR(__xludf.DUMMYFUNCTION("""COMPUTED_VALUE"""),1.0)</f>
        <v>1</v>
      </c>
      <c r="P303" s="10" t="str">
        <f>IFERROR(__xludf.DUMMYFUNCTION("""COMPUTED_VALUE"""),"ACTIVE")</f>
        <v>ACTIVE</v>
      </c>
      <c r="Q303" s="11">
        <f>IFERROR(__xludf.DUMMYFUNCTION("""COMPUTED_VALUE"""),46016.0)</f>
        <v>46016</v>
      </c>
      <c r="R303" s="9" t="str">
        <f>IFERROR(__xludf.DUMMYFUNCTION("""COMPUTED_VALUE"""),"Verified online")</f>
        <v>Verified online</v>
      </c>
      <c r="S303" s="9" t="str">
        <f>IFERROR(__xludf.DUMMYFUNCTION("""COMPUTED_VALUE"""),"Coalition for the Homeless (CFTH) Partner/Rapid Rehousing
Temporary shelter for families for upto 90 days.  Must have a child aged 18 or under.
Homeless or facing homelessness.  No serious criminal history.
Must be willing to live/work in Montgomery Count"&amp;"y.
Case management, job search, finding childcare, enrolling children in school.")</f>
        <v>Coalition for the Homeless (CFTH) Partner/Rapid Rehousing
Temporary shelter for families for upto 90 days.  Must have a child aged 18 or under.
Homeless or facing homelessness.  No serious criminal history.
Must be willing to live/work in Montgomery County.
Case management, job search, finding childcare, enrolling children in school.</v>
      </c>
      <c r="T303" s="12" t="b">
        <f>IFERROR(__xludf.DUMMYFUNCTION("""COMPUTED_VALUE"""),FALSE)</f>
        <v>0</v>
      </c>
      <c r="U303" s="12" t="b">
        <f>IFERROR(__xludf.DUMMYFUNCTION("""COMPUTED_VALUE"""),FALSE)</f>
        <v>0</v>
      </c>
      <c r="V303" s="13" t="str">
        <f>IFERROR(__xludf.DUMMYFUNCTION("""COMPUTED_VALUE"""),"https://www.familypromiseofmc.org/emergency-shelter")</f>
        <v>https://www.familypromiseofmc.org/emergency-shelter</v>
      </c>
      <c r="W303" s="14" t="str">
        <f>IFERROR(__xludf.DUMMYFUNCTION("""COMPUTED_VALUE"""),"https://www.google.com/maps/place/109+Commercial+Cir,+Conroe,+TX+77304/@30.3100701,-95.480006,17z/data=!4m16!1m9!3m8!1s0x86473be2d34a5a11:0xa065b86a8078c7a1!2s109+Commercial+Cir,+Conroe,+TX+77304!3b1!8m2!3d30.3097484!4d-95.4800007!10e5!16s%2Fg%2F11cp9b2xj"&amp;"j!3m5!1s0x86473be2d34a5a11:0xa065b86a8078c7a1!8m2!3d30.3097484!4d-95.4800007!16s%2Fg%2F11cp9b2xjj?entry=ttu&amp;g_ep=EgoyMDI1MTAwOC4wIKXMDSoASAFQAw%3D%3D")</f>
        <v>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v>
      </c>
      <c r="X303" s="10"/>
      <c r="Y303" s="9" t="str">
        <f>IFERROR(__xludf.DUMMYFUNCTION("""COMPUTED_VALUE"""),"Conroe")</f>
        <v>Conroe</v>
      </c>
      <c r="Z303" s="9" t="str">
        <f>IFERROR(__xludf.DUMMYFUNCTION("""COMPUTED_VALUE"""),"April Sound, Conroe, Walden on Lake Conroe, West Fork")</f>
        <v>April Sound, Conroe, Walden on Lake Conroe, West Fork</v>
      </c>
      <c r="AA303" s="9" t="str">
        <f>IFERROR(__xludf.DUMMYFUNCTION("""COMPUTED_VALUE"""),"Family Promise")</f>
        <v>Family Promise</v>
      </c>
      <c r="AB303" s="9" t="str">
        <f>IFERROR(__xludf.DUMMYFUNCTION("""COMPUTED_VALUE"""),"Conroe")</f>
        <v>Conroe</v>
      </c>
    </row>
    <row r="304" ht="30.0" customHeight="1">
      <c r="A304" s="17">
        <v>303.0</v>
      </c>
      <c r="B304"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304" s="9" t="str">
        <f>IFERROR(__xludf.DUMMYFUNCTION("""COMPUTED_VALUE"""),"Family Promise of Montgomery County")</f>
        <v>Family Promise of Montgomery County</v>
      </c>
      <c r="D304" s="9" t="str">
        <f>IFERROR(__xludf.DUMMYFUNCTION("""COMPUTED_VALUE"""),"109 Commercial Circle")</f>
        <v>109 Commercial Circle</v>
      </c>
      <c r="E304" s="9"/>
      <c r="F304" s="9" t="str">
        <f>IFERROR(__xludf.DUMMYFUNCTION("""COMPUTED_VALUE"""),"Conroe")</f>
        <v>Conroe</v>
      </c>
      <c r="G304" s="9" t="str">
        <f>IFERROR(__xludf.DUMMYFUNCTION("""COMPUTED_VALUE"""),"TX")</f>
        <v>TX</v>
      </c>
      <c r="H304" s="9" t="str">
        <f>IFERROR(__xludf.DUMMYFUNCTION("""COMPUTED_VALUE"""),"77304")</f>
        <v>77304</v>
      </c>
      <c r="I304" s="9" t="str">
        <f>IFERROR(__xludf.DUMMYFUNCTION("""COMPUTED_VALUE"""),"936-441-8778")</f>
        <v>936-441-8778</v>
      </c>
      <c r="J304" s="9" t="str">
        <f>IFERROR(__xludf.DUMMYFUNCTION("""COMPUTED_VALUE"""),"30.309972878178684, -95.47997381672214")</f>
        <v>30.309972878178684, -95.47997381672214</v>
      </c>
      <c r="K304" s="9" t="str">
        <f>IFERROR(__xludf.DUMMYFUNCTION("""COMPUTED_VALUE"""),"{""regular"":[{""days"":[""Mo"",""Tu"",""We"",""Th"",""Fr""],""open"":""09:00"",""close"":""17:00""}]}")</f>
        <v>{"regular":[{"days":["Mo","Tu","We","Th","Fr"],"open":"09:00","close":"17:00"}]}</v>
      </c>
      <c r="L304" s="9"/>
      <c r="M304" s="10">
        <f>IFERROR(__xludf.DUMMYFUNCTION("""COMPUTED_VALUE"""),51.0)</f>
        <v>51</v>
      </c>
      <c r="N304" s="10" t="str">
        <f>IFERROR(__xludf.DUMMYFUNCTION("""COMPUTED_VALUE"""),"Education - Adults")</f>
        <v>Education - Adults</v>
      </c>
      <c r="O304" s="10">
        <f>IFERROR(__xludf.DUMMYFUNCTION("""COMPUTED_VALUE"""),1.0)</f>
        <v>1</v>
      </c>
      <c r="P304" s="10" t="str">
        <f>IFERROR(__xludf.DUMMYFUNCTION("""COMPUTED_VALUE"""),"ACTIVE")</f>
        <v>ACTIVE</v>
      </c>
      <c r="Q304" s="11">
        <f>IFERROR(__xludf.DUMMYFUNCTION("""COMPUTED_VALUE"""),46016.0)</f>
        <v>46016</v>
      </c>
      <c r="R304" s="9" t="str">
        <f>IFERROR(__xludf.DUMMYFUNCTION("""COMPUTED_VALUE"""),"Verified online")</f>
        <v>Verified online</v>
      </c>
      <c r="S304" s="9" t="str">
        <f>IFERROR(__xludf.DUMMYFUNCTION("""COMPUTED_VALUE"""),"Scholarship referral and other resources to support families attempting to improve their family's situation through education/certification.
Assessment at initial intake to determine how additional education or technical certification could help the famil"&amp;"y.  Support includes supplies, textbooks and tutors.
")</f>
        <v>Scholarship referral and other resources to support families attempting to improve their family's situation through education/certification.
Assessment at initial intake to determine how additional education or technical certification could help the family.  Support includes supplies, textbooks and tutors.
</v>
      </c>
      <c r="T304" s="12" t="b">
        <f>IFERROR(__xludf.DUMMYFUNCTION("""COMPUTED_VALUE"""),FALSE)</f>
        <v>0</v>
      </c>
      <c r="U304" s="12" t="b">
        <f>IFERROR(__xludf.DUMMYFUNCTION("""COMPUTED_VALUE"""),FALSE)</f>
        <v>0</v>
      </c>
      <c r="V304" s="13" t="str">
        <f>IFERROR(__xludf.DUMMYFUNCTION("""COMPUTED_VALUE"""),"https://www.familypromiseofmc.org/emergency-shelter")</f>
        <v>https://www.familypromiseofmc.org/emergency-shelter</v>
      </c>
      <c r="W304" s="14" t="str">
        <f>IFERROR(__xludf.DUMMYFUNCTION("""COMPUTED_VALUE"""),"https://www.google.com/maps/place/109+Commercial+Cir,+Conroe,+TX+77304/@30.3100701,-95.480006,17z/data=!4m16!1m9!3m8!1s0x86473be2d34a5a11:0xa065b86a8078c7a1!2s109+Commercial+Cir,+Conroe,+TX+77304!3b1!8m2!3d30.3097484!4d-95.4800007!10e5!16s%2Fg%2F11cp9b2xj"&amp;"j!3m5!1s0x86473be2d34a5a11:0xa065b86a8078c7a1!8m2!3d30.3097484!4d-95.4800007!16s%2Fg%2F11cp9b2xjj?entry=ttu&amp;g_ep=EgoyMDI1MTAwOC4wIKXMDSoASAFQAw%3D%3D")</f>
        <v>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v>
      </c>
      <c r="X304" s="10"/>
      <c r="Y304" s="9" t="str">
        <f>IFERROR(__xludf.DUMMYFUNCTION("""COMPUTED_VALUE"""),"Conroe")</f>
        <v>Conroe</v>
      </c>
      <c r="Z304" s="9" t="str">
        <f>IFERROR(__xludf.DUMMYFUNCTION("""COMPUTED_VALUE"""),"April Sound, Conroe, Walden on Lake Conroe, West Fork")</f>
        <v>April Sound, Conroe, Walden on Lake Conroe, West Fork</v>
      </c>
      <c r="AA304" s="9" t="str">
        <f>IFERROR(__xludf.DUMMYFUNCTION("""COMPUTED_VALUE"""),"Family Promise")</f>
        <v>Family Promise</v>
      </c>
      <c r="AB304" s="9" t="str">
        <f>IFERROR(__xludf.DUMMYFUNCTION("""COMPUTED_VALUE"""),"Conroe")</f>
        <v>Conroe</v>
      </c>
    </row>
    <row r="305" ht="30.0" customHeight="1">
      <c r="A305" s="17">
        <v>304.0</v>
      </c>
      <c r="B305" s="8" t="str">
        <f>IFERROR(__xludf.DUMMYFUNCTION("""COMPUTED_VALUE"""),"[""77301"",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C305" s="9" t="str">
        <f>IFERROR(__xludf.DUMMYFUNCTION("""COMPUTED_VALUE"""),"Family Promise of Montgomery County")</f>
        <v>Family Promise of Montgomery County</v>
      </c>
      <c r="D305" s="9" t="str">
        <f>IFERROR(__xludf.DUMMYFUNCTION("""COMPUTED_VALUE"""),"109 Commercial Circle")</f>
        <v>109 Commercial Circle</v>
      </c>
      <c r="E305" s="9"/>
      <c r="F305" s="9" t="str">
        <f>IFERROR(__xludf.DUMMYFUNCTION("""COMPUTED_VALUE"""),"Conroe")</f>
        <v>Conroe</v>
      </c>
      <c r="G305" s="9" t="str">
        <f>IFERROR(__xludf.DUMMYFUNCTION("""COMPUTED_VALUE"""),"TX")</f>
        <v>TX</v>
      </c>
      <c r="H305" s="9" t="str">
        <f>IFERROR(__xludf.DUMMYFUNCTION("""COMPUTED_VALUE"""),"77304")</f>
        <v>77304</v>
      </c>
      <c r="I305" s="9" t="str">
        <f>IFERROR(__xludf.DUMMYFUNCTION("""COMPUTED_VALUE"""),"936-441-8778")</f>
        <v>936-441-8778</v>
      </c>
      <c r="J305" s="9" t="str">
        <f>IFERROR(__xludf.DUMMYFUNCTION("""COMPUTED_VALUE"""),"30.309972878178684, -95.47997381672214")</f>
        <v>30.309972878178684, -95.47997381672214</v>
      </c>
      <c r="K305" s="9" t="str">
        <f>IFERROR(__xludf.DUMMYFUNCTION("""COMPUTED_VALUE"""),"{""regular"":[{""days"":[""Mo"",""Tu"",""We"",""Th"",""Fr""],""open"":""09:00"",""close"":""17:00""}]}")</f>
        <v>{"regular":[{"days":["Mo","Tu","We","Th","Fr"],"open":"09:00","close":"17:00"}]}</v>
      </c>
      <c r="L305" s="9"/>
      <c r="M305" s="10">
        <f>IFERROR(__xludf.DUMMYFUNCTION("""COMPUTED_VALUE"""),53.0)</f>
        <v>53</v>
      </c>
      <c r="N305" s="10" t="str">
        <f>IFERROR(__xludf.DUMMYFUNCTION("""COMPUTED_VALUE"""),"Transportation")</f>
        <v>Transportation</v>
      </c>
      <c r="O305" s="10">
        <f>IFERROR(__xludf.DUMMYFUNCTION("""COMPUTED_VALUE"""),1.0)</f>
        <v>1</v>
      </c>
      <c r="P305" s="10" t="str">
        <f>IFERROR(__xludf.DUMMYFUNCTION("""COMPUTED_VALUE"""),"ACTIVE")</f>
        <v>ACTIVE</v>
      </c>
      <c r="Q305" s="11">
        <f>IFERROR(__xludf.DUMMYFUNCTION("""COMPUTED_VALUE"""),46016.0)</f>
        <v>46016</v>
      </c>
      <c r="R305" s="9" t="str">
        <f>IFERROR(__xludf.DUMMYFUNCTION("""COMPUTED_VALUE"""),"Verified online")</f>
        <v>Verified online</v>
      </c>
      <c r="S305" s="9" t="str">
        <f>IFERROR(__xludf.DUMMYFUNCTION("""COMPUTED_VALUE"""),"Maintenance and minor vehicle repairs. 
Access to organization's vehicle to transport families.
Vehicle donation to families without transportation upon successful completion of stay and when a donated vehicle is available.")</f>
        <v>Maintenance and minor vehicle repairs. 
Access to organization's vehicle to transport families.
Vehicle donation to families without transportation upon successful completion of stay and when a donated vehicle is available.</v>
      </c>
      <c r="T305" s="12" t="b">
        <f>IFERROR(__xludf.DUMMYFUNCTION("""COMPUTED_VALUE"""),FALSE)</f>
        <v>0</v>
      </c>
      <c r="U305" s="12" t="b">
        <f>IFERROR(__xludf.DUMMYFUNCTION("""COMPUTED_VALUE"""),FALSE)</f>
        <v>0</v>
      </c>
      <c r="V305" s="13" t="str">
        <f>IFERROR(__xludf.DUMMYFUNCTION("""COMPUTED_VALUE"""),"https://www.familypromiseofmc.org/emergency-shelter")</f>
        <v>https://www.familypromiseofmc.org/emergency-shelter</v>
      </c>
      <c r="W305" s="14" t="str">
        <f>IFERROR(__xludf.DUMMYFUNCTION("""COMPUTED_VALUE"""),"https://www.google.com/maps/place/109+Commercial+Cir,+Conroe,+TX+77304/@30.3100701,-95.480006,17z/data=!4m16!1m9!3m8!1s0x86473be2d34a5a11:0xa065b86a8078c7a1!2s109+Commercial+Cir,+Conroe,+TX+77304!3b1!8m2!3d30.3097484!4d-95.4800007!10e5!16s%2Fg%2F11cp9b2xj"&amp;"j!3m5!1s0x86473be2d34a5a11:0xa065b86a8078c7a1!8m2!3d30.3097484!4d-95.4800007!16s%2Fg%2F11cp9b2xjj?entry=ttu&amp;g_ep=EgoyMDI1MTAwOC4wIKXMDSoASAFQAw%3D%3D")</f>
        <v>https://www.google.com/maps/place/109+Commercial+Cir,+Conroe,+TX+77304/@30.3100701,-95.480006,17z/data=!4m16!1m9!3m8!1s0x86473be2d34a5a11:0xa065b86a8078c7a1!2s109+Commercial+Cir,+Conroe,+TX+77304!3b1!8m2!3d30.3097484!4d-95.4800007!10e5!16s%2Fg%2F11cp9b2xjj!3m5!1s0x86473be2d34a5a11:0xa065b86a8078c7a1!8m2!3d30.3097484!4d-95.4800007!16s%2Fg%2F11cp9b2xjj?entry=ttu&amp;g_ep=EgoyMDI1MTAwOC4wIKXMDSoASAFQAw%3D%3D</v>
      </c>
      <c r="X305" s="10"/>
      <c r="Y305" s="9" t="str">
        <f>IFERROR(__xludf.DUMMYFUNCTION("""COMPUTED_VALUE"""),"Conroe")</f>
        <v>Conroe</v>
      </c>
      <c r="Z305" s="9" t="str">
        <f>IFERROR(__xludf.DUMMYFUNCTION("""COMPUTED_VALUE"""),"April Sound, Conroe, Walden on Lake Conroe, West Fork")</f>
        <v>April Sound, Conroe, Walden on Lake Conroe, West Fork</v>
      </c>
      <c r="AA305" s="9" t="str">
        <f>IFERROR(__xludf.DUMMYFUNCTION("""COMPUTED_VALUE"""),"Family Promise")</f>
        <v>Family Promise</v>
      </c>
      <c r="AB305" s="9" t="str">
        <f>IFERROR(__xludf.DUMMYFUNCTION("""COMPUTED_VALUE"""),"Conroe")</f>
        <v>Conroe</v>
      </c>
    </row>
    <row r="306" ht="30.0" customHeight="1">
      <c r="A306" s="17">
        <v>305.0</v>
      </c>
      <c r="B306" s="8" t="str">
        <f>IFERROR(__xludf.DUMMYFUNCTION("""COMPUTED_VALUE"""),"[""99999""]")</f>
        <v>["99999"]</v>
      </c>
      <c r="C306" s="9" t="str">
        <f>IFERROR(__xludf.DUMMYFUNCTION("""COMPUTED_VALUE"""),"Family Reach")</f>
        <v>Family Reach</v>
      </c>
      <c r="D306" s="9" t="str">
        <f>IFERROR(__xludf.DUMMYFUNCTION("""COMPUTED_VALUE"""),"142 Berkeley Street")</f>
        <v>142 Berkeley Street</v>
      </c>
      <c r="E306" s="9" t="str">
        <f>IFERROR(__xludf.DUMMYFUNCTION("""COMPUTED_VALUE"""),"Suite 310")</f>
        <v>Suite 310</v>
      </c>
      <c r="F306" s="9" t="str">
        <f>IFERROR(__xludf.DUMMYFUNCTION("""COMPUTED_VALUE"""),"Boston")</f>
        <v>Boston</v>
      </c>
      <c r="G306" s="9" t="str">
        <f>IFERROR(__xludf.DUMMYFUNCTION("""COMPUTED_VALUE"""),"MA")</f>
        <v>MA</v>
      </c>
      <c r="H306" s="9" t="str">
        <f>IFERROR(__xludf.DUMMYFUNCTION("""COMPUTED_VALUE"""),"02116")</f>
        <v>02116</v>
      </c>
      <c r="I306" s="9" t="str">
        <f>IFERROR(__xludf.DUMMYFUNCTION("""COMPUTED_VALUE"""),"973-394-1411")</f>
        <v>973-394-1411</v>
      </c>
      <c r="J306" s="9" t="str">
        <f>IFERROR(__xludf.DUMMYFUNCTION("""COMPUTED_VALUE"""),"42.3490290226611, -71.07209366916001")</f>
        <v>42.3490290226611, -71.07209366916001</v>
      </c>
      <c r="K306" s="9" t="str">
        <f>IFERROR(__xludf.DUMMYFUNCTION("""COMPUTED_VALUE"""),"{""regular"":[{""days"":[""Mo"",""Tu"",""We"",""Th"",""Fr""],""open"":""09:00"",""close"":""17:00""}]}")</f>
        <v>{"regular":[{"days":["Mo","Tu","We","Th","Fr"],"open":"09:00","close":"17:00"}]}</v>
      </c>
      <c r="L306" s="9" t="str">
        <f>IFERROR(__xludf.DUMMYFUNCTION("""COMPUTED_VALUE"""),"Apply online")</f>
        <v>Apply online</v>
      </c>
      <c r="M306" s="10">
        <f>IFERROR(__xludf.DUMMYFUNCTION("""COMPUTED_VALUE"""),36.0)</f>
        <v>36</v>
      </c>
      <c r="N306" s="10" t="str">
        <f>IFERROR(__xludf.DUMMYFUNCTION("""COMPUTED_VALUE"""),"Medical - Bill Payment")</f>
        <v>Medical - Bill Payment</v>
      </c>
      <c r="O306" s="10">
        <f>IFERROR(__xludf.DUMMYFUNCTION("""COMPUTED_VALUE"""),1.0)</f>
        <v>1</v>
      </c>
      <c r="P306" s="10" t="str">
        <f>IFERROR(__xludf.DUMMYFUNCTION("""COMPUTED_VALUE"""),"ACTIVE")</f>
        <v>ACTIVE</v>
      </c>
      <c r="Q306" s="11"/>
      <c r="R306" s="9" t="str">
        <f>IFERROR(__xludf.DUMMYFUNCTION("""COMPUTED_VALUE"""),"Verified online")</f>
        <v>Verified online</v>
      </c>
      <c r="S306" s="9" t="str">
        <f>IFERROR(__xludf.DUMMYFUNCTION("""COMPUTED_VALUE"""),"Offers grants when funds are available.
Grants help cover non-medical expenses including mortgage/rent payments, utilities, groceries and transportation.
Applications must be submitted online by a member of the healthcare team.
A charitable patient assist"&amp;"ance foundation.")</f>
        <v>Offers grants when funds are available.
Grants help cover non-medical expenses including mortgage/rent payments, utilities, groceries and transportation.
Applications must be submitted online by a member of the healthcare team.
A charitable patient assistance foundation.</v>
      </c>
      <c r="T306" s="12" t="b">
        <f>IFERROR(__xludf.DUMMYFUNCTION("""COMPUTED_VALUE"""),FALSE)</f>
        <v>0</v>
      </c>
      <c r="U306" s="12" t="b">
        <f>IFERROR(__xludf.DUMMYFUNCTION("""COMPUTED_VALUE"""),FALSE)</f>
        <v>0</v>
      </c>
      <c r="V306" s="13" t="str">
        <f>IFERROR(__xludf.DUMMYFUNCTION("""COMPUTED_VALUE"""),"https://familyreach.org/financialassistance/")</f>
        <v>https://familyreach.org/financialassistance/</v>
      </c>
      <c r="W306" s="14" t="str">
        <f>IFERROR(__xludf.DUMMYFUNCTION("""COMPUTED_VALUE"""),"https://www.google.com/maps/place/Family+Reach/@42.3488309,-71.0770129,17z/data=!3m2!4b1!5s0x89e37a733f1d3301:0xb3e21cc92ac59e6b!4m6!3m5!1s0x89e37a733f730321:0x11208cbac7fe58f2!8m2!3d42.348831!4d-71.0721366!16s%2Fg%2F11d_zmqf63?entry=ttu&amp;g_ep=EgoyMDI2MDEy"&amp;"MC4wIKXMDSoKLDEwMDc5MjA2OUgBUAM%3D")</f>
        <v>https://www.google.com/maps/place/Family+Reach/@42.3488309,-71.0770129,17z/data=!3m2!4b1!5s0x89e37a733f1d3301:0xb3e21cc92ac59e6b!4m6!3m5!1s0x89e37a733f730321:0x11208cbac7fe58f2!8m2!3d42.348831!4d-71.0721366!16s%2Fg%2F11d_zmqf63?entry=ttu&amp;g_ep=EgoyMDI2MDEyMC4wIKXMDSoKLDEwMDc5MjA2OUgBUAM%3D</v>
      </c>
      <c r="X306" s="10"/>
      <c r="Y306" s="9" t="str">
        <f>IFERROR(__xludf.DUMMYFUNCTION("""COMPUTED_VALUE"""),"Boston")</f>
        <v>Boston</v>
      </c>
      <c r="Z306" s="9" t="str">
        <f>IFERROR(__xludf.DUMMYFUNCTION("""COMPUTED_VALUE"""),"#N/A")</f>
        <v>#N/A</v>
      </c>
      <c r="AA306" s="9" t="str">
        <f>IFERROR(__xludf.DUMMYFUNCTION("""COMPUTED_VALUE"""),"Family Reach")</f>
        <v>Family Reach</v>
      </c>
      <c r="AB306" s="9" t="str">
        <f>IFERROR(__xludf.DUMMYFUNCTION("""COMPUTED_VALUE"""),"Black Bay")</f>
        <v>Black Bay</v>
      </c>
    </row>
    <row r="307" ht="30.0" customHeight="1">
      <c r="A307" s="17">
        <v>306.0</v>
      </c>
      <c r="B307" s="8" t="str">
        <f>IFERROR(__xludf.DUMMYFUNCTION("""COMPUTED_VALUE"""),"[""99999""]")</f>
        <v>["99999"]</v>
      </c>
      <c r="C307" s="9" t="str">
        <f>IFERROR(__xludf.DUMMYFUNCTION("""COMPUTED_VALUE"""),"Family Time Crisis &amp; Counseling Center")</f>
        <v>Family Time Crisis &amp; Counseling Center</v>
      </c>
      <c r="D307" s="9" t="str">
        <f>IFERROR(__xludf.DUMMYFUNCTION("""COMPUTED_VALUE"""),"1203 South Houston Avenue")</f>
        <v>1203 South Houston Avenue</v>
      </c>
      <c r="E307" s="9"/>
      <c r="F307" s="9" t="str">
        <f>IFERROR(__xludf.DUMMYFUNCTION("""COMPUTED_VALUE"""),"Humble")</f>
        <v>Humble</v>
      </c>
      <c r="G307" s="9" t="str">
        <f>IFERROR(__xludf.DUMMYFUNCTION("""COMPUTED_VALUE"""),"TX")</f>
        <v>TX</v>
      </c>
      <c r="H307" s="9" t="str">
        <f>IFERROR(__xludf.DUMMYFUNCTION("""COMPUTED_VALUE"""),"77338")</f>
        <v>77338</v>
      </c>
      <c r="I307" s="9" t="str">
        <f>IFERROR(__xludf.DUMMYFUNCTION("""COMPUTED_VALUE"""),"281-446-2615")</f>
        <v>281-446-2615</v>
      </c>
      <c r="J307" s="9" t="str">
        <f>IFERROR(__xludf.DUMMYFUNCTION("""COMPUTED_VALUE"""),"29.983107, -95.259673")</f>
        <v>29.983107, -95.259673</v>
      </c>
      <c r="K307" s="9" t="str">
        <f>IFERROR(__xludf.DUMMYFUNCTION("""COMPUTED_VALUE"""),"{""regular"":[{""days"":[""Mo"",""Tu"",""We"",""Th"",""Fr"",""Sa"",""Su""],""open"":""00:00"",""close"":""23:59""}]}")</f>
        <v>{"regular":[{"days":["Mo","Tu","We","Th","Fr","Sa","Su"],"open":"00:00","close":"23:59"}]}</v>
      </c>
      <c r="L307" s="9"/>
      <c r="M307" s="10">
        <f>IFERROR(__xludf.DUMMYFUNCTION("""COMPUTED_VALUE"""),41.0)</f>
        <v>41</v>
      </c>
      <c r="N307" s="10" t="str">
        <f>IFERROR(__xludf.DUMMYFUNCTION("""COMPUTED_VALUE"""),"Domestic Abuse - Shelters")</f>
        <v>Domestic Abuse - Shelters</v>
      </c>
      <c r="O307" s="10">
        <f>IFERROR(__xludf.DUMMYFUNCTION("""COMPUTED_VALUE"""),1.0)</f>
        <v>1</v>
      </c>
      <c r="P307" s="10" t="str">
        <f>IFERROR(__xludf.DUMMYFUNCTION("""COMPUTED_VALUE"""),"ACTIVE")</f>
        <v>ACTIVE</v>
      </c>
      <c r="Q307" s="11"/>
      <c r="R307" s="9"/>
      <c r="S307" s="9" t="str">
        <f>IFERROR(__xludf.DUMMYFUNCTION("""COMPUTED_VALUE"""),"Coalition for the Homeless (CFTH) Partner/Rapid Rehousing
Hospital accompaniment
Legal Advocacy
Professional counseling at affordable rates
Parenting education and anger management classes
Services available in Spanish")</f>
        <v>Coalition for the Homeless (CFTH) Partner/Rapid Rehousing
Hospital accompaniment
Legal Advocacy
Professional counseling at affordable rates
Parenting education and anger management classes
Services available in Spanish</v>
      </c>
      <c r="T307" s="12" t="b">
        <f>IFERROR(__xludf.DUMMYFUNCTION("""COMPUTED_VALUE"""),FALSE)</f>
        <v>0</v>
      </c>
      <c r="U307" s="12" t="b">
        <f>IFERROR(__xludf.DUMMYFUNCTION("""COMPUTED_VALUE"""),FALSE)</f>
        <v>0</v>
      </c>
      <c r="V307" s="13" t="str">
        <f>IFERROR(__xludf.DUMMYFUNCTION("""COMPUTED_VALUE"""),"https://familytimeccc.org/about/overview/")</f>
        <v>https://familytimeccc.org/about/overview/</v>
      </c>
      <c r="W307" s="10"/>
      <c r="X307" s="10"/>
      <c r="Y307" s="9" t="str">
        <f>IFERROR(__xludf.DUMMYFUNCTION("""COMPUTED_VALUE"""),"Humble")</f>
        <v>Humble</v>
      </c>
      <c r="Z307" s="9" t="str">
        <f>IFERROR(__xludf.DUMMYFUNCTION("""COMPUTED_VALUE"""),"Humble, Humble (Old Town), Northshire")</f>
        <v>Humble, Humble (Old Town), Northshire</v>
      </c>
      <c r="AA307" s="9" t="str">
        <f>IFERROR(__xludf.DUMMYFUNCTION("""COMPUTED_VALUE"""),"Family Time Crisis &amp; Counseling Center")</f>
        <v>Family Time Crisis &amp; Counseling Center</v>
      </c>
      <c r="AB307" s="9" t="str">
        <f>IFERROR(__xludf.DUMMYFUNCTION("""COMPUTED_VALUE"""),"Humble")</f>
        <v>Humble</v>
      </c>
    </row>
    <row r="308" ht="30.0" customHeight="1">
      <c r="A308" s="17">
        <v>307.0</v>
      </c>
      <c r="B308" s="8" t="str">
        <f>IFERROR(__xludf.DUMMYFUNCTION("""COMPUTED_VALUE"""),"[""99999""]")</f>
        <v>["99999"]</v>
      </c>
      <c r="C308" s="9" t="str">
        <f>IFERROR(__xludf.DUMMYFUNCTION("""COMPUTED_VALUE"""),"FIEL For Families and Their Education")</f>
        <v>FIEL For Families and Their Education</v>
      </c>
      <c r="D308" s="9" t="str">
        <f>IFERROR(__xludf.DUMMYFUNCTION("""COMPUTED_VALUE"""),"4635 Southwest Fwy")</f>
        <v>4635 Southwest Fwy</v>
      </c>
      <c r="E308" s="9" t="str">
        <f>IFERROR(__xludf.DUMMYFUNCTION("""COMPUTED_VALUE"""),"Suite 220")</f>
        <v>Suite 220</v>
      </c>
      <c r="F308" s="9" t="str">
        <f>IFERROR(__xludf.DUMMYFUNCTION("""COMPUTED_VALUE"""),"Houston")</f>
        <v>Houston</v>
      </c>
      <c r="G308" s="9" t="str">
        <f>IFERROR(__xludf.DUMMYFUNCTION("""COMPUTED_VALUE"""),"TX")</f>
        <v>TX</v>
      </c>
      <c r="H308" s="9" t="str">
        <f>IFERROR(__xludf.DUMMYFUNCTION("""COMPUTED_VALUE"""),"77027")</f>
        <v>77027</v>
      </c>
      <c r="I308" s="9" t="str">
        <f>IFERROR(__xludf.DUMMYFUNCTION("""COMPUTED_VALUE"""),"713-364-3435")</f>
        <v>713-364-3435</v>
      </c>
      <c r="J308" s="9" t="str">
        <f>IFERROR(__xludf.DUMMYFUNCTION("""COMPUTED_VALUE"""),"29.729218, -95.453583")</f>
        <v>29.729218, -95.453583</v>
      </c>
      <c r="K308" s="9" t="str">
        <f>IFERROR(__xludf.DUMMYFUNCTION("""COMPUTED_VALUE"""),"{""regular"":[{""days"":[""Mo"",""Tu"",""We"",""Th"",""Fr""],""open"":null,""close"":null}]}")</f>
        <v>{"regular":[{"days":["Mo","Tu","We","Th","Fr"],"open":null,"close":null}]}</v>
      </c>
      <c r="L308" s="9"/>
      <c r="M308" s="10">
        <f>IFERROR(__xludf.DUMMYFUNCTION("""COMPUTED_VALUE"""),55.0)</f>
        <v>55</v>
      </c>
      <c r="N308" s="10" t="str">
        <f>IFERROR(__xludf.DUMMYFUNCTION("""COMPUTED_VALUE"""),"Immigration")</f>
        <v>Immigration</v>
      </c>
      <c r="O308" s="10">
        <f>IFERROR(__xludf.DUMMYFUNCTION("""COMPUTED_VALUE"""),1.0)</f>
        <v>1</v>
      </c>
      <c r="P308" s="10" t="str">
        <f>IFERROR(__xludf.DUMMYFUNCTION("""COMPUTED_VALUE"""),"ACTIVE")</f>
        <v>ACTIVE</v>
      </c>
      <c r="Q308" s="11">
        <f>IFERROR(__xludf.DUMMYFUNCTION("""COMPUTED_VALUE"""),45757.0)</f>
        <v>45757</v>
      </c>
      <c r="R308" s="9"/>
      <c r="S308" s="9"/>
      <c r="T308" s="12" t="b">
        <f>IFERROR(__xludf.DUMMYFUNCTION("""COMPUTED_VALUE"""),FALSE)</f>
        <v>0</v>
      </c>
      <c r="U308" s="12" t="b">
        <f>IFERROR(__xludf.DUMMYFUNCTION("""COMPUTED_VALUE"""),FALSE)</f>
        <v>0</v>
      </c>
      <c r="V308" s="13" t="str">
        <f>IFERROR(__xludf.DUMMYFUNCTION("""COMPUTED_VALUE"""),"https://fielhouston.org/immigration/")</f>
        <v>https://fielhouston.org/immigration/</v>
      </c>
      <c r="W308" s="10"/>
      <c r="X308" s="10"/>
      <c r="Y308" s="9" t="str">
        <f>IFERROR(__xludf.DUMMYFUNCTION("""COMPUTED_VALUE"""),"Houston")</f>
        <v>Houston</v>
      </c>
      <c r="Z308" s="9" t="str">
        <f>IFERROR(__xludf.DUMMYFUNCTION("""COMPUTED_VALUE"""),"Afton Oaks, Greenway / Upper Kirby Area, Highland Village, River Oaks District, Westside")</f>
        <v>Afton Oaks, Greenway / Upper Kirby Area, Highland Village, River Oaks District, Westside</v>
      </c>
      <c r="AA308" s="9" t="str">
        <f>IFERROR(__xludf.DUMMYFUNCTION("""COMPUTED_VALUE"""),"FIEL For Families and Their Education")</f>
        <v>FIEL For Families and Their Education</v>
      </c>
      <c r="AB308" s="9" t="str">
        <f>IFERROR(__xludf.DUMMYFUNCTION("""COMPUTED_VALUE"""),"Greenway / Upper Kirby Area")</f>
        <v>Greenway / Upper Kirby Area</v>
      </c>
    </row>
    <row r="309" ht="30.0" customHeight="1">
      <c r="A309" s="17">
        <v>308.0</v>
      </c>
      <c r="B30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309" s="9" t="str">
        <f>IFERROR(__xludf.DUMMYFUNCTION("""COMPUTED_VALUE"""),"Fifth Ward Multi-Center")</f>
        <v>Fifth Ward Multi-Center</v>
      </c>
      <c r="D309" s="9" t="str">
        <f>IFERROR(__xludf.DUMMYFUNCTION("""COMPUTED_VALUE"""),"4014 Market Street")</f>
        <v>4014 Market Street</v>
      </c>
      <c r="E309" s="9"/>
      <c r="F309" s="9" t="str">
        <f>IFERROR(__xludf.DUMMYFUNCTION("""COMPUTED_VALUE"""),"Houston")</f>
        <v>Houston</v>
      </c>
      <c r="G309" s="9" t="str">
        <f>IFERROR(__xludf.DUMMYFUNCTION("""COMPUTED_VALUE"""),"TX")</f>
        <v>TX</v>
      </c>
      <c r="H309" s="9" t="str">
        <f>IFERROR(__xludf.DUMMYFUNCTION("""COMPUTED_VALUE"""),"77020")</f>
        <v>77020</v>
      </c>
      <c r="I309" s="9" t="str">
        <f>IFERROR(__xludf.DUMMYFUNCTION("""COMPUTED_VALUE"""),"713-238-3232")</f>
        <v>713-238-3232</v>
      </c>
      <c r="J309" s="9" t="str">
        <f>IFERROR(__xludf.DUMMYFUNCTION("""COMPUTED_VALUE"""),"29.77267840489499, -95.33059363009613")</f>
        <v>29.77267840489499, -95.33059363009613</v>
      </c>
      <c r="K309" s="9" t="str">
        <f>IFERROR(__xludf.DUMMYFUNCTION("""COMPUTED_VALUE"""),"{""special"":[{""pattern"":""3rd We"",""open"":""08:00"",""close"":""11:00""}]}")</f>
        <v>{"special":[{"pattern":"3rd We","open":"08:00","close":"11:00"}]}</v>
      </c>
      <c r="L309" s="9"/>
      <c r="M309" s="10">
        <f>IFERROR(__xludf.DUMMYFUNCTION("""COMPUTED_VALUE"""),13.0)</f>
        <v>13</v>
      </c>
      <c r="N309" s="10" t="str">
        <f>IFERROR(__xludf.DUMMYFUNCTION("""COMPUTED_VALUE"""),"Food")</f>
        <v>Food</v>
      </c>
      <c r="O309" s="10">
        <f>IFERROR(__xludf.DUMMYFUNCTION("""COMPUTED_VALUE"""),1.0)</f>
        <v>1</v>
      </c>
      <c r="P309" s="10" t="str">
        <f>IFERROR(__xludf.DUMMYFUNCTION("""COMPUTED_VALUE"""),"ACTIVE")</f>
        <v>ACTIVE</v>
      </c>
      <c r="Q309" s="11">
        <f>IFERROR(__xludf.DUMMYFUNCTION("""COMPUTED_VALUE"""),46057.0)</f>
        <v>46057</v>
      </c>
      <c r="R309" s="9" t="str">
        <f>IFERROR(__xludf.DUMMYFUNCTION("""COMPUTED_VALUE"""),"Verified online")</f>
        <v>Verified online</v>
      </c>
      <c r="S309" s="9" t="str">
        <f>IFERROR(__xludf.DUMMYFUNCTION("""COMPUTED_VALUE"""),"Food Distribution
by the Houston Food Bank for seniors over the age of 60 and families with children under five years.")</f>
        <v>Food Distribution
by the Houston Food Bank for seniors over the age of 60 and families with children under five years.</v>
      </c>
      <c r="T309" s="12" t="b">
        <f>IFERROR(__xludf.DUMMYFUNCTION("""COMPUTED_VALUE"""),FALSE)</f>
        <v>0</v>
      </c>
      <c r="U309" s="12" t="b">
        <f>IFERROR(__xludf.DUMMYFUNCTION("""COMPUTED_VALUE"""),FALSE)</f>
        <v>0</v>
      </c>
      <c r="V309" s="13" t="str">
        <f>IFERROR(__xludf.DUMMYFUNCTION("""COMPUTED_VALUE"""),"https://www.houstonhealth.org/services/multi-service-centers/fifth-ward-multi-service-center")</f>
        <v>https://www.houstonhealth.org/services/multi-service-centers/fifth-ward-multi-service-center</v>
      </c>
      <c r="W309" s="14" t="str">
        <f>IFERROR(__xludf.DUMMYFUNCTION("""COMPUTED_VALUE"""),"https://www.google.com/maps/place/Fifth+Ward+Multi-Service+Center/@29.7721662,-95.33319,16z/data=!3m1!4b1!4m6!3m5!1s0x8640beb57aca7dc7:0x8f9d48cd55f703e5!8m2!3d29.7721616!4d-95.3306151!16s%2Fg%2F11bv30k8s6?entry=ttu&amp;g_ep=EgoyMDI2MDIwMS4wIKXMDSoKLDEwMDc5Mj"&amp;"A2OUgBUAM%3D")</f>
        <v>https://www.google.com/maps/place/Fifth+Ward+Multi-Service+Center/@29.7721662,-95.33319,16z/data=!3m1!4b1!4m6!3m5!1s0x8640beb57aca7dc7:0x8f9d48cd55f703e5!8m2!3d29.7721616!4d-95.3306151!16s%2Fg%2F11bv30k8s6?entry=ttu&amp;g_ep=EgoyMDI2MDIwMS4wIKXMDSoKLDEwMDc5MjA2OUgBUAM%3D</v>
      </c>
      <c r="X309" s="10"/>
      <c r="Y309" s="9" t="str">
        <f>IFERROR(__xludf.DUMMYFUNCTION("""COMPUTED_VALUE"""),"Houston")</f>
        <v>Houston</v>
      </c>
      <c r="Z309" s="9" t="str">
        <f>IFERROR(__xludf.DUMMYFUNCTION("""COMPUTED_VALUE"""),"Denver Harbor / Port Houston, Fifth Ward, Northside")</f>
        <v>Denver Harbor / Port Houston, Fifth Ward, Northside</v>
      </c>
      <c r="AA309" s="9" t="str">
        <f>IFERROR(__xludf.DUMMYFUNCTION("""COMPUTED_VALUE"""),"City of Houston")</f>
        <v>City of Houston</v>
      </c>
      <c r="AB309" s="9" t="str">
        <f>IFERROR(__xludf.DUMMYFUNCTION("""COMPUTED_VALUE"""),"Fifth Ward")</f>
        <v>Fifth Ward</v>
      </c>
    </row>
    <row r="310" ht="30.0" customHeight="1">
      <c r="A310" s="17">
        <v>309.0</v>
      </c>
      <c r="B31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310" s="9" t="str">
        <f>IFERROR(__xludf.DUMMYFUNCTION("""COMPUTED_VALUE"""),"Fifth Ward Multi-Center")</f>
        <v>Fifth Ward Multi-Center</v>
      </c>
      <c r="D310" s="9" t="str">
        <f>IFERROR(__xludf.DUMMYFUNCTION("""COMPUTED_VALUE"""),"4014 Market Street")</f>
        <v>4014 Market Street</v>
      </c>
      <c r="E310" s="9"/>
      <c r="F310" s="9" t="str">
        <f>IFERROR(__xludf.DUMMYFUNCTION("""COMPUTED_VALUE"""),"Houston")</f>
        <v>Houston</v>
      </c>
      <c r="G310" s="9" t="str">
        <f>IFERROR(__xludf.DUMMYFUNCTION("""COMPUTED_VALUE"""),"TX")</f>
        <v>TX</v>
      </c>
      <c r="H310" s="9" t="str">
        <f>IFERROR(__xludf.DUMMYFUNCTION("""COMPUTED_VALUE"""),"77020")</f>
        <v>77020</v>
      </c>
      <c r="I310" s="9" t="str">
        <f>IFERROR(__xludf.DUMMYFUNCTION("""COMPUTED_VALUE"""),"713-237-0264")</f>
        <v>713-237-0264</v>
      </c>
      <c r="J310" s="9" t="str">
        <f>IFERROR(__xludf.DUMMYFUNCTION("""COMPUTED_VALUE"""),"29.77267840489499, -95.33059363009613")</f>
        <v>29.77267840489499, -95.33059363009613</v>
      </c>
      <c r="K310" s="9" t="str">
        <f>IFERROR(__xludf.DUMMYFUNCTION("""COMPUTED_VALUE"""),"{""regular"":[{""days"":[""Mo"",""Tu"",""We"",""Th"",""Fr""],""open"":""07:00"",""close"":""17:00""}]}")</f>
        <v>{"regular":[{"days":["Mo","Tu","We","Th","Fr"],"open":"07:00","close":"17:00"}]}</v>
      </c>
      <c r="L310" s="9"/>
      <c r="M310" s="10">
        <f>IFERROR(__xludf.DUMMYFUNCTION("""COMPUTED_VALUE"""),44.0)</f>
        <v>44</v>
      </c>
      <c r="N310" s="10" t="str">
        <f>IFERROR(__xludf.DUMMYFUNCTION("""COMPUTED_VALUE"""),"Mother &amp; Child")</f>
        <v>Mother &amp; Child</v>
      </c>
      <c r="O310" s="10">
        <f>IFERROR(__xludf.DUMMYFUNCTION("""COMPUTED_VALUE"""),1.0)</f>
        <v>1</v>
      </c>
      <c r="P310" s="10" t="str">
        <f>IFERROR(__xludf.DUMMYFUNCTION("""COMPUTED_VALUE"""),"ACTIVE")</f>
        <v>ACTIVE</v>
      </c>
      <c r="Q310" s="11">
        <f>IFERROR(__xludf.DUMMYFUNCTION("""COMPUTED_VALUE"""),46057.0)</f>
        <v>46057</v>
      </c>
      <c r="R310" s="9" t="str">
        <f>IFERROR(__xludf.DUMMYFUNCTION("""COMPUTED_VALUE"""),"Verified online")</f>
        <v>Verified online</v>
      </c>
      <c r="S310" s="9" t="str">
        <f>IFERROR(__xludf.DUMMYFUNCTION("""COMPUTED_VALUE"""),"Head Start
For children ages 3 to 5 years")</f>
        <v>Head Start
For children ages 3 to 5 years</v>
      </c>
      <c r="T310" s="12" t="b">
        <f>IFERROR(__xludf.DUMMYFUNCTION("""COMPUTED_VALUE"""),FALSE)</f>
        <v>0</v>
      </c>
      <c r="U310" s="12" t="b">
        <f>IFERROR(__xludf.DUMMYFUNCTION("""COMPUTED_VALUE"""),FALSE)</f>
        <v>0</v>
      </c>
      <c r="V310" s="13" t="str">
        <f>IFERROR(__xludf.DUMMYFUNCTION("""COMPUTED_VALUE"""),"https://www.houstonhealth.org/services/multi-service-centers/fifth-ward-multi-service-center")</f>
        <v>https://www.houstonhealth.org/services/multi-service-centers/fifth-ward-multi-service-center</v>
      </c>
      <c r="W310" s="14" t="str">
        <f>IFERROR(__xludf.DUMMYFUNCTION("""COMPUTED_VALUE"""),"https://www.google.com/maps/place/Fifth+Ward+Multi-Service+Center/@29.7721662,-95.33319,16z/data=!3m1!4b1!4m6!3m5!1s0x8640beb57aca7dc7:0x8f9d48cd55f703e5!8m2!3d29.7721616!4d-95.3306151!16s%2Fg%2F11bv30k8s6?entry=ttu&amp;g_ep=EgoyMDI2MDIwMS4wIKXMDSoKLDEwMDc5Mj"&amp;"A2OUgBUAM%3D")</f>
        <v>https://www.google.com/maps/place/Fifth+Ward+Multi-Service+Center/@29.7721662,-95.33319,16z/data=!3m1!4b1!4m6!3m5!1s0x8640beb57aca7dc7:0x8f9d48cd55f703e5!8m2!3d29.7721616!4d-95.3306151!16s%2Fg%2F11bv30k8s6?entry=ttu&amp;g_ep=EgoyMDI2MDIwMS4wIKXMDSoKLDEwMDc5MjA2OUgBUAM%3D</v>
      </c>
      <c r="X310" s="10"/>
      <c r="Y310" s="9" t="str">
        <f>IFERROR(__xludf.DUMMYFUNCTION("""COMPUTED_VALUE"""),"Houston")</f>
        <v>Houston</v>
      </c>
      <c r="Z310" s="9" t="str">
        <f>IFERROR(__xludf.DUMMYFUNCTION("""COMPUTED_VALUE"""),"Denver Harbor / Port Houston, Fifth Ward, Northside")</f>
        <v>Denver Harbor / Port Houston, Fifth Ward, Northside</v>
      </c>
      <c r="AA310" s="9" t="str">
        <f>IFERROR(__xludf.DUMMYFUNCTION("""COMPUTED_VALUE"""),"City of Houston")</f>
        <v>City of Houston</v>
      </c>
      <c r="AB310" s="9" t="str">
        <f>IFERROR(__xludf.DUMMYFUNCTION("""COMPUTED_VALUE"""),"Fifth Ward")</f>
        <v>Fifth Ward</v>
      </c>
    </row>
    <row r="311" ht="30.0" customHeight="1">
      <c r="A311" s="17">
        <v>310.0</v>
      </c>
      <c r="B311" s="8" t="str">
        <f>IFERROR(__xludf.DUMMYFUNCTION("""COMPUTED_VALUE"""),"[""77562""]")</f>
        <v>["77562"]</v>
      </c>
      <c r="C311" s="9" t="str">
        <f>IFERROR(__xludf.DUMMYFUNCTION("""COMPUTED_VALUE"""),"First Baptist Highlands Magnolia")</f>
        <v>First Baptist Highlands Magnolia</v>
      </c>
      <c r="D311" s="9" t="str">
        <f>IFERROR(__xludf.DUMMYFUNCTION("""COMPUTED_VALUE"""),"210 N Magnolia Street")</f>
        <v>210 N Magnolia Street</v>
      </c>
      <c r="E311" s="9"/>
      <c r="F311" s="9" t="str">
        <f>IFERROR(__xludf.DUMMYFUNCTION("""COMPUTED_VALUE"""),"Highlands")</f>
        <v>Highlands</v>
      </c>
      <c r="G311" s="9" t="str">
        <f>IFERROR(__xludf.DUMMYFUNCTION("""COMPUTED_VALUE"""),"TX")</f>
        <v>TX</v>
      </c>
      <c r="H311" s="9" t="str">
        <f>IFERROR(__xludf.DUMMYFUNCTION("""COMPUTED_VALUE"""),"77562")</f>
        <v>77562</v>
      </c>
      <c r="I311" s="9" t="str">
        <f>IFERROR(__xludf.DUMMYFUNCTION("""COMPUTED_VALUE"""),"281-426-4551")</f>
        <v>281-426-4551</v>
      </c>
      <c r="J311" s="9" t="str">
        <f>IFERROR(__xludf.DUMMYFUNCTION("""COMPUTED_VALUE"""),"29.81831075, -95.0593901650093")</f>
        <v>29.81831075, -95.0593901650093</v>
      </c>
      <c r="K311" s="9" t="str">
        <f>IFERROR(__xludf.DUMMYFUNCTION("""COMPUTED_VALUE"""),"{""regular"":[{""days"":[""Mo"",""Tu"",""We"",""Th"",""Fr""],""open"":null,""close"":null}]}")</f>
        <v>{"regular":[{"days":["Mo","Tu","We","Th","Fr"],"open":null,"close":null}]}</v>
      </c>
      <c r="L311" s="9"/>
      <c r="M311" s="10">
        <f>IFERROR(__xludf.DUMMYFUNCTION("""COMPUTED_VALUE"""),13.0)</f>
        <v>13</v>
      </c>
      <c r="N311" s="10" t="str">
        <f>IFERROR(__xludf.DUMMYFUNCTION("""COMPUTED_VALUE"""),"Food")</f>
        <v>Food</v>
      </c>
      <c r="O311" s="10">
        <f>IFERROR(__xludf.DUMMYFUNCTION("""COMPUTED_VALUE"""),1.0)</f>
        <v>1</v>
      </c>
      <c r="P311" s="10" t="str">
        <f>IFERROR(__xludf.DUMMYFUNCTION("""COMPUTED_VALUE"""),"ACTIVE")</f>
        <v>ACTIVE</v>
      </c>
      <c r="Q311" s="11"/>
      <c r="R311" s="9"/>
      <c r="S311" s="9"/>
      <c r="T311" s="12" t="b">
        <f>IFERROR(__xludf.DUMMYFUNCTION("""COMPUTED_VALUE"""),FALSE)</f>
        <v>0</v>
      </c>
      <c r="U311" s="12" t="b">
        <f>IFERROR(__xludf.DUMMYFUNCTION("""COMPUTED_VALUE"""),FALSE)</f>
        <v>0</v>
      </c>
      <c r="V311" s="13" t="str">
        <f>IFERROR(__xludf.DUMMYFUNCTION("""COMPUTED_VALUE"""),"https://www.firstbaptisthighlands.org/")</f>
        <v>https://www.firstbaptisthighlands.org/</v>
      </c>
      <c r="W311" s="14" t="str">
        <f>IFERROR(__xludf.DUMMYFUNCTION("""COMPUTED_VALUE"""),"https://maps.google.com/?q=First%20Baptist%20Highlands%20Magnolia%20210%20N%20Magnolia%20St%20Highlands%20TX%2077562")</f>
        <v>https://maps.google.com/?q=First%20Baptist%20Highlands%20Magnolia%20210%20N%20Magnolia%20St%20Highlands%20TX%2077562</v>
      </c>
      <c r="X311" s="10"/>
      <c r="Y311" s="9" t="str">
        <f>IFERROR(__xludf.DUMMYFUNCTION("""COMPUTED_VALUE"""),"Highlands")</f>
        <v>Highlands</v>
      </c>
      <c r="Z311" s="9" t="str">
        <f>IFERROR(__xludf.DUMMYFUNCTION("""COMPUTED_VALUE"""),"Highlands")</f>
        <v>Highlands</v>
      </c>
      <c r="AA311" s="9" t="str">
        <f>IFERROR(__xludf.DUMMYFUNCTION("""COMPUTED_VALUE"""),"First Baptist Highlands Magnolia")</f>
        <v>First Baptist Highlands Magnolia</v>
      </c>
      <c r="AB311" s="9" t="str">
        <f>IFERROR(__xludf.DUMMYFUNCTION("""COMPUTED_VALUE"""),"Highlands")</f>
        <v>Highlands</v>
      </c>
    </row>
    <row r="312" ht="30.0" customHeight="1">
      <c r="A312" s="17">
        <v>311.0</v>
      </c>
      <c r="B312" s="8" t="str">
        <f>IFERROR(__xludf.DUMMYFUNCTION("""COMPUTED_VALUE"""),"[""77093""]")</f>
        <v>["77093"]</v>
      </c>
      <c r="C312" s="9" t="str">
        <f>IFERROR(__xludf.DUMMYFUNCTION("""COMPUTED_VALUE"""),"First Baptist North Houston")</f>
        <v>First Baptist North Houston</v>
      </c>
      <c r="D312" s="9" t="str">
        <f>IFERROR(__xludf.DUMMYFUNCTION("""COMPUTED_VALUE"""),"4422 Lauder Road")</f>
        <v>4422 Lauder Road</v>
      </c>
      <c r="E312" s="9"/>
      <c r="F312" s="10" t="str">
        <f>IFERROR(__xludf.DUMMYFUNCTION("""COMPUTED_VALUE"""),"Houston")</f>
        <v>Houston</v>
      </c>
      <c r="G312" s="9" t="str">
        <f>IFERROR(__xludf.DUMMYFUNCTION("""COMPUTED_VALUE"""),"TX")</f>
        <v>TX</v>
      </c>
      <c r="H312" s="9" t="str">
        <f>IFERROR(__xludf.DUMMYFUNCTION("""COMPUTED_VALUE"""),"77039")</f>
        <v>77039</v>
      </c>
      <c r="I312" s="9" t="str">
        <f>IFERROR(__xludf.DUMMYFUNCTION("""COMPUTED_VALUE"""),"281-442-4357")</f>
        <v>281-442-4357</v>
      </c>
      <c r="J312" s="9" t="str">
        <f>IFERROR(__xludf.DUMMYFUNCTION("""COMPUTED_VALUE"""),"29.9113107422541, -95.3321272110446")</f>
        <v>29.9113107422541, -95.3321272110446</v>
      </c>
      <c r="K312" s="9" t="str">
        <f>IFERROR(__xludf.DUMMYFUNCTION("""COMPUTED_VALUE"""),"{""special"":[{""pattern"":""1st &amp; 3rd Mo"",""open"":null,""close"":null}]}")</f>
        <v>{"special":[{"pattern":"1st &amp; 3rd Mo","open":null,"close":null}]}</v>
      </c>
      <c r="L312" s="9"/>
      <c r="M312" s="10">
        <f>IFERROR(__xludf.DUMMYFUNCTION("""COMPUTED_VALUE"""),13.0)</f>
        <v>13</v>
      </c>
      <c r="N312" s="10" t="str">
        <f>IFERROR(__xludf.DUMMYFUNCTION("""COMPUTED_VALUE"""),"Food")</f>
        <v>Food</v>
      </c>
      <c r="O312" s="10">
        <f>IFERROR(__xludf.DUMMYFUNCTION("""COMPUTED_VALUE"""),1.0)</f>
        <v>1</v>
      </c>
      <c r="P312" s="10" t="str">
        <f>IFERROR(__xludf.DUMMYFUNCTION("""COMPUTED_VALUE"""),"ACTIVE")</f>
        <v>ACTIVE</v>
      </c>
      <c r="Q312" s="11"/>
      <c r="R312" s="9"/>
      <c r="S312" s="9"/>
      <c r="T312" s="12" t="b">
        <f>IFERROR(__xludf.DUMMYFUNCTION("""COMPUTED_VALUE"""),FALSE)</f>
        <v>0</v>
      </c>
      <c r="U312" s="12" t="b">
        <f>IFERROR(__xludf.DUMMYFUNCTION("""COMPUTED_VALUE"""),FALSE)</f>
        <v>0</v>
      </c>
      <c r="V312" s="12"/>
      <c r="W312" s="14" t="str">
        <f>IFERROR(__xludf.DUMMYFUNCTION("""COMPUTED_VALUE"""),"https://maps.google.com/?q=First%20Baptist%20North%20Houston%204422%20Lauder%20Rd%20Houston%20TX%2077039")</f>
        <v>https://maps.google.com/?q=First%20Baptist%20North%20Houston%204422%20Lauder%20Rd%20Houston%20TX%2077039</v>
      </c>
      <c r="X312" s="10"/>
      <c r="Y312" s="9" t="str">
        <f>IFERROR(__xludf.DUMMYFUNCTION("""COMPUTED_VALUE"""),"Houston")</f>
        <v>Houston</v>
      </c>
      <c r="Z312" s="9" t="str">
        <f>IFERROR(__xludf.DUMMYFUNCTION("""COMPUTED_VALUE"""),"Airline, Aldine, Fairgreen, High Meadows")</f>
        <v>Airline, Aldine, Fairgreen, High Meadows</v>
      </c>
      <c r="AA312" s="9" t="str">
        <f>IFERROR(__xludf.DUMMYFUNCTION("""COMPUTED_VALUE"""),"First Baptist North Houston")</f>
        <v>First Baptist North Houston</v>
      </c>
      <c r="AB312" s="9" t="str">
        <f>IFERROR(__xludf.DUMMYFUNCTION("""COMPUTED_VALUE"""),"Fairgreen")</f>
        <v>Fairgreen</v>
      </c>
    </row>
    <row r="313" ht="30.0" customHeight="1">
      <c r="A313" s="17">
        <v>312.0</v>
      </c>
      <c r="B313" s="8" t="str">
        <f>IFERROR(__xludf.DUMMYFUNCTION("""COMPUTED_VALUE"""),"[""77006""]")</f>
        <v>["77006"]</v>
      </c>
      <c r="C313" s="9" t="str">
        <f>IFERROR(__xludf.DUMMYFUNCTION("""COMPUTED_VALUE"""),"First Presbyterian Church")</f>
        <v>First Presbyterian Church</v>
      </c>
      <c r="D313" s="9" t="str">
        <f>IFERROR(__xludf.DUMMYFUNCTION("""COMPUTED_VALUE"""),"5300 Main Street")</f>
        <v>5300 Main Street</v>
      </c>
      <c r="E313" s="9"/>
      <c r="F313" s="9" t="str">
        <f>IFERROR(__xludf.DUMMYFUNCTION("""COMPUTED_VALUE"""),"Houston")</f>
        <v>Houston</v>
      </c>
      <c r="G313" s="9" t="str">
        <f>IFERROR(__xludf.DUMMYFUNCTION("""COMPUTED_VALUE"""),"TX")</f>
        <v>TX</v>
      </c>
      <c r="H313" s="9" t="str">
        <f>IFERROR(__xludf.DUMMYFUNCTION("""COMPUTED_VALUE"""),"77004")</f>
        <v>77004</v>
      </c>
      <c r="I313" s="9" t="str">
        <f>IFERROR(__xludf.DUMMYFUNCTION("""COMPUTED_VALUE"""),"281-833-3500")</f>
        <v>281-833-3500</v>
      </c>
      <c r="J313" s="9" t="str">
        <f>IFERROR(__xludf.DUMMYFUNCTION("""COMPUTED_VALUE"""),"29.727533, -95.38925")</f>
        <v>29.727533, -95.38925</v>
      </c>
      <c r="K313" s="9" t="str">
        <f>IFERROR(__xludf.DUMMYFUNCTION("""COMPUTED_VALUE"""),"{""regular"":[{""days"":[""Mo"",""Tu"",""We"",""Th"",""Fr""],""open"":""09:30"",""close"":""11:00""}]}")</f>
        <v>{"regular":[{"days":["Mo","Tu","We","Th","Fr"],"open":"09:30","close":"11:00"}]}</v>
      </c>
      <c r="L313" s="9"/>
      <c r="M313" s="10">
        <f>IFERROR(__xludf.DUMMYFUNCTION("""COMPUTED_VALUE"""),11.0)</f>
        <v>11</v>
      </c>
      <c r="N313" s="10" t="str">
        <f>IFERROR(__xludf.DUMMYFUNCTION("""COMPUTED_VALUE"""),"Rent")</f>
        <v>Rent</v>
      </c>
      <c r="O313" s="10">
        <f>IFERROR(__xludf.DUMMYFUNCTION("""COMPUTED_VALUE"""),4.0)</f>
        <v>4</v>
      </c>
      <c r="P313" s="10" t="str">
        <f>IFERROR(__xludf.DUMMYFUNCTION("""COMPUTED_VALUE"""),"CLOSED")</f>
        <v>CLOSED</v>
      </c>
      <c r="Q313" s="11">
        <f>IFERROR(__xludf.DUMMYFUNCTION("""COMPUTED_VALUE"""),45637.0)</f>
        <v>45637</v>
      </c>
      <c r="R313" s="9" t="str">
        <f>IFERROR(__xludf.DUMMYFUNCTION("""COMPUTED_VALUE"""),"The listed number is for Main Street Ministries, which does not provide financial assistance.")</f>
        <v>The listed number is for Main Street Ministries, which does not provide financial assistance.</v>
      </c>
      <c r="S313" s="9"/>
      <c r="T313" s="12" t="b">
        <f>IFERROR(__xludf.DUMMYFUNCTION("""COMPUTED_VALUE"""),FALSE)</f>
        <v>0</v>
      </c>
      <c r="U313" s="12" t="b">
        <f>IFERROR(__xludf.DUMMYFUNCTION("""COMPUTED_VALUE"""),FALSE)</f>
        <v>0</v>
      </c>
      <c r="V313" s="12"/>
      <c r="W313" s="14" t="str">
        <f>IFERROR(__xludf.DUMMYFUNCTION("""COMPUTED_VALUE"""),"https://maps.google.com/?q=First%20Presbyterian%20Church%20%20%20TX%20")</f>
        <v>https://maps.google.com/?q=First%20Presbyterian%20Church%20%20%20TX%20</v>
      </c>
      <c r="X313" s="10"/>
      <c r="Y313" s="9" t="str">
        <f>IFERROR(__xludf.DUMMYFUNCTION("""COMPUTED_VALUE"""),"Houston")</f>
        <v>Houston</v>
      </c>
      <c r="Z313"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313" s="9" t="str">
        <f>IFERROR(__xludf.DUMMYFUNCTION("""COMPUTED_VALUE"""),"First Presbyterian Church")</f>
        <v>First Presbyterian Church</v>
      </c>
      <c r="AB313" s="9" t="str">
        <f>IFERROR(__xludf.DUMMYFUNCTION("""COMPUTED_VALUE"""),"University Place")</f>
        <v>University Place</v>
      </c>
    </row>
    <row r="314" ht="30.0" customHeight="1">
      <c r="A314" s="17">
        <v>313.0</v>
      </c>
      <c r="B314" s="8" t="str">
        <f>IFERROR(__xludf.DUMMYFUNCTION("""COMPUTED_VALUE"""),"[""77006""]")</f>
        <v>["77006"]</v>
      </c>
      <c r="C314" s="9" t="str">
        <f>IFERROR(__xludf.DUMMYFUNCTION("""COMPUTED_VALUE"""),"First Presbyterian Church")</f>
        <v>First Presbyterian Church</v>
      </c>
      <c r="D314" s="9" t="str">
        <f>IFERROR(__xludf.DUMMYFUNCTION("""COMPUTED_VALUE"""),"5300 Main Street")</f>
        <v>5300 Main Street</v>
      </c>
      <c r="E314" s="9"/>
      <c r="F314" s="9" t="str">
        <f>IFERROR(__xludf.DUMMYFUNCTION("""COMPUTED_VALUE"""),"Houston")</f>
        <v>Houston</v>
      </c>
      <c r="G314" s="9" t="str">
        <f>IFERROR(__xludf.DUMMYFUNCTION("""COMPUTED_VALUE"""),"TX")</f>
        <v>TX</v>
      </c>
      <c r="H314" s="9" t="str">
        <f>IFERROR(__xludf.DUMMYFUNCTION("""COMPUTED_VALUE"""),"77004")</f>
        <v>77004</v>
      </c>
      <c r="I314" s="9" t="str">
        <f>IFERROR(__xludf.DUMMYFUNCTION("""COMPUTED_VALUE"""),"281-833-3500")</f>
        <v>281-833-3500</v>
      </c>
      <c r="J314" s="9" t="str">
        <f>IFERROR(__xludf.DUMMYFUNCTION("""COMPUTED_VALUE"""),"29.727533, -95.38925")</f>
        <v>29.727533, -95.38925</v>
      </c>
      <c r="K314" s="9" t="str">
        <f>IFERROR(__xludf.DUMMYFUNCTION("""COMPUTED_VALUE"""),"{""regular"":[{""days"":[""Mo"",""Tu"",""We"",""Th"",""Fr""],""open"":""09:30"",""close"":""11:00""}]}")</f>
        <v>{"regular":[{"days":["Mo","Tu","We","Th","Fr"],"open":"09:30","close":"11:00"}]}</v>
      </c>
      <c r="L314" s="9"/>
      <c r="M314" s="10">
        <f>IFERROR(__xludf.DUMMYFUNCTION("""COMPUTED_VALUE"""),12.0)</f>
        <v>12</v>
      </c>
      <c r="N314" s="10" t="str">
        <f>IFERROR(__xludf.DUMMYFUNCTION("""COMPUTED_VALUE"""),"Utilities")</f>
        <v>Utilities</v>
      </c>
      <c r="O314" s="10">
        <f>IFERROR(__xludf.DUMMYFUNCTION("""COMPUTED_VALUE"""),4.0)</f>
        <v>4</v>
      </c>
      <c r="P314" s="10" t="str">
        <f>IFERROR(__xludf.DUMMYFUNCTION("""COMPUTED_VALUE"""),"CLOSED")</f>
        <v>CLOSED</v>
      </c>
      <c r="Q314" s="11">
        <f>IFERROR(__xludf.DUMMYFUNCTION("""COMPUTED_VALUE"""),45637.0)</f>
        <v>45637</v>
      </c>
      <c r="R314" s="9" t="str">
        <f>IFERROR(__xludf.DUMMYFUNCTION("""COMPUTED_VALUE"""),"The listed number is for Main Street Ministries, which does not provide financial assistance.")</f>
        <v>The listed number is for Main Street Ministries, which does not provide financial assistance.</v>
      </c>
      <c r="S314" s="9"/>
      <c r="T314" s="12" t="b">
        <f>IFERROR(__xludf.DUMMYFUNCTION("""COMPUTED_VALUE"""),FALSE)</f>
        <v>0</v>
      </c>
      <c r="U314" s="12" t="b">
        <f>IFERROR(__xludf.DUMMYFUNCTION("""COMPUTED_VALUE"""),FALSE)</f>
        <v>0</v>
      </c>
      <c r="V314" s="12"/>
      <c r="W314" s="14" t="str">
        <f>IFERROR(__xludf.DUMMYFUNCTION("""COMPUTED_VALUE"""),"https://maps.google.com/?q=First%20Presbyterian%20Church%20%20%20TX%20")</f>
        <v>https://maps.google.com/?q=First%20Presbyterian%20Church%20%20%20TX%20</v>
      </c>
      <c r="X314" s="10"/>
      <c r="Y314" s="9" t="str">
        <f>IFERROR(__xludf.DUMMYFUNCTION("""COMPUTED_VALUE"""),"Houston")</f>
        <v>Houston</v>
      </c>
      <c r="Z314"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314" s="9" t="str">
        <f>IFERROR(__xludf.DUMMYFUNCTION("""COMPUTED_VALUE"""),"First Presbyterian Church")</f>
        <v>First Presbyterian Church</v>
      </c>
      <c r="AB314" s="9" t="str">
        <f>IFERROR(__xludf.DUMMYFUNCTION("""COMPUTED_VALUE"""),"University Place")</f>
        <v>University Place</v>
      </c>
    </row>
    <row r="315" ht="30.0" customHeight="1">
      <c r="A315" s="17">
        <v>314.0</v>
      </c>
      <c r="B315" s="8" t="str">
        <f>IFERROR(__xludf.DUMMYFUNCTION("""COMPUTED_VALUE"""),"[""77064"", ""77065"", ""77069"", ""77070"", ""77073"", ""77080"", ""77082"", ""77084"", ""77095"", ""77375"", ""77377"", ""77379"", ""77388"", ""77429"", ""77433"", ""77363"", ""77418"", ""77423"", ""77426"", ""77445"", ""77446"", ""77452"", ""77466"", "&amp;"""77474"", ""77484"", ""77492""]")</f>
        <v>["77064", "77065", "77069", "77070", "77073", "77080", "77082", "77084", "77095", "77375", "77377", "77379", "77388", "77429", "77433", "77363", "77418", "77423", "77426", "77445", "77446", "77452", "77466", "77474", "77484", "77492"]</v>
      </c>
      <c r="C315" s="9" t="str">
        <f>IFERROR(__xludf.DUMMYFUNCTION("""COMPUTED_VALUE"""),"Focusing Families")</f>
        <v>Focusing Families</v>
      </c>
      <c r="D315" s="9" t="str">
        <f>IFERROR(__xludf.DUMMYFUNCTION("""COMPUTED_VALUE"""),"124 West Commerce Street")</f>
        <v>124 West Commerce Street</v>
      </c>
      <c r="E315" s="9"/>
      <c r="F315" s="9" t="str">
        <f>IFERROR(__xludf.DUMMYFUNCTION("""COMPUTED_VALUE"""),"Brenham")</f>
        <v>Brenham</v>
      </c>
      <c r="G315" s="9" t="str">
        <f>IFERROR(__xludf.DUMMYFUNCTION("""COMPUTED_VALUE"""),"TX")</f>
        <v>TX</v>
      </c>
      <c r="H315" s="9" t="str">
        <f>IFERROR(__xludf.DUMMYFUNCTION("""COMPUTED_VALUE"""),"77833")</f>
        <v>77833</v>
      </c>
      <c r="I315" s="9" t="str">
        <f>IFERROR(__xludf.DUMMYFUNCTION("""COMPUTED_VALUE"""),"979-826-3290
877-237-2339 (24 hrs)")</f>
        <v>979-826-3290
877-237-2339 (24 hrs)</v>
      </c>
      <c r="J315" s="9" t="str">
        <f>IFERROR(__xludf.DUMMYFUNCTION("""COMPUTED_VALUE"""),"30.16626185916132, -96.3988086819016")</f>
        <v>30.16626185916132, -96.3988086819016</v>
      </c>
      <c r="K315" s="9" t="str">
        <f>IFERROR(__xludf.DUMMYFUNCTION("""COMPUTED_VALUE"""),"{""regular"":[{""days"":[""Mo"",""Tu"",""We"",""Th"",""Fr""],""open"":""08:00"",""close"":""17:00""}]}")</f>
        <v>{"regular":[{"days":["Mo","Tu","We","Th","Fr"],"open":"08:00","close":"17:00"}]}</v>
      </c>
      <c r="L315" s="9"/>
      <c r="M315" s="10">
        <f>IFERROR(__xludf.DUMMYFUNCTION("""COMPUTED_VALUE"""),41.0)</f>
        <v>41</v>
      </c>
      <c r="N315" s="10" t="str">
        <f>IFERROR(__xludf.DUMMYFUNCTION("""COMPUTED_VALUE"""),"Domestic Abuse - Shelters")</f>
        <v>Domestic Abuse - Shelters</v>
      </c>
      <c r="O315" s="10">
        <f>IFERROR(__xludf.DUMMYFUNCTION("""COMPUTED_VALUE"""),1.0)</f>
        <v>1</v>
      </c>
      <c r="P315" s="10" t="str">
        <f>IFERROR(__xludf.DUMMYFUNCTION("""COMPUTED_VALUE"""),"ACTIVE")</f>
        <v>ACTIVE</v>
      </c>
      <c r="Q315" s="11">
        <f>IFERROR(__xludf.DUMMYFUNCTION("""COMPUTED_VALUE"""),45875.0)</f>
        <v>45875</v>
      </c>
      <c r="R315" s="9" t="str">
        <f>IFERROR(__xludf.DUMMYFUNCTION("""COMPUTED_VALUE"""),"Verified online")</f>
        <v>Verified online</v>
      </c>
      <c r="S315" s="9" t="str">
        <f>IFERROR(__xludf.DUMMYFUNCTION("""COMPUTED_VALUE"""),"For women and children residing in Waller, Grimes, Washington and Northwest Harris counties fleeing from physical, sexual or psychological abuse.
Temporary Emergency Shelter
Counseling Services, Case Management, Advocacy, limited local transportation, emo"&amp;"tional empowerment and nutrition and parenting classes.")</f>
        <v>For women and children residing in Waller, Grimes, Washington and Northwest Harris counties fleeing from physical, sexual or psychological abuse.
Temporary Emergency Shelter
Counseling Services, Case Management, Advocacy, limited local transportation, emotional empowerment and nutrition and parenting classes.</v>
      </c>
      <c r="T315" s="12" t="b">
        <f>IFERROR(__xludf.DUMMYFUNCTION("""COMPUTED_VALUE"""),FALSE)</f>
        <v>0</v>
      </c>
      <c r="U315" s="12" t="b">
        <f>IFERROR(__xludf.DUMMYFUNCTION("""COMPUTED_VALUE"""),FALSE)</f>
        <v>0</v>
      </c>
      <c r="V315" s="13" t="str">
        <f>IFERROR(__xludf.DUMMYFUNCTION("""COMPUTED_VALUE"""),"https://focusing-families.org/family-violence")</f>
        <v>https://focusing-families.org/family-violence</v>
      </c>
      <c r="W315" s="14" t="str">
        <f>IFERROR(__xludf.DUMMYFUNCTION("""COMPUTED_VALUE"""),"https://www.google.com/maps/place/910+W+9th+St,+Houston,+TX+77007/@29.7867406,-95.4068575,19z/data=!4m15!1m8!3m7!1s0x8640c744f1ec7b87:0xf2cc83908d523b7c!2s910+W+9th+St,+Houston,+TX+77007!3b1!8m2!3d29.7867361!4d-95.4064927!16s%2Fg%2F11c4gl2yqx!3m5!1s0x8640"&amp;"c744f1ec7b87:0xf2cc83908d523b7c!8m2!3d29.7867361!4d-95.4064927!16s%2Fg%2F11c4gl2yqx?entry=ttu&amp;g_ep=EgoyMDI1MDgwNC4wIKXMDSoASAFQAw%3D%3D")</f>
        <v>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v>
      </c>
      <c r="X315" s="10"/>
      <c r="Y315" s="9" t="str">
        <f>IFERROR(__xludf.DUMMYFUNCTION("""COMPUTED_VALUE"""),"Brenham")</f>
        <v>Brenham</v>
      </c>
      <c r="Z315" s="9" t="str">
        <f>IFERROR(__xludf.DUMMYFUNCTION("""COMPUTED_VALUE"""),"Brenham")</f>
        <v>Brenham</v>
      </c>
      <c r="AA315" s="9" t="str">
        <f>IFERROR(__xludf.DUMMYFUNCTION("""COMPUTED_VALUE"""),"Focusing Families")</f>
        <v>Focusing Families</v>
      </c>
      <c r="AB315" s="9" t="str">
        <f>IFERROR(__xludf.DUMMYFUNCTION("""COMPUTED_VALUE"""),"Brenham")</f>
        <v>Brenham</v>
      </c>
    </row>
    <row r="316" ht="30.0" customHeight="1">
      <c r="A316" s="17">
        <v>315.0</v>
      </c>
      <c r="B316" s="8" t="str">
        <f>IFERROR(__xludf.DUMMYFUNCTION("""COMPUTED_VALUE"""),"[""77064"", ""77065"", ""77069"", ""77070"", ""77073"", ""77080"", ""77082"", ""77084"", ""77095"", ""77375"", ""77377"", ""77379"", ""77388"", ""77429"", ""77433"", ""77363"", ""77418"", ""77423"", ""77426"", ""77445"", ""77446"", ""77452"", ""77466"", "&amp;"""77474"", ""77484"", ""77492""]")</f>
        <v>["77064", "77065", "77069", "77070", "77073", "77080", "77082", "77084", "77095", "77375", "77377", "77379", "77388", "77429", "77433", "77363", "77418", "77423", "77426", "77445", "77446", "77452", "77466", "77474", "77484", "77492"]</v>
      </c>
      <c r="C316" s="9" t="str">
        <f>IFERROR(__xludf.DUMMYFUNCTION("""COMPUTED_VALUE"""),"Focusing Families")</f>
        <v>Focusing Families</v>
      </c>
      <c r="D316" s="9" t="str">
        <f>IFERROR(__xludf.DUMMYFUNCTION("""COMPUTED_VALUE"""),"910 9th Street")</f>
        <v>910 9th Street</v>
      </c>
      <c r="E316" s="9"/>
      <c r="F316" s="9" t="str">
        <f>IFERROR(__xludf.DUMMYFUNCTION("""COMPUTED_VALUE"""),"Hemsptead")</f>
        <v>Hemsptead</v>
      </c>
      <c r="G316" s="9" t="str">
        <f>IFERROR(__xludf.DUMMYFUNCTION("""COMPUTED_VALUE"""),"TX")</f>
        <v>TX</v>
      </c>
      <c r="H316" s="9" t="str">
        <f>IFERROR(__xludf.DUMMYFUNCTION("""COMPUTED_VALUE"""),"77445")</f>
        <v>77445</v>
      </c>
      <c r="I316" s="9" t="str">
        <f>IFERROR(__xludf.DUMMYFUNCTION("""COMPUTED_VALUE"""),"979-826-3290
877-237-2339 (24 hrs)")</f>
        <v>979-826-3290
877-237-2339 (24 hrs)</v>
      </c>
      <c r="J316" s="9" t="str">
        <f>IFERROR(__xludf.DUMMYFUNCTION("""COMPUTED_VALUE"""),"29.78679530458619, -95.40648466245122")</f>
        <v>29.78679530458619, -95.40648466245122</v>
      </c>
      <c r="K316" s="9" t="str">
        <f>IFERROR(__xludf.DUMMYFUNCTION("""COMPUTED_VALUE"""),"{""regular"":[{""days"":[""Mo"",""Tu"",""We"",""Th"",""Fr""],""open"":""08:00"",""close"":""17:00""}]}")</f>
        <v>{"regular":[{"days":["Mo","Tu","We","Th","Fr"],"open":"08:00","close":"17:00"}]}</v>
      </c>
      <c r="L316" s="9"/>
      <c r="M316" s="10">
        <f>IFERROR(__xludf.DUMMYFUNCTION("""COMPUTED_VALUE"""),41.0)</f>
        <v>41</v>
      </c>
      <c r="N316" s="10" t="str">
        <f>IFERROR(__xludf.DUMMYFUNCTION("""COMPUTED_VALUE"""),"Domestic Abuse - Shelters")</f>
        <v>Domestic Abuse - Shelters</v>
      </c>
      <c r="O316" s="10">
        <f>IFERROR(__xludf.DUMMYFUNCTION("""COMPUTED_VALUE"""),1.0)</f>
        <v>1</v>
      </c>
      <c r="P316" s="10" t="str">
        <f>IFERROR(__xludf.DUMMYFUNCTION("""COMPUTED_VALUE"""),"ACTIVE")</f>
        <v>ACTIVE</v>
      </c>
      <c r="Q316" s="11">
        <f>IFERROR(__xludf.DUMMYFUNCTION("""COMPUTED_VALUE"""),45875.0)</f>
        <v>45875</v>
      </c>
      <c r="R316" s="9" t="str">
        <f>IFERROR(__xludf.DUMMYFUNCTION("""COMPUTED_VALUE"""),"Verified online")</f>
        <v>Verified online</v>
      </c>
      <c r="S316" s="9" t="str">
        <f>IFERROR(__xludf.DUMMYFUNCTION("""COMPUTED_VALUE"""),"For women and children residing in Waller, Grimes, Washington and Northwest Harris counties fleeing from physical, sexual or psychological abuse.
Temporary Emergency Shelter
Counseling Services, Case Management, Advocacy, limited local transportation, emo"&amp;"tional empowerment and nutrition and parenting classes.")</f>
        <v>For women and children residing in Waller, Grimes, Washington and Northwest Harris counties fleeing from physical, sexual or psychological abuse.
Temporary Emergency Shelter
Counseling Services, Case Management, Advocacy, limited local transportation, emotional empowerment and nutrition and parenting classes.</v>
      </c>
      <c r="T316" s="12" t="b">
        <f>IFERROR(__xludf.DUMMYFUNCTION("""COMPUTED_VALUE"""),FALSE)</f>
        <v>0</v>
      </c>
      <c r="U316" s="12" t="b">
        <f>IFERROR(__xludf.DUMMYFUNCTION("""COMPUTED_VALUE"""),FALSE)</f>
        <v>0</v>
      </c>
      <c r="V316" s="13" t="str">
        <f>IFERROR(__xludf.DUMMYFUNCTION("""COMPUTED_VALUE"""),"https://focusing-families.org/family-violence")</f>
        <v>https://focusing-families.org/family-violence</v>
      </c>
      <c r="W316" s="14" t="str">
        <f>IFERROR(__xludf.DUMMYFUNCTION("""COMPUTED_VALUE"""),"https://www.google.com/maps/place/910+W+9th+St,+Houston,+TX+77007/@29.7867406,-95.4068575,19z/data=!4m15!1m8!3m7!1s0x8640c744f1ec7b87:0xf2cc83908d523b7c!2s910+W+9th+St,+Houston,+TX+77007!3b1!8m2!3d29.7867361!4d-95.4064927!16s%2Fg%2F11c4gl2yqx!3m5!1s0x8640"&amp;"c744f1ec7b87:0xf2cc83908d523b7c!8m2!3d29.7867361!4d-95.4064927!16s%2Fg%2F11c4gl2yqx?entry=ttu&amp;g_ep=EgoyMDI1MDgwNC4wIKXMDSoASAFQAw%3D%3D")</f>
        <v>https://www.google.com/maps/place/910+W+9th+St,+Houston,+TX+77007/@29.7867406,-95.4068575,19z/data=!4m15!1m8!3m7!1s0x8640c744f1ec7b87:0xf2cc83908d523b7c!2s910+W+9th+St,+Houston,+TX+77007!3b1!8m2!3d29.7867361!4d-95.4064927!16s%2Fg%2F11c4gl2yqx!3m5!1s0x8640c744f1ec7b87:0xf2cc83908d523b7c!8m2!3d29.7867361!4d-95.4064927!16s%2Fg%2F11c4gl2yqx?entry=ttu&amp;g_ep=EgoyMDI1MDgwNC4wIKXMDSoASAFQAw%3D%3D</v>
      </c>
      <c r="X316" s="10"/>
      <c r="Y316" s="9" t="str">
        <f>IFERROR(__xludf.DUMMYFUNCTION("""COMPUTED_VALUE"""),"Hempstead")</f>
        <v>Hempstead</v>
      </c>
      <c r="Z316" s="9" t="str">
        <f>IFERROR(__xludf.DUMMYFUNCTION("""COMPUTED_VALUE"""),"Hempstead, Northside")</f>
        <v>Hempstead, Northside</v>
      </c>
      <c r="AA316" s="9" t="str">
        <f>IFERROR(__xludf.DUMMYFUNCTION("""COMPUTED_VALUE"""),"Focusing Families")</f>
        <v>Focusing Families</v>
      </c>
      <c r="AB316" s="9" t="str">
        <f>IFERROR(__xludf.DUMMYFUNCTION("""COMPUTED_VALUE"""),"Northside")</f>
        <v>Northside</v>
      </c>
    </row>
    <row r="317" ht="30.0" customHeight="1">
      <c r="A317" s="17">
        <v>316.0</v>
      </c>
      <c r="B317"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17" s="9" t="str">
        <f>IFERROR(__xludf.DUMMYFUNCTION("""COMPUTED_VALUE"""),"Fort Bend County Social Services")</f>
        <v>Fort Bend County Social Services</v>
      </c>
      <c r="D317" s="9" t="str">
        <f>IFERROR(__xludf.DUMMYFUNCTION("""COMPUTED_VALUE"""),"307 Texas Parkway")</f>
        <v>307 Texas Parkway</v>
      </c>
      <c r="E317" s="9" t="str">
        <f>IFERROR(__xludf.DUMMYFUNCTION("""COMPUTED_VALUE"""),"Suite 235")</f>
        <v>Suite 235</v>
      </c>
      <c r="F317" s="9" t="str">
        <f>IFERROR(__xludf.DUMMYFUNCTION("""COMPUTED_VALUE"""),"Missouri City")</f>
        <v>Missouri City</v>
      </c>
      <c r="G317" s="9" t="str">
        <f>IFERROR(__xludf.DUMMYFUNCTION("""COMPUTED_VALUE"""),"TX")</f>
        <v>TX</v>
      </c>
      <c r="H317" s="9" t="str">
        <f>IFERROR(__xludf.DUMMYFUNCTION("""COMPUTED_VALUE"""),"77489")</f>
        <v>77489</v>
      </c>
      <c r="I317" s="9" t="str">
        <f>IFERROR(__xludf.DUMMYFUNCTION("""COMPUTED_VALUE"""),"281-403-8050")</f>
        <v>281-403-8050</v>
      </c>
      <c r="J317" s="9" t="str">
        <f>IFERROR(__xludf.DUMMYFUNCTION("""COMPUTED_VALUE"""),"29.617450800677172, -95.536066052093")</f>
        <v>29.617450800677172, -95.536066052093</v>
      </c>
      <c r="K317" s="9" t="str">
        <f>IFERROR(__xludf.DUMMYFUNCTION("""COMPUTED_VALUE"""),"{""regular"":[{""days"":[""Mo"",""Tu"",""We"",""Th"",""Fr""],""open"":""08:00"",""close"":""17:00""}]}")</f>
        <v>{"regular":[{"days":["Mo","Tu","We","Th","Fr"],"open":"08:00","close":"17:00"}]}</v>
      </c>
      <c r="L317" s="9" t="str">
        <f>IFERROR(__xludf.DUMMYFUNCTION("""COMPUTED_VALUE"""),"Walk-ins welcome but appointments take priority")</f>
        <v>Walk-ins welcome but appointments take priority</v>
      </c>
      <c r="M317" s="10">
        <f>IFERROR(__xludf.DUMMYFUNCTION("""COMPUTED_VALUE"""),11.0)</f>
        <v>11</v>
      </c>
      <c r="N317" s="10" t="str">
        <f>IFERROR(__xludf.DUMMYFUNCTION("""COMPUTED_VALUE"""),"Rent")</f>
        <v>Rent</v>
      </c>
      <c r="O317" s="10">
        <f>IFERROR(__xludf.DUMMYFUNCTION("""COMPUTED_VALUE"""),1.0)</f>
        <v>1</v>
      </c>
      <c r="P317" s="10" t="str">
        <f>IFERROR(__xludf.DUMMYFUNCTION("""COMPUTED_VALUE"""),"ACTIVE")</f>
        <v>ACTIVE</v>
      </c>
      <c r="Q317" s="11">
        <f>IFERROR(__xludf.DUMMYFUNCTION("""COMPUTED_VALUE"""),45870.0)</f>
        <v>45870</v>
      </c>
      <c r="R317" s="9" t="str">
        <f>IFERROR(__xludf.DUMMYFUNCTION("""COMPUTED_VALUE"""),"Verified online")</f>
        <v>Verified online</v>
      </c>
      <c r="S317"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
"&amp;"Lease agreement and Late or Eviction Notice")</f>
        <v>Be aware that some zip codes they support are split between Fort Bend Country and other counties.  They provide assistance to Fort Bend County residents only.
US Citizen.  Social Security Card and stated issued ID required.
Proof of income and emergency.
Lease agreement and Late or Eviction Notice</v>
      </c>
      <c r="T317" s="12" t="b">
        <f>IFERROR(__xludf.DUMMYFUNCTION("""COMPUTED_VALUE"""),FALSE)</f>
        <v>0</v>
      </c>
      <c r="U317" s="12" t="b">
        <f>IFERROR(__xludf.DUMMYFUNCTION("""COMPUTED_VALUE"""),FALSE)</f>
        <v>0</v>
      </c>
      <c r="V317" s="13" t="str">
        <f>IFERROR(__xludf.DUMMYFUNCTION("""COMPUTED_VALUE"""),"https://www.fortbendcountytx.gov/government/departments/social-services/services/rent-mortgage-assistance")</f>
        <v>https://www.fortbendcountytx.gov/government/departments/social-services/services/rent-mortgage-assistance</v>
      </c>
      <c r="W317" s="14" t="str">
        <f>IFERROR(__xludf.DUMMYFUNCTION("""COMPUTED_VALUE"""),"https://www.google.com/maps/place/307+Texas+Pkwy,+Missouri+City,+TX+77489/@29.617227,-95.5386195,17z/data=!3m1!4b1!4m6!3m5!1s0x8640e8f2234e3d8b:0xb4b5026a11bf6b5a!8m2!3d29.617227!4d-95.5360446!16s%2Fg%2F11rp1xn5p6?entry=ttu&amp;g_ep=EgoyMDI1MDcyOS4wIKXMDSoASA"&amp;"FQAw%3D%3D")</f>
        <v>https://www.google.com/maps/place/307+Texas+Pkwy,+Missouri+City,+TX+77489/@29.617227,-95.5386195,17z/data=!3m1!4b1!4m6!3m5!1s0x8640e8f2234e3d8b:0xb4b5026a11bf6b5a!8m2!3d29.617227!4d-95.5360446!16s%2Fg%2F11rp1xn5p6?entry=ttu&amp;g_ep=EgoyMDI1MDcyOS4wIKXMDSoASAFQAw%3D%3D</v>
      </c>
      <c r="X317" s="10"/>
      <c r="Y317" s="9" t="str">
        <f>IFERROR(__xludf.DUMMYFUNCTION("""COMPUTED_VALUE"""),"Missouri City")</f>
        <v>Missouri City</v>
      </c>
      <c r="Z317" s="9" t="str">
        <f>IFERROR(__xludf.DUMMYFUNCTION("""COMPUTED_VALUE"""),"Missouri City, Olde Missouri City Market Place, Quail Green South, Quail Valley, Sta-mo Annex")</f>
        <v>Missouri City, Olde Missouri City Market Place, Quail Green South, Quail Valley, Sta-mo Annex</v>
      </c>
      <c r="AA317" s="9" t="str">
        <f>IFERROR(__xludf.DUMMYFUNCTION("""COMPUTED_VALUE"""),"Fort Bend County Social Services")</f>
        <v>Fort Bend County Social Services</v>
      </c>
      <c r="AB317" s="9" t="str">
        <f>IFERROR(__xludf.DUMMYFUNCTION("""COMPUTED_VALUE"""),"Missouri City")</f>
        <v>Missouri City</v>
      </c>
    </row>
    <row r="318" ht="30.0" customHeight="1">
      <c r="A318" s="17">
        <v>317.0</v>
      </c>
      <c r="B318"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18" s="9" t="str">
        <f>IFERROR(__xludf.DUMMYFUNCTION("""COMPUTED_VALUE"""),"Fort Bend County Social Services")</f>
        <v>Fort Bend County Social Services</v>
      </c>
      <c r="D318" s="9" t="str">
        <f>IFERROR(__xludf.DUMMYFUNCTION("""COMPUTED_VALUE"""),"4520 Reading Avenue")</f>
        <v>4520 Reading Avenue</v>
      </c>
      <c r="E318" s="9" t="str">
        <f>IFERROR(__xludf.DUMMYFUNCTION("""COMPUTED_VALUE"""),"Suite A900")</f>
        <v>Suite A900</v>
      </c>
      <c r="F318" s="9" t="str">
        <f>IFERROR(__xludf.DUMMYFUNCTION("""COMPUTED_VALUE"""),"Rosenberg")</f>
        <v>Rosenberg</v>
      </c>
      <c r="G318" s="9" t="str">
        <f>IFERROR(__xludf.DUMMYFUNCTION("""COMPUTED_VALUE"""),"TX")</f>
        <v>TX</v>
      </c>
      <c r="H318" s="9" t="str">
        <f>IFERROR(__xludf.DUMMYFUNCTION("""COMPUTED_VALUE"""),"77471")</f>
        <v>77471</v>
      </c>
      <c r="I318" s="9" t="str">
        <f>IFERROR(__xludf.DUMMYFUNCTION("""COMPUTED_VALUE"""),"281-238-3502")</f>
        <v>281-238-3502</v>
      </c>
      <c r="J318" s="9" t="str">
        <f>IFERROR(__xludf.DUMMYFUNCTION("""COMPUTED_VALUE"""),"29.56421540182599, -95.78005805283148")</f>
        <v>29.56421540182599, -95.78005805283148</v>
      </c>
      <c r="K318" s="9" t="str">
        <f>IFERROR(__xludf.DUMMYFUNCTION("""COMPUTED_VALUE"""),"{""regular"":[{""days"":[""Mo"",""Tu"",""We"",""Th"",""Fr""],""open"":""08:00"",""close"":""17:00""}]}")</f>
        <v>{"regular":[{"days":["Mo","Tu","We","Th","Fr"],"open":"08:00","close":"17:00"}]}</v>
      </c>
      <c r="L318" s="9" t="str">
        <f>IFERROR(__xludf.DUMMYFUNCTION("""COMPUTED_VALUE"""),"Walk-ins welcome but appointments take priority")</f>
        <v>Walk-ins welcome but appointments take priority</v>
      </c>
      <c r="M318" s="10">
        <f>IFERROR(__xludf.DUMMYFUNCTION("""COMPUTED_VALUE"""),11.0)</f>
        <v>11</v>
      </c>
      <c r="N318" s="10" t="str">
        <f>IFERROR(__xludf.DUMMYFUNCTION("""COMPUTED_VALUE"""),"Rent")</f>
        <v>Rent</v>
      </c>
      <c r="O318" s="10">
        <f>IFERROR(__xludf.DUMMYFUNCTION("""COMPUTED_VALUE"""),1.0)</f>
        <v>1</v>
      </c>
      <c r="P318" s="10" t="str">
        <f>IFERROR(__xludf.DUMMYFUNCTION("""COMPUTED_VALUE"""),"ACTIVE")</f>
        <v>ACTIVE</v>
      </c>
      <c r="Q318" s="11">
        <f>IFERROR(__xludf.DUMMYFUNCTION("""COMPUTED_VALUE"""),45870.0)</f>
        <v>45870</v>
      </c>
      <c r="R318" s="9" t="str">
        <f>IFERROR(__xludf.DUMMYFUNCTION("""COMPUTED_VALUE"""),"Verified online")</f>
        <v>Verified online</v>
      </c>
      <c r="S318"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
"&amp;"Lease agreement and Late or Eviction Notice")</f>
        <v>Be aware that some zip codes they support are split between Fort Bend Country and other counties.  They provide assistance to Fort Bend County residents only.
US Citizen.  Social Security Card and stated issued ID required.
Proof of income and emergency.
Lease agreement and Late or Eviction Notice</v>
      </c>
      <c r="T318" s="12" t="b">
        <f>IFERROR(__xludf.DUMMYFUNCTION("""COMPUTED_VALUE"""),FALSE)</f>
        <v>0</v>
      </c>
      <c r="U318" s="12" t="b">
        <f>IFERROR(__xludf.DUMMYFUNCTION("""COMPUTED_VALUE"""),FALSE)</f>
        <v>0</v>
      </c>
      <c r="V318" s="13" t="str">
        <f>IFERROR(__xludf.DUMMYFUNCTION("""COMPUTED_VALUE"""),"https://www.fortbendcountytx.gov/government/departments/social-services/services/rent-mortgage-assistance")</f>
        <v>https://www.fortbendcountytx.gov/government/departments/social-services/services/rent-mortgage-assistance</v>
      </c>
      <c r="W318" s="14" t="str">
        <f>IFERROR(__xludf.DUMMYFUNCTION("""COMPUTED_VALUE"""),"https://www.google.com/maps/place/Fort+Bend+County+Social+Services/@29.563525,-95.7824184,16z/data=!3m1!4b1!4m6!3m5!1s0x86411c2f271d90f3:0x3bf06deb66f2bbf7!8m2!3d29.563525!4d-95.7798435!16s%2Fg%2F1hc1q7bfp?entry=ttu&amp;g_ep=EgoyMDI1MDcyOS4wIKXMDSoASAFQAw%3D%"&amp;"3D")</f>
        <v>https://www.google.com/maps/place/Fort+Bend+County+Social+Services/@29.563525,-95.7824184,16z/data=!3m1!4b1!4m6!3m5!1s0x86411c2f271d90f3:0x3bf06deb66f2bbf7!8m2!3d29.563525!4d-95.7798435!16s%2Fg%2F1hc1q7bfp?entry=ttu&amp;g_ep=EgoyMDI1MDcyOS4wIKXMDSoASAFQAw%3D%3D</v>
      </c>
      <c r="X318" s="10"/>
      <c r="Y318" s="9" t="str">
        <f>IFERROR(__xludf.DUMMYFUNCTION("""COMPUTED_VALUE"""),"Rosenberg")</f>
        <v>Rosenberg</v>
      </c>
      <c r="Z318" s="9" t="str">
        <f>IFERROR(__xludf.DUMMYFUNCTION("""COMPUTED_VALUE"""),"Allendale Manor, Rosenberg, Timberlane Addition")</f>
        <v>Allendale Manor, Rosenberg, Timberlane Addition</v>
      </c>
      <c r="AA318" s="9" t="str">
        <f>IFERROR(__xludf.DUMMYFUNCTION("""COMPUTED_VALUE"""),"Fort Bend County Social Services")</f>
        <v>Fort Bend County Social Services</v>
      </c>
      <c r="AB318" s="9" t="str">
        <f>IFERROR(__xludf.DUMMYFUNCTION("""COMPUTED_VALUE"""),"Rosenberg")</f>
        <v>Rosenberg</v>
      </c>
    </row>
    <row r="319" ht="30.0" customHeight="1">
      <c r="A319" s="17">
        <v>318.0</v>
      </c>
      <c r="B319"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19" s="9" t="str">
        <f>IFERROR(__xludf.DUMMYFUNCTION("""COMPUTED_VALUE"""),"Fort Bend County Social Services")</f>
        <v>Fort Bend County Social Services</v>
      </c>
      <c r="D319" s="9" t="str">
        <f>IFERROR(__xludf.DUMMYFUNCTION("""COMPUTED_VALUE"""),"307 Texas Parkway")</f>
        <v>307 Texas Parkway</v>
      </c>
      <c r="E319" s="9" t="str">
        <f>IFERROR(__xludf.DUMMYFUNCTION("""COMPUTED_VALUE"""),"Suite 235")</f>
        <v>Suite 235</v>
      </c>
      <c r="F319" s="9" t="str">
        <f>IFERROR(__xludf.DUMMYFUNCTION("""COMPUTED_VALUE"""),"Missouri City")</f>
        <v>Missouri City</v>
      </c>
      <c r="G319" s="9" t="str">
        <f>IFERROR(__xludf.DUMMYFUNCTION("""COMPUTED_VALUE"""),"TX")</f>
        <v>TX</v>
      </c>
      <c r="H319" s="9" t="str">
        <f>IFERROR(__xludf.DUMMYFUNCTION("""COMPUTED_VALUE"""),"77489")</f>
        <v>77489</v>
      </c>
      <c r="I319" s="9" t="str">
        <f>IFERROR(__xludf.DUMMYFUNCTION("""COMPUTED_VALUE"""),"281-403-8050")</f>
        <v>281-403-8050</v>
      </c>
      <c r="J319" s="9" t="str">
        <f>IFERROR(__xludf.DUMMYFUNCTION("""COMPUTED_VALUE"""),"29.617450800677172, -95.536066052093")</f>
        <v>29.617450800677172, -95.536066052093</v>
      </c>
      <c r="K319" s="9" t="str">
        <f>IFERROR(__xludf.DUMMYFUNCTION("""COMPUTED_VALUE"""),"{""regular"":[{""days"":[""Mo"",""Tu"",""We"",""Th"",""Fr""],""open"":""08:00"",""close"":""17:00""}]}")</f>
        <v>{"regular":[{"days":["Mo","Tu","We","Th","Fr"],"open":"08:00","close":"17:00"}]}</v>
      </c>
      <c r="L319" s="9" t="str">
        <f>IFERROR(__xludf.DUMMYFUNCTION("""COMPUTED_VALUE"""),"Walk-ins welcome but appointments take priority")</f>
        <v>Walk-ins welcome but appointments take priority</v>
      </c>
      <c r="M319" s="10">
        <f>IFERROR(__xludf.DUMMYFUNCTION("""COMPUTED_VALUE"""),12.0)</f>
        <v>12</v>
      </c>
      <c r="N319" s="10" t="str">
        <f>IFERROR(__xludf.DUMMYFUNCTION("""COMPUTED_VALUE"""),"Utilities")</f>
        <v>Utilities</v>
      </c>
      <c r="O319" s="10">
        <f>IFERROR(__xludf.DUMMYFUNCTION("""COMPUTED_VALUE"""),1.0)</f>
        <v>1</v>
      </c>
      <c r="P319" s="10" t="str">
        <f>IFERROR(__xludf.DUMMYFUNCTION("""COMPUTED_VALUE"""),"ACTIVE")</f>
        <v>ACTIVE</v>
      </c>
      <c r="Q319" s="11">
        <f>IFERROR(__xludf.DUMMYFUNCTION("""COMPUTED_VALUE"""),45870.0)</f>
        <v>45870</v>
      </c>
      <c r="R319" s="9" t="str">
        <f>IFERROR(__xludf.DUMMYFUNCTION("""COMPUTED_VALUE"""),"Verified online")</f>
        <v>Verified online</v>
      </c>
      <c r="S319"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
"&amp;"Bill and/or Disconnect Notice.")</f>
        <v>Be aware that some zip codes they support are split between Fort Bend Country and other counties.  They provide assistance to Fort Bend County residents only.
US Citizen.  Social Security Card and stated issued ID required.
Proof of income and emergency.
Bill and/or Disconnect Notice.</v>
      </c>
      <c r="T319" s="12" t="b">
        <f>IFERROR(__xludf.DUMMYFUNCTION("""COMPUTED_VALUE"""),FALSE)</f>
        <v>0</v>
      </c>
      <c r="U319" s="12" t="b">
        <f>IFERROR(__xludf.DUMMYFUNCTION("""COMPUTED_VALUE"""),FALSE)</f>
        <v>0</v>
      </c>
      <c r="V319" s="13" t="str">
        <f>IFERROR(__xludf.DUMMYFUNCTION("""COMPUTED_VALUE"""),"https://www.fortbendcountytx.gov/government/departments/social-services/services/utility-assistance")</f>
        <v>https://www.fortbendcountytx.gov/government/departments/social-services/services/utility-assistance</v>
      </c>
      <c r="W319" s="14" t="str">
        <f>IFERROR(__xludf.DUMMYFUNCTION("""COMPUTED_VALUE"""),"https://www.google.com/maps/place/307+Texas+Pkwy,+Missouri+City,+TX+77489/@29.617227,-95.5386195,17z/data=!3m1!4b1!4m6!3m5!1s0x8640e8f2234e3d8b:0xb4b5026a11bf6b5a!8m2!3d29.617227!4d-95.5360446!16s%2Fg%2F11rp1xn5p6?entry=ttu&amp;g_ep=EgoyMDI1MDcyOS4wIKXMDSoASA"&amp;"FQAw%3D%3D")</f>
        <v>https://www.google.com/maps/place/307+Texas+Pkwy,+Missouri+City,+TX+77489/@29.617227,-95.5386195,17z/data=!3m1!4b1!4m6!3m5!1s0x8640e8f2234e3d8b:0xb4b5026a11bf6b5a!8m2!3d29.617227!4d-95.5360446!16s%2Fg%2F11rp1xn5p6?entry=ttu&amp;g_ep=EgoyMDI1MDcyOS4wIKXMDSoASAFQAw%3D%3D</v>
      </c>
      <c r="X319" s="10"/>
      <c r="Y319" s="9" t="str">
        <f>IFERROR(__xludf.DUMMYFUNCTION("""COMPUTED_VALUE"""),"Missouri City")</f>
        <v>Missouri City</v>
      </c>
      <c r="Z319" s="9" t="str">
        <f>IFERROR(__xludf.DUMMYFUNCTION("""COMPUTED_VALUE"""),"Missouri City, Olde Missouri City Market Place, Quail Green South, Quail Valley, Sta-mo Annex")</f>
        <v>Missouri City, Olde Missouri City Market Place, Quail Green South, Quail Valley, Sta-mo Annex</v>
      </c>
      <c r="AA319" s="9" t="str">
        <f>IFERROR(__xludf.DUMMYFUNCTION("""COMPUTED_VALUE"""),"Fort Bend County Social Services")</f>
        <v>Fort Bend County Social Services</v>
      </c>
      <c r="AB319" s="9" t="str">
        <f>IFERROR(__xludf.DUMMYFUNCTION("""COMPUTED_VALUE"""),"Missouri City")</f>
        <v>Missouri City</v>
      </c>
    </row>
    <row r="320" ht="30.0" customHeight="1">
      <c r="A320" s="17">
        <v>319.0</v>
      </c>
      <c r="B320"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20" s="9" t="str">
        <f>IFERROR(__xludf.DUMMYFUNCTION("""COMPUTED_VALUE"""),"Fort Bend County Social Services")</f>
        <v>Fort Bend County Social Services</v>
      </c>
      <c r="D320" s="9" t="str">
        <f>IFERROR(__xludf.DUMMYFUNCTION("""COMPUTED_VALUE"""),"4520 Reading Avenue")</f>
        <v>4520 Reading Avenue</v>
      </c>
      <c r="E320" s="9" t="str">
        <f>IFERROR(__xludf.DUMMYFUNCTION("""COMPUTED_VALUE"""),"Suite A900")</f>
        <v>Suite A900</v>
      </c>
      <c r="F320" s="9" t="str">
        <f>IFERROR(__xludf.DUMMYFUNCTION("""COMPUTED_VALUE"""),"Rosenberg")</f>
        <v>Rosenberg</v>
      </c>
      <c r="G320" s="9" t="str">
        <f>IFERROR(__xludf.DUMMYFUNCTION("""COMPUTED_VALUE"""),"TX")</f>
        <v>TX</v>
      </c>
      <c r="H320" s="9" t="str">
        <f>IFERROR(__xludf.DUMMYFUNCTION("""COMPUTED_VALUE"""),"77471")</f>
        <v>77471</v>
      </c>
      <c r="I320" s="9" t="str">
        <f>IFERROR(__xludf.DUMMYFUNCTION("""COMPUTED_VALUE"""),"281-238-3502")</f>
        <v>281-238-3502</v>
      </c>
      <c r="J320" s="9" t="str">
        <f>IFERROR(__xludf.DUMMYFUNCTION("""COMPUTED_VALUE"""),"29.56421540182599, -95.78005805283148")</f>
        <v>29.56421540182599, -95.78005805283148</v>
      </c>
      <c r="K320" s="9" t="str">
        <f>IFERROR(__xludf.DUMMYFUNCTION("""COMPUTED_VALUE"""),"{""regular"":[{""days"":[""Mo"",""Tu"",""We"",""Th"",""Fr""],""open"":""08:00"",""close"":""17:00""}]}")</f>
        <v>{"regular":[{"days":["Mo","Tu","We","Th","Fr"],"open":"08:00","close":"17:00"}]}</v>
      </c>
      <c r="L320" s="9" t="str">
        <f>IFERROR(__xludf.DUMMYFUNCTION("""COMPUTED_VALUE"""),"Walk-ins welcome but appointments take priority")</f>
        <v>Walk-ins welcome but appointments take priority</v>
      </c>
      <c r="M320" s="10">
        <f>IFERROR(__xludf.DUMMYFUNCTION("""COMPUTED_VALUE"""),12.0)</f>
        <v>12</v>
      </c>
      <c r="N320" s="10" t="str">
        <f>IFERROR(__xludf.DUMMYFUNCTION("""COMPUTED_VALUE"""),"Utilities")</f>
        <v>Utilities</v>
      </c>
      <c r="O320" s="10">
        <f>IFERROR(__xludf.DUMMYFUNCTION("""COMPUTED_VALUE"""),1.0)</f>
        <v>1</v>
      </c>
      <c r="P320" s="10" t="str">
        <f>IFERROR(__xludf.DUMMYFUNCTION("""COMPUTED_VALUE"""),"ACTIVE")</f>
        <v>ACTIVE</v>
      </c>
      <c r="Q320" s="11">
        <f>IFERROR(__xludf.DUMMYFUNCTION("""COMPUTED_VALUE"""),45870.0)</f>
        <v>45870</v>
      </c>
      <c r="R320" s="9" t="str">
        <f>IFERROR(__xludf.DUMMYFUNCTION("""COMPUTED_VALUE"""),"Verified online")</f>
        <v>Verified online</v>
      </c>
      <c r="S320"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
"&amp;"Bill and/or Disconnect Notice.")</f>
        <v>Be aware that some zip codes they support are split between Fort Bend Country and other counties.  They provide assistance to Fort Bend County residents only.
US Citizen.  Social Security Card and stated issued ID required.
Proof of income and emergency.
Bill and/or Disconnect Notice.</v>
      </c>
      <c r="T320" s="12" t="b">
        <f>IFERROR(__xludf.DUMMYFUNCTION("""COMPUTED_VALUE"""),FALSE)</f>
        <v>0</v>
      </c>
      <c r="U320" s="12" t="b">
        <f>IFERROR(__xludf.DUMMYFUNCTION("""COMPUTED_VALUE"""),FALSE)</f>
        <v>0</v>
      </c>
      <c r="V320" s="13" t="str">
        <f>IFERROR(__xludf.DUMMYFUNCTION("""COMPUTED_VALUE"""),"https://www.fortbendcountytx.gov/government/departments/social-services/services/utility-assistance")</f>
        <v>https://www.fortbendcountytx.gov/government/departments/social-services/services/utility-assistance</v>
      </c>
      <c r="W320" s="14" t="str">
        <f>IFERROR(__xludf.DUMMYFUNCTION("""COMPUTED_VALUE"""),"https://www.google.com/maps/place/Fort+Bend+County+Social+Services/@29.563525,-95.7824184,16z/data=!3m1!4b1!4m6!3m5!1s0x86411c2f271d90f3:0x3bf06deb66f2bbf7!8m2!3d29.563525!4d-95.7798435!16s%2Fg%2F1hc1q7bfp?entry=ttu&amp;g_ep=EgoyMDI1MDcyOS4wIKXMDSoASAFQAw%3D%"&amp;"3D")</f>
        <v>https://www.google.com/maps/place/Fort+Bend+County+Social+Services/@29.563525,-95.7824184,16z/data=!3m1!4b1!4m6!3m5!1s0x86411c2f271d90f3:0x3bf06deb66f2bbf7!8m2!3d29.563525!4d-95.7798435!16s%2Fg%2F1hc1q7bfp?entry=ttu&amp;g_ep=EgoyMDI1MDcyOS4wIKXMDSoASAFQAw%3D%3D</v>
      </c>
      <c r="X320" s="10"/>
      <c r="Y320" s="9" t="str">
        <f>IFERROR(__xludf.DUMMYFUNCTION("""COMPUTED_VALUE"""),"Rosenberg")</f>
        <v>Rosenberg</v>
      </c>
      <c r="Z320" s="9" t="str">
        <f>IFERROR(__xludf.DUMMYFUNCTION("""COMPUTED_VALUE"""),"Allendale Manor, Rosenberg, Timberlane Addition")</f>
        <v>Allendale Manor, Rosenberg, Timberlane Addition</v>
      </c>
      <c r="AA320" s="9" t="str">
        <f>IFERROR(__xludf.DUMMYFUNCTION("""COMPUTED_VALUE"""),"Fort Bend County Social Services")</f>
        <v>Fort Bend County Social Services</v>
      </c>
      <c r="AB320" s="9" t="str">
        <f>IFERROR(__xludf.DUMMYFUNCTION("""COMPUTED_VALUE"""),"Rosenberg")</f>
        <v>Rosenberg</v>
      </c>
    </row>
    <row r="321" ht="30.0" customHeight="1">
      <c r="A321" s="17">
        <v>320.0</v>
      </c>
      <c r="B321"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21" s="9" t="str">
        <f>IFERROR(__xludf.DUMMYFUNCTION("""COMPUTED_VALUE"""),"Fort Bend County Social Services")</f>
        <v>Fort Bend County Social Services</v>
      </c>
      <c r="D321" s="9" t="str">
        <f>IFERROR(__xludf.DUMMYFUNCTION("""COMPUTED_VALUE"""),"307 Texas Parkway")</f>
        <v>307 Texas Parkway</v>
      </c>
      <c r="E321" s="9" t="str">
        <f>IFERROR(__xludf.DUMMYFUNCTION("""COMPUTED_VALUE"""),"Suite 235")</f>
        <v>Suite 235</v>
      </c>
      <c r="F321" s="9" t="str">
        <f>IFERROR(__xludf.DUMMYFUNCTION("""COMPUTED_VALUE"""),"Missouri City")</f>
        <v>Missouri City</v>
      </c>
      <c r="G321" s="9" t="str">
        <f>IFERROR(__xludf.DUMMYFUNCTION("""COMPUTED_VALUE"""),"TX")</f>
        <v>TX</v>
      </c>
      <c r="H321" s="9" t="str">
        <f>IFERROR(__xludf.DUMMYFUNCTION("""COMPUTED_VALUE"""),"77489")</f>
        <v>77489</v>
      </c>
      <c r="I321" s="9" t="str">
        <f>IFERROR(__xludf.DUMMYFUNCTION("""COMPUTED_VALUE"""),"281-403-8050")</f>
        <v>281-403-8050</v>
      </c>
      <c r="J321" s="9" t="str">
        <f>IFERROR(__xludf.DUMMYFUNCTION("""COMPUTED_VALUE"""),"29.617450800677172, -95.536066052093")</f>
        <v>29.617450800677172, -95.536066052093</v>
      </c>
      <c r="K321" s="9" t="str">
        <f>IFERROR(__xludf.DUMMYFUNCTION("""COMPUTED_VALUE"""),"{""regular"":[{""days"":[""Mo"",""Tu"",""We"",""Th"",""Fr""],""open"":""08:00"",""close"":""17:00""}]}")</f>
        <v>{"regular":[{"days":["Mo","Tu","We","Th","Fr"],"open":"08:00","close":"17:00"}]}</v>
      </c>
      <c r="L321" s="9" t="str">
        <f>IFERROR(__xludf.DUMMYFUNCTION("""COMPUTED_VALUE"""),"Walk-ins welcome but appointments take priority")</f>
        <v>Walk-ins welcome but appointments take priority</v>
      </c>
      <c r="M321" s="10">
        <f>IFERROR(__xludf.DUMMYFUNCTION("""COMPUTED_VALUE"""),13.0)</f>
        <v>13</v>
      </c>
      <c r="N321" s="10" t="str">
        <f>IFERROR(__xludf.DUMMYFUNCTION("""COMPUTED_VALUE"""),"Food")</f>
        <v>Food</v>
      </c>
      <c r="O321" s="10">
        <f>IFERROR(__xludf.DUMMYFUNCTION("""COMPUTED_VALUE"""),1.0)</f>
        <v>1</v>
      </c>
      <c r="P321" s="10" t="str">
        <f>IFERROR(__xludf.DUMMYFUNCTION("""COMPUTED_VALUE"""),"ACTIVE")</f>
        <v>ACTIVE</v>
      </c>
      <c r="Q321" s="11">
        <f>IFERROR(__xludf.DUMMYFUNCTION("""COMPUTED_VALUE"""),45870.0)</f>
        <v>45870</v>
      </c>
      <c r="R321" s="9" t="str">
        <f>IFERROR(__xludf.DUMMYFUNCTION("""COMPUTED_VALUE"""),"Verified online")</f>
        <v>Verified online</v>
      </c>
      <c r="S321"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f>
        <v>Be aware that some zip codes they support are split between Fort Bend Country and other counties.  They provide assistance to Fort Bend County residents only.
US Citizen.  Social Security Card and stated issued ID required.
Proof of income and emergency.</v>
      </c>
      <c r="T321" s="12" t="b">
        <f>IFERROR(__xludf.DUMMYFUNCTION("""COMPUTED_VALUE"""),FALSE)</f>
        <v>0</v>
      </c>
      <c r="U321" s="12" t="b">
        <f>IFERROR(__xludf.DUMMYFUNCTION("""COMPUTED_VALUE"""),FALSE)</f>
        <v>0</v>
      </c>
      <c r="V321" s="13" t="str">
        <f>IFERROR(__xludf.DUMMYFUNCTION("""COMPUTED_VALUE"""),"https://www.fortbendcountytx.gov/government/departments/social-services/services/food-assistance")</f>
        <v>https://www.fortbendcountytx.gov/government/departments/social-services/services/food-assistance</v>
      </c>
      <c r="W321" s="14" t="str">
        <f>IFERROR(__xludf.DUMMYFUNCTION("""COMPUTED_VALUE"""),"https://www.google.com/maps/place/307+Texas+Pkwy,+Missouri+City,+TX+77489/@29.617227,-95.5386195,17z/data=!3m1!4b1!4m6!3m5!1s0x8640e8f2234e3d8b:0xb4b5026a11bf6b5a!8m2!3d29.617227!4d-95.5360446!16s%2Fg%2F11rp1xn5p6?entry=ttu&amp;g_ep=EgoyMDI1MDcyOS4wIKXMDSoASA"&amp;"FQAw%3D%3D")</f>
        <v>https://www.google.com/maps/place/307+Texas+Pkwy,+Missouri+City,+TX+77489/@29.617227,-95.5386195,17z/data=!3m1!4b1!4m6!3m5!1s0x8640e8f2234e3d8b:0xb4b5026a11bf6b5a!8m2!3d29.617227!4d-95.5360446!16s%2Fg%2F11rp1xn5p6?entry=ttu&amp;g_ep=EgoyMDI1MDcyOS4wIKXMDSoASAFQAw%3D%3D</v>
      </c>
      <c r="X321" s="10"/>
      <c r="Y321" s="9" t="str">
        <f>IFERROR(__xludf.DUMMYFUNCTION("""COMPUTED_VALUE"""),"Missouri City")</f>
        <v>Missouri City</v>
      </c>
      <c r="Z321" s="9" t="str">
        <f>IFERROR(__xludf.DUMMYFUNCTION("""COMPUTED_VALUE"""),"Missouri City, Olde Missouri City Market Place, Quail Green South, Quail Valley, Sta-mo Annex")</f>
        <v>Missouri City, Olde Missouri City Market Place, Quail Green South, Quail Valley, Sta-mo Annex</v>
      </c>
      <c r="AA321" s="9" t="str">
        <f>IFERROR(__xludf.DUMMYFUNCTION("""COMPUTED_VALUE"""),"Fort Bend County Social Services")</f>
        <v>Fort Bend County Social Services</v>
      </c>
      <c r="AB321" s="9" t="str">
        <f>IFERROR(__xludf.DUMMYFUNCTION("""COMPUTED_VALUE"""),"Missouri City")</f>
        <v>Missouri City</v>
      </c>
    </row>
    <row r="322" ht="30.0" customHeight="1">
      <c r="A322" s="17">
        <v>321.0</v>
      </c>
      <c r="B322"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22" s="9" t="str">
        <f>IFERROR(__xludf.DUMMYFUNCTION("""COMPUTED_VALUE"""),"Fort Bend County Social Services")</f>
        <v>Fort Bend County Social Services</v>
      </c>
      <c r="D322" s="9" t="str">
        <f>IFERROR(__xludf.DUMMYFUNCTION("""COMPUTED_VALUE"""),"4520 Reading Avenue")</f>
        <v>4520 Reading Avenue</v>
      </c>
      <c r="E322" s="9" t="str">
        <f>IFERROR(__xludf.DUMMYFUNCTION("""COMPUTED_VALUE"""),"Suite A900")</f>
        <v>Suite A900</v>
      </c>
      <c r="F322" s="9" t="str">
        <f>IFERROR(__xludf.DUMMYFUNCTION("""COMPUTED_VALUE"""),"Rosenberg")</f>
        <v>Rosenberg</v>
      </c>
      <c r="G322" s="9" t="str">
        <f>IFERROR(__xludf.DUMMYFUNCTION("""COMPUTED_VALUE"""),"TX")</f>
        <v>TX</v>
      </c>
      <c r="H322" s="9" t="str">
        <f>IFERROR(__xludf.DUMMYFUNCTION("""COMPUTED_VALUE"""),"77471")</f>
        <v>77471</v>
      </c>
      <c r="I322" s="9" t="str">
        <f>IFERROR(__xludf.DUMMYFUNCTION("""COMPUTED_VALUE"""),"281-238-3502")</f>
        <v>281-238-3502</v>
      </c>
      <c r="J322" s="9" t="str">
        <f>IFERROR(__xludf.DUMMYFUNCTION("""COMPUTED_VALUE"""),"29.56421540182599, -95.78005805283148")</f>
        <v>29.56421540182599, -95.78005805283148</v>
      </c>
      <c r="K322" s="9" t="str">
        <f>IFERROR(__xludf.DUMMYFUNCTION("""COMPUTED_VALUE"""),"{""regular"":[{""days"":[""Mo"",""Tu"",""We"",""Th"",""Fr""],""open"":""08:00"",""close"":""17:00""}]}")</f>
        <v>{"regular":[{"days":["Mo","Tu","We","Th","Fr"],"open":"08:00","close":"17:00"}]}</v>
      </c>
      <c r="L322" s="9" t="str">
        <f>IFERROR(__xludf.DUMMYFUNCTION("""COMPUTED_VALUE"""),"Appointment required")</f>
        <v>Appointment required</v>
      </c>
      <c r="M322" s="10">
        <f>IFERROR(__xludf.DUMMYFUNCTION("""COMPUTED_VALUE"""),13.0)</f>
        <v>13</v>
      </c>
      <c r="N322" s="10" t="str">
        <f>IFERROR(__xludf.DUMMYFUNCTION("""COMPUTED_VALUE"""),"Food")</f>
        <v>Food</v>
      </c>
      <c r="O322" s="10">
        <f>IFERROR(__xludf.DUMMYFUNCTION("""COMPUTED_VALUE"""),1.0)</f>
        <v>1</v>
      </c>
      <c r="P322" s="10" t="str">
        <f>IFERROR(__xludf.DUMMYFUNCTION("""COMPUTED_VALUE"""),"ACTIVE")</f>
        <v>ACTIVE</v>
      </c>
      <c r="Q322" s="11">
        <f>IFERROR(__xludf.DUMMYFUNCTION("""COMPUTED_VALUE"""),45870.0)</f>
        <v>45870</v>
      </c>
      <c r="R322" s="9" t="str">
        <f>IFERROR(__xludf.DUMMYFUNCTION("""COMPUTED_VALUE"""),"Verified online")</f>
        <v>Verified online</v>
      </c>
      <c r="S322"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f>
        <v>Be aware that some zip codes they support are split between Fort Bend Country and other counties.  They provide assistance to Fort Bend County residents only.
US Citizen.  Social Security Card and stated issued ID required.
Proof of income and emergency.</v>
      </c>
      <c r="T322" s="12" t="b">
        <f>IFERROR(__xludf.DUMMYFUNCTION("""COMPUTED_VALUE"""),FALSE)</f>
        <v>0</v>
      </c>
      <c r="U322" s="12" t="b">
        <f>IFERROR(__xludf.DUMMYFUNCTION("""COMPUTED_VALUE"""),FALSE)</f>
        <v>0</v>
      </c>
      <c r="V322" s="13" t="str">
        <f>IFERROR(__xludf.DUMMYFUNCTION("""COMPUTED_VALUE"""),"https://www.fortbendcountytx.gov/government/departments/social-services/services/food-assistance")</f>
        <v>https://www.fortbendcountytx.gov/government/departments/social-services/services/food-assistance</v>
      </c>
      <c r="W322" s="14" t="str">
        <f>IFERROR(__xludf.DUMMYFUNCTION("""COMPUTED_VALUE"""),"https://www.google.com/maps/place/Fort+Bend+County+Social+Services/@29.563525,-95.7824184,16z/data=!3m1!4b1!4m6!3m5!1s0x86411c2f271d90f3:0x3bf06deb66f2bbf7!8m2!3d29.563525!4d-95.7798435!16s%2Fg%2F1hc1q7bfp?entry=ttu&amp;g_ep=EgoyMDI1MDcyOS4wIKXMDSoASAFQAw%3D%"&amp;"3D")</f>
        <v>https://www.google.com/maps/place/Fort+Bend+County+Social+Services/@29.563525,-95.7824184,16z/data=!3m1!4b1!4m6!3m5!1s0x86411c2f271d90f3:0x3bf06deb66f2bbf7!8m2!3d29.563525!4d-95.7798435!16s%2Fg%2F1hc1q7bfp?entry=ttu&amp;g_ep=EgoyMDI1MDcyOS4wIKXMDSoASAFQAw%3D%3D</v>
      </c>
      <c r="X322" s="10"/>
      <c r="Y322" s="9" t="str">
        <f>IFERROR(__xludf.DUMMYFUNCTION("""COMPUTED_VALUE"""),"Rosenberg")</f>
        <v>Rosenberg</v>
      </c>
      <c r="Z322" s="9" t="str">
        <f>IFERROR(__xludf.DUMMYFUNCTION("""COMPUTED_VALUE"""),"Allendale Manor, Rosenberg, Timberlane Addition")</f>
        <v>Allendale Manor, Rosenberg, Timberlane Addition</v>
      </c>
      <c r="AA322" s="9" t="str">
        <f>IFERROR(__xludf.DUMMYFUNCTION("""COMPUTED_VALUE"""),"Fort Bend County Social Services")</f>
        <v>Fort Bend County Social Services</v>
      </c>
      <c r="AB322" s="9" t="str">
        <f>IFERROR(__xludf.DUMMYFUNCTION("""COMPUTED_VALUE"""),"Rosenberg")</f>
        <v>Rosenberg</v>
      </c>
    </row>
    <row r="323" ht="30.0" customHeight="1">
      <c r="A323" s="17">
        <v>322.0</v>
      </c>
      <c r="B323"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23" s="9" t="str">
        <f>IFERROR(__xludf.DUMMYFUNCTION("""COMPUTED_VALUE"""),"Fort Bend County Social Services")</f>
        <v>Fort Bend County Social Services</v>
      </c>
      <c r="D323" s="9" t="str">
        <f>IFERROR(__xludf.DUMMYFUNCTION("""COMPUTED_VALUE"""),"307 Texas Parkway")</f>
        <v>307 Texas Parkway</v>
      </c>
      <c r="E323" s="9" t="str">
        <f>IFERROR(__xludf.DUMMYFUNCTION("""COMPUTED_VALUE"""),"Suite 235")</f>
        <v>Suite 235</v>
      </c>
      <c r="F323" s="9" t="str">
        <f>IFERROR(__xludf.DUMMYFUNCTION("""COMPUTED_VALUE"""),"Missouri City")</f>
        <v>Missouri City</v>
      </c>
      <c r="G323" s="9" t="str">
        <f>IFERROR(__xludf.DUMMYFUNCTION("""COMPUTED_VALUE"""),"TX")</f>
        <v>TX</v>
      </c>
      <c r="H323" s="9" t="str">
        <f>IFERROR(__xludf.DUMMYFUNCTION("""COMPUTED_VALUE"""),"77489")</f>
        <v>77489</v>
      </c>
      <c r="I323" s="9" t="str">
        <f>IFERROR(__xludf.DUMMYFUNCTION("""COMPUTED_VALUE"""),"281-403-8050")</f>
        <v>281-403-8050</v>
      </c>
      <c r="J323" s="9" t="str">
        <f>IFERROR(__xludf.DUMMYFUNCTION("""COMPUTED_VALUE"""),"29.617450800677172, -95.536066052093")</f>
        <v>29.617450800677172, -95.536066052093</v>
      </c>
      <c r="K323" s="9" t="str">
        <f>IFERROR(__xludf.DUMMYFUNCTION("""COMPUTED_VALUE"""),"{""regular"":[{""days"":[""Mo"",""Tu"",""We"",""Th"",""Fr""],""open"":""08:00"",""close"":""17:00""}]}")</f>
        <v>{"regular":[{"days":["Mo","Tu","We","Th","Fr"],"open":"08:00","close":"17:00"}]}</v>
      </c>
      <c r="L323" s="9" t="str">
        <f>IFERROR(__xludf.DUMMYFUNCTION("""COMPUTED_VALUE"""),"Walk-ins welcome but appointments take priority")</f>
        <v>Walk-ins welcome but appointments take priority</v>
      </c>
      <c r="M323" s="10">
        <f>IFERROR(__xludf.DUMMYFUNCTION("""COMPUTED_VALUE"""),36.0)</f>
        <v>36</v>
      </c>
      <c r="N323" s="10" t="str">
        <f>IFERROR(__xludf.DUMMYFUNCTION("""COMPUTED_VALUE"""),"Medical - Bill Payment")</f>
        <v>Medical - Bill Payment</v>
      </c>
      <c r="O323" s="10">
        <f>IFERROR(__xludf.DUMMYFUNCTION("""COMPUTED_VALUE"""),1.0)</f>
        <v>1</v>
      </c>
      <c r="P323" s="10" t="str">
        <f>IFERROR(__xludf.DUMMYFUNCTION("""COMPUTED_VALUE"""),"ACTIVE")</f>
        <v>ACTIVE</v>
      </c>
      <c r="Q323" s="11">
        <f>IFERROR(__xludf.DUMMYFUNCTION("""COMPUTED_VALUE"""),45870.0)</f>
        <v>45870</v>
      </c>
      <c r="R323" s="9" t="str">
        <f>IFERROR(__xludf.DUMMYFUNCTION("""COMPUTED_VALUE"""),"Verified online")</f>
        <v>Verified online</v>
      </c>
      <c r="S323"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
"&amp;"Referral from medical facility or social service agency.  Original prescription.")</f>
        <v>Be aware that some zip codes they support are split between Fort Bend Country and other counties.  They provide assistance to Fort Bend County residents only.
US Citizen.  Social Security Card and stated issued ID required.
Proof of income and emergency.
Referral from medical facility or social service agency.  Original prescription.</v>
      </c>
      <c r="T323" s="12" t="b">
        <f>IFERROR(__xludf.DUMMYFUNCTION("""COMPUTED_VALUE"""),FALSE)</f>
        <v>0</v>
      </c>
      <c r="U323" s="12" t="b">
        <f>IFERROR(__xludf.DUMMYFUNCTION("""COMPUTED_VALUE"""),FALSE)</f>
        <v>0</v>
      </c>
      <c r="V323" s="13" t="str">
        <f>IFERROR(__xludf.DUMMYFUNCTION("""COMPUTED_VALUE"""),"https://www.fortbendcountytx.gov/government/departments/social-services/services/medical-assistance")</f>
        <v>https://www.fortbendcountytx.gov/government/departments/social-services/services/medical-assistance</v>
      </c>
      <c r="W323" s="14" t="str">
        <f>IFERROR(__xludf.DUMMYFUNCTION("""COMPUTED_VALUE"""),"https://www.google.com/maps/place/307+Texas+Pkwy,+Missouri+City,+TX+77489/@29.617227,-95.5386195,17z/data=!3m1!4b1!4m6!3m5!1s0x8640e8f2234e3d8b:0xb4b5026a11bf6b5a!8m2!3d29.617227!4d-95.5360446!16s%2Fg%2F11rp1xn5p6?entry=ttu&amp;g_ep=EgoyMDI1MDcyOS4wIKXMDSoASA"&amp;"FQAw%3D%3D")</f>
        <v>https://www.google.com/maps/place/307+Texas+Pkwy,+Missouri+City,+TX+77489/@29.617227,-95.5386195,17z/data=!3m1!4b1!4m6!3m5!1s0x8640e8f2234e3d8b:0xb4b5026a11bf6b5a!8m2!3d29.617227!4d-95.5360446!16s%2Fg%2F11rp1xn5p6?entry=ttu&amp;g_ep=EgoyMDI1MDcyOS4wIKXMDSoASAFQAw%3D%3D</v>
      </c>
      <c r="X323" s="10"/>
      <c r="Y323" s="9" t="str">
        <f>IFERROR(__xludf.DUMMYFUNCTION("""COMPUTED_VALUE"""),"Missouri City")</f>
        <v>Missouri City</v>
      </c>
      <c r="Z323" s="9" t="str">
        <f>IFERROR(__xludf.DUMMYFUNCTION("""COMPUTED_VALUE"""),"Missouri City, Olde Missouri City Market Place, Quail Green South, Quail Valley, Sta-mo Annex")</f>
        <v>Missouri City, Olde Missouri City Market Place, Quail Green South, Quail Valley, Sta-mo Annex</v>
      </c>
      <c r="AA323" s="9" t="str">
        <f>IFERROR(__xludf.DUMMYFUNCTION("""COMPUTED_VALUE"""),"Fort Bend County Social Services")</f>
        <v>Fort Bend County Social Services</v>
      </c>
      <c r="AB323" s="9" t="str">
        <f>IFERROR(__xludf.DUMMYFUNCTION("""COMPUTED_VALUE"""),"Missouri City")</f>
        <v>Missouri City</v>
      </c>
    </row>
    <row r="324" ht="30.0" customHeight="1">
      <c r="A324" s="17">
        <v>323.0</v>
      </c>
      <c r="B324"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24" s="9" t="str">
        <f>IFERROR(__xludf.DUMMYFUNCTION("""COMPUTED_VALUE"""),"Fort Bend County Social Services")</f>
        <v>Fort Bend County Social Services</v>
      </c>
      <c r="D324" s="9" t="str">
        <f>IFERROR(__xludf.DUMMYFUNCTION("""COMPUTED_VALUE"""),"4520 Reading Avenue")</f>
        <v>4520 Reading Avenue</v>
      </c>
      <c r="E324" s="9" t="str">
        <f>IFERROR(__xludf.DUMMYFUNCTION("""COMPUTED_VALUE"""),"Suite A900")</f>
        <v>Suite A900</v>
      </c>
      <c r="F324" s="10" t="str">
        <f>IFERROR(__xludf.DUMMYFUNCTION("""COMPUTED_VALUE"""),"Rosenberg")</f>
        <v>Rosenberg</v>
      </c>
      <c r="G324" s="9" t="str">
        <f>IFERROR(__xludf.DUMMYFUNCTION("""COMPUTED_VALUE"""),"TX")</f>
        <v>TX</v>
      </c>
      <c r="H324" s="9" t="str">
        <f>IFERROR(__xludf.DUMMYFUNCTION("""COMPUTED_VALUE"""),"77471")</f>
        <v>77471</v>
      </c>
      <c r="I324" s="9" t="str">
        <f>IFERROR(__xludf.DUMMYFUNCTION("""COMPUTED_VALUE"""),"281-238-3502")</f>
        <v>281-238-3502</v>
      </c>
      <c r="J324" s="9" t="str">
        <f>IFERROR(__xludf.DUMMYFUNCTION("""COMPUTED_VALUE"""),"29.56421540182599, -95.78005805283148")</f>
        <v>29.56421540182599, -95.78005805283148</v>
      </c>
      <c r="K324" s="9" t="str">
        <f>IFERROR(__xludf.DUMMYFUNCTION("""COMPUTED_VALUE"""),"{""regular"":[{""days"":[""Mo"",""Tu"",""We"",""Th"",""Fr""],""open"":""08:00"",""close"":""17:00""}]}")</f>
        <v>{"regular":[{"days":["Mo","Tu","We","Th","Fr"],"open":"08:00","close":"17:00"}]}</v>
      </c>
      <c r="L324" s="9" t="str">
        <f>IFERROR(__xludf.DUMMYFUNCTION("""COMPUTED_VALUE"""),"Walk-ins welcome but appointments take priority")</f>
        <v>Walk-ins welcome but appointments take priority</v>
      </c>
      <c r="M324" s="10">
        <f>IFERROR(__xludf.DUMMYFUNCTION("""COMPUTED_VALUE"""),36.0)</f>
        <v>36</v>
      </c>
      <c r="N324" s="10" t="str">
        <f>IFERROR(__xludf.DUMMYFUNCTION("""COMPUTED_VALUE"""),"Medical - Bill Payment")</f>
        <v>Medical - Bill Payment</v>
      </c>
      <c r="O324" s="10">
        <f>IFERROR(__xludf.DUMMYFUNCTION("""COMPUTED_VALUE"""),1.0)</f>
        <v>1</v>
      </c>
      <c r="P324" s="10" t="str">
        <f>IFERROR(__xludf.DUMMYFUNCTION("""COMPUTED_VALUE"""),"ACTIVE")</f>
        <v>ACTIVE</v>
      </c>
      <c r="Q324" s="11">
        <f>IFERROR(__xludf.DUMMYFUNCTION("""COMPUTED_VALUE"""),45870.0)</f>
        <v>45870</v>
      </c>
      <c r="R324" s="9" t="str">
        <f>IFERROR(__xludf.DUMMYFUNCTION("""COMPUTED_VALUE"""),"Verified online")</f>
        <v>Verified online</v>
      </c>
      <c r="S324" s="9" t="str">
        <f>IFERROR(__xludf.DUMMYFUNCTION("""COMPUTED_VALUE"""),"Be aware that some zip codes they support are split between Fort Bend Country and other counties.  They provide assistance to Fort Bend County residents only.
US Citizen.  Social Security Card and stated issued ID required.
Proof of income and emergency.
"&amp;"Referral from medical facility or social service agency.  Original prescription.")</f>
        <v>Be aware that some zip codes they support are split between Fort Bend Country and other counties.  They provide assistance to Fort Bend County residents only.
US Citizen.  Social Security Card and stated issued ID required.
Proof of income and emergency.
Referral from medical facility or social service agency.  Original prescription.</v>
      </c>
      <c r="T324" s="12" t="b">
        <f>IFERROR(__xludf.DUMMYFUNCTION("""COMPUTED_VALUE"""),FALSE)</f>
        <v>0</v>
      </c>
      <c r="U324" s="12" t="b">
        <f>IFERROR(__xludf.DUMMYFUNCTION("""COMPUTED_VALUE"""),FALSE)</f>
        <v>0</v>
      </c>
      <c r="V324" s="13" t="str">
        <f>IFERROR(__xludf.DUMMYFUNCTION("""COMPUTED_VALUE"""),"https://www.fortbendcountytx.gov/government/departments/social-services/services/medical-assistance")</f>
        <v>https://www.fortbendcountytx.gov/government/departments/social-services/services/medical-assistance</v>
      </c>
      <c r="W324" s="14" t="str">
        <f>IFERROR(__xludf.DUMMYFUNCTION("""COMPUTED_VALUE"""),"https://www.google.com/maps/place/Fort+Bend+County+Social+Services/@29.563525,-95.7824184,16z/data=!3m1!4b1!4m6!3m5!1s0x86411c2f271d90f3:0x3bf06deb66f2bbf7!8m2!3d29.563525!4d-95.7798435!16s%2Fg%2F1hc1q7bfp?entry=ttu&amp;g_ep=EgoyMDI1MDcyOS4wIKXMDSoASAFQAw%3D%"&amp;"3D")</f>
        <v>https://www.google.com/maps/place/Fort+Bend+County+Social+Services/@29.563525,-95.7824184,16z/data=!3m1!4b1!4m6!3m5!1s0x86411c2f271d90f3:0x3bf06deb66f2bbf7!8m2!3d29.563525!4d-95.7798435!16s%2Fg%2F1hc1q7bfp?entry=ttu&amp;g_ep=EgoyMDI1MDcyOS4wIKXMDSoASAFQAw%3D%3D</v>
      </c>
      <c r="X324" s="10"/>
      <c r="Y324" s="9" t="str">
        <f>IFERROR(__xludf.DUMMYFUNCTION("""COMPUTED_VALUE"""),"Rosenberg")</f>
        <v>Rosenberg</v>
      </c>
      <c r="Z324" s="9" t="str">
        <f>IFERROR(__xludf.DUMMYFUNCTION("""COMPUTED_VALUE"""),"Allendale Manor, Rosenberg, Timberlane Addition")</f>
        <v>Allendale Manor, Rosenberg, Timberlane Addition</v>
      </c>
      <c r="AA324" s="9" t="str">
        <f>IFERROR(__xludf.DUMMYFUNCTION("""COMPUTED_VALUE"""),"Fort Bend County Social Services")</f>
        <v>Fort Bend County Social Services</v>
      </c>
      <c r="AB324" s="9" t="str">
        <f>IFERROR(__xludf.DUMMYFUNCTION("""COMPUTED_VALUE"""),"Rosenberg")</f>
        <v>Rosenberg</v>
      </c>
    </row>
    <row r="325" ht="30.0" customHeight="1">
      <c r="A325" s="17">
        <v>324.0</v>
      </c>
      <c r="B325" s="8" t="str">
        <f>IFERROR(__xludf.DUMMYFUNCTION("""COMPUTED_VALUE"""),"[""77053"",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C325" s="9" t="str">
        <f>IFERROR(__xludf.DUMMYFUNCTION("""COMPUTED_VALUE"""),"Fort Bend County Social Services")</f>
        <v>Fort Bend County Social Services</v>
      </c>
      <c r="D325" s="9" t="str">
        <f>IFERROR(__xludf.DUMMYFUNCTION("""COMPUTED_VALUE"""),"4520 Reading Avenue")</f>
        <v>4520 Reading Avenue</v>
      </c>
      <c r="E325" s="9" t="str">
        <f>IFERROR(__xludf.DUMMYFUNCTION("""COMPUTED_VALUE"""),"Suite A900")</f>
        <v>Suite A900</v>
      </c>
      <c r="F325" s="10" t="str">
        <f>IFERROR(__xludf.DUMMYFUNCTION("""COMPUTED_VALUE"""),"Rosenberg")</f>
        <v>Rosenberg</v>
      </c>
      <c r="G325" s="9" t="str">
        <f>IFERROR(__xludf.DUMMYFUNCTION("""COMPUTED_VALUE"""),"TX")</f>
        <v>TX</v>
      </c>
      <c r="H325" s="9" t="str">
        <f>IFERROR(__xludf.DUMMYFUNCTION("""COMPUTED_VALUE"""),"77471")</f>
        <v>77471</v>
      </c>
      <c r="I325" s="9" t="str">
        <f>IFERROR(__xludf.DUMMYFUNCTION("""COMPUTED_VALUE"""),"281-342-7300")</f>
        <v>281-342-7300</v>
      </c>
      <c r="J325" s="9" t="str">
        <f>IFERROR(__xludf.DUMMYFUNCTION("""COMPUTED_VALUE"""),"29.56421540182599, -95.78005805283148")</f>
        <v>29.56421540182599, -95.78005805283148</v>
      </c>
      <c r="K325" s="9" t="str">
        <f>IFERROR(__xludf.DUMMYFUNCTION("""COMPUTED_VALUE"""),"{""regular"":[{""days"":[""Mo"",""Tu"",""We"",""Th"",""Fr""],""open"":""08:00"",""close"":""17:00""}]}")</f>
        <v>{"regular":[{"days":["Mo","Tu","We","Th","Fr"],"open":"08:00","close":"17:00"}]}</v>
      </c>
      <c r="L325" s="9" t="str">
        <f>IFERROR(__xludf.DUMMYFUNCTION("""COMPUTED_VALUE"""),"Call for information")</f>
        <v>Call for information</v>
      </c>
      <c r="M325" s="10">
        <f>IFERROR(__xludf.DUMMYFUNCTION("""COMPUTED_VALUE"""),65.0)</f>
        <v>65</v>
      </c>
      <c r="N325" s="10" t="str">
        <f>IFERROR(__xludf.DUMMYFUNCTION("""COMPUTED_VALUE"""),"Other")</f>
        <v>Other</v>
      </c>
      <c r="O325" s="10">
        <f>IFERROR(__xludf.DUMMYFUNCTION("""COMPUTED_VALUE"""),1.0)</f>
        <v>1</v>
      </c>
      <c r="P325" s="10" t="str">
        <f>IFERROR(__xludf.DUMMYFUNCTION("""COMPUTED_VALUE"""),"ACTIVE")</f>
        <v>ACTIVE</v>
      </c>
      <c r="Q325" s="11">
        <f>IFERROR(__xludf.DUMMYFUNCTION("""COMPUTED_VALUE"""),45870.0)</f>
        <v>45870</v>
      </c>
      <c r="R325" s="9" t="str">
        <f>IFERROR(__xludf.DUMMYFUNCTION("""COMPUTED_VALUE"""),"Verified online")</f>
        <v>Verified online</v>
      </c>
      <c r="S325" s="9" t="str">
        <f>IFERROR(__xludf.DUMMYFUNCTION("""COMPUTED_VALUE"""),"Be aware that some zip codes they support are split between Fort Bend Country and other counties.  They provide assistance to Fort Bend County residents only.
Pauper &amp; indigent burial services provided on a case by case basis when the family has no means "&amp;"of burying the deceased.
US Citizen.  Social Security Card and stated issued ID required.
Family cannot have any assets, resources or insurance policy that could be used to pay for the burial.")</f>
        <v>Be aware that some zip codes they support are split between Fort Bend Country and other counties.  They provide assistance to Fort Bend County residents only.
Pauper &amp; indigent burial services provided on a case by case basis when the family has no means of burying the deceased.
US Citizen.  Social Security Card and stated issued ID required.
Family cannot have any assets, resources or insurance policy that could be used to pay for the burial.</v>
      </c>
      <c r="T325" s="12" t="b">
        <f>IFERROR(__xludf.DUMMYFUNCTION("""COMPUTED_VALUE"""),FALSE)</f>
        <v>0</v>
      </c>
      <c r="U325" s="12" t="b">
        <f>IFERROR(__xludf.DUMMYFUNCTION("""COMPUTED_VALUE"""),FALSE)</f>
        <v>0</v>
      </c>
      <c r="V325" s="13" t="str">
        <f>IFERROR(__xludf.DUMMYFUNCTION("""COMPUTED_VALUE"""),"https://www.fortbendcountytx.gov/government/departments/social-services/services/pauper-indigent-burial-services")</f>
        <v>https://www.fortbendcountytx.gov/government/departments/social-services/services/pauper-indigent-burial-services</v>
      </c>
      <c r="W325" s="14" t="str">
        <f>IFERROR(__xludf.DUMMYFUNCTION("""COMPUTED_VALUE"""),"https://www.google.com/maps/place/Fort+Bend+County+Social+Services/@29.563525,-95.7824184,16z/data=!3m1!4b1!4m6!3m5!1s0x86411c2f271d90f3:0x3bf06deb66f2bbf7!8m2!3d29.563525!4d-95.7798435!16s%2Fg%2F1hc1q7bfp?entry=ttu&amp;g_ep=EgoyMDI1MDcyOS4wIKXMDSoASAFQAw%3D%"&amp;"3D")</f>
        <v>https://www.google.com/maps/place/Fort+Bend+County+Social+Services/@29.563525,-95.7824184,16z/data=!3m1!4b1!4m6!3m5!1s0x86411c2f271d90f3:0x3bf06deb66f2bbf7!8m2!3d29.563525!4d-95.7798435!16s%2Fg%2F1hc1q7bfp?entry=ttu&amp;g_ep=EgoyMDI1MDcyOS4wIKXMDSoASAFQAw%3D%3D</v>
      </c>
      <c r="X325" s="10"/>
      <c r="Y325" s="9" t="str">
        <f>IFERROR(__xludf.DUMMYFUNCTION("""COMPUTED_VALUE"""),"Rosenberg")</f>
        <v>Rosenberg</v>
      </c>
      <c r="Z325" s="9" t="str">
        <f>IFERROR(__xludf.DUMMYFUNCTION("""COMPUTED_VALUE"""),"Allendale Manor, Rosenberg, Timberlane Addition")</f>
        <v>Allendale Manor, Rosenberg, Timberlane Addition</v>
      </c>
      <c r="AA325" s="9" t="str">
        <f>IFERROR(__xludf.DUMMYFUNCTION("""COMPUTED_VALUE"""),"Fort Bend County Social Services")</f>
        <v>Fort Bend County Social Services</v>
      </c>
      <c r="AB325" s="9" t="str">
        <f>IFERROR(__xludf.DUMMYFUNCTION("""COMPUTED_VALUE"""),"Rosenberg")</f>
        <v>Rosenberg</v>
      </c>
    </row>
    <row r="326" ht="30.0" customHeight="1">
      <c r="A326" s="17">
        <v>325.0</v>
      </c>
      <c r="B326"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26" s="9" t="str">
        <f>IFERROR(__xludf.DUMMYFUNCTION("""COMPUTED_VALUE"""),"Fort Bend Family Promise")</f>
        <v>Fort Bend Family Promise</v>
      </c>
      <c r="D326" s="9" t="str">
        <f>IFERROR(__xludf.DUMMYFUNCTION("""COMPUTED_VALUE"""),"1002 Wilson Road")</f>
        <v>1002 Wilson Road</v>
      </c>
      <c r="E326" s="9" t="str">
        <f>IFERROR(__xludf.DUMMYFUNCTION("""COMPUTED_VALUE"""),"West Campus")</f>
        <v>West Campus</v>
      </c>
      <c r="F326" s="9" t="str">
        <f>IFERROR(__xludf.DUMMYFUNCTION("""COMPUTED_VALUE"""),"Rosenberg")</f>
        <v>Rosenberg</v>
      </c>
      <c r="G326" s="9" t="str">
        <f>IFERROR(__xludf.DUMMYFUNCTION("""COMPUTED_VALUE"""),"TX")</f>
        <v>TX</v>
      </c>
      <c r="H326" s="9" t="str">
        <f>IFERROR(__xludf.DUMMYFUNCTION("""COMPUTED_VALUE"""),"77471")</f>
        <v>77471</v>
      </c>
      <c r="I326" s="9" t="str">
        <f>IFERROR(__xludf.DUMMYFUNCTION("""COMPUTED_VALUE"""),"832-847-4734")</f>
        <v>832-847-4734</v>
      </c>
      <c r="J326" s="9" t="str">
        <f>IFERROR(__xludf.DUMMYFUNCTION("""COMPUTED_VALUE"""),"29.570238105008098, -95.77616454471286")</f>
        <v>29.570238105008098, -95.77616454471286</v>
      </c>
      <c r="K326" s="9" t="str">
        <f>IFERROR(__xludf.DUMMYFUNCTION("""COMPUTED_VALUE"""),"{""regular"":[{""days"":[""Mo"",""Tu"",""We"",""Th"",""Fr""],""open"":""08:00"",""close"":""19:00""}]}")</f>
        <v>{"regular":[{"days":["Mo","Tu","We","Th","Fr"],"open":"08:00","close":"19:00"}]}</v>
      </c>
      <c r="L326" s="9"/>
      <c r="M326" s="10">
        <f>IFERROR(__xludf.DUMMYFUNCTION("""COMPUTED_VALUE"""),11.0)</f>
        <v>11</v>
      </c>
      <c r="N326" s="10" t="str">
        <f>IFERROR(__xludf.DUMMYFUNCTION("""COMPUTED_VALUE"""),"Rent")</f>
        <v>Rent</v>
      </c>
      <c r="O326" s="10">
        <f>IFERROR(__xludf.DUMMYFUNCTION("""COMPUTED_VALUE"""),1.0)</f>
        <v>1</v>
      </c>
      <c r="P326" s="10" t="str">
        <f>IFERROR(__xludf.DUMMYFUNCTION("""COMPUTED_VALUE"""),"ACTIVE")</f>
        <v>ACTIVE</v>
      </c>
      <c r="Q326" s="11">
        <f>IFERROR(__xludf.DUMMYFUNCTION("""COMPUTED_VALUE"""),46016.0)</f>
        <v>46016</v>
      </c>
      <c r="R326" s="9" t="str">
        <f>IFERROR(__xludf.DUMMYFUNCTION("""COMPUTED_VALUE"""),"Verified online but limited information.  Website geared towards donations.")</f>
        <v>Verified online but limited information.  Website geared towards donations.</v>
      </c>
      <c r="S326" s="9" t="str">
        <f>IFERROR(__xludf.DUMMYFUNCTION("""COMPUTED_VALUE"""),"Financial assistance with security deposit, first month's rent or late rent.")</f>
        <v>Financial assistance with security deposit, first month's rent or late rent.</v>
      </c>
      <c r="T326" s="12" t="b">
        <f>IFERROR(__xludf.DUMMYFUNCTION("""COMPUTED_VALUE"""),FALSE)</f>
        <v>0</v>
      </c>
      <c r="U326" s="12" t="b">
        <f>IFERROR(__xludf.DUMMYFUNCTION("""COMPUTED_VALUE"""),FALSE)</f>
        <v>0</v>
      </c>
      <c r="V326" s="13" t="str">
        <f>IFERROR(__xludf.DUMMYFUNCTION("""COMPUTED_VALUE"""),"https://fortbendfamilypromise.org/programs/")</f>
        <v>https://fortbendfamilypromise.org/programs/</v>
      </c>
      <c r="W326" s="14" t="str">
        <f>IFERROR(__xludf.DUMMYFUNCTION("""COMPUTED_VALUE"""),"https://www.google.com/maps/place/1002+Wilson+Dr,+Rosenberg,+TX+77471/@29.5698183,-95.781014,16z/data=!3m1!4b1!4m6!3m5!1s0x86411c2a149875b7:0x87dd96d9496c3bbd!8m2!3d29.5698137!4d-95.7761431!16s%2Fg%2F11ltc59y38?entry=ttu&amp;g_ep=EgoyMDI1MTIwOS4wIKXMDSoKLDEwM"&amp;"Dc5MjA2OUgBUAM%3D")</f>
        <v>https://www.google.com/maps/place/1002+Wilson+Dr,+Rosenberg,+TX+77471/@29.5698183,-95.781014,16z/data=!3m1!4b1!4m6!3m5!1s0x86411c2a149875b7:0x87dd96d9496c3bbd!8m2!3d29.5698137!4d-95.7761431!16s%2Fg%2F11ltc59y38?entry=ttu&amp;g_ep=EgoyMDI1MTIwOS4wIKXMDSoKLDEwMDc5MjA2OUgBUAM%3D</v>
      </c>
      <c r="X326" s="10"/>
      <c r="Y326" s="9" t="str">
        <f>IFERROR(__xludf.DUMMYFUNCTION("""COMPUTED_VALUE"""),"Rosenberg")</f>
        <v>Rosenberg</v>
      </c>
      <c r="Z326" s="9" t="str">
        <f>IFERROR(__xludf.DUMMYFUNCTION("""COMPUTED_VALUE"""),"Allendale Manor, Rosenberg, Timberlane Addition")</f>
        <v>Allendale Manor, Rosenberg, Timberlane Addition</v>
      </c>
      <c r="AA326" s="9" t="str">
        <f>IFERROR(__xludf.DUMMYFUNCTION("""COMPUTED_VALUE"""),"Family Promise")</f>
        <v>Family Promise</v>
      </c>
      <c r="AB326" s="9" t="str">
        <f>IFERROR(__xludf.DUMMYFUNCTION("""COMPUTED_VALUE"""),"Timberlane Addition")</f>
        <v>Timberlane Addition</v>
      </c>
    </row>
    <row r="327" ht="30.0" customHeight="1">
      <c r="A327" s="17">
        <v>326.0</v>
      </c>
      <c r="B327"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27" s="9" t="str">
        <f>IFERROR(__xludf.DUMMYFUNCTION("""COMPUTED_VALUE"""),"Fort Bend Family Promise")</f>
        <v>Fort Bend Family Promise</v>
      </c>
      <c r="D327" s="9" t="str">
        <f>IFERROR(__xludf.DUMMYFUNCTION("""COMPUTED_VALUE"""),"4646 Cartwright Road")</f>
        <v>4646 Cartwright Road</v>
      </c>
      <c r="E327" s="9" t="str">
        <f>IFERROR(__xludf.DUMMYFUNCTION("""COMPUTED_VALUE"""),"East Campus")</f>
        <v>East Campus</v>
      </c>
      <c r="F327" s="9" t="str">
        <f>IFERROR(__xludf.DUMMYFUNCTION("""COMPUTED_VALUE"""),"Missouri City")</f>
        <v>Missouri City</v>
      </c>
      <c r="G327" s="9" t="str">
        <f>IFERROR(__xludf.DUMMYFUNCTION("""COMPUTED_VALUE"""),"TX")</f>
        <v>TX</v>
      </c>
      <c r="H327" s="9" t="str">
        <f>IFERROR(__xludf.DUMMYFUNCTION("""COMPUTED_VALUE"""),"77459")</f>
        <v>77459</v>
      </c>
      <c r="I327" s="9" t="str">
        <f>IFERROR(__xludf.DUMMYFUNCTION("""COMPUTED_VALUE"""),"281-403-3923")</f>
        <v>281-403-3923</v>
      </c>
      <c r="J327" s="9" t="str">
        <f>IFERROR(__xludf.DUMMYFUNCTION("""COMPUTED_VALUE"""),"29.58341972326318, -95.57841302867791")</f>
        <v>29.58341972326318, -95.57841302867791</v>
      </c>
      <c r="K327" s="9" t="str">
        <f>IFERROR(__xludf.DUMMYFUNCTION("""COMPUTED_VALUE"""),"{""regular"":[{""days"":[""Mo"",""Tu"",""We"",""Th"",""Fr""],""open"":""07:00"",""close"":""19:00""}]}")</f>
        <v>{"regular":[{"days":["Mo","Tu","We","Th","Fr"],"open":"07:00","close":"19:00"}]}</v>
      </c>
      <c r="L327" s="9"/>
      <c r="M327" s="10">
        <f>IFERROR(__xludf.DUMMYFUNCTION("""COMPUTED_VALUE"""),11.0)</f>
        <v>11</v>
      </c>
      <c r="N327" s="10" t="str">
        <f>IFERROR(__xludf.DUMMYFUNCTION("""COMPUTED_VALUE"""),"Rent")</f>
        <v>Rent</v>
      </c>
      <c r="O327" s="10">
        <f>IFERROR(__xludf.DUMMYFUNCTION("""COMPUTED_VALUE"""),1.0)</f>
        <v>1</v>
      </c>
      <c r="P327" s="10" t="str">
        <f>IFERROR(__xludf.DUMMYFUNCTION("""COMPUTED_VALUE"""),"ACTIVE")</f>
        <v>ACTIVE</v>
      </c>
      <c r="Q327" s="11">
        <f>IFERROR(__xludf.DUMMYFUNCTION("""COMPUTED_VALUE"""),46016.0)</f>
        <v>46016</v>
      </c>
      <c r="R327" s="9" t="str">
        <f>IFERROR(__xludf.DUMMYFUNCTION("""COMPUTED_VALUE"""),"Verified online but limited information.  Website geared towards donations.")</f>
        <v>Verified online but limited information.  Website geared towards donations.</v>
      </c>
      <c r="S327" s="9" t="str">
        <f>IFERROR(__xludf.DUMMYFUNCTION("""COMPUTED_VALUE"""),"Financial assistance with security deposit, first month's rent or late rent.")</f>
        <v>Financial assistance with security deposit, first month's rent or late rent.</v>
      </c>
      <c r="T327" s="12" t="b">
        <f>IFERROR(__xludf.DUMMYFUNCTION("""COMPUTED_VALUE"""),FALSE)</f>
        <v>0</v>
      </c>
      <c r="U327" s="12" t="b">
        <f>IFERROR(__xludf.DUMMYFUNCTION("""COMPUTED_VALUE"""),FALSE)</f>
        <v>0</v>
      </c>
      <c r="V327" s="13" t="str">
        <f>IFERROR(__xludf.DUMMYFUNCTION("""COMPUTED_VALUE"""),"https://fortbendfamilypromise.org/programs/")</f>
        <v>https://fortbendfamilypromise.org/programs/</v>
      </c>
      <c r="W327" s="14" t="str">
        <f>IFERROR(__xludf.DUMMYFUNCTION("""COMPUTED_VALUE"""),"https://www.google.com/maps/place/4646+Cartwright+Rd,+Missouri+City,+TX+77459/@29.5832215,-95.5810433,17z/data=!3m1!4b1!4m5!3m4!1s0x8640e60bd7911823:0x55d673bee80c25cf!8m2!3d29.5832169!4d-95.5784684?entry=ttu&amp;g_ep=EgoyMDI1MTIwOS4wIKXMDSoKLDEwMDc5MjA2OUgBU"&amp;"AM%3D")</f>
        <v>https://www.google.com/maps/place/4646+Cartwright+Rd,+Missouri+City,+TX+77459/@29.5832215,-95.5810433,17z/data=!3m1!4b1!4m5!3m4!1s0x8640e60bd7911823:0x55d673bee80c25cf!8m2!3d29.5832169!4d-95.5784684?entry=ttu&amp;g_ep=EgoyMDI1MTIwOS4wIKXMDSoKLDEwMDc5MjA2OUgBUAM%3D</v>
      </c>
      <c r="X327" s="10"/>
      <c r="Y327" s="9" t="str">
        <f>IFERROR(__xludf.DUMMYFUNCTION("""COMPUTED_VALUE"""),"Missouri City")</f>
        <v>Missouri City</v>
      </c>
      <c r="Z327" s="9" t="str">
        <f>IFERROR(__xludf.DUMMYFUNCTION("""COMPUTED_VALUE"""),"Missouri City, Plantation Park, Sienna")</f>
        <v>Missouri City, Plantation Park, Sienna</v>
      </c>
      <c r="AA327" s="9" t="str">
        <f>IFERROR(__xludf.DUMMYFUNCTION("""COMPUTED_VALUE"""),"Family Promise")</f>
        <v>Family Promise</v>
      </c>
      <c r="AB327" s="9" t="str">
        <f>IFERROR(__xludf.DUMMYFUNCTION("""COMPUTED_VALUE"""),"Plantation Park")</f>
        <v>Plantation Park</v>
      </c>
    </row>
    <row r="328" ht="30.0" customHeight="1">
      <c r="A328" s="17">
        <v>327.0</v>
      </c>
      <c r="B328"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28" s="9" t="str">
        <f>IFERROR(__xludf.DUMMYFUNCTION("""COMPUTED_VALUE"""),"Fort Bend Family Promise")</f>
        <v>Fort Bend Family Promise</v>
      </c>
      <c r="D328" s="9" t="str">
        <f>IFERROR(__xludf.DUMMYFUNCTION("""COMPUTED_VALUE"""),"1002 Wilson Road")</f>
        <v>1002 Wilson Road</v>
      </c>
      <c r="E328" s="9" t="str">
        <f>IFERROR(__xludf.DUMMYFUNCTION("""COMPUTED_VALUE"""),"West Campus")</f>
        <v>West Campus</v>
      </c>
      <c r="F328" s="9" t="str">
        <f>IFERROR(__xludf.DUMMYFUNCTION("""COMPUTED_VALUE"""),"Rosenberg")</f>
        <v>Rosenberg</v>
      </c>
      <c r="G328" s="9" t="str">
        <f>IFERROR(__xludf.DUMMYFUNCTION("""COMPUTED_VALUE"""),"TX")</f>
        <v>TX</v>
      </c>
      <c r="H328" s="9" t="str">
        <f>IFERROR(__xludf.DUMMYFUNCTION("""COMPUTED_VALUE"""),"77471")</f>
        <v>77471</v>
      </c>
      <c r="I328" s="9" t="str">
        <f>IFERROR(__xludf.DUMMYFUNCTION("""COMPUTED_VALUE"""),"832-847-4734")</f>
        <v>832-847-4734</v>
      </c>
      <c r="J328" s="9" t="str">
        <f>IFERROR(__xludf.DUMMYFUNCTION("""COMPUTED_VALUE"""),"29.570238105008098, -95.77616454471286")</f>
        <v>29.570238105008098, -95.77616454471286</v>
      </c>
      <c r="K328" s="9" t="str">
        <f>IFERROR(__xludf.DUMMYFUNCTION("""COMPUTED_VALUE"""),"{""regular"":[{""days"":[""Mo"",""Tu"",""We"",""Th"",""Fr""],""open"":""08:00"",""close"":""19:00""}]}")</f>
        <v>{"regular":[{"days":["Mo","Tu","We","Th","Fr"],"open":"08:00","close":"19:00"}]}</v>
      </c>
      <c r="L328" s="9"/>
      <c r="M328" s="10">
        <f>IFERROR(__xludf.DUMMYFUNCTION("""COMPUTED_VALUE"""),13.0)</f>
        <v>13</v>
      </c>
      <c r="N328" s="10" t="str">
        <f>IFERROR(__xludf.DUMMYFUNCTION("""COMPUTED_VALUE"""),"Food")</f>
        <v>Food</v>
      </c>
      <c r="O328" s="10">
        <f>IFERROR(__xludf.DUMMYFUNCTION("""COMPUTED_VALUE"""),1.0)</f>
        <v>1</v>
      </c>
      <c r="P328" s="10" t="str">
        <f>IFERROR(__xludf.DUMMYFUNCTION("""COMPUTED_VALUE"""),"ACTIVE")</f>
        <v>ACTIVE</v>
      </c>
      <c r="Q328" s="11">
        <f>IFERROR(__xludf.DUMMYFUNCTION("""COMPUTED_VALUE"""),46016.0)</f>
        <v>46016</v>
      </c>
      <c r="R328" s="9" t="str">
        <f>IFERROR(__xludf.DUMMYFUNCTION("""COMPUTED_VALUE"""),"Verified online but limited information.  Website geared towards donations.")</f>
        <v>Verified online but limited information.  Website geared towards donations.</v>
      </c>
      <c r="S328" s="9"/>
      <c r="T328" s="12" t="b">
        <f>IFERROR(__xludf.DUMMYFUNCTION("""COMPUTED_VALUE"""),FALSE)</f>
        <v>0</v>
      </c>
      <c r="U328" s="12" t="b">
        <f>IFERROR(__xludf.DUMMYFUNCTION("""COMPUTED_VALUE"""),FALSE)</f>
        <v>0</v>
      </c>
      <c r="V328" s="13" t="str">
        <f>IFERROR(__xludf.DUMMYFUNCTION("""COMPUTED_VALUE"""),"https://fortbendfamilypromise.org/programs/")</f>
        <v>https://fortbendfamilypromise.org/programs/</v>
      </c>
      <c r="W328" s="14" t="str">
        <f>IFERROR(__xludf.DUMMYFUNCTION("""COMPUTED_VALUE"""),"https://www.google.com/maps/place/1002+Wilson+Dr,+Rosenberg,+TX+77471/@29.5698183,-95.781014,16z/data=!3m1!4b1!4m6!3m5!1s0x86411c2a149875b7:0x87dd96d9496c3bbd!8m2!3d29.5698137!4d-95.7761431!16s%2Fg%2F11ltc59y38?entry=ttu&amp;g_ep=EgoyMDI1MTIwOS4wIKXMDSoKLDEwM"&amp;"Dc5MjA2OUgBUAM%3D")</f>
        <v>https://www.google.com/maps/place/1002+Wilson+Dr,+Rosenberg,+TX+77471/@29.5698183,-95.781014,16z/data=!3m1!4b1!4m6!3m5!1s0x86411c2a149875b7:0x87dd96d9496c3bbd!8m2!3d29.5698137!4d-95.7761431!16s%2Fg%2F11ltc59y38?entry=ttu&amp;g_ep=EgoyMDI1MTIwOS4wIKXMDSoKLDEwMDc5MjA2OUgBUAM%3D</v>
      </c>
      <c r="X328" s="10"/>
      <c r="Y328" s="9" t="str">
        <f>IFERROR(__xludf.DUMMYFUNCTION("""COMPUTED_VALUE"""),"Rosenberg")</f>
        <v>Rosenberg</v>
      </c>
      <c r="Z328" s="9" t="str">
        <f>IFERROR(__xludf.DUMMYFUNCTION("""COMPUTED_VALUE"""),"Allendale Manor, Rosenberg, Timberlane Addition")</f>
        <v>Allendale Manor, Rosenberg, Timberlane Addition</v>
      </c>
      <c r="AA328" s="9" t="str">
        <f>IFERROR(__xludf.DUMMYFUNCTION("""COMPUTED_VALUE"""),"Family Promise")</f>
        <v>Family Promise</v>
      </c>
      <c r="AB328" s="9" t="str">
        <f>IFERROR(__xludf.DUMMYFUNCTION("""COMPUTED_VALUE"""),"Timberlane Addition")</f>
        <v>Timberlane Addition</v>
      </c>
    </row>
    <row r="329" ht="30.0" customHeight="1">
      <c r="A329" s="17">
        <v>328.0</v>
      </c>
      <c r="B329"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29" s="9" t="str">
        <f>IFERROR(__xludf.DUMMYFUNCTION("""COMPUTED_VALUE"""),"Fort Bend Family Promise")</f>
        <v>Fort Bend Family Promise</v>
      </c>
      <c r="D329" s="9" t="str">
        <f>IFERROR(__xludf.DUMMYFUNCTION("""COMPUTED_VALUE"""),"4646 Cartwright Road")</f>
        <v>4646 Cartwright Road</v>
      </c>
      <c r="E329" s="9" t="str">
        <f>IFERROR(__xludf.DUMMYFUNCTION("""COMPUTED_VALUE"""),"East Campus")</f>
        <v>East Campus</v>
      </c>
      <c r="F329" s="9" t="str">
        <f>IFERROR(__xludf.DUMMYFUNCTION("""COMPUTED_VALUE"""),"Missouri City")</f>
        <v>Missouri City</v>
      </c>
      <c r="G329" s="9" t="str">
        <f>IFERROR(__xludf.DUMMYFUNCTION("""COMPUTED_VALUE"""),"TX")</f>
        <v>TX</v>
      </c>
      <c r="H329" s="9" t="str">
        <f>IFERROR(__xludf.DUMMYFUNCTION("""COMPUTED_VALUE"""),"77459")</f>
        <v>77459</v>
      </c>
      <c r="I329" s="9" t="str">
        <f>IFERROR(__xludf.DUMMYFUNCTION("""COMPUTED_VALUE"""),"281-403-3923")</f>
        <v>281-403-3923</v>
      </c>
      <c r="J329" s="9" t="str">
        <f>IFERROR(__xludf.DUMMYFUNCTION("""COMPUTED_VALUE"""),"29.58341972326318, -95.57841302867791")</f>
        <v>29.58341972326318, -95.57841302867791</v>
      </c>
      <c r="K329" s="9" t="str">
        <f>IFERROR(__xludf.DUMMYFUNCTION("""COMPUTED_VALUE"""),"{""regular"":[{""days"":[""Mo"",""Tu"",""We"",""Th"",""Fr""],""open"":""07:00"",""close"":""19:00""}]}")</f>
        <v>{"regular":[{"days":["Mo","Tu","We","Th","Fr"],"open":"07:00","close":"19:00"}]}</v>
      </c>
      <c r="L329" s="9"/>
      <c r="M329" s="10">
        <f>IFERROR(__xludf.DUMMYFUNCTION("""COMPUTED_VALUE"""),13.0)</f>
        <v>13</v>
      </c>
      <c r="N329" s="10" t="str">
        <f>IFERROR(__xludf.DUMMYFUNCTION("""COMPUTED_VALUE"""),"Food")</f>
        <v>Food</v>
      </c>
      <c r="O329" s="10">
        <f>IFERROR(__xludf.DUMMYFUNCTION("""COMPUTED_VALUE"""),1.0)</f>
        <v>1</v>
      </c>
      <c r="P329" s="10" t="str">
        <f>IFERROR(__xludf.DUMMYFUNCTION("""COMPUTED_VALUE"""),"ACTIVE")</f>
        <v>ACTIVE</v>
      </c>
      <c r="Q329" s="11">
        <f>IFERROR(__xludf.DUMMYFUNCTION("""COMPUTED_VALUE"""),46016.0)</f>
        <v>46016</v>
      </c>
      <c r="R329" s="9" t="str">
        <f>IFERROR(__xludf.DUMMYFUNCTION("""COMPUTED_VALUE"""),"Verified online but limited information.  Website geared towards donations.")</f>
        <v>Verified online but limited information.  Website geared towards donations.</v>
      </c>
      <c r="S329" s="9"/>
      <c r="T329" s="12" t="b">
        <f>IFERROR(__xludf.DUMMYFUNCTION("""COMPUTED_VALUE"""),FALSE)</f>
        <v>0</v>
      </c>
      <c r="U329" s="12" t="b">
        <f>IFERROR(__xludf.DUMMYFUNCTION("""COMPUTED_VALUE"""),FALSE)</f>
        <v>0</v>
      </c>
      <c r="V329" s="13" t="str">
        <f>IFERROR(__xludf.DUMMYFUNCTION("""COMPUTED_VALUE"""),"https://fortbendfamilypromise.org/programs/")</f>
        <v>https://fortbendfamilypromise.org/programs/</v>
      </c>
      <c r="W329" s="14" t="str">
        <f>IFERROR(__xludf.DUMMYFUNCTION("""COMPUTED_VALUE"""),"https://www.google.com/maps/place/4646+Cartwright+Rd,+Missouri+City,+TX+77459/@29.5832215,-95.5810433,17z/data=!3m1!4b1!4m5!3m4!1s0x8640e60bd7911823:0x55d673bee80c25cf!8m2!3d29.5832169!4d-95.5784684?entry=ttu&amp;g_ep=EgoyMDI1MTIwOS4wIKXMDSoKLDEwMDc5MjA2OUgBU"&amp;"AM%3D")</f>
        <v>https://www.google.com/maps/place/4646+Cartwright+Rd,+Missouri+City,+TX+77459/@29.5832215,-95.5810433,17z/data=!3m1!4b1!4m5!3m4!1s0x8640e60bd7911823:0x55d673bee80c25cf!8m2!3d29.5832169!4d-95.5784684?entry=ttu&amp;g_ep=EgoyMDI1MTIwOS4wIKXMDSoKLDEwMDc5MjA2OUgBUAM%3D</v>
      </c>
      <c r="X329" s="10"/>
      <c r="Y329" s="9" t="str">
        <f>IFERROR(__xludf.DUMMYFUNCTION("""COMPUTED_VALUE"""),"Missouri City")</f>
        <v>Missouri City</v>
      </c>
      <c r="Z329" s="9" t="str">
        <f>IFERROR(__xludf.DUMMYFUNCTION("""COMPUTED_VALUE"""),"Missouri City, Plantation Park, Sienna")</f>
        <v>Missouri City, Plantation Park, Sienna</v>
      </c>
      <c r="AA329" s="9" t="str">
        <f>IFERROR(__xludf.DUMMYFUNCTION("""COMPUTED_VALUE"""),"Family Promise")</f>
        <v>Family Promise</v>
      </c>
      <c r="AB329" s="9" t="str">
        <f>IFERROR(__xludf.DUMMYFUNCTION("""COMPUTED_VALUE"""),"Plantation Park")</f>
        <v>Plantation Park</v>
      </c>
    </row>
    <row r="330" ht="30.0" customHeight="1">
      <c r="A330" s="17">
        <v>329.0</v>
      </c>
      <c r="B330"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30" s="9" t="str">
        <f>IFERROR(__xludf.DUMMYFUNCTION("""COMPUTED_VALUE"""),"Fort Bend Family Promise")</f>
        <v>Fort Bend Family Promise</v>
      </c>
      <c r="D330" s="9" t="str">
        <f>IFERROR(__xludf.DUMMYFUNCTION("""COMPUTED_VALUE"""),"1002 Wilson Road")</f>
        <v>1002 Wilson Road</v>
      </c>
      <c r="E330" s="9" t="str">
        <f>IFERROR(__xludf.DUMMYFUNCTION("""COMPUTED_VALUE"""),"West Campus")</f>
        <v>West Campus</v>
      </c>
      <c r="F330" s="9" t="str">
        <f>IFERROR(__xludf.DUMMYFUNCTION("""COMPUTED_VALUE"""),"Rosenberg")</f>
        <v>Rosenberg</v>
      </c>
      <c r="G330" s="9" t="str">
        <f>IFERROR(__xludf.DUMMYFUNCTION("""COMPUTED_VALUE"""),"TX")</f>
        <v>TX</v>
      </c>
      <c r="H330" s="9" t="str">
        <f>IFERROR(__xludf.DUMMYFUNCTION("""COMPUTED_VALUE"""),"77471")</f>
        <v>77471</v>
      </c>
      <c r="I330" s="9" t="str">
        <f>IFERROR(__xludf.DUMMYFUNCTION("""COMPUTED_VALUE"""),"832-847-4734")</f>
        <v>832-847-4734</v>
      </c>
      <c r="J330" s="9" t="str">
        <f>IFERROR(__xludf.DUMMYFUNCTION("""COMPUTED_VALUE"""),"29.570238105008098, -95.77616454471286")</f>
        <v>29.570238105008098, -95.77616454471286</v>
      </c>
      <c r="K330" s="9" t="str">
        <f>IFERROR(__xludf.DUMMYFUNCTION("""COMPUTED_VALUE"""),"{""regular"":[{""days"":[""Mo"",""Tu"",""We"",""Th"",""Fr""],""open"":""08:00"",""close"":""19:00""}]}")</f>
        <v>{"regular":[{"days":["Mo","Tu","We","Th","Fr"],"open":"08:00","close":"19:00"}]}</v>
      </c>
      <c r="L330" s="9"/>
      <c r="M330" s="10">
        <f>IFERROR(__xludf.DUMMYFUNCTION("""COMPUTED_VALUE"""),14.0)</f>
        <v>14</v>
      </c>
      <c r="N330" s="10" t="str">
        <f>IFERROR(__xludf.DUMMYFUNCTION("""COMPUTED_VALUE"""),"Clothing")</f>
        <v>Clothing</v>
      </c>
      <c r="O330" s="10">
        <f>IFERROR(__xludf.DUMMYFUNCTION("""COMPUTED_VALUE"""),1.0)</f>
        <v>1</v>
      </c>
      <c r="P330" s="10" t="str">
        <f>IFERROR(__xludf.DUMMYFUNCTION("""COMPUTED_VALUE"""),"ACTIVE")</f>
        <v>ACTIVE</v>
      </c>
      <c r="Q330" s="11">
        <f>IFERROR(__xludf.DUMMYFUNCTION("""COMPUTED_VALUE"""),46016.0)</f>
        <v>46016</v>
      </c>
      <c r="R330" s="9" t="str">
        <f>IFERROR(__xludf.DUMMYFUNCTION("""COMPUTED_VALUE"""),"Verified online but limited information.  Website geared towards donations.")</f>
        <v>Verified online but limited information.  Website geared towards donations.</v>
      </c>
      <c r="S330" s="9" t="str">
        <f>IFERROR(__xludf.DUMMYFUNCTION("""COMPUTED_VALUE"""),"Clothing, shoes and grooming services.")</f>
        <v>Clothing, shoes and grooming services.</v>
      </c>
      <c r="T330" s="12" t="b">
        <f>IFERROR(__xludf.DUMMYFUNCTION("""COMPUTED_VALUE"""),FALSE)</f>
        <v>0</v>
      </c>
      <c r="U330" s="12" t="b">
        <f>IFERROR(__xludf.DUMMYFUNCTION("""COMPUTED_VALUE"""),FALSE)</f>
        <v>0</v>
      </c>
      <c r="V330" s="13" t="str">
        <f>IFERROR(__xludf.DUMMYFUNCTION("""COMPUTED_VALUE"""),"https://fortbendfamilypromise.org/programs/")</f>
        <v>https://fortbendfamilypromise.org/programs/</v>
      </c>
      <c r="W330" s="14" t="str">
        <f>IFERROR(__xludf.DUMMYFUNCTION("""COMPUTED_VALUE"""),"https://www.google.com/maps/place/1002+Wilson+Dr,+Rosenberg,+TX+77471/@29.5698183,-95.781014,16z/data=!3m1!4b1!4m6!3m5!1s0x86411c2a149875b7:0x87dd96d9496c3bbd!8m2!3d29.5698137!4d-95.7761431!16s%2Fg%2F11ltc59y38?entry=ttu&amp;g_ep=EgoyMDI1MTIwOS4wIKXMDSoKLDEwM"&amp;"Dc5MjA2OUgBUAM%3D")</f>
        <v>https://www.google.com/maps/place/1002+Wilson+Dr,+Rosenberg,+TX+77471/@29.5698183,-95.781014,16z/data=!3m1!4b1!4m6!3m5!1s0x86411c2a149875b7:0x87dd96d9496c3bbd!8m2!3d29.5698137!4d-95.7761431!16s%2Fg%2F11ltc59y38?entry=ttu&amp;g_ep=EgoyMDI1MTIwOS4wIKXMDSoKLDEwMDc5MjA2OUgBUAM%3D</v>
      </c>
      <c r="X330" s="10"/>
      <c r="Y330" s="9" t="str">
        <f>IFERROR(__xludf.DUMMYFUNCTION("""COMPUTED_VALUE"""),"Rosenberg")</f>
        <v>Rosenberg</v>
      </c>
      <c r="Z330" s="9" t="str">
        <f>IFERROR(__xludf.DUMMYFUNCTION("""COMPUTED_VALUE"""),"Allendale Manor, Rosenberg, Timberlane Addition")</f>
        <v>Allendale Manor, Rosenberg, Timberlane Addition</v>
      </c>
      <c r="AA330" s="9" t="str">
        <f>IFERROR(__xludf.DUMMYFUNCTION("""COMPUTED_VALUE"""),"Family Promise")</f>
        <v>Family Promise</v>
      </c>
      <c r="AB330" s="9" t="str">
        <f>IFERROR(__xludf.DUMMYFUNCTION("""COMPUTED_VALUE"""),"Timberlane Addition")</f>
        <v>Timberlane Addition</v>
      </c>
    </row>
    <row r="331" ht="30.0" customHeight="1">
      <c r="A331" s="17">
        <v>330.0</v>
      </c>
      <c r="B331"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31" s="9" t="str">
        <f>IFERROR(__xludf.DUMMYFUNCTION("""COMPUTED_VALUE"""),"Fort Bend Family Promise")</f>
        <v>Fort Bend Family Promise</v>
      </c>
      <c r="D331" s="9" t="str">
        <f>IFERROR(__xludf.DUMMYFUNCTION("""COMPUTED_VALUE"""),"4646 Cartwright Road")</f>
        <v>4646 Cartwright Road</v>
      </c>
      <c r="E331" s="9" t="str">
        <f>IFERROR(__xludf.DUMMYFUNCTION("""COMPUTED_VALUE"""),"East Campus")</f>
        <v>East Campus</v>
      </c>
      <c r="F331" s="9" t="str">
        <f>IFERROR(__xludf.DUMMYFUNCTION("""COMPUTED_VALUE"""),"Missouri City")</f>
        <v>Missouri City</v>
      </c>
      <c r="G331" s="9" t="str">
        <f>IFERROR(__xludf.DUMMYFUNCTION("""COMPUTED_VALUE"""),"TX")</f>
        <v>TX</v>
      </c>
      <c r="H331" s="9" t="str">
        <f>IFERROR(__xludf.DUMMYFUNCTION("""COMPUTED_VALUE"""),"77459")</f>
        <v>77459</v>
      </c>
      <c r="I331" s="9" t="str">
        <f>IFERROR(__xludf.DUMMYFUNCTION("""COMPUTED_VALUE"""),"281-403-3923")</f>
        <v>281-403-3923</v>
      </c>
      <c r="J331" s="9" t="str">
        <f>IFERROR(__xludf.DUMMYFUNCTION("""COMPUTED_VALUE"""),"29.58341972326318, -95.57841302867791")</f>
        <v>29.58341972326318, -95.57841302867791</v>
      </c>
      <c r="K331" s="9" t="str">
        <f>IFERROR(__xludf.DUMMYFUNCTION("""COMPUTED_VALUE"""),"{""regular"":[{""days"":[""Mo"",""Tu"",""We"",""Th"",""Fr""],""open"":""07:00"",""close"":""19:00""}]}")</f>
        <v>{"regular":[{"days":["Mo","Tu","We","Th","Fr"],"open":"07:00","close":"19:00"}]}</v>
      </c>
      <c r="L331" s="9"/>
      <c r="M331" s="10">
        <f>IFERROR(__xludf.DUMMYFUNCTION("""COMPUTED_VALUE"""),14.0)</f>
        <v>14</v>
      </c>
      <c r="N331" s="10" t="str">
        <f>IFERROR(__xludf.DUMMYFUNCTION("""COMPUTED_VALUE"""),"Clothing")</f>
        <v>Clothing</v>
      </c>
      <c r="O331" s="10">
        <f>IFERROR(__xludf.DUMMYFUNCTION("""COMPUTED_VALUE"""),1.0)</f>
        <v>1</v>
      </c>
      <c r="P331" s="10" t="str">
        <f>IFERROR(__xludf.DUMMYFUNCTION("""COMPUTED_VALUE"""),"ACTIVE")</f>
        <v>ACTIVE</v>
      </c>
      <c r="Q331" s="11">
        <f>IFERROR(__xludf.DUMMYFUNCTION("""COMPUTED_VALUE"""),46016.0)</f>
        <v>46016</v>
      </c>
      <c r="R331" s="9" t="str">
        <f>IFERROR(__xludf.DUMMYFUNCTION("""COMPUTED_VALUE"""),"Verified online but limited information.  Website geared towards donations.")</f>
        <v>Verified online but limited information.  Website geared towards donations.</v>
      </c>
      <c r="S331" s="9" t="str">
        <f>IFERROR(__xludf.DUMMYFUNCTION("""COMPUTED_VALUE"""),"Clothing, shoes and grooming services.")</f>
        <v>Clothing, shoes and grooming services.</v>
      </c>
      <c r="T331" s="12" t="b">
        <f>IFERROR(__xludf.DUMMYFUNCTION("""COMPUTED_VALUE"""),FALSE)</f>
        <v>0</v>
      </c>
      <c r="U331" s="12" t="b">
        <f>IFERROR(__xludf.DUMMYFUNCTION("""COMPUTED_VALUE"""),FALSE)</f>
        <v>0</v>
      </c>
      <c r="V331" s="13" t="str">
        <f>IFERROR(__xludf.DUMMYFUNCTION("""COMPUTED_VALUE"""),"https://fortbendfamilypromise.org/programs/")</f>
        <v>https://fortbendfamilypromise.org/programs/</v>
      </c>
      <c r="W331" s="14" t="str">
        <f>IFERROR(__xludf.DUMMYFUNCTION("""COMPUTED_VALUE"""),"https://www.google.com/maps/place/4646+Cartwright+Rd,+Missouri+City,+TX+77459/@29.5832215,-95.5810433,17z/data=!3m1!4b1!4m5!3m4!1s0x8640e60bd7911823:0x55d673bee80c25cf!8m2!3d29.5832169!4d-95.5784684?entry=ttu&amp;g_ep=EgoyMDI1MTIwOS4wIKXMDSoKLDEwMDc5MjA2OUgBU"&amp;"AM%3D")</f>
        <v>https://www.google.com/maps/place/4646+Cartwright+Rd,+Missouri+City,+TX+77459/@29.5832215,-95.5810433,17z/data=!3m1!4b1!4m5!3m4!1s0x8640e60bd7911823:0x55d673bee80c25cf!8m2!3d29.5832169!4d-95.5784684?entry=ttu&amp;g_ep=EgoyMDI1MTIwOS4wIKXMDSoKLDEwMDc5MjA2OUgBUAM%3D</v>
      </c>
      <c r="X331" s="10"/>
      <c r="Y331" s="9" t="str">
        <f>IFERROR(__xludf.DUMMYFUNCTION("""COMPUTED_VALUE"""),"Missouri City")</f>
        <v>Missouri City</v>
      </c>
      <c r="Z331" s="9" t="str">
        <f>IFERROR(__xludf.DUMMYFUNCTION("""COMPUTED_VALUE"""),"Missouri City, Plantation Park, Sienna")</f>
        <v>Missouri City, Plantation Park, Sienna</v>
      </c>
      <c r="AA331" s="9" t="str">
        <f>IFERROR(__xludf.DUMMYFUNCTION("""COMPUTED_VALUE"""),"Family Promise")</f>
        <v>Family Promise</v>
      </c>
      <c r="AB331" s="9" t="str">
        <f>IFERROR(__xludf.DUMMYFUNCTION("""COMPUTED_VALUE"""),"Plantation Park")</f>
        <v>Plantation Park</v>
      </c>
    </row>
    <row r="332" ht="30.0" customHeight="1">
      <c r="A332" s="17">
        <v>331.0</v>
      </c>
      <c r="B332"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32" s="9" t="str">
        <f>IFERROR(__xludf.DUMMYFUNCTION("""COMPUTED_VALUE"""),"Fort Bend Family Promise")</f>
        <v>Fort Bend Family Promise</v>
      </c>
      <c r="D332" s="9" t="str">
        <f>IFERROR(__xludf.DUMMYFUNCTION("""COMPUTED_VALUE"""),"1002 Wilson Road")</f>
        <v>1002 Wilson Road</v>
      </c>
      <c r="E332" s="9" t="str">
        <f>IFERROR(__xludf.DUMMYFUNCTION("""COMPUTED_VALUE"""),"West Campus")</f>
        <v>West Campus</v>
      </c>
      <c r="F332" s="9" t="str">
        <f>IFERROR(__xludf.DUMMYFUNCTION("""COMPUTED_VALUE"""),"Rosenberg")</f>
        <v>Rosenberg</v>
      </c>
      <c r="G332" s="9" t="str">
        <f>IFERROR(__xludf.DUMMYFUNCTION("""COMPUTED_VALUE"""),"TX")</f>
        <v>TX</v>
      </c>
      <c r="H332" s="9" t="str">
        <f>IFERROR(__xludf.DUMMYFUNCTION("""COMPUTED_VALUE"""),"77471")</f>
        <v>77471</v>
      </c>
      <c r="I332" s="9" t="str">
        <f>IFERROR(__xludf.DUMMYFUNCTION("""COMPUTED_VALUE"""),"832-847-4734")</f>
        <v>832-847-4734</v>
      </c>
      <c r="J332" s="9" t="str">
        <f>IFERROR(__xludf.DUMMYFUNCTION("""COMPUTED_VALUE"""),"29.570238105008098, -95.77616454471286")</f>
        <v>29.570238105008098, -95.77616454471286</v>
      </c>
      <c r="K332" s="9" t="str">
        <f>IFERROR(__xludf.DUMMYFUNCTION("""COMPUTED_VALUE"""),"{""regular"":[{""days"":[""Mo"",""Tu"",""We"",""Th"",""Fr""],""open"":""08:00"",""close"":""19:00""}]}")</f>
        <v>{"regular":[{"days":["Mo","Tu","We","Th","Fr"],"open":"08:00","close":"19:00"}]}</v>
      </c>
      <c r="L332" s="9"/>
      <c r="M332" s="10">
        <f>IFERROR(__xludf.DUMMYFUNCTION("""COMPUTED_VALUE"""),22.0)</f>
        <v>22</v>
      </c>
      <c r="N332" s="10" t="str">
        <f>IFERROR(__xludf.DUMMYFUNCTION("""COMPUTED_VALUE"""),"Homeless - Day Centers")</f>
        <v>Homeless - Day Centers</v>
      </c>
      <c r="O332" s="10">
        <f>IFERROR(__xludf.DUMMYFUNCTION("""COMPUTED_VALUE"""),1.0)</f>
        <v>1</v>
      </c>
      <c r="P332" s="10" t="str">
        <f>IFERROR(__xludf.DUMMYFUNCTION("""COMPUTED_VALUE"""),"ACTIVE")</f>
        <v>ACTIVE</v>
      </c>
      <c r="Q332" s="11">
        <f>IFERROR(__xludf.DUMMYFUNCTION("""COMPUTED_VALUE"""),46016.0)</f>
        <v>46016</v>
      </c>
      <c r="R332" s="9" t="str">
        <f>IFERROR(__xludf.DUMMYFUNCTION("""COMPUTED_VALUE"""),"Verified online but limited information.  Website geared towards donations.")</f>
        <v>Verified online but limited information.  Website geared towards donations.</v>
      </c>
      <c r="S332" s="9" t="str">
        <f>IFERROR(__xludf.DUMMYFUNCTION("""COMPUTED_VALUE"""),"Website references a day center but is not explicit that there is one, what it provides and what the eligibility requirements are.")</f>
        <v>Website references a day center but is not explicit that there is one, what it provides and what the eligibility requirements are.</v>
      </c>
      <c r="T332" s="12" t="b">
        <f>IFERROR(__xludf.DUMMYFUNCTION("""COMPUTED_VALUE"""),FALSE)</f>
        <v>0</v>
      </c>
      <c r="U332" s="12" t="b">
        <f>IFERROR(__xludf.DUMMYFUNCTION("""COMPUTED_VALUE"""),FALSE)</f>
        <v>0</v>
      </c>
      <c r="V332" s="13" t="str">
        <f>IFERROR(__xludf.DUMMYFUNCTION("""COMPUTED_VALUE"""),"https://fortbendfamilypromise.org/programs/")</f>
        <v>https://fortbendfamilypromise.org/programs/</v>
      </c>
      <c r="W332" s="14" t="str">
        <f>IFERROR(__xludf.DUMMYFUNCTION("""COMPUTED_VALUE"""),"https://www.google.com/maps/place/1002+Wilson+Dr,+Rosenberg,+TX+77471/@29.5698183,-95.781014,16z/data=!3m1!4b1!4m6!3m5!1s0x86411c2a149875b7:0x87dd96d9496c3bbd!8m2!3d29.5698137!4d-95.7761431!16s%2Fg%2F11ltc59y38?entry=ttu&amp;g_ep=EgoyMDI1MTIwOS4wIKXMDSoKLDEwM"&amp;"Dc5MjA2OUgBUAM%3D")</f>
        <v>https://www.google.com/maps/place/1002+Wilson+Dr,+Rosenberg,+TX+77471/@29.5698183,-95.781014,16z/data=!3m1!4b1!4m6!3m5!1s0x86411c2a149875b7:0x87dd96d9496c3bbd!8m2!3d29.5698137!4d-95.7761431!16s%2Fg%2F11ltc59y38?entry=ttu&amp;g_ep=EgoyMDI1MTIwOS4wIKXMDSoKLDEwMDc5MjA2OUgBUAM%3D</v>
      </c>
      <c r="X332" s="10"/>
      <c r="Y332" s="9" t="str">
        <f>IFERROR(__xludf.DUMMYFUNCTION("""COMPUTED_VALUE"""),"Rosenberg")</f>
        <v>Rosenberg</v>
      </c>
      <c r="Z332" s="9" t="str">
        <f>IFERROR(__xludf.DUMMYFUNCTION("""COMPUTED_VALUE"""),"Allendale Manor, Rosenberg, Timberlane Addition")</f>
        <v>Allendale Manor, Rosenberg, Timberlane Addition</v>
      </c>
      <c r="AA332" s="9" t="str">
        <f>IFERROR(__xludf.DUMMYFUNCTION("""COMPUTED_VALUE"""),"Family Promise")</f>
        <v>Family Promise</v>
      </c>
      <c r="AB332" s="9" t="str">
        <f>IFERROR(__xludf.DUMMYFUNCTION("""COMPUTED_VALUE"""),"Timberlane Addition")</f>
        <v>Timberlane Addition</v>
      </c>
    </row>
    <row r="333" ht="30.0" customHeight="1">
      <c r="A333" s="17">
        <v>332.0</v>
      </c>
      <c r="B333"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33" s="9" t="str">
        <f>IFERROR(__xludf.DUMMYFUNCTION("""COMPUTED_VALUE"""),"Fort Bend Family Promise")</f>
        <v>Fort Bend Family Promise</v>
      </c>
      <c r="D333" s="9" t="str">
        <f>IFERROR(__xludf.DUMMYFUNCTION("""COMPUTED_VALUE"""),"4646 Cartwright Road")</f>
        <v>4646 Cartwright Road</v>
      </c>
      <c r="E333" s="9" t="str">
        <f>IFERROR(__xludf.DUMMYFUNCTION("""COMPUTED_VALUE"""),"East Campus")</f>
        <v>East Campus</v>
      </c>
      <c r="F333" s="9" t="str">
        <f>IFERROR(__xludf.DUMMYFUNCTION("""COMPUTED_VALUE"""),"Missouri City")</f>
        <v>Missouri City</v>
      </c>
      <c r="G333" s="9" t="str">
        <f>IFERROR(__xludf.DUMMYFUNCTION("""COMPUTED_VALUE"""),"TX")</f>
        <v>TX</v>
      </c>
      <c r="H333" s="9" t="str">
        <f>IFERROR(__xludf.DUMMYFUNCTION("""COMPUTED_VALUE"""),"77459")</f>
        <v>77459</v>
      </c>
      <c r="I333" s="9" t="str">
        <f>IFERROR(__xludf.DUMMYFUNCTION("""COMPUTED_VALUE"""),"281-403-3923")</f>
        <v>281-403-3923</v>
      </c>
      <c r="J333" s="9" t="str">
        <f>IFERROR(__xludf.DUMMYFUNCTION("""COMPUTED_VALUE"""),"29.58341972326318, -95.57841302867791")</f>
        <v>29.58341972326318, -95.57841302867791</v>
      </c>
      <c r="K333" s="9" t="str">
        <f>IFERROR(__xludf.DUMMYFUNCTION("""COMPUTED_VALUE"""),"{""regular"":[{""days"":[""Mo"",""Tu"",""We"",""Th"",""Fr""],""open"":""07:00"",""close"":""19:00""}]}")</f>
        <v>{"regular":[{"days":["Mo","Tu","We","Th","Fr"],"open":"07:00","close":"19:00"}]}</v>
      </c>
      <c r="L333" s="9"/>
      <c r="M333" s="10">
        <f>IFERROR(__xludf.DUMMYFUNCTION("""COMPUTED_VALUE"""),22.0)</f>
        <v>22</v>
      </c>
      <c r="N333" s="10" t="str">
        <f>IFERROR(__xludf.DUMMYFUNCTION("""COMPUTED_VALUE"""),"Homeless - Day Centers")</f>
        <v>Homeless - Day Centers</v>
      </c>
      <c r="O333" s="10">
        <f>IFERROR(__xludf.DUMMYFUNCTION("""COMPUTED_VALUE"""),1.0)</f>
        <v>1</v>
      </c>
      <c r="P333" s="10" t="str">
        <f>IFERROR(__xludf.DUMMYFUNCTION("""COMPUTED_VALUE"""),"ACTIVE")</f>
        <v>ACTIVE</v>
      </c>
      <c r="Q333" s="11">
        <f>IFERROR(__xludf.DUMMYFUNCTION("""COMPUTED_VALUE"""),46016.0)</f>
        <v>46016</v>
      </c>
      <c r="R333" s="9" t="str">
        <f>IFERROR(__xludf.DUMMYFUNCTION("""COMPUTED_VALUE"""),"Verified online but limited information.  Website geared towards donations.")</f>
        <v>Verified online but limited information.  Website geared towards donations.</v>
      </c>
      <c r="S333" s="9" t="str">
        <f>IFERROR(__xludf.DUMMYFUNCTION("""COMPUTED_VALUE"""),"Website references a day center but is not explicit that there is one, what it provides and what the eligibility requirements are.")</f>
        <v>Website references a day center but is not explicit that there is one, what it provides and what the eligibility requirements are.</v>
      </c>
      <c r="T333" s="12" t="b">
        <f>IFERROR(__xludf.DUMMYFUNCTION("""COMPUTED_VALUE"""),FALSE)</f>
        <v>0</v>
      </c>
      <c r="U333" s="12" t="b">
        <f>IFERROR(__xludf.DUMMYFUNCTION("""COMPUTED_VALUE"""),FALSE)</f>
        <v>0</v>
      </c>
      <c r="V333" s="13" t="str">
        <f>IFERROR(__xludf.DUMMYFUNCTION("""COMPUTED_VALUE"""),"https://fortbendfamilypromise.org/programs/")</f>
        <v>https://fortbendfamilypromise.org/programs/</v>
      </c>
      <c r="W333" s="14" t="str">
        <f>IFERROR(__xludf.DUMMYFUNCTION("""COMPUTED_VALUE"""),"https://www.google.com/maps/place/4646+Cartwright+Rd,+Missouri+City,+TX+77459/@29.5832215,-95.5810433,17z/data=!3m1!4b1!4m5!3m4!1s0x8640e60bd7911823:0x55d673bee80c25cf!8m2!3d29.5832169!4d-95.5784684?entry=ttu&amp;g_ep=EgoyMDI1MTIwOS4wIKXMDSoKLDEwMDc5MjA2OUgBU"&amp;"AM%3D")</f>
        <v>https://www.google.com/maps/place/4646+Cartwright+Rd,+Missouri+City,+TX+77459/@29.5832215,-95.5810433,17z/data=!3m1!4b1!4m5!3m4!1s0x8640e60bd7911823:0x55d673bee80c25cf!8m2!3d29.5832169!4d-95.5784684?entry=ttu&amp;g_ep=EgoyMDI1MTIwOS4wIKXMDSoKLDEwMDc5MjA2OUgBUAM%3D</v>
      </c>
      <c r="X333" s="10"/>
      <c r="Y333" s="9" t="str">
        <f>IFERROR(__xludf.DUMMYFUNCTION("""COMPUTED_VALUE"""),"Missouri City")</f>
        <v>Missouri City</v>
      </c>
      <c r="Z333" s="9" t="str">
        <f>IFERROR(__xludf.DUMMYFUNCTION("""COMPUTED_VALUE"""),"Missouri City, Plantation Park, Sienna")</f>
        <v>Missouri City, Plantation Park, Sienna</v>
      </c>
      <c r="AA333" s="9" t="str">
        <f>IFERROR(__xludf.DUMMYFUNCTION("""COMPUTED_VALUE"""),"Family Promise")</f>
        <v>Family Promise</v>
      </c>
      <c r="AB333" s="9" t="str">
        <f>IFERROR(__xludf.DUMMYFUNCTION("""COMPUTED_VALUE"""),"Plantation Park")</f>
        <v>Plantation Park</v>
      </c>
    </row>
    <row r="334" ht="30.0" customHeight="1">
      <c r="A334" s="17">
        <v>333.0</v>
      </c>
      <c r="B334"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34" s="9" t="str">
        <f>IFERROR(__xludf.DUMMYFUNCTION("""COMPUTED_VALUE"""),"Fort Bend Family Promise")</f>
        <v>Fort Bend Family Promise</v>
      </c>
      <c r="D334" s="9" t="str">
        <f>IFERROR(__xludf.DUMMYFUNCTION("""COMPUTED_VALUE"""),"1002 Wilson Road")</f>
        <v>1002 Wilson Road</v>
      </c>
      <c r="E334" s="9" t="str">
        <f>IFERROR(__xludf.DUMMYFUNCTION("""COMPUTED_VALUE"""),"West Campus")</f>
        <v>West Campus</v>
      </c>
      <c r="F334" s="9" t="str">
        <f>IFERROR(__xludf.DUMMYFUNCTION("""COMPUTED_VALUE"""),"Rosenberg")</f>
        <v>Rosenberg</v>
      </c>
      <c r="G334" s="9" t="str">
        <f>IFERROR(__xludf.DUMMYFUNCTION("""COMPUTED_VALUE"""),"TX")</f>
        <v>TX</v>
      </c>
      <c r="H334" s="9" t="str">
        <f>IFERROR(__xludf.DUMMYFUNCTION("""COMPUTED_VALUE"""),"77471")</f>
        <v>77471</v>
      </c>
      <c r="I334" s="9" t="str">
        <f>IFERROR(__xludf.DUMMYFUNCTION("""COMPUTED_VALUE"""),"832-847-4734")</f>
        <v>832-847-4734</v>
      </c>
      <c r="J334" s="9" t="str">
        <f>IFERROR(__xludf.DUMMYFUNCTION("""COMPUTED_VALUE"""),"29.570238105008098, -95.77616454471286")</f>
        <v>29.570238105008098, -95.77616454471286</v>
      </c>
      <c r="K334" s="9" t="str">
        <f>IFERROR(__xludf.DUMMYFUNCTION("""COMPUTED_VALUE"""),"{""regular"":[{""days"":[""Mo"",""Tu"",""We"",""Th"",""Fr""],""open"":""08:00"",""close"":""19:00""}]}")</f>
        <v>{"regular":[{"days":["Mo","Tu","We","Th","Fr"],"open":"08:00","close":"19:00"}]}</v>
      </c>
      <c r="L334" s="9"/>
      <c r="M334" s="10">
        <f>IFERROR(__xludf.DUMMYFUNCTION("""COMPUTED_VALUE"""),53.0)</f>
        <v>53</v>
      </c>
      <c r="N334" s="10" t="str">
        <f>IFERROR(__xludf.DUMMYFUNCTION("""COMPUTED_VALUE"""),"Transportation")</f>
        <v>Transportation</v>
      </c>
      <c r="O334" s="10">
        <f>IFERROR(__xludf.DUMMYFUNCTION("""COMPUTED_VALUE"""),1.0)</f>
        <v>1</v>
      </c>
      <c r="P334" s="10" t="str">
        <f>IFERROR(__xludf.DUMMYFUNCTION("""COMPUTED_VALUE"""),"ACTIVE")</f>
        <v>ACTIVE</v>
      </c>
      <c r="Q334" s="11">
        <f>IFERROR(__xludf.DUMMYFUNCTION("""COMPUTED_VALUE"""),46016.0)</f>
        <v>46016</v>
      </c>
      <c r="R334" s="9" t="str">
        <f>IFERROR(__xludf.DUMMYFUNCTION("""COMPUTED_VALUE"""),"Verified online but limited information.  Website geared towards donations.")</f>
        <v>Verified online but limited information.  Website geared towards donations.</v>
      </c>
      <c r="S334" s="9" t="str">
        <f>IFERROR(__xludf.DUMMYFUNCTION("""COMPUTED_VALUE"""),"Gas for vehicle, rideshare vouchers and certified driver's education.")</f>
        <v>Gas for vehicle, rideshare vouchers and certified driver's education.</v>
      </c>
      <c r="T334" s="12" t="b">
        <f>IFERROR(__xludf.DUMMYFUNCTION("""COMPUTED_VALUE"""),FALSE)</f>
        <v>0</v>
      </c>
      <c r="U334" s="12" t="b">
        <f>IFERROR(__xludf.DUMMYFUNCTION("""COMPUTED_VALUE"""),FALSE)</f>
        <v>0</v>
      </c>
      <c r="V334" s="13" t="str">
        <f>IFERROR(__xludf.DUMMYFUNCTION("""COMPUTED_VALUE"""),"https://fortbendfamilypromise.org/programs/")</f>
        <v>https://fortbendfamilypromise.org/programs/</v>
      </c>
      <c r="W334" s="14" t="str">
        <f>IFERROR(__xludf.DUMMYFUNCTION("""COMPUTED_VALUE"""),"https://www.google.com/maps/place/1002+Wilson+Dr,+Rosenberg,+TX+77471/@29.5698183,-95.781014,16z/data=!3m1!4b1!4m6!3m5!1s0x86411c2a149875b7:0x87dd96d9496c3bbd!8m2!3d29.5698137!4d-95.7761431!16s%2Fg%2F11ltc59y38?entry=ttu&amp;g_ep=EgoyMDI1MTIwOS4wIKXMDSoKLDEwM"&amp;"Dc5MjA2OUgBUAM%3D")</f>
        <v>https://www.google.com/maps/place/1002+Wilson+Dr,+Rosenberg,+TX+77471/@29.5698183,-95.781014,16z/data=!3m1!4b1!4m6!3m5!1s0x86411c2a149875b7:0x87dd96d9496c3bbd!8m2!3d29.5698137!4d-95.7761431!16s%2Fg%2F11ltc59y38?entry=ttu&amp;g_ep=EgoyMDI1MTIwOS4wIKXMDSoKLDEwMDc5MjA2OUgBUAM%3D</v>
      </c>
      <c r="X334" s="10"/>
      <c r="Y334" s="9" t="str">
        <f>IFERROR(__xludf.DUMMYFUNCTION("""COMPUTED_VALUE"""),"Rosenberg")</f>
        <v>Rosenberg</v>
      </c>
      <c r="Z334" s="9" t="str">
        <f>IFERROR(__xludf.DUMMYFUNCTION("""COMPUTED_VALUE"""),"Allendale Manor, Rosenberg, Timberlane Addition")</f>
        <v>Allendale Manor, Rosenberg, Timberlane Addition</v>
      </c>
      <c r="AA334" s="9" t="str">
        <f>IFERROR(__xludf.DUMMYFUNCTION("""COMPUTED_VALUE"""),"Family Promise")</f>
        <v>Family Promise</v>
      </c>
      <c r="AB334" s="9" t="str">
        <f>IFERROR(__xludf.DUMMYFUNCTION("""COMPUTED_VALUE"""),"Timberlane Addition")</f>
        <v>Timberlane Addition</v>
      </c>
    </row>
    <row r="335" ht="30.0" customHeight="1">
      <c r="A335" s="17">
        <v>334.0</v>
      </c>
      <c r="B335" s="8" t="str">
        <f>IFERROR(__xludf.DUMMYFUNCTION("""COMPUTED_VALUE"""),"[""77053"",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C335" s="9" t="str">
        <f>IFERROR(__xludf.DUMMYFUNCTION("""COMPUTED_VALUE"""),"Fort Bend Family Promise")</f>
        <v>Fort Bend Family Promise</v>
      </c>
      <c r="D335" s="9" t="str">
        <f>IFERROR(__xludf.DUMMYFUNCTION("""COMPUTED_VALUE"""),"4646 Cartwright Road")</f>
        <v>4646 Cartwright Road</v>
      </c>
      <c r="E335" s="9" t="str">
        <f>IFERROR(__xludf.DUMMYFUNCTION("""COMPUTED_VALUE"""),"East Campus")</f>
        <v>East Campus</v>
      </c>
      <c r="F335" s="9" t="str">
        <f>IFERROR(__xludf.DUMMYFUNCTION("""COMPUTED_VALUE"""),"Missouri City")</f>
        <v>Missouri City</v>
      </c>
      <c r="G335" s="9" t="str">
        <f>IFERROR(__xludf.DUMMYFUNCTION("""COMPUTED_VALUE"""),"TX")</f>
        <v>TX</v>
      </c>
      <c r="H335" s="9" t="str">
        <f>IFERROR(__xludf.DUMMYFUNCTION("""COMPUTED_VALUE"""),"77459")</f>
        <v>77459</v>
      </c>
      <c r="I335" s="9" t="str">
        <f>IFERROR(__xludf.DUMMYFUNCTION("""COMPUTED_VALUE"""),"281-403-3923")</f>
        <v>281-403-3923</v>
      </c>
      <c r="J335" s="9" t="str">
        <f>IFERROR(__xludf.DUMMYFUNCTION("""COMPUTED_VALUE"""),"29.58341972326318, -95.57841302867791")</f>
        <v>29.58341972326318, -95.57841302867791</v>
      </c>
      <c r="K335" s="9" t="str">
        <f>IFERROR(__xludf.DUMMYFUNCTION("""COMPUTED_VALUE"""),"{""regular"":[{""days"":[""Mo"",""Tu"",""We"",""Th"",""Fr""],""open"":""07:00"",""close"":""19:00""}]}")</f>
        <v>{"regular":[{"days":["Mo","Tu","We","Th","Fr"],"open":"07:00","close":"19:00"}]}</v>
      </c>
      <c r="L335" s="9"/>
      <c r="M335" s="10">
        <f>IFERROR(__xludf.DUMMYFUNCTION("""COMPUTED_VALUE"""),53.0)</f>
        <v>53</v>
      </c>
      <c r="N335" s="10" t="str">
        <f>IFERROR(__xludf.DUMMYFUNCTION("""COMPUTED_VALUE"""),"Transportation")</f>
        <v>Transportation</v>
      </c>
      <c r="O335" s="10">
        <f>IFERROR(__xludf.DUMMYFUNCTION("""COMPUTED_VALUE"""),1.0)</f>
        <v>1</v>
      </c>
      <c r="P335" s="10" t="str">
        <f>IFERROR(__xludf.DUMMYFUNCTION("""COMPUTED_VALUE"""),"ACTIVE")</f>
        <v>ACTIVE</v>
      </c>
      <c r="Q335" s="11">
        <f>IFERROR(__xludf.DUMMYFUNCTION("""COMPUTED_VALUE"""),46016.0)</f>
        <v>46016</v>
      </c>
      <c r="R335" s="9" t="str">
        <f>IFERROR(__xludf.DUMMYFUNCTION("""COMPUTED_VALUE"""),"Verified online but limited information.  Website geared towards donations.")</f>
        <v>Verified online but limited information.  Website geared towards donations.</v>
      </c>
      <c r="S335" s="9" t="str">
        <f>IFERROR(__xludf.DUMMYFUNCTION("""COMPUTED_VALUE"""),"Gas for vehicle, rideshare vouchers and certified driver's education.")</f>
        <v>Gas for vehicle, rideshare vouchers and certified driver's education.</v>
      </c>
      <c r="T335" s="12" t="b">
        <f>IFERROR(__xludf.DUMMYFUNCTION("""COMPUTED_VALUE"""),FALSE)</f>
        <v>0</v>
      </c>
      <c r="U335" s="12" t="b">
        <f>IFERROR(__xludf.DUMMYFUNCTION("""COMPUTED_VALUE"""),FALSE)</f>
        <v>0</v>
      </c>
      <c r="V335" s="13" t="str">
        <f>IFERROR(__xludf.DUMMYFUNCTION("""COMPUTED_VALUE"""),"https://fortbendfamilypromise.org/programs/")</f>
        <v>https://fortbendfamilypromise.org/programs/</v>
      </c>
      <c r="W335" s="14" t="str">
        <f>IFERROR(__xludf.DUMMYFUNCTION("""COMPUTED_VALUE"""),"https://www.google.com/maps/place/4646+Cartwright+Rd,+Missouri+City,+TX+77459/@29.5832215,-95.5810433,17z/data=!3m1!4b1!4m5!3m4!1s0x8640e60bd7911823:0x55d673bee80c25cf!8m2!3d29.5832169!4d-95.5784684?entry=ttu&amp;g_ep=EgoyMDI1MTIwOS4wIKXMDSoKLDEwMDc5MjA2OUgBU"&amp;"AM%3D")</f>
        <v>https://www.google.com/maps/place/4646+Cartwright+Rd,+Missouri+City,+TX+77459/@29.5832215,-95.5810433,17z/data=!3m1!4b1!4m5!3m4!1s0x8640e60bd7911823:0x55d673bee80c25cf!8m2!3d29.5832169!4d-95.5784684?entry=ttu&amp;g_ep=EgoyMDI1MTIwOS4wIKXMDSoKLDEwMDc5MjA2OUgBUAM%3D</v>
      </c>
      <c r="X335" s="10"/>
      <c r="Y335" s="9" t="str">
        <f>IFERROR(__xludf.DUMMYFUNCTION("""COMPUTED_VALUE"""),"Missouri City")</f>
        <v>Missouri City</v>
      </c>
      <c r="Z335" s="9" t="str">
        <f>IFERROR(__xludf.DUMMYFUNCTION("""COMPUTED_VALUE"""),"Missouri City, Plantation Park, Sienna")</f>
        <v>Missouri City, Plantation Park, Sienna</v>
      </c>
      <c r="AA335" s="9" t="str">
        <f>IFERROR(__xludf.DUMMYFUNCTION("""COMPUTED_VALUE"""),"Family Promise")</f>
        <v>Family Promise</v>
      </c>
      <c r="AB335" s="9" t="str">
        <f>IFERROR(__xludf.DUMMYFUNCTION("""COMPUTED_VALUE"""),"Plantation Park")</f>
        <v>Plantation Park</v>
      </c>
    </row>
    <row r="336" ht="30.0" customHeight="1">
      <c r="A336" s="17">
        <v>335.0</v>
      </c>
      <c r="B336" s="8" t="str">
        <f>IFERROR(__xludf.DUMMYFUNCTION("""COMPUTED_VALUE"""),"[""99999""]")</f>
        <v>["99999"]</v>
      </c>
      <c r="C336" s="9" t="str">
        <f>IFERROR(__xludf.DUMMYFUNCTION("""COMPUTED_VALUE"""),"Fort Bend Women's Center")</f>
        <v>Fort Bend Women's Center</v>
      </c>
      <c r="D336" s="9" t="str">
        <f>IFERROR(__xludf.DUMMYFUNCTION("""COMPUTED_VALUE"""),"501 East Hwy 90A")</f>
        <v>501 East Hwy 90A</v>
      </c>
      <c r="E336" s="9"/>
      <c r="F336" s="9" t="str">
        <f>IFERROR(__xludf.DUMMYFUNCTION("""COMPUTED_VALUE"""),"Richmond")</f>
        <v>Richmond</v>
      </c>
      <c r="G336" s="9" t="str">
        <f>IFERROR(__xludf.DUMMYFUNCTION("""COMPUTED_VALUE"""),"TX")</f>
        <v>TX</v>
      </c>
      <c r="H336" s="9" t="str">
        <f>IFERROR(__xludf.DUMMYFUNCTION("""COMPUTED_VALUE"""),"77406")</f>
        <v>77406</v>
      </c>
      <c r="I336" s="9" t="str">
        <f>IFERROR(__xludf.DUMMYFUNCTION("""COMPUTED_VALUE"""),"281-342-4357")</f>
        <v>281-342-4357</v>
      </c>
      <c r="J336" s="9" t="str">
        <f>IFERROR(__xludf.DUMMYFUNCTION("""COMPUTED_VALUE"""),"29.587280875840253, -95.75219042206872")</f>
        <v>29.587280875840253, -95.75219042206872</v>
      </c>
      <c r="K336" s="9" t="str">
        <f>IFERROR(__xludf.DUMMYFUNCTION("""COMPUTED_VALUE"""),"{""regular"":[{""days"":[""Mo"",""Tu"",""We"",""Th"",""Fr"",""Sa"",""Su""],""open"":""00:00"",""close"":""23:59""}]}")</f>
        <v>{"regular":[{"days":["Mo","Tu","We","Th","Fr","Sa","Su"],"open":"00:00","close":"23:59"}]}</v>
      </c>
      <c r="L336" s="9"/>
      <c r="M336" s="10">
        <f>IFERROR(__xludf.DUMMYFUNCTION("""COMPUTED_VALUE"""),41.0)</f>
        <v>41</v>
      </c>
      <c r="N336" s="10" t="str">
        <f>IFERROR(__xludf.DUMMYFUNCTION("""COMPUTED_VALUE"""),"Domestic Abuse - Shelters")</f>
        <v>Domestic Abuse - Shelters</v>
      </c>
      <c r="O336" s="10">
        <f>IFERROR(__xludf.DUMMYFUNCTION("""COMPUTED_VALUE"""),1.0)</f>
        <v>1</v>
      </c>
      <c r="P336" s="10" t="str">
        <f>IFERROR(__xludf.DUMMYFUNCTION("""COMPUTED_VALUE"""),"ACTIVE")</f>
        <v>ACTIVE</v>
      </c>
      <c r="Q336" s="11"/>
      <c r="R336" s="9"/>
      <c r="S336" s="9" t="str">
        <f>IFERROR(__xludf.DUMMYFUNCTION("""COMPUTED_VALUE"""),"Coalition for the Homeless (CFTH) Partner/Rapid Rehousing
Youth Program
Case Management
Counseling
Life Skills Program")</f>
        <v>Coalition for the Homeless (CFTH) Partner/Rapid Rehousing
Youth Program
Case Management
Counseling
Life Skills Program</v>
      </c>
      <c r="T336" s="12" t="b">
        <f>IFERROR(__xludf.DUMMYFUNCTION("""COMPUTED_VALUE"""),FALSE)</f>
        <v>0</v>
      </c>
      <c r="U336" s="12" t="b">
        <f>IFERROR(__xludf.DUMMYFUNCTION("""COMPUTED_VALUE"""),FALSE)</f>
        <v>0</v>
      </c>
      <c r="V336" s="13" t="str">
        <f>IFERROR(__xludf.DUMMYFUNCTION("""COMPUTED_VALUE"""),"https://www.fbwc.org")</f>
        <v>https://www.fbwc.org</v>
      </c>
      <c r="W336" s="10"/>
      <c r="X336" s="10"/>
      <c r="Y336" s="9" t="str">
        <f>IFERROR(__xludf.DUMMYFUNCTION("""COMPUTED_VALUE"""),"Richmond")</f>
        <v>Richmond</v>
      </c>
      <c r="Z336" s="9" t="str">
        <f>IFERROR(__xludf.DUMMYFUNCTION("""COMPUTED_VALUE"""),"Pecan Grove, Richmond, Richmond Landing")</f>
        <v>Pecan Grove, Richmond, Richmond Landing</v>
      </c>
      <c r="AA336" s="9" t="str">
        <f>IFERROR(__xludf.DUMMYFUNCTION("""COMPUTED_VALUE"""),"Fort Bend Women's Center")</f>
        <v>Fort Bend Women's Center</v>
      </c>
      <c r="AB336" s="9" t="str">
        <f>IFERROR(__xludf.DUMMYFUNCTION("""COMPUTED_VALUE"""),"Richmond Landing")</f>
        <v>Richmond Landing</v>
      </c>
    </row>
    <row r="337" ht="30.0" customHeight="1">
      <c r="A337" s="17">
        <v>336.0</v>
      </c>
      <c r="B337" s="8" t="str">
        <f>IFERROR(__xludf.DUMMYFUNCTION("""COMPUTED_VALUE"""),"[""99999""]")</f>
        <v>["99999"]</v>
      </c>
      <c r="C337" s="9" t="str">
        <f>IFERROR(__xludf.DUMMYFUNCTION("""COMPUTED_VALUE"""),"Freewheels Houston")</f>
        <v>Freewheels Houston</v>
      </c>
      <c r="D337" s="9" t="str">
        <f>IFERROR(__xludf.DUMMYFUNCTION("""COMPUTED_VALUE"""),"6020 Jessamine Street")</f>
        <v>6020 Jessamine Street</v>
      </c>
      <c r="E337" s="9" t="str">
        <f>IFERROR(__xludf.DUMMYFUNCTION("""COMPUTED_VALUE"""),"Suite 204")</f>
        <v>Suite 204</v>
      </c>
      <c r="F337" s="9" t="str">
        <f>IFERROR(__xludf.DUMMYFUNCTION("""COMPUTED_VALUE"""),"Houston")</f>
        <v>Houston</v>
      </c>
      <c r="G337" s="9" t="str">
        <f>IFERROR(__xludf.DUMMYFUNCTION("""COMPUTED_VALUE"""),"TX")</f>
        <v>TX</v>
      </c>
      <c r="H337" s="9" t="str">
        <f>IFERROR(__xludf.DUMMYFUNCTION("""COMPUTED_VALUE"""),"77081")</f>
        <v>77081</v>
      </c>
      <c r="I337" s="9" t="str">
        <f>IFERROR(__xludf.DUMMYFUNCTION("""COMPUTED_VALUE"""),"713-364-3571")</f>
        <v>713-364-3571</v>
      </c>
      <c r="J337" s="9" t="str">
        <f>IFERROR(__xludf.DUMMYFUNCTION("""COMPUTED_VALUE"""),"29.70251521469502, -95.48753416686836")</f>
        <v>29.70251521469502, -95.48753416686836</v>
      </c>
      <c r="K337" s="9" t="str">
        <f>IFERROR(__xludf.DUMMYFUNCTION("""COMPUTED_VALUE"""),"{""regular"":[{""days"":[""Fr"",""Sa""],""open"":""09:00"",""close"":""12:00""}]}")</f>
        <v>{"regular":[{"days":["Fr","Sa"],"open":"09:00","close":"12:00"}]}</v>
      </c>
      <c r="L337" s="9"/>
      <c r="M337" s="10">
        <f>IFERROR(__xludf.DUMMYFUNCTION("""COMPUTED_VALUE"""),65.0)</f>
        <v>65</v>
      </c>
      <c r="N337" s="10" t="str">
        <f>IFERROR(__xludf.DUMMYFUNCTION("""COMPUTED_VALUE"""),"Other")</f>
        <v>Other</v>
      </c>
      <c r="O337" s="10">
        <f>IFERROR(__xludf.DUMMYFUNCTION("""COMPUTED_VALUE"""),1.0)</f>
        <v>1</v>
      </c>
      <c r="P337" s="10" t="str">
        <f>IFERROR(__xludf.DUMMYFUNCTION("""COMPUTED_VALUE"""),"ACTIVE")</f>
        <v>ACTIVE</v>
      </c>
      <c r="Q337" s="11">
        <f>IFERROR(__xludf.DUMMYFUNCTION("""COMPUTED_VALUE"""),45908.0)</f>
        <v>45908</v>
      </c>
      <c r="R337" s="9" t="str">
        <f>IFERROR(__xludf.DUMMYFUNCTION("""COMPUTED_VALUE"""),"Verified online")</f>
        <v>Verified online</v>
      </c>
      <c r="S337" s="9" t="str">
        <f>IFERROR(__xludf.DUMMYFUNCTION("""COMPUTED_VALUE"""),"Repair and donate bikes, primarily for refugees, unhoused veterans and young people from certain schools.
Request bikes online or thru one of their partner organizations.")</f>
        <v>Repair and donate bikes, primarily for refugees, unhoused veterans and young people from certain schools.
Request bikes online or thru one of their partner organizations.</v>
      </c>
      <c r="T337" s="12" t="b">
        <f>IFERROR(__xludf.DUMMYFUNCTION("""COMPUTED_VALUE"""),FALSE)</f>
        <v>0</v>
      </c>
      <c r="U337" s="12" t="b">
        <f>IFERROR(__xludf.DUMMYFUNCTION("""COMPUTED_VALUE"""),FALSE)</f>
        <v>0</v>
      </c>
      <c r="V337" s="13" t="str">
        <f>IFERROR(__xludf.DUMMYFUNCTION("""COMPUTED_VALUE"""),"https://freewheelshouston.org/volunteers-repair-bikes/")</f>
        <v>https://freewheelshouston.org/volunteers-repair-bikes/</v>
      </c>
      <c r="W337" s="14" t="str">
        <f>IFERROR(__xludf.DUMMYFUNCTION("""COMPUTED_VALUE"""),"https://www.google.com/maps/place/Freewheels+Houston/@29.7023428,-95.4901198,17z/data=!3m1!4b1!4m6!3m5!1s0x8640c2233ab9dcc9:0x203d8711a0c3f6b6!8m2!3d29.7023382!4d-95.4875449!16s%2Fg%2F11gcb9_1tz?entry=ttu&amp;g_ep=EgoyMDI1MDgxMy4wIKXMDSoASAFQAw%3D%3D")</f>
        <v>https://www.google.com/maps/place/Freewheels+Houston/@29.7023428,-95.4901198,17z/data=!3m1!4b1!4m6!3m5!1s0x8640c2233ab9dcc9:0x203d8711a0c3f6b6!8m2!3d29.7023382!4d-95.4875449!16s%2Fg%2F11gcb9_1tz?entry=ttu&amp;g_ep=EgoyMDI1MDgxMy4wIKXMDSoASAFQAw%3D%3D</v>
      </c>
      <c r="X337" s="10"/>
      <c r="Y337" s="9" t="str">
        <f>IFERROR(__xludf.DUMMYFUNCTION("""COMPUTED_VALUE"""),"Houston")</f>
        <v>Houston</v>
      </c>
      <c r="Z337" s="9" t="str">
        <f>IFERROR(__xludf.DUMMYFUNCTION("""COMPUTED_VALUE"""),"Gulfton")</f>
        <v>Gulfton</v>
      </c>
      <c r="AA337" s="9" t="str">
        <f>IFERROR(__xludf.DUMMYFUNCTION("""COMPUTED_VALUE"""),"Freewheels Houston")</f>
        <v>Freewheels Houston</v>
      </c>
      <c r="AB337" s="9" t="str">
        <f>IFERROR(__xludf.DUMMYFUNCTION("""COMPUTED_VALUE"""),"Gulfton")</f>
        <v>Gulfton</v>
      </c>
    </row>
    <row r="338" ht="30.0" customHeight="1">
      <c r="A338" s="17">
        <v>337.0</v>
      </c>
      <c r="B338" s="8" t="str">
        <f>IFERROR(__xludf.DUMMYFUNCTION("""COMPUTED_VALUE"""),"[""99999""]")</f>
        <v>["99999"]</v>
      </c>
      <c r="C338" s="9" t="str">
        <f>IFERROR(__xludf.DUMMYFUNCTION("""COMPUTED_VALUE"""),"God's Garage")</f>
        <v>God's Garage</v>
      </c>
      <c r="D338" s="9" t="str">
        <f>IFERROR(__xludf.DUMMYFUNCTION("""COMPUTED_VALUE"""),"2100 E Davis Street")</f>
        <v>2100 E Davis Street</v>
      </c>
      <c r="E338" s="9"/>
      <c r="F338" s="9" t="str">
        <f>IFERROR(__xludf.DUMMYFUNCTION("""COMPUTED_VALUE"""),"Conroe")</f>
        <v>Conroe</v>
      </c>
      <c r="G338" s="9" t="str">
        <f>IFERROR(__xludf.DUMMYFUNCTION("""COMPUTED_VALUE"""),"TX")</f>
        <v>TX</v>
      </c>
      <c r="H338" s="9" t="str">
        <f>IFERROR(__xludf.DUMMYFUNCTION("""COMPUTED_VALUE"""),"77301")</f>
        <v>77301</v>
      </c>
      <c r="I338" s="9" t="str">
        <f>IFERROR(__xludf.DUMMYFUNCTION("""COMPUTED_VALUE"""),"936-286-8000")</f>
        <v>936-286-8000</v>
      </c>
      <c r="J338" s="9" t="str">
        <f>IFERROR(__xludf.DUMMYFUNCTION("""COMPUTED_VALUE"""),"30.319568, -95.427678")</f>
        <v>30.319568, -95.427678</v>
      </c>
      <c r="K338" s="9" t="str">
        <f>IFERROR(__xludf.DUMMYFUNCTION("""COMPUTED_VALUE"""),"{""regular"":[{""days"":[""Mo"",""Tu"",""We"",""Th"",""Fr"",""Sa"",""Su""],""open"":""00:00"",""close"":""23:59""}]}")</f>
        <v>{"regular":[{"days":["Mo","Tu","We","Th","Fr","Sa","Su"],"open":"00:00","close":"23:59"}]}</v>
      </c>
      <c r="L338" s="9" t="str">
        <f>IFERROR(__xludf.DUMMYFUNCTION("""COMPUTED_VALUE"""),"Apply online")</f>
        <v>Apply online</v>
      </c>
      <c r="M338" s="10">
        <f>IFERROR(__xludf.DUMMYFUNCTION("""COMPUTED_VALUE"""),65.0)</f>
        <v>65</v>
      </c>
      <c r="N338" s="10" t="str">
        <f>IFERROR(__xludf.DUMMYFUNCTION("""COMPUTED_VALUE"""),"Other")</f>
        <v>Other</v>
      </c>
      <c r="O338" s="10">
        <f>IFERROR(__xludf.DUMMYFUNCTION("""COMPUTED_VALUE"""),3.0)</f>
        <v>3</v>
      </c>
      <c r="P338" s="10" t="str">
        <f>IFERROR(__xludf.DUMMYFUNCTION("""COMPUTED_VALUE"""),"INACTIVE")</f>
        <v>INACTIVE</v>
      </c>
      <c r="Q338" s="11">
        <f>IFERROR(__xludf.DUMMYFUNCTION("""COMPUTED_VALUE"""),45810.0)</f>
        <v>45810</v>
      </c>
      <c r="R338" s="9" t="str">
        <f>IFERROR(__xludf.DUMMYFUNCTION("""COMPUTED_VALUE"""),"On hold until they update their website")</f>
        <v>On hold until they update their website</v>
      </c>
      <c r="S338" s="9" t="str">
        <f>IFERROR(__xludf.DUMMYFUNCTION("""COMPUTED_VALUE"""),"Vehicles (automobiles, cars) for single mother, widows and wives of deployed military.
They will also help with auto repair.
Apply thru their website")</f>
        <v>Vehicles (automobiles, cars) for single mother, widows and wives of deployed military.
They will also help with auto repair.
Apply thru their website</v>
      </c>
      <c r="T338" s="12" t="b">
        <f>IFERROR(__xludf.DUMMYFUNCTION("""COMPUTED_VALUE"""),FALSE)</f>
        <v>0</v>
      </c>
      <c r="U338" s="12" t="b">
        <f>IFERROR(__xludf.DUMMYFUNCTION("""COMPUTED_VALUE"""),FALSE)</f>
        <v>0</v>
      </c>
      <c r="V338" s="13" t="str">
        <f>IFERROR(__xludf.DUMMYFUNCTION("""COMPUTED_VALUE"""),"https://houstonmensrehab.com/")</f>
        <v>https://houstonmensrehab.com/</v>
      </c>
      <c r="W338" s="14" t="str">
        <f>IFERROR(__xludf.DUMMYFUNCTION("""COMPUTED_VALUE"""),"https://www.google.com/maps/place/Adult+%26+Teen+Challenge+Houston+Men's/@30.1843018,-95.7124219,17z/data=!3m1!4b1!4m6!3m5!1s0x86472837f10aa7eb:0x7533c718c1171d3b!8m2!3d30.1842972!4d-95.7098416!16s%2Fg%2F1tczf8yf?entry=ttu&amp;g_ep=EgoyMDI1MDQxNi4xIKXMDSoASAF"&amp;"QAw%3D%3D")</f>
        <v>https://www.google.com/maps/place/Adult+%26+Teen+Challenge+Houston+Men's/@30.1843018,-95.7124219,17z/data=!3m1!4b1!4m6!3m5!1s0x86472837f10aa7eb:0x7533c718c1171d3b!8m2!3d30.1842972!4d-95.7098416!16s%2Fg%2F1tczf8yf?entry=ttu&amp;g_ep=EgoyMDI1MDQxNi4xIKXMDSoASAFQAw%3D%3D</v>
      </c>
      <c r="X338" s="10"/>
      <c r="Y338" s="9" t="str">
        <f>IFERROR(__xludf.DUMMYFUNCTION("""COMPUTED_VALUE"""),"Conroe")</f>
        <v>Conroe</v>
      </c>
      <c r="Z338" s="9" t="str">
        <f>IFERROR(__xludf.DUMMYFUNCTION("""COMPUTED_VALUE"""),"Conroe (Central/Downtown), Panorama Village")</f>
        <v>Conroe (Central/Downtown), Panorama Village</v>
      </c>
      <c r="AA338" s="9" t="str">
        <f>IFERROR(__xludf.DUMMYFUNCTION("""COMPUTED_VALUE"""),"God's Garage")</f>
        <v>God's Garage</v>
      </c>
      <c r="AB338" s="9" t="str">
        <f>IFERROR(__xludf.DUMMYFUNCTION("""COMPUTED_VALUE"""),"Conroe")</f>
        <v>Conroe</v>
      </c>
    </row>
    <row r="339" ht="30.0" customHeight="1">
      <c r="A339" s="17">
        <v>338.0</v>
      </c>
      <c r="B339" s="8" t="str">
        <f>IFERROR(__xludf.DUMMYFUNCTION("""COMPUTED_VALUE"""),"[""99999""]")</f>
        <v>["99999"]</v>
      </c>
      <c r="C339" s="9" t="str">
        <f>IFERROR(__xludf.DUMMYFUNCTION("""COMPUTED_VALUE"""),"God's Lovely Butterflies Maternity Home")</f>
        <v>God's Lovely Butterflies Maternity Home</v>
      </c>
      <c r="D339" s="9" t="str">
        <f>IFERROR(__xludf.DUMMYFUNCTION("""COMPUTED_VALUE"""),"2626 S Loop West")</f>
        <v>2626 S Loop West</v>
      </c>
      <c r="E339" s="9" t="str">
        <f>IFERROR(__xludf.DUMMYFUNCTION("""COMPUTED_VALUE"""),"Suite 130")</f>
        <v>Suite 130</v>
      </c>
      <c r="F339" s="9" t="str">
        <f>IFERROR(__xludf.DUMMYFUNCTION("""COMPUTED_VALUE"""),"Houston")</f>
        <v>Houston</v>
      </c>
      <c r="G339" s="9" t="str">
        <f>IFERROR(__xludf.DUMMYFUNCTION("""COMPUTED_VALUE"""),"TX")</f>
        <v>TX</v>
      </c>
      <c r="H339" s="9" t="str">
        <f>IFERROR(__xludf.DUMMYFUNCTION("""COMPUTED_VALUE"""),"77054")</f>
        <v>77054</v>
      </c>
      <c r="I339" s="9"/>
      <c r="J339" s="9" t="str">
        <f>IFERROR(__xludf.DUMMYFUNCTION("""COMPUTED_VALUE"""),"29.678695243229132, -95.42123001007988")</f>
        <v>29.678695243229132, -95.42123001007988</v>
      </c>
      <c r="K339" s="9" t="str">
        <f>IFERROR(__xludf.DUMMYFUNCTION("""COMPUTED_VALUE"""),"{""regular"":[{""days"":[""Mo"",""Tu"",""We"",""Th"",""Fr""],""open"":""08:00"",""close"":""17:00""}]}")</f>
        <v>{"regular":[{"days":["Mo","Tu","We","Th","Fr"],"open":"08:00","close":"17:00"}]}</v>
      </c>
      <c r="L339" s="9"/>
      <c r="M339" s="10">
        <f>IFERROR(__xludf.DUMMYFUNCTION("""COMPUTED_VALUE"""),44.0)</f>
        <v>44</v>
      </c>
      <c r="N339" s="10" t="str">
        <f>IFERROR(__xludf.DUMMYFUNCTION("""COMPUTED_VALUE"""),"Mother &amp; Child")</f>
        <v>Mother &amp; Child</v>
      </c>
      <c r="O339" s="10">
        <f>IFERROR(__xludf.DUMMYFUNCTION("""COMPUTED_VALUE"""),1.0)</f>
        <v>1</v>
      </c>
      <c r="P339" s="10" t="str">
        <f>IFERROR(__xludf.DUMMYFUNCTION("""COMPUTED_VALUE"""),"ACTIVE")</f>
        <v>ACTIVE</v>
      </c>
      <c r="Q339" s="11">
        <f>IFERROR(__xludf.DUMMYFUNCTION("""COMPUTED_VALUE"""),45788.0)</f>
        <v>45788</v>
      </c>
      <c r="R339" s="9" t="str">
        <f>IFERROR(__xludf.DUMMYFUNCTION("""COMPUTED_VALUE"""),"Verified online")</f>
        <v>Verified online</v>
      </c>
      <c r="S339" s="9" t="str">
        <f>IFERROR(__xludf.DUMMYFUNCTION("""COMPUTED_VALUE"""),"Boarding Services for First-Time, Single and Unhoused Mothers
Guidance in newborn care
Parenting and nutrition classes
Money management and cooking classes
Computer training")</f>
        <v>Boarding Services for First-Time, Single and Unhoused Mothers
Guidance in newborn care
Parenting and nutrition classes
Money management and cooking classes
Computer training</v>
      </c>
      <c r="T339" s="12" t="b">
        <f>IFERROR(__xludf.DUMMYFUNCTION("""COMPUTED_VALUE"""),FALSE)</f>
        <v>0</v>
      </c>
      <c r="U339" s="12" t="b">
        <f>IFERROR(__xludf.DUMMYFUNCTION("""COMPUTED_VALUE"""),FALSE)</f>
        <v>0</v>
      </c>
      <c r="V339" s="13" t="str">
        <f>IFERROR(__xludf.DUMMYFUNCTION("""COMPUTED_VALUE"""),"https://www.godslovelybutterflies.org")</f>
        <v>https://www.godslovelybutterflies.org</v>
      </c>
      <c r="W339" s="14" t="str">
        <f>IFERROR(__xludf.DUMMYFUNCTION("""COMPUTED_VALUE"""),"https://www.google.com/maps/place/God's+Lovely+Butterflies+Maternity+Home/@29.6784808,-95.4260526,16z/data=!3m2!4b1!5s0x8640c02750a7dfb5:0xdb3e51f03a25df97!4m6!3m5!1s0x8640c1dd1a2d806d:0xab3fec68cc1b8358!8m2!3d29.6784809!4d-95.4211871!16s%2Fg%2F11rgrfnqcs"&amp;"?entry=ttu&amp;g_ep=EgoyMDI1MDUwNy4wIKXMDSoASAFQAw%3D%3D")</f>
        <v>https://www.google.com/maps/place/God's+Lovely+Butterflies+Maternity+Home/@29.6784808,-95.4260526,16z/data=!3m2!4b1!5s0x8640c02750a7dfb5:0xdb3e51f03a25df97!4m6!3m5!1s0x8640c1dd1a2d806d:0xab3fec68cc1b8358!8m2!3d29.6784809!4d-95.4211871!16s%2Fg%2F11rgrfnqcs?entry=ttu&amp;g_ep=EgoyMDI1MDUwNy4wIKXMDSoASAFQAw%3D%3D</v>
      </c>
      <c r="X339" s="10"/>
      <c r="Y339" s="9" t="str">
        <f>IFERROR(__xludf.DUMMYFUNCTION("""COMPUTED_VALUE"""),"Houston")</f>
        <v>Houston</v>
      </c>
      <c r="Z339" s="9" t="str">
        <f>IFERROR(__xludf.DUMMYFUNCTION("""COMPUTED_VALUE"""),"Astrodome Area, Medical Center South, NRG Park area, South Main")</f>
        <v>Astrodome Area, Medical Center South, NRG Park area, South Main</v>
      </c>
      <c r="AA339" s="9" t="str">
        <f>IFERROR(__xludf.DUMMYFUNCTION("""COMPUTED_VALUE"""),"God's Lovely Butterflies Maternity Home")</f>
        <v>God's Lovely Butterflies Maternity Home</v>
      </c>
      <c r="AB339" s="9" t="str">
        <f>IFERROR(__xludf.DUMMYFUNCTION("""COMPUTED_VALUE"""),"South Main")</f>
        <v>South Main</v>
      </c>
    </row>
    <row r="340" ht="30.0" customHeight="1">
      <c r="A340" s="17">
        <v>339.0</v>
      </c>
      <c r="B340" s="8" t="str">
        <f>IFERROR(__xludf.DUMMYFUNCTION("""COMPUTED_VALUE"""),"[""99999""]")</f>
        <v>["99999"]</v>
      </c>
      <c r="C340" s="9" t="str">
        <f>IFERROR(__xludf.DUMMYFUNCTION("""COMPUTED_VALUE"""),"Good Days")</f>
        <v>Good Days</v>
      </c>
      <c r="D340" s="9" t="str">
        <f>IFERROR(__xludf.DUMMYFUNCTION("""COMPUTED_VALUE"""),"2611 Internet Blvd")</f>
        <v>2611 Internet Blvd</v>
      </c>
      <c r="E340" s="9" t="str">
        <f>IFERROR(__xludf.DUMMYFUNCTION("""COMPUTED_VALUE"""),"Suite 105")</f>
        <v>Suite 105</v>
      </c>
      <c r="F340" s="9" t="str">
        <f>IFERROR(__xludf.DUMMYFUNCTION("""COMPUTED_VALUE"""),"Frisco")</f>
        <v>Frisco</v>
      </c>
      <c r="G340" s="9" t="str">
        <f>IFERROR(__xludf.DUMMYFUNCTION("""COMPUTED_VALUE"""),"TX")</f>
        <v>TX</v>
      </c>
      <c r="H340" s="9" t="str">
        <f>IFERROR(__xludf.DUMMYFUNCTION("""COMPUTED_VALUE"""),"75034")</f>
        <v>75034</v>
      </c>
      <c r="I340" s="9"/>
      <c r="J340" s="9" t="str">
        <f>IFERROR(__xludf.DUMMYFUNCTION("""COMPUTED_VALUE"""),"33.10092105187247, -96.83019118037718")</f>
        <v>33.10092105187247, -96.83019118037718</v>
      </c>
      <c r="K340" s="9" t="str">
        <f>IFERROR(__xludf.DUMMYFUNCTION("""COMPUTED_VALUE"""),"{""regular"":[{""days"":[""Mo"",""Tu"",""We"",""Th"",""Fr"",""Sa"",""Su""],""open"":""00:00"",""close"":""23:59""}]}")</f>
        <v>{"regular":[{"days":["Mo","Tu","We","Th","Fr","Sa","Su"],"open":"00:00","close":"23:59"}]}</v>
      </c>
      <c r="L340" s="9" t="str">
        <f>IFERROR(__xludf.DUMMYFUNCTION("""COMPUTED_VALUE"""),"Apply online")</f>
        <v>Apply online</v>
      </c>
      <c r="M340" s="10">
        <f>IFERROR(__xludf.DUMMYFUNCTION("""COMPUTED_VALUE"""),36.0)</f>
        <v>36</v>
      </c>
      <c r="N340" s="10" t="str">
        <f>IFERROR(__xludf.DUMMYFUNCTION("""COMPUTED_VALUE"""),"Medical - Bill Payment")</f>
        <v>Medical - Bill Payment</v>
      </c>
      <c r="O340" s="10">
        <f>IFERROR(__xludf.DUMMYFUNCTION("""COMPUTED_VALUE"""),1.0)</f>
        <v>1</v>
      </c>
      <c r="P340" s="10" t="str">
        <f>IFERROR(__xludf.DUMMYFUNCTION("""COMPUTED_VALUE"""),"ACTIVE")</f>
        <v>ACTIVE</v>
      </c>
      <c r="Q340" s="11"/>
      <c r="R340" s="9" t="str">
        <f>IFERROR(__xludf.DUMMYFUNCTION("""COMPUTED_VALUE"""),"Verified online")</f>
        <v>Verified online</v>
      </c>
      <c r="S340" s="9" t="str">
        <f>IFERROR(__xludf.DUMMYFUNCTION("""COMPUTED_VALUE"""),"Provides direct financial assistance to insured and out  patients to help defray costs of copays, deductibles and out-of-pocket healthcare costs.
Eligibility requirements include covered disease and the program is open to new enrollments, must have a vali"&amp;"d Social Security number and receive treatment in the U.S.
Additionally patient must have valid insurance coverage and meet income guidelines.
A charitable patient assistance foundation.
Apply online")</f>
        <v>Provides direct financial assistance to insured and out  patients to help defray costs of copays, deductibles and out-of-pocket healthcare costs.
Eligibility requirements include covered disease and the program is open to new enrollments, must have a valid Social Security number and receive treatment in the U.S.
Additionally patient must have valid insurance coverage and meet income guidelines.
A charitable patient assistance foundation.
Apply online</v>
      </c>
      <c r="T340" s="12" t="b">
        <f>IFERROR(__xludf.DUMMYFUNCTION("""COMPUTED_VALUE"""),FALSE)</f>
        <v>0</v>
      </c>
      <c r="U340" s="12" t="b">
        <f>IFERROR(__xludf.DUMMYFUNCTION("""COMPUTED_VALUE"""),FALSE)</f>
        <v>0</v>
      </c>
      <c r="V340" s="13" t="str">
        <f>IFERROR(__xludf.DUMMYFUNCTION("""COMPUTED_VALUE"""),"https://mygooddays.org/apply/")</f>
        <v>https://mygooddays.org/apply/</v>
      </c>
      <c r="W340" s="14" t="str">
        <f>IFERROR(__xludf.DUMMYFUNCTION("""COMPUTED_VALUE"""),"https://www.google.com/maps/place/Good+Days/@33.1007054,-96.8327393,17z/data=!3m2!4b1!5s0x864c3c9c0bf995ad:0xbbcec9cafda1ee14!4m6!3m5!1s0x864c3cb2ae5991bf:0xa8731cd3b5584f3!8m2!3d33.1007054!4d-96.830159!16s%2Fg%2F1tdf1rts?entry=ttu&amp;g_ep=EgoyMDI2MDEyMC4wIK"&amp;"XMDSoKLDEwMDc5MjA2OUgBUAM%3D")</f>
        <v>https://www.google.com/maps/place/Good+Days/@33.1007054,-96.8327393,17z/data=!3m2!4b1!5s0x864c3c9c0bf995ad:0xbbcec9cafda1ee14!4m6!3m5!1s0x864c3cb2ae5991bf:0xa8731cd3b5584f3!8m2!3d33.1007054!4d-96.830159!16s%2Fg%2F1tdf1rts?entry=ttu&amp;g_ep=EgoyMDI2MDEyMC4wIKXMDSoKLDEwMDc5MjA2OUgBUAM%3D</v>
      </c>
      <c r="X340" s="10"/>
      <c r="Y340" s="9" t="str">
        <f>IFERROR(__xludf.DUMMYFUNCTION("""COMPUTED_VALUE"""),"Frisco")</f>
        <v>Frisco</v>
      </c>
      <c r="Z340" s="9" t="str">
        <f>IFERROR(__xludf.DUMMYFUNCTION("""COMPUTED_VALUE"""),"Frisco")</f>
        <v>Frisco</v>
      </c>
      <c r="AA340" s="9" t="str">
        <f>IFERROR(__xludf.DUMMYFUNCTION("""COMPUTED_VALUE"""),"Good Days")</f>
        <v>Good Days</v>
      </c>
      <c r="AB340" s="9" t="str">
        <f>IFERROR(__xludf.DUMMYFUNCTION("""COMPUTED_VALUE"""),"Frisco")</f>
        <v>Frisco</v>
      </c>
    </row>
    <row r="341" ht="30.0" customHeight="1">
      <c r="A341" s="17">
        <v>340.0</v>
      </c>
      <c r="B341" s="8" t="str">
        <f>IFERROR(__xludf.DUMMYFUNCTION("""COMPUTED_VALUE"""),"[""77320"", ""77334"", ""77340"", ""77341"", ""77342"", ""77358"", ""77367""]")</f>
        <v>["77320", "77334", "77340", "77341", "77342", "77358", "77367"]</v>
      </c>
      <c r="C341" s="9" t="str">
        <f>IFERROR(__xludf.DUMMYFUNCTION("""COMPUTED_VALUE"""),"Good Shepherd Mission")</f>
        <v>Good Shepherd Mission</v>
      </c>
      <c r="D341" s="9" t="str">
        <f>IFERROR(__xludf.DUMMYFUNCTION("""COMPUTED_VALUE"""),"1005 Martin Luther King Drive")</f>
        <v>1005 Martin Luther King Drive</v>
      </c>
      <c r="E341" s="9"/>
      <c r="F341" s="9" t="str">
        <f>IFERROR(__xludf.DUMMYFUNCTION("""COMPUTED_VALUE"""),"Huntsville")</f>
        <v>Huntsville</v>
      </c>
      <c r="G341" s="9" t="str">
        <f>IFERROR(__xludf.DUMMYFUNCTION("""COMPUTED_VALUE"""),"TX")</f>
        <v>TX</v>
      </c>
      <c r="H341" s="9" t="str">
        <f>IFERROR(__xludf.DUMMYFUNCTION("""COMPUTED_VALUE"""),"77320")</f>
        <v>77320</v>
      </c>
      <c r="I341" s="9" t="str">
        <f>IFERROR(__xludf.DUMMYFUNCTION("""COMPUTED_VALUE"""),"936-291-8156")</f>
        <v>936-291-8156</v>
      </c>
      <c r="J341" s="9" t="str">
        <f>IFERROR(__xludf.DUMMYFUNCTION("""COMPUTED_VALUE"""),"30.724919, -95.543034")</f>
        <v>30.724919, -95.543034</v>
      </c>
      <c r="K341" s="9" t="str">
        <f>IFERROR(__xludf.DUMMYFUNCTION("""COMPUTED_VALUE"""),"{""regular"":[{""days"":[""Mo"",""Tu"",""We"",""Th"",""Fr""],""open"":""09:00"",""close"":""11:45""}],""special"":[{""pattern"":""Last Th"",""open"":""17:00"",""close"":""18:00""}]}")</f>
        <v>{"regular":[{"days":["Mo","Tu","We","Th","Fr"],"open":"09:00","close":"11:45"}],"special":[{"pattern":"Last Th","open":"17:00","close":"18:00"}]}</v>
      </c>
      <c r="L341" s="9"/>
      <c r="M341" s="10">
        <f>IFERROR(__xludf.DUMMYFUNCTION("""COMPUTED_VALUE"""),13.0)</f>
        <v>13</v>
      </c>
      <c r="N341" s="10" t="str">
        <f>IFERROR(__xludf.DUMMYFUNCTION("""COMPUTED_VALUE"""),"Food")</f>
        <v>Food</v>
      </c>
      <c r="O341" s="10">
        <f>IFERROR(__xludf.DUMMYFUNCTION("""COMPUTED_VALUE"""),1.0)</f>
        <v>1</v>
      </c>
      <c r="P341" s="10" t="str">
        <f>IFERROR(__xludf.DUMMYFUNCTION("""COMPUTED_VALUE"""),"ACTIVE")</f>
        <v>ACTIVE</v>
      </c>
      <c r="Q341" s="11">
        <f>IFERROR(__xludf.DUMMYFUNCTION("""COMPUTED_VALUE"""),45788.0)</f>
        <v>45788</v>
      </c>
      <c r="R341" s="9" t="str">
        <f>IFERROR(__xludf.DUMMYFUNCTION("""COMPUTED_VALUE"""),"Verified online")</f>
        <v>Verified online</v>
      </c>
      <c r="S341" s="9" t="str">
        <f>IFERROR(__xludf.DUMMYFUNCTION("""COMPUTED_VALUE"""),"Government ID with a Walker County address
At least applied for SNAP
Social Security cards, birth certificates or government IDs for all dependents
US Citizens/Permanent Residents.")</f>
        <v>Government ID with a Walker County address
At least applied for SNAP
Social Security cards, birth certificates or government IDs for all dependents
US Citizens/Permanent Residents.</v>
      </c>
      <c r="T341" s="12" t="b">
        <f>IFERROR(__xludf.DUMMYFUNCTION("""COMPUTED_VALUE"""),FALSE)</f>
        <v>0</v>
      </c>
      <c r="U341" s="12" t="b">
        <f>IFERROR(__xludf.DUMMYFUNCTION("""COMPUTED_VALUE"""),FALSE)</f>
        <v>0</v>
      </c>
      <c r="V341" s="13" t="str">
        <f>IFERROR(__xludf.DUMMYFUNCTION("""COMPUTED_VALUE"""),"https://www.goodshepherdmission.org/index.html")</f>
        <v>https://www.goodshepherdmission.org/index.html</v>
      </c>
      <c r="W341" s="14" t="str">
        <f>IFERROR(__xludf.DUMMYFUNCTION("""COMPUTED_VALUE"""),"https://www.google.com/maps/place/Good+Shepherd+Mission/@30.7249097,-95.545586,17z/data=!3m1!4b1!4m6!3m5!1s0x8647088c89a7ac0f:0x7fc272fcb1788372!8m2!3d30.7249097!4d-95.5430057!16s%2Fg%2F11c2q5vhb8?entry=ttu&amp;g_ep=EgoyMDI1MDUwNy4wIKXMDSoASAFQAw%3D%3D")</f>
        <v>https://www.google.com/maps/place/Good+Shepherd+Mission/@30.7249097,-95.545586,17z/data=!3m1!4b1!4m6!3m5!1s0x8647088c89a7ac0f:0x7fc272fcb1788372!8m2!3d30.7249097!4d-95.5430057!16s%2Fg%2F11c2q5vhb8?entry=ttu&amp;g_ep=EgoyMDI1MDUwNy4wIKXMDSoASAFQAw%3D%3D</v>
      </c>
      <c r="X341" s="10"/>
      <c r="Y341" s="9" t="str">
        <f>IFERROR(__xludf.DUMMYFUNCTION("""COMPUTED_VALUE"""),"Huntsville")</f>
        <v>Huntsville</v>
      </c>
      <c r="Z341" s="9" t="str">
        <f>IFERROR(__xludf.DUMMYFUNCTION("""COMPUTED_VALUE"""),"Hunstville, Huntsville")</f>
        <v>Hunstville, Huntsville</v>
      </c>
      <c r="AA341" s="9" t="str">
        <f>IFERROR(__xludf.DUMMYFUNCTION("""COMPUTED_VALUE"""),"Good Shepherd Mission")</f>
        <v>Good Shepherd Mission</v>
      </c>
      <c r="AB341" s="9" t="str">
        <f>IFERROR(__xludf.DUMMYFUNCTION("""COMPUTED_VALUE"""),"Huntsville")</f>
        <v>Huntsville</v>
      </c>
    </row>
    <row r="342" ht="30.0" customHeight="1">
      <c r="A342" s="17">
        <v>341.0</v>
      </c>
      <c r="B342" s="8" t="str">
        <f>IFERROR(__xludf.DUMMYFUNCTION("""COMPUTED_VALUE"""),"[""77320"", ""77334"", ""77340"", ""77341"", ""77342"", ""77358"", ""77367""]")</f>
        <v>["77320", "77334", "77340", "77341", "77342", "77358", "77367"]</v>
      </c>
      <c r="C342" s="9" t="str">
        <f>IFERROR(__xludf.DUMMYFUNCTION("""COMPUTED_VALUE"""),"Good Shepherd Mission")</f>
        <v>Good Shepherd Mission</v>
      </c>
      <c r="D342" s="9" t="str">
        <f>IFERROR(__xludf.DUMMYFUNCTION("""COMPUTED_VALUE"""),"1005 Martin Luther King Drive")</f>
        <v>1005 Martin Luther King Drive</v>
      </c>
      <c r="E342" s="9"/>
      <c r="F342" s="9" t="str">
        <f>IFERROR(__xludf.DUMMYFUNCTION("""COMPUTED_VALUE"""),"Huntsville")</f>
        <v>Huntsville</v>
      </c>
      <c r="G342" s="9" t="str">
        <f>IFERROR(__xludf.DUMMYFUNCTION("""COMPUTED_VALUE"""),"TX")</f>
        <v>TX</v>
      </c>
      <c r="H342" s="9" t="str">
        <f>IFERROR(__xludf.DUMMYFUNCTION("""COMPUTED_VALUE"""),"77320")</f>
        <v>77320</v>
      </c>
      <c r="I342" s="9" t="str">
        <f>IFERROR(__xludf.DUMMYFUNCTION("""COMPUTED_VALUE"""),"936-291-3311")</f>
        <v>936-291-3311</v>
      </c>
      <c r="J342" s="9" t="str">
        <f>IFERROR(__xludf.DUMMYFUNCTION("""COMPUTED_VALUE"""),"30.724919, -95.543034")</f>
        <v>30.724919, -95.543034</v>
      </c>
      <c r="K342" s="9" t="str">
        <f>IFERROR(__xludf.DUMMYFUNCTION("""COMPUTED_VALUE"""),"{""regular"":[{""days"":[""Mo"",""Tu"",""We"",""Th"",""Fr""],""open"":""09:00"",""close"":""16:00""}]}")</f>
        <v>{"regular":[{"days":["Mo","Tu","We","Th","Fr"],"open":"09:00","close":"16:00"}]}</v>
      </c>
      <c r="L342" s="9"/>
      <c r="M342" s="10">
        <f>IFERROR(__xludf.DUMMYFUNCTION("""COMPUTED_VALUE"""),14.0)</f>
        <v>14</v>
      </c>
      <c r="N342" s="10" t="str">
        <f>IFERROR(__xludf.DUMMYFUNCTION("""COMPUTED_VALUE"""),"Clothing")</f>
        <v>Clothing</v>
      </c>
      <c r="O342" s="10">
        <f>IFERROR(__xludf.DUMMYFUNCTION("""COMPUTED_VALUE"""),1.0)</f>
        <v>1</v>
      </c>
      <c r="P342" s="10" t="str">
        <f>IFERROR(__xludf.DUMMYFUNCTION("""COMPUTED_VALUE"""),"ACTIVE")</f>
        <v>ACTIVE</v>
      </c>
      <c r="Q342" s="11">
        <f>IFERROR(__xludf.DUMMYFUNCTION("""COMPUTED_VALUE"""),45788.0)</f>
        <v>45788</v>
      </c>
      <c r="R342" s="9" t="str">
        <f>IFERROR(__xludf.DUMMYFUNCTION("""COMPUTED_VALUE"""),"Verified online")</f>
        <v>Verified online</v>
      </c>
      <c r="S342" s="9" t="str">
        <f>IFERROR(__xludf.DUMMYFUNCTION("""COMPUTED_VALUE"""),"Free clothing once a month.")</f>
        <v>Free clothing once a month.</v>
      </c>
      <c r="T342" s="12" t="b">
        <f>IFERROR(__xludf.DUMMYFUNCTION("""COMPUTED_VALUE"""),FALSE)</f>
        <v>0</v>
      </c>
      <c r="U342" s="12" t="b">
        <f>IFERROR(__xludf.DUMMYFUNCTION("""COMPUTED_VALUE"""),FALSE)</f>
        <v>0</v>
      </c>
      <c r="V342" s="13" t="str">
        <f>IFERROR(__xludf.DUMMYFUNCTION("""COMPUTED_VALUE"""),"https://www.goodshepherdmission.org/index.html")</f>
        <v>https://www.goodshepherdmission.org/index.html</v>
      </c>
      <c r="W342" s="14" t="str">
        <f>IFERROR(__xludf.DUMMYFUNCTION("""COMPUTED_VALUE"""),"https://www.google.com/maps/place/Good+Shepherd+Mission/@30.7249097,-95.545586,17z/data=!3m1!4b1!4m6!3m5!1s0x8647088c89a7ac0f:0x7fc272fcb1788372!8m2!3d30.7249097!4d-95.5430057!16s%2Fg%2F11c2q5vhb8?entry=ttu&amp;g_ep=EgoyMDI1MDUwNy4wIKXMDSoASAFQAw%3D%3D")</f>
        <v>https://www.google.com/maps/place/Good+Shepherd+Mission/@30.7249097,-95.545586,17z/data=!3m1!4b1!4m6!3m5!1s0x8647088c89a7ac0f:0x7fc272fcb1788372!8m2!3d30.7249097!4d-95.5430057!16s%2Fg%2F11c2q5vhb8?entry=ttu&amp;g_ep=EgoyMDI1MDUwNy4wIKXMDSoASAFQAw%3D%3D</v>
      </c>
      <c r="X342" s="10"/>
      <c r="Y342" s="9" t="str">
        <f>IFERROR(__xludf.DUMMYFUNCTION("""COMPUTED_VALUE"""),"Huntsville")</f>
        <v>Huntsville</v>
      </c>
      <c r="Z342" s="9" t="str">
        <f>IFERROR(__xludf.DUMMYFUNCTION("""COMPUTED_VALUE"""),"Hunstville, Huntsville")</f>
        <v>Hunstville, Huntsville</v>
      </c>
      <c r="AA342" s="9" t="str">
        <f>IFERROR(__xludf.DUMMYFUNCTION("""COMPUTED_VALUE"""),"Good Shepherd Mission")</f>
        <v>Good Shepherd Mission</v>
      </c>
      <c r="AB342" s="9" t="str">
        <f>IFERROR(__xludf.DUMMYFUNCTION("""COMPUTED_VALUE"""),"Huntsville")</f>
        <v>Huntsville</v>
      </c>
    </row>
    <row r="343" ht="30.0" customHeight="1">
      <c r="A343" s="17">
        <v>342.0</v>
      </c>
      <c r="B343" s="8" t="str">
        <f>IFERROR(__xludf.DUMMYFUNCTION("""COMPUTED_VALUE"""),"[""77320"", ""77334"", ""77340"", ""77341"", ""77342"", ""77358"", ""77367""]")</f>
        <v>["77320", "77334", "77340", "77341", "77342", "77358", "77367"]</v>
      </c>
      <c r="C343" s="9" t="str">
        <f>IFERROR(__xludf.DUMMYFUNCTION("""COMPUTED_VALUE"""),"Good Shepherd Mission")</f>
        <v>Good Shepherd Mission</v>
      </c>
      <c r="D343" s="9" t="str">
        <f>IFERROR(__xludf.DUMMYFUNCTION("""COMPUTED_VALUE"""),"1005 Martin Luther King Drive")</f>
        <v>1005 Martin Luther King Drive</v>
      </c>
      <c r="E343" s="9"/>
      <c r="F343" s="9" t="str">
        <f>IFERROR(__xludf.DUMMYFUNCTION("""COMPUTED_VALUE"""),"Huntsville")</f>
        <v>Huntsville</v>
      </c>
      <c r="G343" s="9" t="str">
        <f>IFERROR(__xludf.DUMMYFUNCTION("""COMPUTED_VALUE"""),"TX")</f>
        <v>TX</v>
      </c>
      <c r="H343" s="9" t="str">
        <f>IFERROR(__xludf.DUMMYFUNCTION("""COMPUTED_VALUE"""),"77320")</f>
        <v>77320</v>
      </c>
      <c r="I343" s="9" t="str">
        <f>IFERROR(__xludf.DUMMYFUNCTION("""COMPUTED_VALUE"""),"936-291-8156")</f>
        <v>936-291-8156</v>
      </c>
      <c r="J343" s="9" t="str">
        <f>IFERROR(__xludf.DUMMYFUNCTION("""COMPUTED_VALUE"""),"30.724919, -95.543034")</f>
        <v>30.724919, -95.543034</v>
      </c>
      <c r="K343" s="9" t="str">
        <f>IFERROR(__xludf.DUMMYFUNCTION("""COMPUTED_VALUE"""),"{""regular"":[{""days"":[""Mo"",""Tu"",""We"",""Th"",""Fr"",""Sa""],""open"":""12:00"",""close"":null},{""days"":[""Su""],""open"":""13:00"",""close"":null}]}")</f>
        <v>{"regular":[{"days":["Mo","Tu","We","Th","Fr","Sa"],"open":"12:00","close":null},{"days":["Su"],"open":"13:00","close":null}]}</v>
      </c>
      <c r="L343" s="9"/>
      <c r="M343" s="10">
        <f>IFERROR(__xludf.DUMMYFUNCTION("""COMPUTED_VALUE"""),22.0)</f>
        <v>22</v>
      </c>
      <c r="N343" s="10" t="str">
        <f>IFERROR(__xludf.DUMMYFUNCTION("""COMPUTED_VALUE"""),"Homeless - Day Centers")</f>
        <v>Homeless - Day Centers</v>
      </c>
      <c r="O343" s="10">
        <f>IFERROR(__xludf.DUMMYFUNCTION("""COMPUTED_VALUE"""),1.0)</f>
        <v>1</v>
      </c>
      <c r="P343" s="10" t="str">
        <f>IFERROR(__xludf.DUMMYFUNCTION("""COMPUTED_VALUE"""),"ACTIVE")</f>
        <v>ACTIVE</v>
      </c>
      <c r="Q343" s="11">
        <f>IFERROR(__xludf.DUMMYFUNCTION("""COMPUTED_VALUE"""),45788.0)</f>
        <v>45788</v>
      </c>
      <c r="R343" s="9" t="str">
        <f>IFERROR(__xludf.DUMMYFUNCTION("""COMPUTED_VALUE"""),"Verified online")</f>
        <v>Verified online</v>
      </c>
      <c r="S343" s="9" t="str">
        <f>IFERROR(__xludf.DUMMYFUNCTION("""COMPUTED_VALUE"""),"Hot meals to the public, free of charge.
Expected to help with clean up, if able")</f>
        <v>Hot meals to the public, free of charge.
Expected to help with clean up, if able</v>
      </c>
      <c r="T343" s="12" t="b">
        <f>IFERROR(__xludf.DUMMYFUNCTION("""COMPUTED_VALUE"""),FALSE)</f>
        <v>0</v>
      </c>
      <c r="U343" s="12" t="b">
        <f>IFERROR(__xludf.DUMMYFUNCTION("""COMPUTED_VALUE"""),FALSE)</f>
        <v>0</v>
      </c>
      <c r="V343" s="13" t="str">
        <f>IFERROR(__xludf.DUMMYFUNCTION("""COMPUTED_VALUE"""),"https://www.goodshepherdmission.org/index.html")</f>
        <v>https://www.goodshepherdmission.org/index.html</v>
      </c>
      <c r="W343" s="14" t="str">
        <f>IFERROR(__xludf.DUMMYFUNCTION("""COMPUTED_VALUE"""),"https://www.google.com/maps/place/Good+Shepherd+Mission/@30.7249097,-95.545586,17z/data=!3m1!4b1!4m6!3m5!1s0x8647088c89a7ac0f:0x7fc272fcb1788372!8m2!3d30.7249097!4d-95.5430057!16s%2Fg%2F11c2q5vhb8?entry=ttu&amp;g_ep=EgoyMDI1MDUwNy4wIKXMDSoASAFQAw%3D%3D")</f>
        <v>https://www.google.com/maps/place/Good+Shepherd+Mission/@30.7249097,-95.545586,17z/data=!3m1!4b1!4m6!3m5!1s0x8647088c89a7ac0f:0x7fc272fcb1788372!8m2!3d30.7249097!4d-95.5430057!16s%2Fg%2F11c2q5vhb8?entry=ttu&amp;g_ep=EgoyMDI1MDUwNy4wIKXMDSoASAFQAw%3D%3D</v>
      </c>
      <c r="X343" s="10"/>
      <c r="Y343" s="9" t="str">
        <f>IFERROR(__xludf.DUMMYFUNCTION("""COMPUTED_VALUE"""),"Huntsville")</f>
        <v>Huntsville</v>
      </c>
      <c r="Z343" s="9" t="str">
        <f>IFERROR(__xludf.DUMMYFUNCTION("""COMPUTED_VALUE"""),"Hunstville, Huntsville")</f>
        <v>Hunstville, Huntsville</v>
      </c>
      <c r="AA343" s="9" t="str">
        <f>IFERROR(__xludf.DUMMYFUNCTION("""COMPUTED_VALUE"""),"Good Shepherd Mission")</f>
        <v>Good Shepherd Mission</v>
      </c>
      <c r="AB343" s="9" t="str">
        <f>IFERROR(__xludf.DUMMYFUNCTION("""COMPUTED_VALUE"""),"Huntsville")</f>
        <v>Huntsville</v>
      </c>
    </row>
    <row r="344" ht="30.0" customHeight="1">
      <c r="A344" s="17">
        <v>343.0</v>
      </c>
      <c r="B344" s="8" t="str">
        <f>IFERROR(__xludf.DUMMYFUNCTION("""COMPUTED_VALUE"""),"[""77320"", ""77334"", ""77340"", ""77341"", ""77342"", ""77358"", ""77367""]")</f>
        <v>["77320", "77334", "77340", "77341", "77342", "77358", "77367"]</v>
      </c>
      <c r="C344" s="9" t="str">
        <f>IFERROR(__xludf.DUMMYFUNCTION("""COMPUTED_VALUE"""),"Good Shepherd Mission")</f>
        <v>Good Shepherd Mission</v>
      </c>
      <c r="D344" s="9" t="str">
        <f>IFERROR(__xludf.DUMMYFUNCTION("""COMPUTED_VALUE"""),"1005 Martin Luther King Drive")</f>
        <v>1005 Martin Luther King Drive</v>
      </c>
      <c r="E344" s="9"/>
      <c r="F344" s="9" t="str">
        <f>IFERROR(__xludf.DUMMYFUNCTION("""COMPUTED_VALUE"""),"Huntsville")</f>
        <v>Huntsville</v>
      </c>
      <c r="G344" s="9" t="str">
        <f>IFERROR(__xludf.DUMMYFUNCTION("""COMPUTED_VALUE"""),"TX")</f>
        <v>TX</v>
      </c>
      <c r="H344" s="9" t="str">
        <f>IFERROR(__xludf.DUMMYFUNCTION("""COMPUTED_VALUE"""),"77320")</f>
        <v>77320</v>
      </c>
      <c r="I344" s="9" t="str">
        <f>IFERROR(__xludf.DUMMYFUNCTION("""COMPUTED_VALUE"""),"936-291-8156")</f>
        <v>936-291-8156</v>
      </c>
      <c r="J344" s="9" t="str">
        <f>IFERROR(__xludf.DUMMYFUNCTION("""COMPUTED_VALUE"""),"30.724919, -95.543034")</f>
        <v>30.724919, -95.543034</v>
      </c>
      <c r="K344" s="9" t="str">
        <f>IFERROR(__xludf.DUMMYFUNCTION("""COMPUTED_VALUE"""),"{""regular"":[{""days"":[""Mo"",""Tu"",""We"",""Th"",""Fr""],""open"":""09:00"",""close"":""13:00""}]}")</f>
        <v>{"regular":[{"days":["Mo","Tu","We","Th","Fr"],"open":"09:00","close":"13:00"}]}</v>
      </c>
      <c r="L344" s="9"/>
      <c r="M344" s="10">
        <f>IFERROR(__xludf.DUMMYFUNCTION("""COMPUTED_VALUE"""),24.0)</f>
        <v>24</v>
      </c>
      <c r="N344" s="10" t="str">
        <f>IFERROR(__xludf.DUMMYFUNCTION("""COMPUTED_VALUE"""),"Housing")</f>
        <v>Housing</v>
      </c>
      <c r="O344" s="10">
        <f>IFERROR(__xludf.DUMMYFUNCTION("""COMPUTED_VALUE"""),1.0)</f>
        <v>1</v>
      </c>
      <c r="P344" s="10" t="str">
        <f>IFERROR(__xludf.DUMMYFUNCTION("""COMPUTED_VALUE"""),"ACTIVE")</f>
        <v>ACTIVE</v>
      </c>
      <c r="Q344" s="11">
        <f>IFERROR(__xludf.DUMMYFUNCTION("""COMPUTED_VALUE"""),45788.0)</f>
        <v>45788</v>
      </c>
      <c r="R344" s="9" t="str">
        <f>IFERROR(__xludf.DUMMYFUNCTION("""COMPUTED_VALUE"""),"Verified online")</f>
        <v>Verified online</v>
      </c>
      <c r="S344" s="9" t="str">
        <f>IFERROR(__xludf.DUMMYFUNCTION("""COMPUTED_VALUE"""),"Often at capacity.  Check website or call to confirm availability.
Must come in for an interview before being accepted.
Some families permitted for extended lodging by prior arrangement with Director.")</f>
        <v>Often at capacity.  Check website or call to confirm availability.
Must come in for an interview before being accepted.
Some families permitted for extended lodging by prior arrangement with Director.</v>
      </c>
      <c r="T344" s="12" t="b">
        <f>IFERROR(__xludf.DUMMYFUNCTION("""COMPUTED_VALUE"""),FALSE)</f>
        <v>0</v>
      </c>
      <c r="U344" s="12" t="b">
        <f>IFERROR(__xludf.DUMMYFUNCTION("""COMPUTED_VALUE"""),FALSE)</f>
        <v>0</v>
      </c>
      <c r="V344" s="13" t="str">
        <f>IFERROR(__xludf.DUMMYFUNCTION("""COMPUTED_VALUE"""),"https://www.goodshepherdmission.org/shelter.html")</f>
        <v>https://www.goodshepherdmission.org/shelter.html</v>
      </c>
      <c r="W344" s="14" t="str">
        <f>IFERROR(__xludf.DUMMYFUNCTION("""COMPUTED_VALUE"""),"https://www.google.com/maps/place/Good+Shepherd+Mission/@30.7249097,-95.545586,17z/data=!3m1!4b1!4m6!3m5!1s0x8647088c89a7ac0f:0x7fc272fcb1788372!8m2!3d30.7249097!4d-95.5430057!16s%2Fg%2F11c2q5vhb8?entry=ttu&amp;g_ep=EgoyMDI1MDUwNy4wIKXMDSoASAFQAw%3D%3D")</f>
        <v>https://www.google.com/maps/place/Good+Shepherd+Mission/@30.7249097,-95.545586,17z/data=!3m1!4b1!4m6!3m5!1s0x8647088c89a7ac0f:0x7fc272fcb1788372!8m2!3d30.7249097!4d-95.5430057!16s%2Fg%2F11c2q5vhb8?entry=ttu&amp;g_ep=EgoyMDI1MDUwNy4wIKXMDSoASAFQAw%3D%3D</v>
      </c>
      <c r="X344" s="10"/>
      <c r="Y344" s="9" t="str">
        <f>IFERROR(__xludf.DUMMYFUNCTION("""COMPUTED_VALUE"""),"Huntsville")</f>
        <v>Huntsville</v>
      </c>
      <c r="Z344" s="9" t="str">
        <f>IFERROR(__xludf.DUMMYFUNCTION("""COMPUTED_VALUE"""),"Hunstville, Huntsville")</f>
        <v>Hunstville, Huntsville</v>
      </c>
      <c r="AA344" s="9" t="str">
        <f>IFERROR(__xludf.DUMMYFUNCTION("""COMPUTED_VALUE"""),"Good Shepherd Mission")</f>
        <v>Good Shepherd Mission</v>
      </c>
      <c r="AB344" s="9" t="str">
        <f>IFERROR(__xludf.DUMMYFUNCTION("""COMPUTED_VALUE"""),"Huntsville")</f>
        <v>Huntsville</v>
      </c>
    </row>
    <row r="345" ht="30.0" customHeight="1">
      <c r="A345" s="17">
        <v>344.0</v>
      </c>
      <c r="B345" s="8" t="str">
        <f>IFERROR(__xludf.DUMMYFUNCTION("""COMPUTED_VALUE"""),"[""99999""]")</f>
        <v>["99999"]</v>
      </c>
      <c r="C345" s="9" t="str">
        <f>IFERROR(__xludf.DUMMYFUNCTION("""COMPUTED_VALUE"""),"Goodwill Industries")</f>
        <v>Goodwill Industries</v>
      </c>
      <c r="D345" s="9" t="str">
        <f>IFERROR(__xludf.DUMMYFUNCTION("""COMPUTED_VALUE"""),"1140 West Loop North")</f>
        <v>1140 West Loop North</v>
      </c>
      <c r="E345" s="9"/>
      <c r="F345" s="9" t="str">
        <f>IFERROR(__xludf.DUMMYFUNCTION("""COMPUTED_VALUE"""),"Houston")</f>
        <v>Houston</v>
      </c>
      <c r="G345" s="9" t="str">
        <f>IFERROR(__xludf.DUMMYFUNCTION("""COMPUTED_VALUE"""),"TX")</f>
        <v>TX</v>
      </c>
      <c r="H345" s="9" t="str">
        <f>IFERROR(__xludf.DUMMYFUNCTION("""COMPUTED_VALUE"""),"77055")</f>
        <v>77055</v>
      </c>
      <c r="I345" s="9" t="str">
        <f>IFERROR(__xludf.DUMMYFUNCTION("""COMPUTED_VALUE"""),"713-692-6221")</f>
        <v>713-692-6221</v>
      </c>
      <c r="J345" s="9" t="str">
        <f>IFERROR(__xludf.DUMMYFUNCTION("""COMPUTED_VALUE"""),"29.7871, -95.45084")</f>
        <v>29.7871, -95.45084</v>
      </c>
      <c r="K345" s="9" t="str">
        <f>IFERROR(__xludf.DUMMYFUNCTION("""COMPUTED_VALUE"""),"{""regular"":[{""days"":[""Mo"",""Tu"",""We"",""Th"",""Fr""],""open"":""08:00"",""close"":""17:00""}]}")</f>
        <v>{"regular":[{"days":["Mo","Tu","We","Th","Fr"],"open":"08:00","close":"17:00"}]}</v>
      </c>
      <c r="L345" s="9"/>
      <c r="M345" s="10">
        <f>IFERROR(__xludf.DUMMYFUNCTION("""COMPUTED_VALUE"""),52.0)</f>
        <v>52</v>
      </c>
      <c r="N345" s="10" t="str">
        <f>IFERROR(__xludf.DUMMYFUNCTION("""COMPUTED_VALUE"""),"Jobs")</f>
        <v>Jobs</v>
      </c>
      <c r="O345" s="10">
        <f>IFERROR(__xludf.DUMMYFUNCTION("""COMPUTED_VALUE"""),1.0)</f>
        <v>1</v>
      </c>
      <c r="P345" s="10" t="str">
        <f>IFERROR(__xludf.DUMMYFUNCTION("""COMPUTED_VALUE"""),"ACTIVE")</f>
        <v>ACTIVE</v>
      </c>
      <c r="Q345" s="11">
        <f>IFERROR(__xludf.DUMMYFUNCTION("""COMPUTED_VALUE"""),45849.0)</f>
        <v>45849</v>
      </c>
      <c r="R345" s="9" t="str">
        <f>IFERROR(__xludf.DUMMYFUNCTION("""COMPUTED_VALUE"""),"Verified online")</f>
        <v>Verified online</v>
      </c>
      <c r="S345" s="9" t="str">
        <f>IFERROR(__xludf.DUMMYFUNCTION("""COMPUTED_VALUE"""),"Job training and placement services to veterans, older workers, at-risk youth, formerly incarcerated and individuals with disabilities.
Temporary staffing services.
Training programs in Apartment Maintenance, Construction, Google IT Support, MS Office, HV"&amp;"AC and Solar Storage and Installation.
Multiple career centers in the Houston area.")</f>
        <v>Job training and placement services to veterans, older workers, at-risk youth, formerly incarcerated and individuals with disabilities.
Temporary staffing services.
Training programs in Apartment Maintenance, Construction, Google IT Support, MS Office, HVAC and Solar Storage and Installation.
Multiple career centers in the Houston area.</v>
      </c>
      <c r="T345" s="12" t="b">
        <f>IFERROR(__xludf.DUMMYFUNCTION("""COMPUTED_VALUE"""),FALSE)</f>
        <v>0</v>
      </c>
      <c r="U345" s="12" t="b">
        <f>IFERROR(__xludf.DUMMYFUNCTION("""COMPUTED_VALUE"""),FALSE)</f>
        <v>0</v>
      </c>
      <c r="V345" s="13" t="str">
        <f>IFERROR(__xludf.DUMMYFUNCTION("""COMPUTED_VALUE"""),"https://www.goodwillhouston.org/jobs/job-career-services/mission-programs/")</f>
        <v>https://www.goodwillhouston.org/jobs/job-career-services/mission-programs/</v>
      </c>
      <c r="W345" s="14" t="str">
        <f>IFERROR(__xludf.DUMMYFUNCTION("""COMPUTED_VALUE"""),"https://www.google.com/maps/place/Goodwill+Industries+of+Houston+-+Corporate+Offices/@29.7871027,-95.4558712,17z/data=!4m14!1m7!3m6!1s0x8640c6c3e3b5501b:0xbe39d5831d046397!2sGoodwill+Industries+of+Houston+-+Corporate+Offices!8m2!3d29.7870981!4d-95.4509949"&amp;"!16s%2Fg%2F11b6gm6h5s!3m5!1s0x8640c6c3e3b5501b:0xbe39d5831d046397!8m2!3d29.7870981!4d-95.4509949!16s%2Fg%2F11b6gm6h5s?entry=ttu&amp;g_ep=EgoyMDI1MDcwOS4wIKXMDSoASAFQAw%3D%3D")</f>
        <v>https://www.google.com/maps/place/Goodwill+Industries+of+Houston+-+Corporate+Offices/@29.7871027,-95.4558712,17z/data=!4m14!1m7!3m6!1s0x8640c6c3e3b5501b:0xbe39d5831d046397!2sGoodwill+Industries+of+Houston+-+Corporate+Offices!8m2!3d29.7870981!4d-95.4509949!16s%2Fg%2F11b6gm6h5s!3m5!1s0x8640c6c3e3b5501b:0xbe39d5831d046397!8m2!3d29.7870981!4d-95.4509949!16s%2Fg%2F11b6gm6h5s?entry=ttu&amp;g_ep=EgoyMDI1MDcwOS4wIKXMDSoASAFQAw%3D%3D</v>
      </c>
      <c r="X345" s="10"/>
      <c r="Y345" s="9" t="str">
        <f>IFERROR(__xludf.DUMMYFUNCTION("""COMPUTED_VALUE"""),"Houston")</f>
        <v>Houston</v>
      </c>
      <c r="Z345" s="9" t="str">
        <f>IFERROR(__xludf.DUMMYFUNCTION("""COMPUTED_VALUE"""),"Hilshire Village, Montrose, Northwest Houston, Spring Branch East, Washington Avenue Coalition / Memorial Park")</f>
        <v>Hilshire Village, Montrose, Northwest Houston, Spring Branch East, Washington Avenue Coalition / Memorial Park</v>
      </c>
      <c r="AA345" s="9" t="str">
        <f>IFERROR(__xludf.DUMMYFUNCTION("""COMPUTED_VALUE"""),"Goodwill Industries")</f>
        <v>Goodwill Industries</v>
      </c>
      <c r="AB345" s="9" t="str">
        <f>IFERROR(__xludf.DUMMYFUNCTION("""COMPUTED_VALUE"""),"Washington Avenue Coalition / Memorial Park")</f>
        <v>Washington Avenue Coalition / Memorial Park</v>
      </c>
    </row>
    <row r="346" ht="30.0" customHeight="1">
      <c r="A346" s="17">
        <v>345.0</v>
      </c>
      <c r="B346" s="8" t="str">
        <f>IFERROR(__xludf.DUMMYFUNCTION("""COMPUTED_VALUE"""),"[""99999""]")</f>
        <v>["99999"]</v>
      </c>
      <c r="C346" s="9" t="str">
        <f>IFERROR(__xludf.DUMMYFUNCTION("""COMPUTED_VALUE"""),"Grace After Fire")</f>
        <v>Grace After Fire</v>
      </c>
      <c r="D346" s="9" t="str">
        <f>IFERROR(__xludf.DUMMYFUNCTION("""COMPUTED_VALUE"""),"2929 McKinney St")</f>
        <v>2929 McKinney St</v>
      </c>
      <c r="E346" s="9"/>
      <c r="F346" s="9" t="str">
        <f>IFERROR(__xludf.DUMMYFUNCTION("""COMPUTED_VALUE"""),"Houston")</f>
        <v>Houston</v>
      </c>
      <c r="G346" s="9" t="str">
        <f>IFERROR(__xludf.DUMMYFUNCTION("""COMPUTED_VALUE"""),"TX")</f>
        <v>TX</v>
      </c>
      <c r="H346" s="9" t="str">
        <f>IFERROR(__xludf.DUMMYFUNCTION("""COMPUTED_VALUE"""),"77003")</f>
        <v>77003</v>
      </c>
      <c r="I346" s="9" t="str">
        <f>IFERROR(__xludf.DUMMYFUNCTION("""COMPUTED_VALUE"""),"832-769-6582")</f>
        <v>832-769-6582</v>
      </c>
      <c r="J346" s="9" t="str">
        <f>IFERROR(__xludf.DUMMYFUNCTION("""COMPUTED_VALUE"""),"29.747357684092666, -95.34822367680545")</f>
        <v>29.747357684092666, -95.34822367680545</v>
      </c>
      <c r="K346" s="9" t="str">
        <f>IFERROR(__xludf.DUMMYFUNCTION("""COMPUTED_VALUE"""),"{""regular"":[{""days"":[""Mo"",""Tu"",""We"",""Th"",""Fr""],""open"":""09:00"",""close"":""17:00""}]}")</f>
        <v>{"regular":[{"days":["Mo","Tu","We","Th","Fr"],"open":"09:00","close":"17:00"}]}</v>
      </c>
      <c r="L346" s="9" t="str">
        <f>IFERROR(__xludf.DUMMYFUNCTION("""COMPUTED_VALUE"""),"Apply online from the 1st to 5th of month.")</f>
        <v>Apply online from the 1st to 5th of month.</v>
      </c>
      <c r="M346" s="10">
        <f>IFERROR(__xludf.DUMMYFUNCTION("""COMPUTED_VALUE"""),56.0)</f>
        <v>56</v>
      </c>
      <c r="N346" s="10" t="str">
        <f>IFERROR(__xludf.DUMMYFUNCTION("""COMPUTED_VALUE"""),"Veterans")</f>
        <v>Veterans</v>
      </c>
      <c r="O346" s="10">
        <f>IFERROR(__xludf.DUMMYFUNCTION("""COMPUTED_VALUE"""),1.0)</f>
        <v>1</v>
      </c>
      <c r="P346" s="10" t="str">
        <f>IFERROR(__xludf.DUMMYFUNCTION("""COMPUTED_VALUE"""),"ACTIVE")</f>
        <v>ACTIVE</v>
      </c>
      <c r="Q346" s="11">
        <f>IFERROR(__xludf.DUMMYFUNCTION("""COMPUTED_VALUE"""),46070.0)</f>
        <v>46070</v>
      </c>
      <c r="R346" s="9" t="str">
        <f>IFERROR(__xludf.DUMMYFUNCTION("""COMPUTED_VALUE"""),"Verified online")</f>
        <v>Verified online</v>
      </c>
      <c r="S346" s="9" t="str">
        <f>IFERROR(__xludf.DUMMYFUNCTION("""COMPUTED_VALUE"""),"Financial Assistance with rent, mortgage and utilities.
Funded by the Texas Veterans Commission.  
Eligibility:  Texas resident and Woman Veteran
")</f>
        <v>Financial Assistance with rent, mortgage and utilities.
Funded by the Texas Veterans Commission.  
Eligibility:  Texas resident and Woman Veteran
</v>
      </c>
      <c r="T346" s="12" t="b">
        <f>IFERROR(__xludf.DUMMYFUNCTION("""COMPUTED_VALUE"""),FALSE)</f>
        <v>0</v>
      </c>
      <c r="U346" s="12" t="b">
        <f>IFERROR(__xludf.DUMMYFUNCTION("""COMPUTED_VALUE"""),FALSE)</f>
        <v>0</v>
      </c>
      <c r="V346" s="13" t="str">
        <f>IFERROR(__xludf.DUMMYFUNCTION("""COMPUTED_VALUE"""),"http://www.graceafterfire.org/join-member.html")</f>
        <v>http://www.graceafterfire.org/join-member.html</v>
      </c>
      <c r="W346" s="14" t="str">
        <f>IFERROR(__xludf.DUMMYFUNCTION("""COMPUTED_VALUE"""),"https://www.google.com/maps/place/2929+McKinney+St,+Houston,+TX+77003/@29.7471389,-95.3530624,17z/data=!3m1!4b1!4m6!3m5!1s0x8640bee1187d8e33:0x7670df80b23deb44!8m2!3d29.7471343!4d-95.3481915!16s%2Fg%2F11pw3k0tsn?entry=ttu&amp;g_ep=EgoyMDI2MDIxMS4wIKXMDSoASAFQ"&amp;"Aw%3D%3D")</f>
        <v>https://www.google.com/maps/place/2929+McKinney+St,+Houston,+TX+77003/@29.7471389,-95.3530624,17z/data=!3m1!4b1!4m6!3m5!1s0x8640bee1187d8e33:0x7670df80b23deb44!8m2!3d29.7471343!4d-95.3481915!16s%2Fg%2F11pw3k0tsn?entry=ttu&amp;g_ep=EgoyMDI2MDIxMS4wIKXMDSoASAFQAw%3D%3D</v>
      </c>
      <c r="X346" s="10"/>
      <c r="Y346" s="9" t="str">
        <f>IFERROR(__xludf.DUMMYFUNCTION("""COMPUTED_VALUE"""),"Houston")</f>
        <v>Houston</v>
      </c>
      <c r="Z346" s="9" t="str">
        <f>IFERROR(__xludf.DUMMYFUNCTION("""COMPUTED_VALUE"""),"East Downtown, Downtown Houston, Second Ward, South Central Houston, South Side")</f>
        <v>East Downtown, Downtown Houston, Second Ward, South Central Houston, South Side</v>
      </c>
      <c r="AA346" s="9" t="str">
        <f>IFERROR(__xludf.DUMMYFUNCTION("""COMPUTED_VALUE"""),"Grace After Fire")</f>
        <v>Grace After Fire</v>
      </c>
      <c r="AB346" s="9" t="str">
        <f>IFERROR(__xludf.DUMMYFUNCTION("""COMPUTED_VALUE"""),"Downtown Houston")</f>
        <v>Downtown Houston</v>
      </c>
    </row>
    <row r="347" ht="30.0" customHeight="1">
      <c r="A347" s="17">
        <v>346.0</v>
      </c>
      <c r="B347" s="8" t="str">
        <f>IFERROR(__xludf.DUMMYFUNCTION("""COMPUTED_VALUE"""),"[""99999""]")</f>
        <v>["99999"]</v>
      </c>
      <c r="C347" s="9" t="str">
        <f>IFERROR(__xludf.DUMMYFUNCTION("""COMPUTED_VALUE"""),"Gratia Plena")</f>
        <v>Gratia Plena</v>
      </c>
      <c r="D347" s="9" t="str">
        <f>IFERROR(__xludf.DUMMYFUNCTION("""COMPUTED_VALUE"""),"10707 Corporate Drive")</f>
        <v>10707 Corporate Drive</v>
      </c>
      <c r="E347" s="9" t="str">
        <f>IFERROR(__xludf.DUMMYFUNCTION("""COMPUTED_VALUE"""),"Suite 135")</f>
        <v>Suite 135</v>
      </c>
      <c r="F347" s="10" t="str">
        <f>IFERROR(__xludf.DUMMYFUNCTION("""COMPUTED_VALUE"""),"Stafford")</f>
        <v>Stafford</v>
      </c>
      <c r="G347" s="9" t="str">
        <f>IFERROR(__xludf.DUMMYFUNCTION("""COMPUTED_VALUE"""),"TX")</f>
        <v>TX</v>
      </c>
      <c r="H347" s="9" t="str">
        <f>IFERROR(__xludf.DUMMYFUNCTION("""COMPUTED_VALUE"""),"77477")</f>
        <v>77477</v>
      </c>
      <c r="I347" s="9" t="str">
        <f>IFERROR(__xludf.DUMMYFUNCTION("""COMPUTED_VALUE"""),"832-532-0129")</f>
        <v>832-532-0129</v>
      </c>
      <c r="J347" s="9" t="str">
        <f>IFERROR(__xludf.DUMMYFUNCTION("""COMPUTED_VALUE"""),"29.6331603333333, -95.5940793333333")</f>
        <v>29.6331603333333, -95.5940793333333</v>
      </c>
      <c r="K347" s="9" t="str">
        <f>IFERROR(__xludf.DUMMYFUNCTION("""COMPUTED_VALUE"""),"{""regular"":[{""days"":[""Mo"",""Tu"",""We"",""Th"",""Fr""],""open"":null,""close"":null}]}")</f>
        <v>{"regular":[{"days":["Mo","Tu","We","Th","Fr"],"open":null,"close":null}]}</v>
      </c>
      <c r="L347" s="9"/>
      <c r="M347" s="10">
        <f>IFERROR(__xludf.DUMMYFUNCTION("""COMPUTED_VALUE"""),33.0)</f>
        <v>33</v>
      </c>
      <c r="N347" s="10" t="str">
        <f>IFERROR(__xludf.DUMMYFUNCTION("""COMPUTED_VALUE"""),"Medical - Behavioral Health")</f>
        <v>Medical - Behavioral Health</v>
      </c>
      <c r="O347" s="10">
        <f>IFERROR(__xludf.DUMMYFUNCTION("""COMPUTED_VALUE"""),1.0)</f>
        <v>1</v>
      </c>
      <c r="P347" s="10" t="str">
        <f>IFERROR(__xludf.DUMMYFUNCTION("""COMPUTED_VALUE"""),"ACTIVE")</f>
        <v>ACTIVE</v>
      </c>
      <c r="Q347" s="11">
        <f>IFERROR(__xludf.DUMMYFUNCTION("""COMPUTED_VALUE"""),45761.0)</f>
        <v>45761</v>
      </c>
      <c r="R347" s="9" t="str">
        <f>IFERROR(__xludf.DUMMYFUNCTION("""COMPUTED_VALUE"""),"SVdP Church Help for Moms Ministry")</f>
        <v>SVdP Church Help for Moms Ministry</v>
      </c>
      <c r="S347" s="9" t="str">
        <f>IFERROR(__xludf.DUMMYFUNCTION("""COMPUTED_VALUE"""),"Couples, Family and Group Therapy
Addiction and Psychiatric Services
Nutrition and Health Coaching
Individual Psychotherapy
Multiple Locations
Mental Health Services
Spiritual Health")</f>
        <v>Couples, Family and Group Therapy
Addiction and Psychiatric Services
Nutrition and Health Coaching
Individual Psychotherapy
Multiple Locations
Mental Health Services
Spiritual Health</v>
      </c>
      <c r="T347" s="12" t="b">
        <f>IFERROR(__xludf.DUMMYFUNCTION("""COMPUTED_VALUE"""),FALSE)</f>
        <v>0</v>
      </c>
      <c r="U347" s="12" t="b">
        <f>IFERROR(__xludf.DUMMYFUNCTION("""COMPUTED_VALUE"""),FALSE)</f>
        <v>0</v>
      </c>
      <c r="V347" s="13" t="str">
        <f>IFERROR(__xludf.DUMMYFUNCTION("""COMPUTED_VALUE"""),"https://gratiaplenacounseling.org/")</f>
        <v>https://gratiaplenacounseling.org/</v>
      </c>
      <c r="W347" s="14" t="str">
        <f>IFERROR(__xludf.DUMMYFUNCTION("""COMPUTED_VALUE"""),"https://www.google.com/maps/place/Gratia+Plena/@29.632173,-95.5946621,17z/data=!3m2!4b1!5s0x8640e7b1c3f28edd:0xd8d26ae61c4d5d3f!4m6!3m5!1s0x8640e6ff89107551:0xcf003b91c9385b63!8m2!3d29.632173!4d-95.5920818!16s%2Fg%2F1hc5095x7?entry=ttu&amp;g_ep=EgoyMDI1MDQwOS"&amp;"4wIKXMDSoASAFQAw%3D%3D")</f>
        <v>https://www.google.com/maps/place/Gratia+Plena/@29.632173,-95.5946621,17z/data=!3m2!4b1!5s0x8640e7b1c3f28edd:0xd8d26ae61c4d5d3f!4m6!3m5!1s0x8640e6ff89107551:0xcf003b91c9385b63!8m2!3d29.632173!4d-95.5920818!16s%2Fg%2F1hc5095x7?entry=ttu&amp;g_ep=EgoyMDI1MDQwOS4wIKXMDSoASAFQAw%3D%3D</v>
      </c>
      <c r="X347" s="10"/>
      <c r="Y347" s="9" t="str">
        <f>IFERROR(__xludf.DUMMYFUNCTION("""COMPUTED_VALUE"""),"Stafford")</f>
        <v>Stafford</v>
      </c>
      <c r="Z347" s="9" t="str">
        <f>IFERROR(__xludf.DUMMYFUNCTION("""COMPUTED_VALUE"""),"Clark Plaza One, Corporate Bus Park, Greenbriar Southwest, Stafford, The Fountains")</f>
        <v>Clark Plaza One, Corporate Bus Park, Greenbriar Southwest, Stafford, The Fountains</v>
      </c>
      <c r="AA347" s="9" t="str">
        <f>IFERROR(__xludf.DUMMYFUNCTION("""COMPUTED_VALUE"""),"Gratia Plena")</f>
        <v>Gratia Plena</v>
      </c>
      <c r="AB347" s="9" t="str">
        <f>IFERROR(__xludf.DUMMYFUNCTION("""COMPUTED_VALUE"""),"Corporate Bus Park")</f>
        <v>Corporate Bus Park</v>
      </c>
    </row>
    <row r="348" ht="30.0" customHeight="1">
      <c r="A348" s="17">
        <v>347.0</v>
      </c>
      <c r="B348" s="8" t="str">
        <f>IFERROR(__xludf.DUMMYFUNCTION("""COMPUTED_VALUE"""),"[""99999""]")</f>
        <v>["99999"]</v>
      </c>
      <c r="C348" s="9" t="str">
        <f>IFERROR(__xludf.DUMMYFUNCTION("""COMPUTED_VALUE"""),"Greater Mt Zion Missionary Baptist Church")</f>
        <v>Greater Mt Zion Missionary Baptist Church</v>
      </c>
      <c r="D348" s="9" t="str">
        <f>IFERROR(__xludf.DUMMYFUNCTION("""COMPUTED_VALUE"""),"8787 N Houston Rosslyn Road")</f>
        <v>8787 N Houston Rosslyn Road</v>
      </c>
      <c r="E348" s="9"/>
      <c r="F348" s="9" t="str">
        <f>IFERROR(__xludf.DUMMYFUNCTION("""COMPUTED_VALUE"""),"Houston")</f>
        <v>Houston</v>
      </c>
      <c r="G348" s="9" t="str">
        <f>IFERROR(__xludf.DUMMYFUNCTION("""COMPUTED_VALUE"""),"TX")</f>
        <v>TX</v>
      </c>
      <c r="H348" s="9" t="str">
        <f>IFERROR(__xludf.DUMMYFUNCTION("""COMPUTED_VALUE"""),"77088")</f>
        <v>77088</v>
      </c>
      <c r="I348" s="9" t="str">
        <f>IFERROR(__xludf.DUMMYFUNCTION("""COMPUTED_VALUE"""),"713-862-5117")</f>
        <v>713-862-5117</v>
      </c>
      <c r="J348" s="9" t="str">
        <f>IFERROR(__xludf.DUMMYFUNCTION("""COMPUTED_VALUE"""),"29.8713154081633, -95.4914283265306")</f>
        <v>29.8713154081633, -95.4914283265306</v>
      </c>
      <c r="K348" s="9" t="str">
        <f>IFERROR(__xludf.DUMMYFUNCTION("""COMPUTED_VALUE"""),"{""regular"":[{""days"":[""Sa""],""open"":""10:30"",""close"":null}]}")</f>
        <v>{"regular":[{"days":["Sa"],"open":"10:30","close":null}]}</v>
      </c>
      <c r="L348" s="9" t="str">
        <f>IFERROR(__xludf.DUMMYFUNCTION("""COMPUTED_VALUE"""),"Not every Sa.  Call to confirm.")</f>
        <v>Not every Sa.  Call to confirm.</v>
      </c>
      <c r="M348" s="10">
        <f>IFERROR(__xludf.DUMMYFUNCTION("""COMPUTED_VALUE"""),13.0)</f>
        <v>13</v>
      </c>
      <c r="N348" s="10" t="str">
        <f>IFERROR(__xludf.DUMMYFUNCTION("""COMPUTED_VALUE"""),"Food")</f>
        <v>Food</v>
      </c>
      <c r="O348" s="10">
        <f>IFERROR(__xludf.DUMMYFUNCTION("""COMPUTED_VALUE"""),1.0)</f>
        <v>1</v>
      </c>
      <c r="P348" s="10" t="str">
        <f>IFERROR(__xludf.DUMMYFUNCTION("""COMPUTED_VALUE"""),"ACTIVE")</f>
        <v>ACTIVE</v>
      </c>
      <c r="Q348" s="11">
        <f>IFERROR(__xludf.DUMMYFUNCTION("""COMPUTED_VALUE"""),45813.0)</f>
        <v>45813</v>
      </c>
      <c r="R348" s="9" t="str">
        <f>IFERROR(__xludf.DUMMYFUNCTION("""COMPUTED_VALUE"""),"Verified online")</f>
        <v>Verified online</v>
      </c>
      <c r="S348" s="9" t="str">
        <f>IFERROR(__xludf.DUMMYFUNCTION("""COMPUTED_VALUE"""),"Also known as the Annette Strawder Here to Help Food Pantry (ASHTHP)")</f>
        <v>Also known as the Annette Strawder Here to Help Food Pantry (ASHTHP)</v>
      </c>
      <c r="T348" s="12" t="b">
        <f>IFERROR(__xludf.DUMMYFUNCTION("""COMPUTED_VALUE"""),FALSE)</f>
        <v>0</v>
      </c>
      <c r="U348" s="12" t="b">
        <f>IFERROR(__xludf.DUMMYFUNCTION("""COMPUTED_VALUE"""),FALSE)</f>
        <v>0</v>
      </c>
      <c r="V348" s="13" t="str">
        <f>IFERROR(__xludf.DUMMYFUNCTION("""COMPUTED_VALUE"""),"https://gmzhouston.org/a-s-h-t-h-p/")</f>
        <v>https://gmzhouston.org/a-s-h-t-h-p/</v>
      </c>
      <c r="W348" s="14" t="str">
        <f>IFERROR(__xludf.DUMMYFUNCTION("""COMPUTED_VALUE"""),"https://www.google.com/maps/place/Annette+Strawder+Here+To+Help+Food+Pantry/@29.8710801,-95.4929316,18z/data=!4m15!1m8!3m7!1s0x8640cf5b37a59cc5:0x26ed54b55066fcc6!2s8787+N+Houston+Rosslyn+Rd,+Houston,+TX+77088!3b1!8m2!3d29.8710825!4d-95.492084!16s%2Fg%2F1"&amp;"1mdnkh6c1!3m5!1s0x8640cf5b5b3cffff:0x51946185535b3b24!8m2!3d29.8706345!4d-95.4929281!16s%2Fg%2F11swmcnqyv?entry=ttu&amp;g_ep=EgoyMDI1MDYwMy4wIKXMDSoASAFQAw%3D%3D")</f>
        <v>https://www.google.com/maps/place/Annette+Strawder+Here+To+Help+Food+Pantry/@29.8710801,-95.4929316,18z/data=!4m15!1m8!3m7!1s0x8640cf5b37a59cc5:0x26ed54b55066fcc6!2s8787+N+Houston+Rosslyn+Rd,+Houston,+TX+77088!3b1!8m2!3d29.8710825!4d-95.492084!16s%2Fg%2F11mdnkh6c1!3m5!1s0x8640cf5b5b3cffff:0x51946185535b3b24!8m2!3d29.8706345!4d-95.4929281!16s%2Fg%2F11swmcnqyv?entry=ttu&amp;g_ep=EgoyMDI1MDYwMy4wIKXMDSoASAFQAw%3D%3D</v>
      </c>
      <c r="X348" s="10"/>
      <c r="Y348" s="9" t="str">
        <f>IFERROR(__xludf.DUMMYFUNCTION("""COMPUTED_VALUE"""),"Houston")</f>
        <v>Houston</v>
      </c>
      <c r="Z348" s="9" t="str">
        <f>IFERROR(__xludf.DUMMYFUNCTION("""COMPUTED_VALUE"""),"Acres Home, Inwood, Northside")</f>
        <v>Acres Home, Inwood, Northside</v>
      </c>
      <c r="AA348" s="9" t="str">
        <f>IFERROR(__xludf.DUMMYFUNCTION("""COMPUTED_VALUE"""),"Greater Mt Zion Missionary Baptist Church")</f>
        <v>Greater Mt Zion Missionary Baptist Church</v>
      </c>
      <c r="AB348" s="9" t="str">
        <f>IFERROR(__xludf.DUMMYFUNCTION("""COMPUTED_VALUE"""),"Northside")</f>
        <v>Northside</v>
      </c>
    </row>
    <row r="349" ht="30.0" customHeight="1">
      <c r="A349" s="17">
        <v>348.0</v>
      </c>
      <c r="B34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C349" s="9" t="str">
        <f>IFERROR(__xludf.DUMMYFUNCTION("""COMPUTED_VALUE"""),"Gulf Coast Community Services")</f>
        <v>Gulf Coast Community Services</v>
      </c>
      <c r="D349" s="9" t="str">
        <f>IFERROR(__xludf.DUMMYFUNCTION("""COMPUTED_VALUE"""),"9320 Kirby Drive")</f>
        <v>9320 Kirby Drive</v>
      </c>
      <c r="E349" s="9" t="str">
        <f>IFERROR(__xludf.DUMMYFUNCTION("""COMPUTED_VALUE"""),"Suite 100")</f>
        <v>Suite 100</v>
      </c>
      <c r="F349" s="9" t="str">
        <f>IFERROR(__xludf.DUMMYFUNCTION("""COMPUTED_VALUE"""),"Houston")</f>
        <v>Houston</v>
      </c>
      <c r="G349" s="9" t="str">
        <f>IFERROR(__xludf.DUMMYFUNCTION("""COMPUTED_VALUE"""),"TX")</f>
        <v>TX</v>
      </c>
      <c r="H349" s="9" t="str">
        <f>IFERROR(__xludf.DUMMYFUNCTION("""COMPUTED_VALUE"""),"77054")</f>
        <v>77054</v>
      </c>
      <c r="I349" s="9" t="str">
        <f>IFERROR(__xludf.DUMMYFUNCTION("""COMPUTED_VALUE"""),"713-393-4700")</f>
        <v>713-393-4700</v>
      </c>
      <c r="J349" s="9" t="str">
        <f>IFERROR(__xludf.DUMMYFUNCTION("""COMPUTED_VALUE"""),"29.6715578173172, -95.412327383382")</f>
        <v>29.6715578173172, -95.412327383382</v>
      </c>
      <c r="K349" s="9" t="str">
        <f>IFERROR(__xludf.DUMMYFUNCTION("""COMPUTED_VALUE"""),"{""regular"":[{""days"":[""Mo"",""Tu"",""We"",""Th"",""Fr""],""open"":""08:00"",""close"":""17:00""}]}")</f>
        <v>{"regular":[{"days":["Mo","Tu","We","Th","Fr"],"open":"08:00","close":"17:00"}]}</v>
      </c>
      <c r="L349" s="9" t="str">
        <f>IFERROR(__xludf.DUMMYFUNCTION("""COMPUTED_VALUE"""),"Call or walk-in to register")</f>
        <v>Call or walk-in to register</v>
      </c>
      <c r="M349" s="10">
        <f>IFERROR(__xludf.DUMMYFUNCTION("""COMPUTED_VALUE"""),11.0)</f>
        <v>11</v>
      </c>
      <c r="N349" s="10" t="str">
        <f>IFERROR(__xludf.DUMMYFUNCTION("""COMPUTED_VALUE"""),"Rent")</f>
        <v>Rent</v>
      </c>
      <c r="O349" s="10">
        <f>IFERROR(__xludf.DUMMYFUNCTION("""COMPUTED_VALUE"""),1.0)</f>
        <v>1</v>
      </c>
      <c r="P349" s="10" t="str">
        <f>IFERROR(__xludf.DUMMYFUNCTION("""COMPUTED_VALUE"""),"ACTIVE")</f>
        <v>ACTIVE</v>
      </c>
      <c r="Q349" s="11">
        <f>IFERROR(__xludf.DUMMYFUNCTION("""COMPUTED_VALUE"""),46064.0)</f>
        <v>46064</v>
      </c>
      <c r="R349" s="9" t="str">
        <f>IFERROR(__xludf.DUMMYFUNCTION("""COMPUTED_VALUE"""),"Verified by phone")</f>
        <v>Verified by phone</v>
      </c>
      <c r="S349" s="9" t="str">
        <f>IFERROR(__xludf.DUMMYFUNCTION("""COMPUTED_VALUE"""),"Must complete and submit an online or paper application. You will be contacted for an appointment after application is submitted and reviewed.
During the appointment each client is expected to complete a Service Agreement with a GCCS professional.
Require"&amp;"d to participate in at least one ongoing class (ABE/GED, Nutrition, ESL, SSL Business Applications, Money Mgmt, etc. within a two month period.
Must be a resident of Harris County.
Must meet Federal Income Guidelines for poverty based on the number of peo"&amp;"ple in the household.")</f>
        <v>Must complete and submit an online or paper application. You will be contacted for an appointment after application is submitted and reviewed.
During the appointment each client is expected to complete a Service Agreement with a GCCS professional.
Required to participate in at least one ongoing class (ABE/GED, Nutrition, ESL, SSL Business Applications, Money Mgmt, etc. within a two month period.
Must be a resident of Harris County.
Must meet Federal Income Guidelines for poverty based on the number of people in the household.</v>
      </c>
      <c r="T349" s="12" t="b">
        <f>IFERROR(__xludf.DUMMYFUNCTION("""COMPUTED_VALUE"""),FALSE)</f>
        <v>0</v>
      </c>
      <c r="U349" s="12" t="b">
        <f>IFERROR(__xludf.DUMMYFUNCTION("""COMPUTED_VALUE"""),FALSE)</f>
        <v>0</v>
      </c>
      <c r="V349" s="13" t="str">
        <f>IFERROR(__xludf.DUMMYFUNCTION("""COMPUTED_VALUE"""),"https://www.gccsa.org/")</f>
        <v>https://www.gccsa.org/</v>
      </c>
      <c r="W349" s="14" t="str">
        <f>IFERROR(__xludf.DUMMYFUNCTION("""COMPUTED_VALUE"""),"https://maps.google.com/?q=Gulf%20Coast%20Community%20Services%209320%20Kirby%20Drive%20Houston%20TX%2077054")</f>
        <v>https://maps.google.com/?q=Gulf%20Coast%20Community%20Services%209320%20Kirby%20Drive%20Houston%20TX%2077054</v>
      </c>
      <c r="X349" s="10"/>
      <c r="Y349" s="9" t="str">
        <f>IFERROR(__xludf.DUMMYFUNCTION("""COMPUTED_VALUE"""),"Houston")</f>
        <v>Houston</v>
      </c>
      <c r="Z349" s="9" t="str">
        <f>IFERROR(__xludf.DUMMYFUNCTION("""COMPUTED_VALUE"""),"Astrodome Area, Medical Center South, NRG Park area, South Main")</f>
        <v>Astrodome Area, Medical Center South, NRG Park area, South Main</v>
      </c>
      <c r="AA349" s="9" t="str">
        <f>IFERROR(__xludf.DUMMYFUNCTION("""COMPUTED_VALUE"""),"Gulf Coast Community Services")</f>
        <v>Gulf Coast Community Services</v>
      </c>
      <c r="AB349" s="9" t="str">
        <f>IFERROR(__xludf.DUMMYFUNCTION("""COMPUTED_VALUE"""),"South Main")</f>
        <v>South Main</v>
      </c>
    </row>
    <row r="350" ht="30.0" customHeight="1">
      <c r="A350" s="17">
        <v>349.0</v>
      </c>
      <c r="B35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C350" s="9" t="str">
        <f>IFERROR(__xludf.DUMMYFUNCTION("""COMPUTED_VALUE"""),"Gulf Coast Community Services")</f>
        <v>Gulf Coast Community Services</v>
      </c>
      <c r="D350" s="9" t="str">
        <f>IFERROR(__xludf.DUMMYFUNCTION("""COMPUTED_VALUE"""),"9320 Kirby Drive")</f>
        <v>9320 Kirby Drive</v>
      </c>
      <c r="E350" s="9" t="str">
        <f>IFERROR(__xludf.DUMMYFUNCTION("""COMPUTED_VALUE"""),"Suite 100")</f>
        <v>Suite 100</v>
      </c>
      <c r="F350" s="9" t="str">
        <f>IFERROR(__xludf.DUMMYFUNCTION("""COMPUTED_VALUE"""),"Houston")</f>
        <v>Houston</v>
      </c>
      <c r="G350" s="9" t="str">
        <f>IFERROR(__xludf.DUMMYFUNCTION("""COMPUTED_VALUE"""),"TX")</f>
        <v>TX</v>
      </c>
      <c r="H350" s="9" t="str">
        <f>IFERROR(__xludf.DUMMYFUNCTION("""COMPUTED_VALUE"""),"77054")</f>
        <v>77054</v>
      </c>
      <c r="I350" s="9" t="str">
        <f>IFERROR(__xludf.DUMMYFUNCTION("""COMPUTED_VALUE"""),"713-393-4700")</f>
        <v>713-393-4700</v>
      </c>
      <c r="J350" s="9" t="str">
        <f>IFERROR(__xludf.DUMMYFUNCTION("""COMPUTED_VALUE"""),"29.6715578173172, -95.412327383382")</f>
        <v>29.6715578173172, -95.412327383382</v>
      </c>
      <c r="K350" s="9" t="str">
        <f>IFERROR(__xludf.DUMMYFUNCTION("""COMPUTED_VALUE"""),"{""regular"":[{""days"":[""Mo"",""Tu"",""We"",""Th"",""Fr""],""open"":""08:00"",""close"":""17:00""}]}")</f>
        <v>{"regular":[{"days":["Mo","Tu","We","Th","Fr"],"open":"08:00","close":"17:00"}]}</v>
      </c>
      <c r="L350" s="9" t="str">
        <f>IFERROR(__xludf.DUMMYFUNCTION("""COMPUTED_VALUE"""),"Call or walk-in to register")</f>
        <v>Call or walk-in to register</v>
      </c>
      <c r="M350" s="10">
        <f>IFERROR(__xludf.DUMMYFUNCTION("""COMPUTED_VALUE"""),12.0)</f>
        <v>12</v>
      </c>
      <c r="N350" s="10" t="str">
        <f>IFERROR(__xludf.DUMMYFUNCTION("""COMPUTED_VALUE"""),"Utilities")</f>
        <v>Utilities</v>
      </c>
      <c r="O350" s="10">
        <f>IFERROR(__xludf.DUMMYFUNCTION("""COMPUTED_VALUE"""),1.0)</f>
        <v>1</v>
      </c>
      <c r="P350" s="10" t="str">
        <f>IFERROR(__xludf.DUMMYFUNCTION("""COMPUTED_VALUE"""),"ACTIVE")</f>
        <v>ACTIVE</v>
      </c>
      <c r="Q350" s="11">
        <f>IFERROR(__xludf.DUMMYFUNCTION("""COMPUTED_VALUE"""),46064.0)</f>
        <v>46064</v>
      </c>
      <c r="R350" s="9" t="str">
        <f>IFERROR(__xludf.DUMMYFUNCTION("""COMPUTED_VALUE"""),"Verified by phone")</f>
        <v>Verified by phone</v>
      </c>
      <c r="S350" s="9" t="str">
        <f>IFERROR(__xludf.DUMMYFUNCTION("""COMPUTED_VALUE"""),"Must complete and submit an online or paper application. You will be contacted for an appointment after application is submitted and reviewed.
During the appointment each client is expected to complete a Service Agreement with a GCCS professional.
Require"&amp;"d to participate in at least one ongoing class (ABE/GED, Nutrition, ESL, SSL Business Applications, Money Mgmt, etc. within a two month period.
Must be a resident of Harris County.
Must meet Federal Income Guidelines for poverty based on the number of peo"&amp;"ple in the household.")</f>
        <v>Must complete and submit an online or paper application. You will be contacted for an appointment after application is submitted and reviewed.
During the appointment each client is expected to complete a Service Agreement with a GCCS professional.
Required to participate in at least one ongoing class (ABE/GED, Nutrition, ESL, SSL Business Applications, Money Mgmt, etc. within a two month period.
Must be a resident of Harris County.
Must meet Federal Income Guidelines for poverty based on the number of people in the household.</v>
      </c>
      <c r="T350" s="12" t="b">
        <f>IFERROR(__xludf.DUMMYFUNCTION("""COMPUTED_VALUE"""),FALSE)</f>
        <v>0</v>
      </c>
      <c r="U350" s="12" t="b">
        <f>IFERROR(__xludf.DUMMYFUNCTION("""COMPUTED_VALUE"""),FALSE)</f>
        <v>0</v>
      </c>
      <c r="V350" s="13" t="str">
        <f>IFERROR(__xludf.DUMMYFUNCTION("""COMPUTED_VALUE"""),"https://www.gccsa.org/")</f>
        <v>https://www.gccsa.org/</v>
      </c>
      <c r="W350" s="14" t="str">
        <f>IFERROR(__xludf.DUMMYFUNCTION("""COMPUTED_VALUE"""),"https://maps.google.com/?q=Gulf%20Coast%20Community%20Services%209320%20Kirby%20Drive%20Houston%20TX%2077054")</f>
        <v>https://maps.google.com/?q=Gulf%20Coast%20Community%20Services%209320%20Kirby%20Drive%20Houston%20TX%2077054</v>
      </c>
      <c r="X350" s="10"/>
      <c r="Y350" s="9" t="str">
        <f>IFERROR(__xludf.DUMMYFUNCTION("""COMPUTED_VALUE"""),"Houston")</f>
        <v>Houston</v>
      </c>
      <c r="Z350" s="9" t="str">
        <f>IFERROR(__xludf.DUMMYFUNCTION("""COMPUTED_VALUE"""),"Astrodome Area, Medical Center South, NRG Park area, South Main")</f>
        <v>Astrodome Area, Medical Center South, NRG Park area, South Main</v>
      </c>
      <c r="AA350" s="9" t="str">
        <f>IFERROR(__xludf.DUMMYFUNCTION("""COMPUTED_VALUE"""),"Gulf Coast Community Services")</f>
        <v>Gulf Coast Community Services</v>
      </c>
      <c r="AB350" s="9" t="str">
        <f>IFERROR(__xludf.DUMMYFUNCTION("""COMPUTED_VALUE"""),"South Main")</f>
        <v>South Main</v>
      </c>
    </row>
    <row r="351" ht="30.0" customHeight="1">
      <c r="A351" s="17">
        <v>350.0</v>
      </c>
      <c r="B35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C351" s="9" t="str">
        <f>IFERROR(__xludf.DUMMYFUNCTION("""COMPUTED_VALUE"""),"Gulf Coast Community Services")</f>
        <v>Gulf Coast Community Services</v>
      </c>
      <c r="D351" s="9" t="str">
        <f>IFERROR(__xludf.DUMMYFUNCTION("""COMPUTED_VALUE"""),"9320 Kirby Drive")</f>
        <v>9320 Kirby Drive</v>
      </c>
      <c r="E351" s="9" t="str">
        <f>IFERROR(__xludf.DUMMYFUNCTION("""COMPUTED_VALUE"""),"Suite 100")</f>
        <v>Suite 100</v>
      </c>
      <c r="F351" s="10" t="str">
        <f>IFERROR(__xludf.DUMMYFUNCTION("""COMPUTED_VALUE"""),"Houston")</f>
        <v>Houston</v>
      </c>
      <c r="G351" s="9" t="str">
        <f>IFERROR(__xludf.DUMMYFUNCTION("""COMPUTED_VALUE"""),"TX")</f>
        <v>TX</v>
      </c>
      <c r="H351" s="9" t="str">
        <f>IFERROR(__xludf.DUMMYFUNCTION("""COMPUTED_VALUE"""),"77054")</f>
        <v>77054</v>
      </c>
      <c r="I351" s="9" t="str">
        <f>IFERROR(__xludf.DUMMYFUNCTION("""COMPUTED_VALUE"""),"713-393-4783")</f>
        <v>713-393-4783</v>
      </c>
      <c r="J351" s="9" t="str">
        <f>IFERROR(__xludf.DUMMYFUNCTION("""COMPUTED_VALUE"""),"29.6715578173172, -95.412327383382")</f>
        <v>29.6715578173172, -95.412327383382</v>
      </c>
      <c r="K351" s="9" t="str">
        <f>IFERROR(__xludf.DUMMYFUNCTION("""COMPUTED_VALUE"""),"{""regular"":[{""days"":[""Mo"",""Tu"",""We"",""Fr""],""open"":""08:00"",""close"":""16:00""}]}")</f>
        <v>{"regular":[{"days":["Mo","Tu","We","Fr"],"open":"08:00","close":"16:00"}]}</v>
      </c>
      <c r="L351" s="9" t="str">
        <f>IFERROR(__xludf.DUMMYFUNCTION("""COMPUTED_VALUE"""),"Apply online")</f>
        <v>Apply online</v>
      </c>
      <c r="M351" s="10">
        <f>IFERROR(__xludf.DUMMYFUNCTION("""COMPUTED_VALUE"""),13.0)</f>
        <v>13</v>
      </c>
      <c r="N351" s="10" t="str">
        <f>IFERROR(__xludf.DUMMYFUNCTION("""COMPUTED_VALUE"""),"Food")</f>
        <v>Food</v>
      </c>
      <c r="O351" s="10">
        <f>IFERROR(__xludf.DUMMYFUNCTION("""COMPUTED_VALUE"""),1.0)</f>
        <v>1</v>
      </c>
      <c r="P351" s="10" t="str">
        <f>IFERROR(__xludf.DUMMYFUNCTION("""COMPUTED_VALUE"""),"ACTIVE")</f>
        <v>ACTIVE</v>
      </c>
      <c r="Q351" s="11">
        <f>IFERROR(__xludf.DUMMYFUNCTION("""COMPUTED_VALUE"""),46064.0)</f>
        <v>46064</v>
      </c>
      <c r="R351" s="9" t="str">
        <f>IFERROR(__xludf.DUMMYFUNCTION("""COMPUTED_VALUE"""),"Verified by phone")</f>
        <v>Verified by phone</v>
      </c>
      <c r="S351" s="9" t="str">
        <f>IFERROR(__xludf.DUMMYFUNCTION("""COMPUTED_VALUE"""),"3-5 day supply of groceries and essential household items.")</f>
        <v>3-5 day supply of groceries and essential household items.</v>
      </c>
      <c r="T351" s="12" t="b">
        <f>IFERROR(__xludf.DUMMYFUNCTION("""COMPUTED_VALUE"""),FALSE)</f>
        <v>0</v>
      </c>
      <c r="U351" s="12" t="b">
        <f>IFERROR(__xludf.DUMMYFUNCTION("""COMPUTED_VALUE"""),FALSE)</f>
        <v>0</v>
      </c>
      <c r="V351" s="13" t="str">
        <f>IFERROR(__xludf.DUMMYFUNCTION("""COMPUTED_VALUE"""),"https://www.gccsa.org/food-pantry-volunteers/")</f>
        <v>https://www.gccsa.org/food-pantry-volunteers/</v>
      </c>
      <c r="W351" s="14" t="str">
        <f>IFERROR(__xludf.DUMMYFUNCTION("""COMPUTED_VALUE"""),"https://maps.google.com/?q=Gulf%20Coast%20Community%20Services%209320%20Kirby%20Drive%20Houston%20TX%2077054")</f>
        <v>https://maps.google.com/?q=Gulf%20Coast%20Community%20Services%209320%20Kirby%20Drive%20Houston%20TX%2077054</v>
      </c>
      <c r="X351" s="10"/>
      <c r="Y351" s="9" t="str">
        <f>IFERROR(__xludf.DUMMYFUNCTION("""COMPUTED_VALUE"""),"Houston")</f>
        <v>Houston</v>
      </c>
      <c r="Z351" s="9" t="str">
        <f>IFERROR(__xludf.DUMMYFUNCTION("""COMPUTED_VALUE"""),"Astrodome Area, Medical Center South, NRG Park area, South Main")</f>
        <v>Astrodome Area, Medical Center South, NRG Park area, South Main</v>
      </c>
      <c r="AA351" s="9" t="str">
        <f>IFERROR(__xludf.DUMMYFUNCTION("""COMPUTED_VALUE"""),"Gulf Coast Community Services")</f>
        <v>Gulf Coast Community Services</v>
      </c>
      <c r="AB351" s="9" t="str">
        <f>IFERROR(__xludf.DUMMYFUNCTION("""COMPUTED_VALUE"""),"South Main")</f>
        <v>South Main</v>
      </c>
    </row>
    <row r="352" ht="30.0" customHeight="1">
      <c r="A352" s="17">
        <v>351.0</v>
      </c>
      <c r="B35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C352" s="9" t="str">
        <f>IFERROR(__xludf.DUMMYFUNCTION("""COMPUTED_VALUE"""),"Gulf Coast Community Services")</f>
        <v>Gulf Coast Community Services</v>
      </c>
      <c r="D352" s="9" t="str">
        <f>IFERROR(__xludf.DUMMYFUNCTION("""COMPUTED_VALUE"""),"9320 Kirby Drive")</f>
        <v>9320 Kirby Drive</v>
      </c>
      <c r="E352" s="9" t="str">
        <f>IFERROR(__xludf.DUMMYFUNCTION("""COMPUTED_VALUE"""),"Suite 100")</f>
        <v>Suite 100</v>
      </c>
      <c r="F352" s="9" t="str">
        <f>IFERROR(__xludf.DUMMYFUNCTION("""COMPUTED_VALUE"""),"Houston")</f>
        <v>Houston</v>
      </c>
      <c r="G352" s="9" t="str">
        <f>IFERROR(__xludf.DUMMYFUNCTION("""COMPUTED_VALUE"""),"TX")</f>
        <v>TX</v>
      </c>
      <c r="H352" s="9" t="str">
        <f>IFERROR(__xludf.DUMMYFUNCTION("""COMPUTED_VALUE"""),"77054")</f>
        <v>77054</v>
      </c>
      <c r="I352" s="9" t="str">
        <f>IFERROR(__xludf.DUMMYFUNCTION("""COMPUTED_VALUE"""),"713-393-4700")</f>
        <v>713-393-4700</v>
      </c>
      <c r="J352" s="9" t="str">
        <f>IFERROR(__xludf.DUMMYFUNCTION("""COMPUTED_VALUE"""),"29.6715578173172, -95.412327383382")</f>
        <v>29.6715578173172, -95.412327383382</v>
      </c>
      <c r="K352" s="9" t="str">
        <f>IFERROR(__xludf.DUMMYFUNCTION("""COMPUTED_VALUE"""),"{""regular"":[{""days"":[""Mo"",""Tu"",""We"",""Th"",""Fr""],""open"":""08:00"",""close"":""17:00""}]}")</f>
        <v>{"regular":[{"days":["Mo","Tu","We","Th","Fr"],"open":"08:00","close":"17:00"}]}</v>
      </c>
      <c r="L352" s="9" t="str">
        <f>IFERROR(__xludf.DUMMYFUNCTION("""COMPUTED_VALUE"""),"Apply online")</f>
        <v>Apply online</v>
      </c>
      <c r="M352" s="10">
        <f>IFERROR(__xludf.DUMMYFUNCTION("""COMPUTED_VALUE"""),44.0)</f>
        <v>44</v>
      </c>
      <c r="N352" s="10" t="str">
        <f>IFERROR(__xludf.DUMMYFUNCTION("""COMPUTED_VALUE"""),"Mother &amp; Child")</f>
        <v>Mother &amp; Child</v>
      </c>
      <c r="O352" s="10">
        <f>IFERROR(__xludf.DUMMYFUNCTION("""COMPUTED_VALUE"""),1.0)</f>
        <v>1</v>
      </c>
      <c r="P352" s="10" t="str">
        <f>IFERROR(__xludf.DUMMYFUNCTION("""COMPUTED_VALUE"""),"ACTIVE")</f>
        <v>ACTIVE</v>
      </c>
      <c r="Q352" s="11">
        <f>IFERROR(__xludf.DUMMYFUNCTION("""COMPUTED_VALUE"""),46064.0)</f>
        <v>46064</v>
      </c>
      <c r="R352" s="9" t="str">
        <f>IFERROR(__xludf.DUMMYFUNCTION("""COMPUTED_VALUE"""),"Verified by phone")</f>
        <v>Verified by phone</v>
      </c>
      <c r="S352" s="9" t="str">
        <f>IFERROR(__xludf.DUMMYFUNCTION("""COMPUTED_VALUE"""),"Head Start program ages 6 weeks to 30 months and 3 to 5 years.
Program includes early childhood education, family involvement, health advocacy, family literacy, mental health services, disability services and nutrition and free healthy meals and snacks fo"&amp;"r all enrolled children.")</f>
        <v>Head Start program ages 6 weeks to 30 months and 3 to 5 years.
Program includes early childhood education, family involvement, health advocacy, family literacy, mental health services, disability services and nutrition and free healthy meals and snacks for all enrolled children.</v>
      </c>
      <c r="T352" s="12" t="b">
        <f>IFERROR(__xludf.DUMMYFUNCTION("""COMPUTED_VALUE"""),FALSE)</f>
        <v>0</v>
      </c>
      <c r="U352" s="12" t="b">
        <f>IFERROR(__xludf.DUMMYFUNCTION("""COMPUTED_VALUE"""),FALSE)</f>
        <v>0</v>
      </c>
      <c r="V352" s="13" t="str">
        <f>IFERROR(__xludf.DUMMYFUNCTION("""COMPUTED_VALUE"""),"https://www.gccsa.org/head-start-early-head-start/")</f>
        <v>https://www.gccsa.org/head-start-early-head-start/</v>
      </c>
      <c r="W352" s="14" t="str">
        <f>IFERROR(__xludf.DUMMYFUNCTION("""COMPUTED_VALUE"""),"https://maps.google.com/?q=Gulf%20Coast%20Community%20Services%209320%20Kirby%20Drive%20Houston%20TX%2077054")</f>
        <v>https://maps.google.com/?q=Gulf%20Coast%20Community%20Services%209320%20Kirby%20Drive%20Houston%20TX%2077054</v>
      </c>
      <c r="X352" s="10"/>
      <c r="Y352" s="9" t="str">
        <f>IFERROR(__xludf.DUMMYFUNCTION("""COMPUTED_VALUE"""),"Houston")</f>
        <v>Houston</v>
      </c>
      <c r="Z352" s="9" t="str">
        <f>IFERROR(__xludf.DUMMYFUNCTION("""COMPUTED_VALUE"""),"Astrodome Area, Medical Center South, NRG Park area, South Main")</f>
        <v>Astrodome Area, Medical Center South, NRG Park area, South Main</v>
      </c>
      <c r="AA352" s="9" t="str">
        <f>IFERROR(__xludf.DUMMYFUNCTION("""COMPUTED_VALUE"""),"Gulf Coast Community Services")</f>
        <v>Gulf Coast Community Services</v>
      </c>
      <c r="AB352" s="9" t="str">
        <f>IFERROR(__xludf.DUMMYFUNCTION("""COMPUTED_VALUE"""),"South Main")</f>
        <v>South Main</v>
      </c>
    </row>
    <row r="353" ht="30.0" customHeight="1">
      <c r="A353" s="17">
        <v>352.0</v>
      </c>
      <c r="B35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C353" s="9" t="str">
        <f>IFERROR(__xludf.DUMMYFUNCTION("""COMPUTED_VALUE"""),"Gulf Coast Community Services")</f>
        <v>Gulf Coast Community Services</v>
      </c>
      <c r="D353" s="9" t="str">
        <f>IFERROR(__xludf.DUMMYFUNCTION("""COMPUTED_VALUE"""),"9320 Kirby Drive")</f>
        <v>9320 Kirby Drive</v>
      </c>
      <c r="E353" s="9" t="str">
        <f>IFERROR(__xludf.DUMMYFUNCTION("""COMPUTED_VALUE"""),"Suite 100")</f>
        <v>Suite 100</v>
      </c>
      <c r="F353" s="9" t="str">
        <f>IFERROR(__xludf.DUMMYFUNCTION("""COMPUTED_VALUE"""),"Houston")</f>
        <v>Houston</v>
      </c>
      <c r="G353" s="9" t="str">
        <f>IFERROR(__xludf.DUMMYFUNCTION("""COMPUTED_VALUE"""),"TX")</f>
        <v>TX</v>
      </c>
      <c r="H353" s="9" t="str">
        <f>IFERROR(__xludf.DUMMYFUNCTION("""COMPUTED_VALUE"""),"77054")</f>
        <v>77054</v>
      </c>
      <c r="I353" s="9" t="str">
        <f>IFERROR(__xludf.DUMMYFUNCTION("""COMPUTED_VALUE"""),"713-393-4700")</f>
        <v>713-393-4700</v>
      </c>
      <c r="J353" s="9" t="str">
        <f>IFERROR(__xludf.DUMMYFUNCTION("""COMPUTED_VALUE"""),"29.6715578173172, -95.412327383382")</f>
        <v>29.6715578173172, -95.412327383382</v>
      </c>
      <c r="K353" s="9" t="str">
        <f>IFERROR(__xludf.DUMMYFUNCTION("""COMPUTED_VALUE"""),"{""regular"":[{""days"":[""Mo"",""Tu"",""We"",""Th"",""Fr""],""open"":""08:00"",""close"":""17:00""}]}")</f>
        <v>{"regular":[{"days":["Mo","Tu","We","Th","Fr"],"open":"08:00","close":"17:00"}]}</v>
      </c>
      <c r="L353" s="9"/>
      <c r="M353" s="10">
        <f>IFERROR(__xludf.DUMMYFUNCTION("""COMPUTED_VALUE"""),51.0)</f>
        <v>51</v>
      </c>
      <c r="N353" s="10" t="str">
        <f>IFERROR(__xludf.DUMMYFUNCTION("""COMPUTED_VALUE"""),"Education - Adults")</f>
        <v>Education - Adults</v>
      </c>
      <c r="O353" s="10">
        <f>IFERROR(__xludf.DUMMYFUNCTION("""COMPUTED_VALUE"""),1.0)</f>
        <v>1</v>
      </c>
      <c r="P353" s="10" t="str">
        <f>IFERROR(__xludf.DUMMYFUNCTION("""COMPUTED_VALUE"""),"ACTIVE")</f>
        <v>ACTIVE</v>
      </c>
      <c r="Q353" s="11">
        <f>IFERROR(__xludf.DUMMYFUNCTION("""COMPUTED_VALUE"""),46064.0)</f>
        <v>46064</v>
      </c>
      <c r="R353" s="9" t="str">
        <f>IFERROR(__xludf.DUMMYFUNCTION("""COMPUTED_VALUE"""),"Verified by phone")</f>
        <v>Verified by phone</v>
      </c>
      <c r="S353" s="9" t="str">
        <f>IFERROR(__xludf.DUMMYFUNCTION("""COMPUTED_VALUE"""),"Vocational training, i.e. CDL, welding, healthcare, automotive &amp; machining, computer and massage therapy.
Continuing adult education, e.g. GED., financial and budgeting, job readiness, etc.")</f>
        <v>Vocational training, i.e. CDL, welding, healthcare, automotive &amp; machining, computer and massage therapy.
Continuing adult education, e.g. GED., financial and budgeting, job readiness, etc.</v>
      </c>
      <c r="T353" s="12" t="b">
        <f>IFERROR(__xludf.DUMMYFUNCTION("""COMPUTED_VALUE"""),FALSE)</f>
        <v>0</v>
      </c>
      <c r="U353" s="12" t="b">
        <f>IFERROR(__xludf.DUMMYFUNCTION("""COMPUTED_VALUE"""),FALSE)</f>
        <v>0</v>
      </c>
      <c r="V353" s="13" t="str">
        <f>IFERROR(__xludf.DUMMYFUNCTION("""COMPUTED_VALUE"""),"https://www.gccsa.org/")</f>
        <v>https://www.gccsa.org/</v>
      </c>
      <c r="W353" s="14" t="str">
        <f>IFERROR(__xludf.DUMMYFUNCTION("""COMPUTED_VALUE"""),"https://maps.google.com/?q=Gulf%20Coast%20Community%20Services%209320%20Kirby%20Drive%20Houston%20TX%2077054")</f>
        <v>https://maps.google.com/?q=Gulf%20Coast%20Community%20Services%209320%20Kirby%20Drive%20Houston%20TX%2077054</v>
      </c>
      <c r="X353" s="10"/>
      <c r="Y353" s="9" t="str">
        <f>IFERROR(__xludf.DUMMYFUNCTION("""COMPUTED_VALUE"""),"Houston")</f>
        <v>Houston</v>
      </c>
      <c r="Z353" s="9" t="str">
        <f>IFERROR(__xludf.DUMMYFUNCTION("""COMPUTED_VALUE"""),"Astrodome Area, Medical Center South, NRG Park area, South Main")</f>
        <v>Astrodome Area, Medical Center South, NRG Park area, South Main</v>
      </c>
      <c r="AA353" s="9" t="str">
        <f>IFERROR(__xludf.DUMMYFUNCTION("""COMPUTED_VALUE"""),"Gulf Coast Community Services")</f>
        <v>Gulf Coast Community Services</v>
      </c>
      <c r="AB353" s="9" t="str">
        <f>IFERROR(__xludf.DUMMYFUNCTION("""COMPUTED_VALUE"""),"South Main")</f>
        <v>South Main</v>
      </c>
    </row>
    <row r="354" ht="30.0" customHeight="1">
      <c r="A354" s="17">
        <v>353.0</v>
      </c>
      <c r="B354" s="8" t="str">
        <f>IFERROR(__xludf.DUMMYFUNCTION("""COMPUTED_VALUE"""),"[""99999""]")</f>
        <v>["99999"]</v>
      </c>
      <c r="C354" s="9" t="str">
        <f>IFERROR(__xludf.DUMMYFUNCTION("""COMPUTED_VALUE"""),"Gulf Coast Community Services")</f>
        <v>Gulf Coast Community Services</v>
      </c>
      <c r="D354" s="9" t="str">
        <f>IFERROR(__xludf.DUMMYFUNCTION("""COMPUTED_VALUE"""),"9320 Kirby Drive")</f>
        <v>9320 Kirby Drive</v>
      </c>
      <c r="E354" s="9" t="str">
        <f>IFERROR(__xludf.DUMMYFUNCTION("""COMPUTED_VALUE"""),"Suite 100")</f>
        <v>Suite 100</v>
      </c>
      <c r="F354" s="9" t="str">
        <f>IFERROR(__xludf.DUMMYFUNCTION("""COMPUTED_VALUE"""),"Houston")</f>
        <v>Houston</v>
      </c>
      <c r="G354" s="9" t="str">
        <f>IFERROR(__xludf.DUMMYFUNCTION("""COMPUTED_VALUE"""),"TX")</f>
        <v>TX</v>
      </c>
      <c r="H354" s="9" t="str">
        <f>IFERROR(__xludf.DUMMYFUNCTION("""COMPUTED_VALUE"""),"77054")</f>
        <v>77054</v>
      </c>
      <c r="I354" s="9" t="str">
        <f>IFERROR(__xludf.DUMMYFUNCTION("""COMPUTED_VALUE"""),"713-393-4700")</f>
        <v>713-393-4700</v>
      </c>
      <c r="J354" s="9" t="str">
        <f>IFERROR(__xludf.DUMMYFUNCTION("""COMPUTED_VALUE"""),"29.6715578173172, -95.412327383382")</f>
        <v>29.6715578173172, -95.412327383382</v>
      </c>
      <c r="K354" s="9"/>
      <c r="L354" s="9"/>
      <c r="M354" s="10">
        <f>IFERROR(__xludf.DUMMYFUNCTION("""COMPUTED_VALUE"""),53.0)</f>
        <v>53</v>
      </c>
      <c r="N354" s="10" t="str">
        <f>IFERROR(__xludf.DUMMYFUNCTION("""COMPUTED_VALUE"""),"Transportation")</f>
        <v>Transportation</v>
      </c>
      <c r="O354" s="10">
        <f>IFERROR(__xludf.DUMMYFUNCTION("""COMPUTED_VALUE"""),4.0)</f>
        <v>4</v>
      </c>
      <c r="P354" s="10" t="str">
        <f>IFERROR(__xludf.DUMMYFUNCTION("""COMPUTED_VALUE"""),"CLOSED")</f>
        <v>CLOSED</v>
      </c>
      <c r="Q354" s="11">
        <f>IFERROR(__xludf.DUMMYFUNCTION("""COMPUTED_VALUE"""),45810.0)</f>
        <v>45810</v>
      </c>
      <c r="R354" s="9" t="str">
        <f>IFERROR(__xludf.DUMMYFUNCTION("""COMPUTED_VALUE"""),"no longer offered")</f>
        <v>no longer offered</v>
      </c>
      <c r="S354" s="9" t="str">
        <f>IFERROR(__xludf.DUMMYFUNCTION("""COMPUTED_VALUE"""),"Provides Metro Q Cards for clients seeking employment and/or attending GCCS educational programs.
Must be a resident of Harris County.
Must meet Federal Income Guidelines for poverty based on the number of people in the household.")</f>
        <v>Provides Metro Q Cards for clients seeking employment and/or attending GCCS educational programs.
Must be a resident of Harris County.
Must meet Federal Income Guidelines for poverty based on the number of people in the household.</v>
      </c>
      <c r="T354" s="12" t="b">
        <f>IFERROR(__xludf.DUMMYFUNCTION("""COMPUTED_VALUE"""),FALSE)</f>
        <v>0</v>
      </c>
      <c r="U354" s="12" t="b">
        <f>IFERROR(__xludf.DUMMYFUNCTION("""COMPUTED_VALUE"""),FALSE)</f>
        <v>0</v>
      </c>
      <c r="V354" s="13" t="str">
        <f>IFERROR(__xludf.DUMMYFUNCTION("""COMPUTED_VALUE"""),"https://www.gccsa.org/")</f>
        <v>https://www.gccsa.org/</v>
      </c>
      <c r="W354" s="14" t="str">
        <f>IFERROR(__xludf.DUMMYFUNCTION("""COMPUTED_VALUE"""),"https://maps.google.com/?q=Gulf%20Coast%20Community%20Services%209320%20Kirby%20Drive%20Houston%20TX%2077054")</f>
        <v>https://maps.google.com/?q=Gulf%20Coast%20Community%20Services%209320%20Kirby%20Drive%20Houston%20TX%2077054</v>
      </c>
      <c r="X354" s="10"/>
      <c r="Y354" s="9" t="str">
        <f>IFERROR(__xludf.DUMMYFUNCTION("""COMPUTED_VALUE"""),"Houston")</f>
        <v>Houston</v>
      </c>
      <c r="Z354" s="9" t="str">
        <f>IFERROR(__xludf.DUMMYFUNCTION("""COMPUTED_VALUE"""),"Astrodome Area, Medical Center South, NRG Park area, South Main")</f>
        <v>Astrodome Area, Medical Center South, NRG Park area, South Main</v>
      </c>
      <c r="AA354" s="9" t="str">
        <f>IFERROR(__xludf.DUMMYFUNCTION("""COMPUTED_VALUE"""),"Gulf Coast Community Services")</f>
        <v>Gulf Coast Community Services</v>
      </c>
      <c r="AB354" s="9" t="str">
        <f>IFERROR(__xludf.DUMMYFUNCTION("""COMPUTED_VALUE"""),"South Main")</f>
        <v>South Main</v>
      </c>
    </row>
    <row r="355" ht="30.0" customHeight="1">
      <c r="A355" s="17">
        <v>354.0</v>
      </c>
      <c r="B355" s="8" t="str">
        <f>IFERROR(__xludf.DUMMYFUNCTION("""COMPUTED_VALUE"""),"[""99999""]")</f>
        <v>["99999"]</v>
      </c>
      <c r="C355" s="9" t="str">
        <f>IFERROR(__xludf.DUMMYFUNCTION("""COMPUTED_VALUE"""),"Halo House Foundation")</f>
        <v>Halo House Foundation</v>
      </c>
      <c r="D355" s="9" t="str">
        <f>IFERROR(__xludf.DUMMYFUNCTION("""COMPUTED_VALUE"""),"2940 Corder Street")</f>
        <v>2940 Corder Street</v>
      </c>
      <c r="E355" s="10"/>
      <c r="F355" s="10" t="str">
        <f>IFERROR(__xludf.DUMMYFUNCTION("""COMPUTED_VALUE"""),"Houston")</f>
        <v>Houston</v>
      </c>
      <c r="G355" s="9" t="str">
        <f>IFERROR(__xludf.DUMMYFUNCTION("""COMPUTED_VALUE"""),"TX")</f>
        <v>TX</v>
      </c>
      <c r="H355" s="9" t="str">
        <f>IFERROR(__xludf.DUMMYFUNCTION("""COMPUTED_VALUE"""),"77054")</f>
        <v>77054</v>
      </c>
      <c r="I355" s="9" t="str">
        <f>IFERROR(__xludf.DUMMYFUNCTION("""COMPUTED_VALUE"""),"713-665-8852")</f>
        <v>713-665-8852</v>
      </c>
      <c r="J355" s="9" t="str">
        <f>IFERROR(__xludf.DUMMYFUNCTION("""COMPUTED_VALUE"""),"29.6932434085027, -95.3868445665139")</f>
        <v>29.6932434085027, -95.3868445665139</v>
      </c>
      <c r="K355" s="9" t="str">
        <f>IFERROR(__xludf.DUMMYFUNCTION("""COMPUTED_VALUE"""),"{""regular"":[{""days"":[""Mo"",""Tu"",""We"",""Th"",""Fr""],""open"":""08:00"",""close"":""16:00""}]}")</f>
        <v>{"regular":[{"days":["Mo","Tu","We","Th","Fr"],"open":"08:00","close":"16:00"}]}</v>
      </c>
      <c r="L355" s="9" t="str">
        <f>IFERROR(__xludf.DUMMYFUNCTION("""COMPUTED_VALUE"""),"Apply online")</f>
        <v>Apply online</v>
      </c>
      <c r="M355" s="10">
        <f>IFERROR(__xludf.DUMMYFUNCTION("""COMPUTED_VALUE"""),37.0)</f>
        <v>37</v>
      </c>
      <c r="N355" s="10" t="str">
        <f>IFERROR(__xludf.DUMMYFUNCTION("""COMPUTED_VALUE"""),"Medical - Housing")</f>
        <v>Medical - Housing</v>
      </c>
      <c r="O355" s="10">
        <f>IFERROR(__xludf.DUMMYFUNCTION("""COMPUTED_VALUE"""),1.0)</f>
        <v>1</v>
      </c>
      <c r="P355" s="10" t="str">
        <f>IFERROR(__xludf.DUMMYFUNCTION("""COMPUTED_VALUE"""),"ACTIVE")</f>
        <v>ACTIVE</v>
      </c>
      <c r="Q355" s="11">
        <f>IFERROR(__xludf.DUMMYFUNCTION("""COMPUTED_VALUE"""),45792.0)</f>
        <v>45792</v>
      </c>
      <c r="R355" s="9" t="str">
        <f>IFERROR(__xludf.DUMMYFUNCTION("""COMPUTED_VALUE"""),"Verified online")</f>
        <v>Verified online</v>
      </c>
      <c r="S355" s="9" t="str">
        <f>IFERROR(__xludf.DUMMYFUNCTION("""COMPUTED_VALUE"""),"Must be undergoing active treatment for blood cancer at the Texas Medical Center (TMC).
Permanent address greater than 50 miles from TMC.
Cost ranges from $25-35/ day.  Financial assessment may be required.
Stays of two weeks to three months.  Caregiver m"&amp;"ust stay with patient for the duration.
Wait times for an apartment are one to three months.
Apply online.
Medical housing.")</f>
        <v>Must be undergoing active treatment for blood cancer at the Texas Medical Center (TMC).
Permanent address greater than 50 miles from TMC.
Cost ranges from $25-35/ day.  Financial assessment may be required.
Stays of two weeks to three months.  Caregiver must stay with patient for the duration.
Wait times for an apartment are one to three months.
Apply online.
Medical housing.</v>
      </c>
      <c r="T355" s="12" t="b">
        <f>IFERROR(__xludf.DUMMYFUNCTION("""COMPUTED_VALUE"""),FALSE)</f>
        <v>0</v>
      </c>
      <c r="U355" s="12" t="b">
        <f>IFERROR(__xludf.DUMMYFUNCTION("""COMPUTED_VALUE"""),FALSE)</f>
        <v>0</v>
      </c>
      <c r="V355" s="13" t="str">
        <f>IFERROR(__xludf.DUMMYFUNCTION("""COMPUTED_VALUE"""),"https://www.halohousefoundation.org/")</f>
        <v>https://www.halohousefoundation.org/</v>
      </c>
      <c r="W355" s="14" t="str">
        <f>IFERROR(__xludf.DUMMYFUNCTION("""COMPUTED_VALUE"""),"https://www.google.com/maps/place/Halo+House+Foundation/@29.6926538,-95.3859525,17z/data=!3m1!4b1!4m6!3m5!1s0x8640bf4361ac7755:0x407a6d117e48c31e!8m2!3d29.6926538!4d-95.3859525!16s%2Fg%2F11h07vrl2f?entry=ttu&amp;g_ep=EgoyMDI1MDUxMi4wIKXMDSoASAFQAw%3D%3D")</f>
        <v>https://www.google.com/maps/place/Halo+House+Foundation/@29.6926538,-95.3859525,17z/data=!3m1!4b1!4m6!3m5!1s0x8640bf4361ac7755:0x407a6d117e48c31e!8m2!3d29.6926538!4d-95.3859525!16s%2Fg%2F11h07vrl2f?entry=ttu&amp;g_ep=EgoyMDI1MDUxMi4wIKXMDSoASAFQAw%3D%3D</v>
      </c>
      <c r="X355" s="10"/>
      <c r="Y355" s="9" t="str">
        <f>IFERROR(__xludf.DUMMYFUNCTION("""COMPUTED_VALUE"""),"Houston")</f>
        <v>Houston</v>
      </c>
      <c r="Z355" s="9" t="str">
        <f>IFERROR(__xludf.DUMMYFUNCTION("""COMPUTED_VALUE"""),"Astrodome Area, Medical Center South, NRG Park area, South Main")</f>
        <v>Astrodome Area, Medical Center South, NRG Park area, South Main</v>
      </c>
      <c r="AA355" s="9" t="str">
        <f>IFERROR(__xludf.DUMMYFUNCTION("""COMPUTED_VALUE"""),"Halo House Foundation")</f>
        <v>Halo House Foundation</v>
      </c>
      <c r="AB355" s="9" t="str">
        <f>IFERROR(__xludf.DUMMYFUNCTION("""COMPUTED_VALUE"""),"Medical Center South")</f>
        <v>Medical Center South</v>
      </c>
    </row>
    <row r="356" ht="30.0" customHeight="1">
      <c r="A356" s="17">
        <v>355.0</v>
      </c>
      <c r="B356" s="8" t="str">
        <f>IFERROR(__xludf.DUMMYFUNCTION("""COMPUTED_VALUE"""),"[""99999""]")</f>
        <v>["99999"]</v>
      </c>
      <c r="C356" s="9" t="str">
        <f>IFERROR(__xludf.DUMMYFUNCTION("""COMPUTED_VALUE"""),"Harmony House, Inc.")</f>
        <v>Harmony House, Inc.</v>
      </c>
      <c r="D356" s="9" t="str">
        <f>IFERROR(__xludf.DUMMYFUNCTION("""COMPUTED_VALUE"""),"702 Girard Street")</f>
        <v>702 Girard Street</v>
      </c>
      <c r="E356" s="10"/>
      <c r="F356" s="9" t="str">
        <f>IFERROR(__xludf.DUMMYFUNCTION("""COMPUTED_VALUE"""),"Houston")</f>
        <v>Houston</v>
      </c>
      <c r="G356" s="9" t="str">
        <f>IFERROR(__xludf.DUMMYFUNCTION("""COMPUTED_VALUE"""),"TX")</f>
        <v>TX</v>
      </c>
      <c r="H356" s="9" t="str">
        <f>IFERROR(__xludf.DUMMYFUNCTION("""COMPUTED_VALUE"""),"77007")</f>
        <v>77007</v>
      </c>
      <c r="I356" s="9" t="str">
        <f>IFERROR(__xludf.DUMMYFUNCTION("""COMPUTED_VALUE"""),"713-221-6200")</f>
        <v>713-221-6200</v>
      </c>
      <c r="J356" s="9" t="str">
        <f>IFERROR(__xludf.DUMMYFUNCTION("""COMPUTED_VALUE"""),"29.7677857, -95.3645032087979")</f>
        <v>29.7677857, -95.3645032087979</v>
      </c>
      <c r="K356" s="9" t="str">
        <f>IFERROR(__xludf.DUMMYFUNCTION("""COMPUTED_VALUE"""),"{""regular"":[{""days"":[""Mo"",""Tu"",""We"",""Th"",""Fr""],""open"":""08:00"",""close"":""17:00""}]}")</f>
        <v>{"regular":[{"days":["Mo","Tu","We","Th","Fr"],"open":"08:00","close":"17:00"}]}</v>
      </c>
      <c r="L356" s="9"/>
      <c r="M356" s="10">
        <f>IFERROR(__xludf.DUMMYFUNCTION("""COMPUTED_VALUE"""),24.0)</f>
        <v>24</v>
      </c>
      <c r="N356" s="10" t="str">
        <f>IFERROR(__xludf.DUMMYFUNCTION("""COMPUTED_VALUE"""),"Housing")</f>
        <v>Housing</v>
      </c>
      <c r="O356" s="10">
        <f>IFERROR(__xludf.DUMMYFUNCTION("""COMPUTED_VALUE"""),1.0)</f>
        <v>1</v>
      </c>
      <c r="P356" s="10" t="str">
        <f>IFERROR(__xludf.DUMMYFUNCTION("""COMPUTED_VALUE"""),"ACTIVE")</f>
        <v>ACTIVE</v>
      </c>
      <c r="Q356" s="11">
        <f>IFERROR(__xludf.DUMMYFUNCTION("""COMPUTED_VALUE"""),45758.0)</f>
        <v>45758</v>
      </c>
      <c r="R356" s="9" t="str">
        <f>IFERROR(__xludf.DUMMYFUNCTION("""COMPUTED_VALUE"""),"Verified online")</f>
        <v>Verified online</v>
      </c>
      <c r="S356" s="9" t="str">
        <f>IFERROR(__xludf.DUMMYFUNCTION("""COMPUTED_VALUE"""),"128 bed long-term dorm for working but unhoused men.
Permanent supportive housing at various locations.
Substance abuse management, intensive life-skills and mental health counseling.
Tuberculosis Recovery Center - 3 to 12 months of housing, treatment and"&amp;" supportive services.")</f>
        <v>128 bed long-term dorm for working but unhoused men.
Permanent supportive housing at various locations.
Substance abuse management, intensive life-skills and mental health counseling.
Tuberculosis Recovery Center - 3 to 12 months of housing, treatment and supportive services.</v>
      </c>
      <c r="T356" s="12" t="b">
        <f>IFERROR(__xludf.DUMMYFUNCTION("""COMPUTED_VALUE"""),FALSE)</f>
        <v>0</v>
      </c>
      <c r="U356" s="12" t="b">
        <f>IFERROR(__xludf.DUMMYFUNCTION("""COMPUTED_VALUE"""),FALSE)</f>
        <v>0</v>
      </c>
      <c r="V356" s="13" t="str">
        <f>IFERROR(__xludf.DUMMYFUNCTION("""COMPUTED_VALUE"""),"https://harmonyhouse.org")</f>
        <v>https://harmonyhouse.org</v>
      </c>
      <c r="W356" s="14" t="str">
        <f>IFERROR(__xludf.DUMMYFUNCTION("""COMPUTED_VALUE"""),"https://www.google.com/maps/place/Harmony+House+Inc/@29.7677595,-95.3669366,16z/data=!3m1!4b1!4m6!3m5!1s0x8640bf3218b1fb29:0xa3be5a736a880044!8m2!3d29.7677595!4d-95.3643563!16s%2Fg%2F1tlz_knv?entry=ttu&amp;g_ep=EgoyMDI1MDUwNy4wIKXMDSoASAFQAw%3D%3D")</f>
        <v>https://www.google.com/maps/place/Harmony+House+Inc/@29.7677595,-95.3669366,16z/data=!3m1!4b1!4m6!3m5!1s0x8640bf3218b1fb29:0xa3be5a736a880044!8m2!3d29.7677595!4d-95.3643563!16s%2Fg%2F1tlz_knv?entry=ttu&amp;g_ep=EgoyMDI1MDUwNy4wIKXMDSoASAFQAw%3D%3D</v>
      </c>
      <c r="X356" s="10"/>
      <c r="Y356" s="9" t="str">
        <f>IFERROR(__xludf.DUMMYFUNCTION("""COMPUTED_VALUE"""),"Houston")</f>
        <v>Houston</v>
      </c>
      <c r="Z356"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356" s="9" t="str">
        <f>IFERROR(__xludf.DUMMYFUNCTION("""COMPUTED_VALUE"""),"Harmony House, Inc.")</f>
        <v>Harmony House, Inc.</v>
      </c>
      <c r="AB356" s="9" t="str">
        <f>IFERROR(__xludf.DUMMYFUNCTION("""COMPUTED_VALUE"""),"Downtown Houston")</f>
        <v>Downtown Houston</v>
      </c>
    </row>
    <row r="357" ht="30.0" customHeight="1">
      <c r="A357" s="17">
        <v>356.0</v>
      </c>
      <c r="B357" s="8" t="str">
        <f>IFERROR(__xludf.DUMMYFUNCTION("""COMPUTED_VALUE"""),"[""99999""]")</f>
        <v>["99999"]</v>
      </c>
      <c r="C357" s="9" t="str">
        <f>IFERROR(__xludf.DUMMYFUNCTION("""COMPUTED_VALUE"""),"Harris Center - NeuroPsychiatric Center")</f>
        <v>Harris Center - NeuroPsychiatric Center</v>
      </c>
      <c r="D357" s="9" t="str">
        <f>IFERROR(__xludf.DUMMYFUNCTION("""COMPUTED_VALUE"""),"1502 Ben Taub Loop")</f>
        <v>1502 Ben Taub Loop</v>
      </c>
      <c r="E357" s="9"/>
      <c r="F357" s="9" t="str">
        <f>IFERROR(__xludf.DUMMYFUNCTION("""COMPUTED_VALUE"""),"Houston")</f>
        <v>Houston</v>
      </c>
      <c r="G357" s="9" t="str">
        <f>IFERROR(__xludf.DUMMYFUNCTION("""COMPUTED_VALUE"""),"TX")</f>
        <v>TX</v>
      </c>
      <c r="H357" s="9" t="str">
        <f>IFERROR(__xludf.DUMMYFUNCTION("""COMPUTED_VALUE"""),"77030")</f>
        <v>77030</v>
      </c>
      <c r="I357" s="9" t="str">
        <f>IFERROR(__xludf.DUMMYFUNCTION("""COMPUTED_VALUE"""),"713-970-7000")</f>
        <v>713-970-7000</v>
      </c>
      <c r="J357" s="9" t="str">
        <f>IFERROR(__xludf.DUMMYFUNCTION("""COMPUTED_VALUE"""),"29.715702847345643, -95.39406895865277")</f>
        <v>29.715702847345643, -95.39406895865277</v>
      </c>
      <c r="K357" s="9" t="str">
        <f>IFERROR(__xludf.DUMMYFUNCTION("""COMPUTED_VALUE"""),"{""regular"":[{""days"":[""Mo"",""Tu"",""We"",""Th"",""Fr"",""Sa"",""Su""],""open"":""00:00"",""close"":""23:59""}]}")</f>
        <v>{"regular":[{"days":["Mo","Tu","We","Th","Fr","Sa","Su"],"open":"00:00","close":"23:59"}]}</v>
      </c>
      <c r="L357" s="9"/>
      <c r="M357" s="10">
        <f>IFERROR(__xludf.DUMMYFUNCTION("""COMPUTED_VALUE"""),33.0)</f>
        <v>33</v>
      </c>
      <c r="N357" s="10" t="str">
        <f>IFERROR(__xludf.DUMMYFUNCTION("""COMPUTED_VALUE"""),"Medical - Behavioral Health")</f>
        <v>Medical - Behavioral Health</v>
      </c>
      <c r="O357" s="10">
        <f>IFERROR(__xludf.DUMMYFUNCTION("""COMPUTED_VALUE"""),1.0)</f>
        <v>1</v>
      </c>
      <c r="P357" s="10" t="str">
        <f>IFERROR(__xludf.DUMMYFUNCTION("""COMPUTED_VALUE"""),"ACTIVE")</f>
        <v>ACTIVE</v>
      </c>
      <c r="Q357" s="11">
        <f>IFERROR(__xludf.DUMMYFUNCTION("""COMPUTED_VALUE"""),45948.0)</f>
        <v>45948</v>
      </c>
      <c r="R357" s="9" t="str">
        <f>IFERROR(__xludf.DUMMYFUNCTION("""COMPUTED_VALUE"""),"Verified online")</f>
        <v>Verified online</v>
      </c>
      <c r="S357" s="9" t="str">
        <f>IFERROR(__xludf.DUMMYFUNCTION("""COMPUTED_VALUE"""),"Operates the National Suicide Lifeline Hotline - 988 - for 45 counties in Texas.
Psychiatric Emergency
Substance Use Recovery
Psychiatric Stabilization
Pharmacy
Detox/Substance Use Disorder")</f>
        <v>Operates the National Suicide Lifeline Hotline - 988 - for 45 counties in Texas.
Psychiatric Emergency
Substance Use Recovery
Psychiatric Stabilization
Pharmacy
Detox/Substance Use Disorder</v>
      </c>
      <c r="T357" s="12" t="b">
        <f>IFERROR(__xludf.DUMMYFUNCTION("""COMPUTED_VALUE"""),FALSE)</f>
        <v>0</v>
      </c>
      <c r="U357" s="12" t="b">
        <f>IFERROR(__xludf.DUMMYFUNCTION("""COMPUTED_VALUE"""),FALSE)</f>
        <v>0</v>
      </c>
      <c r="V357" s="13" t="str">
        <f>IFERROR(__xludf.DUMMYFUNCTION("""COMPUTED_VALUE"""),"https://www.theharriscenter.org/about")</f>
        <v>https://www.theharriscenter.org/about</v>
      </c>
      <c r="W357" s="14" t="str">
        <f>IFERROR(__xludf.DUMMYFUNCTION("""COMPUTED_VALUE"""),"https://www.google.com/maps/place/The+Harris+Center+for+Mental+Health+and+IDD+NeuroPsychiatric+Center/@29.6766231,-95.4759344,13.01z/data=!3m1!5s0x8640c0762b63f5f5:0x73238771294260bb!4m10!1m2!2m1!1sThe+Harris+Center+neurop!3m6!1s0x8640c077d1472077:0x7c99b"&amp;"1226a22a176!8m2!3d29.711451!4d-95.3941429!15sChhUaGUgSGFycmlzIENlbnRlciBuZXVyb3BaGiIYdGhlIGhhcnJpcyBjZW50ZXIgbmV1cm9wkgEUcHN5Y2hpYXRyaWNfaG9zcGl0YWyaASNDaFpEU1VoTk1HOW5TMFZKUTBGblNVUm9NazVZU2s1M0VBRaoBXhABKhwiGHRoZSBoYXJyaXMgY2VudGVyIG5ldXJvcCgAMh4QASIauy"&amp;"BJLyGz03xwsKBR0pZkFkRN2y4USNg3fmYyHBACIhh0aGUgaGFycmlzIGNlbnRlciBuZXVyb3DgAQD6AQQIABAn!16s%2Fg%2F1tmklbzj?entry=ttu&amp;g_ep=EgoyMDI1MTAxNC4wIKXMDSoASAFQAw%3D%3D")</f>
        <v>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v>
      </c>
      <c r="X357" s="10"/>
      <c r="Y357" s="9" t="str">
        <f>IFERROR(__xludf.DUMMYFUNCTION("""COMPUTED_VALUE"""),"Houston")</f>
        <v>Houston</v>
      </c>
      <c r="Z357" s="9" t="str">
        <f>IFERROR(__xludf.DUMMYFUNCTION("""COMPUTED_VALUE"""),"Central Southwest, Houston Museum District, South Central Houston, Southgate, Texas Medical Center")</f>
        <v>Central Southwest, Houston Museum District, South Central Houston, Southgate, Texas Medical Center</v>
      </c>
      <c r="AA357" s="9" t="str">
        <f>IFERROR(__xludf.DUMMYFUNCTION("""COMPUTED_VALUE"""),"The Harris Center for Mental Health &amp; IDD")</f>
        <v>The Harris Center for Mental Health &amp; IDD</v>
      </c>
      <c r="AB357" s="9" t="str">
        <f>IFERROR(__xludf.DUMMYFUNCTION("""COMPUTED_VALUE"""),"Houston Museum District")</f>
        <v>Houston Museum District</v>
      </c>
    </row>
    <row r="358" ht="30.0" customHeight="1">
      <c r="A358" s="17">
        <v>357.0</v>
      </c>
      <c r="B358" s="8" t="str">
        <f>IFERROR(__xludf.DUMMYFUNCTION("""COMPUTED_VALUE"""),"[""99999""]")</f>
        <v>["99999"]</v>
      </c>
      <c r="C358" s="9" t="str">
        <f>IFERROR(__xludf.DUMMYFUNCTION("""COMPUTED_VALUE"""),"Harris Center - NeuroPsychiatric Center")</f>
        <v>Harris Center - NeuroPsychiatric Center</v>
      </c>
      <c r="D358" s="9" t="str">
        <f>IFERROR(__xludf.DUMMYFUNCTION("""COMPUTED_VALUE"""),"1502 Ben Taub Loop")</f>
        <v>1502 Ben Taub Loop</v>
      </c>
      <c r="E358" s="9"/>
      <c r="F358" s="9" t="str">
        <f>IFERROR(__xludf.DUMMYFUNCTION("""COMPUTED_VALUE"""),"Houston")</f>
        <v>Houston</v>
      </c>
      <c r="G358" s="9" t="str">
        <f>IFERROR(__xludf.DUMMYFUNCTION("""COMPUTED_VALUE"""),"TX")</f>
        <v>TX</v>
      </c>
      <c r="H358" s="9" t="str">
        <f>IFERROR(__xludf.DUMMYFUNCTION("""COMPUTED_VALUE"""),"77030")</f>
        <v>77030</v>
      </c>
      <c r="I358" s="9" t="str">
        <f>IFERROR(__xludf.DUMMYFUNCTION("""COMPUTED_VALUE"""),"713-970-7000")</f>
        <v>713-970-7000</v>
      </c>
      <c r="J358" s="9" t="str">
        <f>IFERROR(__xludf.DUMMYFUNCTION("""COMPUTED_VALUE"""),"29.715702847345643, -95.39406895865277")</f>
        <v>29.715702847345643, -95.39406895865277</v>
      </c>
      <c r="K358" s="9" t="str">
        <f>IFERROR(__xludf.DUMMYFUNCTION("""COMPUTED_VALUE"""),"{""regular"":[{""days"":[""Mo"",""Tu"",""We"",""Th"",""Fr"",""Sa"",""Su""],""open"":""00:00"",""close"":""23:59""}]}")</f>
        <v>{"regular":[{"days":["Mo","Tu","We","Th","Fr","Sa","Su"],"open":"00:00","close":"23:59"}]}</v>
      </c>
      <c r="L358" s="9"/>
      <c r="M358" s="10">
        <f>IFERROR(__xludf.DUMMYFUNCTION("""COMPUTED_VALUE"""),34.0)</f>
        <v>34</v>
      </c>
      <c r="N358" s="10" t="str">
        <f>IFERROR(__xludf.DUMMYFUNCTION("""COMPUTED_VALUE"""),"Medical - Addiction Recovery")</f>
        <v>Medical - Addiction Recovery</v>
      </c>
      <c r="O358" s="10">
        <f>IFERROR(__xludf.DUMMYFUNCTION("""COMPUTED_VALUE"""),1.0)</f>
        <v>1</v>
      </c>
      <c r="P358" s="10" t="str">
        <f>IFERROR(__xludf.DUMMYFUNCTION("""COMPUTED_VALUE"""),"ACTIVE")</f>
        <v>ACTIVE</v>
      </c>
      <c r="Q358" s="11">
        <f>IFERROR(__xludf.DUMMYFUNCTION("""COMPUTED_VALUE"""),45948.0)</f>
        <v>45948</v>
      </c>
      <c r="R358" s="9" t="str">
        <f>IFERROR(__xludf.DUMMYFUNCTION("""COMPUTED_VALUE"""),"Verified online")</f>
        <v>Verified online</v>
      </c>
      <c r="S358" s="9" t="str">
        <f>IFERROR(__xludf.DUMMYFUNCTION("""COMPUTED_VALUE"""),"Operates the National Suicide Lifeline Hotline - 988 - for 45 counties in Texas.
Substance Use Recovery
Psychiatric Emergency
Psychiatric Stabilization
Pharmacy
Detox/Substance Use Disorder")</f>
        <v>Operates the National Suicide Lifeline Hotline - 988 - for 45 counties in Texas.
Substance Use Recovery
Psychiatric Emergency
Psychiatric Stabilization
Pharmacy
Detox/Substance Use Disorder</v>
      </c>
      <c r="T358" s="12" t="b">
        <f>IFERROR(__xludf.DUMMYFUNCTION("""COMPUTED_VALUE"""),FALSE)</f>
        <v>0</v>
      </c>
      <c r="U358" s="12" t="b">
        <f>IFERROR(__xludf.DUMMYFUNCTION("""COMPUTED_VALUE"""),FALSE)</f>
        <v>0</v>
      </c>
      <c r="V358" s="13" t="str">
        <f>IFERROR(__xludf.DUMMYFUNCTION("""COMPUTED_VALUE"""),"https://www.theharriscenter.org/about")</f>
        <v>https://www.theharriscenter.org/about</v>
      </c>
      <c r="W358" s="14" t="str">
        <f>IFERROR(__xludf.DUMMYFUNCTION("""COMPUTED_VALUE"""),"https://www.google.com/maps/place/The+Harris+Center+for+Mental+Health+and+IDD+NeuroPsychiatric+Center/@29.6766231,-95.4759344,13.01z/data=!3m1!5s0x8640c0762b63f5f5:0x73238771294260bb!4m10!1m2!2m1!1sThe+Harris+Center+neurop!3m6!1s0x8640c077d1472077:0x7c99b"&amp;"1226a22a176!8m2!3d29.711451!4d-95.3941429!15sChhUaGUgSGFycmlzIENlbnRlciBuZXVyb3BaGiIYdGhlIGhhcnJpcyBjZW50ZXIgbmV1cm9wkgEUcHN5Y2hpYXRyaWNfaG9zcGl0YWyaASNDaFpEU1VoTk1HOW5TMFZKUTBGblNVUm9NazVZU2s1M0VBRaoBXhABKhwiGHRoZSBoYXJyaXMgY2VudGVyIG5ldXJvcCgAMh4QASIauy"&amp;"BJLyGz03xwsKBR0pZkFkRN2y4USNg3fmYyHBACIhh0aGUgaGFycmlzIGNlbnRlciBuZXVyb3DgAQD6AQQIABAn!16s%2Fg%2F1tmklbzj?entry=ttu&amp;g_ep=EgoyMDI1MTAxNC4wIKXMDSoASAFQAw%3D%3D")</f>
        <v>https://www.google.com/maps/place/The+Harris+Center+for+Mental+Health+and+IDD+NeuroPsychiatric+Center/@29.6766231,-95.4759344,13.01z/data=!3m1!5s0x8640c0762b63f5f5:0x73238771294260bb!4m10!1m2!2m1!1sThe+Harris+Center+neurop!3m6!1s0x8640c077d1472077:0x7c99b1226a22a176!8m2!3d29.711451!4d-95.3941429!15sChhUaGUgSGFycmlzIENlbnRlciBuZXVyb3BaGiIYdGhlIGhhcnJpcyBjZW50ZXIgbmV1cm9wkgEUcHN5Y2hpYXRyaWNfaG9zcGl0YWyaASNDaFpEU1VoTk1HOW5TMFZKUTBGblNVUm9NazVZU2s1M0VBRaoBXhABKhwiGHRoZSBoYXJyaXMgY2VudGVyIG5ldXJvcCgAMh4QASIauyBJLyGz03xwsKBR0pZkFkRN2y4USNg3fmYyHBACIhh0aGUgaGFycmlzIGNlbnRlciBuZXVyb3DgAQD6AQQIABAn!16s%2Fg%2F1tmklbzj?entry=ttu&amp;g_ep=EgoyMDI1MTAxNC4wIKXMDSoASAFQAw%3D%3D</v>
      </c>
      <c r="X358" s="10"/>
      <c r="Y358" s="9" t="str">
        <f>IFERROR(__xludf.DUMMYFUNCTION("""COMPUTED_VALUE"""),"Houston")</f>
        <v>Houston</v>
      </c>
      <c r="Z358" s="9" t="str">
        <f>IFERROR(__xludf.DUMMYFUNCTION("""COMPUTED_VALUE"""),"Central Southwest, Houston Museum District, South Central Houston, Southgate, Texas Medical Center")</f>
        <v>Central Southwest, Houston Museum District, South Central Houston, Southgate, Texas Medical Center</v>
      </c>
      <c r="AA358" s="9" t="str">
        <f>IFERROR(__xludf.DUMMYFUNCTION("""COMPUTED_VALUE"""),"The Harris Center for Mental Health &amp; IDD")</f>
        <v>The Harris Center for Mental Health &amp; IDD</v>
      </c>
      <c r="AB358" s="9" t="str">
        <f>IFERROR(__xludf.DUMMYFUNCTION("""COMPUTED_VALUE"""),"Houston Museum District")</f>
        <v>Houston Museum District</v>
      </c>
    </row>
    <row r="359" ht="30.0" customHeight="1">
      <c r="A359" s="17">
        <v>358.0</v>
      </c>
      <c r="B359" s="8" t="str">
        <f>IFERROR(__xludf.DUMMYFUNCTION("""COMPUTED_VALUE"""),"[""99999""]")</f>
        <v>["99999"]</v>
      </c>
      <c r="C359" s="9" t="str">
        <f>IFERROR(__xludf.DUMMYFUNCTION("""COMPUTED_VALUE"""),"Harris Center - Northeast Community Service Center")</f>
        <v>Harris Center - Northeast Community Service Center</v>
      </c>
      <c r="D359" s="9" t="str">
        <f>IFERROR(__xludf.DUMMYFUNCTION("""COMPUTED_VALUE"""),"7200 North Loop East Fwy")</f>
        <v>7200 North Loop East Fwy</v>
      </c>
      <c r="E359" s="9"/>
      <c r="F359" s="9" t="str">
        <f>IFERROR(__xludf.DUMMYFUNCTION("""COMPUTED_VALUE"""),"Houston")</f>
        <v>Houston</v>
      </c>
      <c r="G359" s="9" t="str">
        <f>IFERROR(__xludf.DUMMYFUNCTION("""COMPUTED_VALUE"""),"TX")</f>
        <v>TX</v>
      </c>
      <c r="H359" s="9" t="str">
        <f>IFERROR(__xludf.DUMMYFUNCTION("""COMPUTED_VALUE"""),"77028")</f>
        <v>77028</v>
      </c>
      <c r="I359" s="9" t="str">
        <f>IFERROR(__xludf.DUMMYFUNCTION("""COMPUTED_VALUE"""),"713-970-7000")</f>
        <v>713-970-7000</v>
      </c>
      <c r="J359" s="9" t="str">
        <f>IFERROR(__xludf.DUMMYFUNCTION("""COMPUTED_VALUE"""),"29.804076144374303, -95.29638244519025")</f>
        <v>29.804076144374303, -95.29638244519025</v>
      </c>
      <c r="K359" s="9" t="str">
        <f>IFERROR(__xludf.DUMMYFUNCTION("""COMPUTED_VALUE"""),"{""regular"":[{""days"":[""Mo"",""Tu"",""We"",""Th"",""Fr""],""open"":""07:30"",""close"":""17:00""}]}")</f>
        <v>{"regular":[{"days":["Mo","Tu","We","Th","Fr"],"open":"07:30","close":"17:00"}]}</v>
      </c>
      <c r="L359" s="9"/>
      <c r="M359" s="10">
        <f>IFERROR(__xludf.DUMMYFUNCTION("""COMPUTED_VALUE"""),33.0)</f>
        <v>33</v>
      </c>
      <c r="N359" s="10" t="str">
        <f>IFERROR(__xludf.DUMMYFUNCTION("""COMPUTED_VALUE"""),"Medical - Behavioral Health")</f>
        <v>Medical - Behavioral Health</v>
      </c>
      <c r="O359" s="10">
        <f>IFERROR(__xludf.DUMMYFUNCTION("""COMPUTED_VALUE"""),1.0)</f>
        <v>1</v>
      </c>
      <c r="P359" s="10" t="str">
        <f>IFERROR(__xludf.DUMMYFUNCTION("""COMPUTED_VALUE"""),"ACTIVE")</f>
        <v>ACTIVE</v>
      </c>
      <c r="Q359" s="11">
        <f>IFERROR(__xludf.DUMMYFUNCTION("""COMPUTED_VALUE"""),45948.0)</f>
        <v>45948</v>
      </c>
      <c r="R359" s="9" t="str">
        <f>IFERROR(__xludf.DUMMYFUNCTION("""COMPUTED_VALUE"""),"Verified online")</f>
        <v>Verified online</v>
      </c>
      <c r="S359" s="9" t="str">
        <f>IFERROR(__xludf.DUMMYFUNCTION("""COMPUTED_VALUE"""),"Operates the National Suicide Lifeline Hotline - 988 - for 45 counties in Texas.
Outpatient Mental Health
Pharmacy
Substance Use Disorder Services")</f>
        <v>Operates the National Suicide Lifeline Hotline - 988 - for 45 counties in Texas.
Outpatient Mental Health
Pharmacy
Substance Use Disorder Services</v>
      </c>
      <c r="T359" s="12" t="b">
        <f>IFERROR(__xludf.DUMMYFUNCTION("""COMPUTED_VALUE"""),FALSE)</f>
        <v>0</v>
      </c>
      <c r="U359" s="12" t="b">
        <f>IFERROR(__xludf.DUMMYFUNCTION("""COMPUTED_VALUE"""),FALSE)</f>
        <v>0</v>
      </c>
      <c r="V359" s="13" t="str">
        <f>IFERROR(__xludf.DUMMYFUNCTION("""COMPUTED_VALUE"""),"https://www.theharriscenter.org/about")</f>
        <v>https://www.theharriscenter.org/about</v>
      </c>
      <c r="W359" s="14" t="str">
        <f>IFERROR(__xludf.DUMMYFUNCTION("""COMPUTED_VALUE"""),"https://www.google.com/maps/place/The+Harris+Center+Northeast+Community+Service+Center/@29.8038621,-95.301307,17z/data=!3m1!4b1!4m6!3m5!1s0x8640bbc38718c473:0x7f8a006bfe5d0099!8m2!3d29.8038622!4d-95.2964361!16s%2Fg%2F1tfg3ghx?entry=ttu&amp;g_ep=EgoyMDI1MTAxNC"&amp;"4wIKXMDSoASAFQAw%3D%3D")</f>
        <v>https://www.google.com/maps/place/The+Harris+Center+Northeast+Community+Service+Center/@29.8038621,-95.301307,17z/data=!3m1!4b1!4m6!3m5!1s0x8640bbc38718c473:0x7f8a006bfe5d0099!8m2!3d29.8038622!4d-95.2964361!16s%2Fg%2F1tfg3ghx?entry=ttu&amp;g_ep=EgoyMDI1MTAxNC4wIKXMDSoASAFQAw%3D%3D</v>
      </c>
      <c r="X359" s="10"/>
      <c r="Y359" s="9" t="str">
        <f>IFERROR(__xludf.DUMMYFUNCTION("""COMPUTED_VALUE"""),"Houston")</f>
        <v>Houston</v>
      </c>
      <c r="Z359" s="9" t="str">
        <f>IFERROR(__xludf.DUMMYFUNCTION("""COMPUTED_VALUE"""),"East Houston, Northside, Settegast")</f>
        <v>East Houston, Northside, Settegast</v>
      </c>
      <c r="AA359" s="9" t="str">
        <f>IFERROR(__xludf.DUMMYFUNCTION("""COMPUTED_VALUE"""),"The Harris Center for Mental Health &amp; IDD")</f>
        <v>The Harris Center for Mental Health &amp; IDD</v>
      </c>
      <c r="AB359" s="9" t="str">
        <f>IFERROR(__xludf.DUMMYFUNCTION("""COMPUTED_VALUE"""),"Northside")</f>
        <v>Northside</v>
      </c>
    </row>
    <row r="360" ht="30.0" customHeight="1">
      <c r="A360" s="17">
        <v>359.0</v>
      </c>
      <c r="B360" s="8" t="str">
        <f>IFERROR(__xludf.DUMMYFUNCTION("""COMPUTED_VALUE"""),"[""99999""]")</f>
        <v>["99999"]</v>
      </c>
      <c r="C360" s="9" t="str">
        <f>IFERROR(__xludf.DUMMYFUNCTION("""COMPUTED_VALUE"""),"Harris Center - Northeast Community Service Center")</f>
        <v>Harris Center - Northeast Community Service Center</v>
      </c>
      <c r="D360" s="9" t="str">
        <f>IFERROR(__xludf.DUMMYFUNCTION("""COMPUTED_VALUE"""),"7200 North Loop East Fwy")</f>
        <v>7200 North Loop East Fwy</v>
      </c>
      <c r="E360" s="9"/>
      <c r="F360" s="9" t="str">
        <f>IFERROR(__xludf.DUMMYFUNCTION("""COMPUTED_VALUE"""),"Houston")</f>
        <v>Houston</v>
      </c>
      <c r="G360" s="9" t="str">
        <f>IFERROR(__xludf.DUMMYFUNCTION("""COMPUTED_VALUE"""),"TX")</f>
        <v>TX</v>
      </c>
      <c r="H360" s="9" t="str">
        <f>IFERROR(__xludf.DUMMYFUNCTION("""COMPUTED_VALUE"""),"77028")</f>
        <v>77028</v>
      </c>
      <c r="I360" s="9" t="str">
        <f>IFERROR(__xludf.DUMMYFUNCTION("""COMPUTED_VALUE"""),"713-970-7000")</f>
        <v>713-970-7000</v>
      </c>
      <c r="J360" s="9" t="str">
        <f>IFERROR(__xludf.DUMMYFUNCTION("""COMPUTED_VALUE"""),"29.804076144374303, -95.29638244519025")</f>
        <v>29.804076144374303, -95.29638244519025</v>
      </c>
      <c r="K360" s="9" t="str">
        <f>IFERROR(__xludf.DUMMYFUNCTION("""COMPUTED_VALUE"""),"{""regular"":[{""days"":[""Mo"",""Tu"",""We"",""Th"",""Fr""],""open"":""07:30"",""close"":""17:00""}]}")</f>
        <v>{"regular":[{"days":["Mo","Tu","We","Th","Fr"],"open":"07:30","close":"17:00"}]}</v>
      </c>
      <c r="L360" s="9"/>
      <c r="M360" s="10">
        <f>IFERROR(__xludf.DUMMYFUNCTION("""COMPUTED_VALUE"""),34.0)</f>
        <v>34</v>
      </c>
      <c r="N360" s="10" t="str">
        <f>IFERROR(__xludf.DUMMYFUNCTION("""COMPUTED_VALUE"""),"Medical - Addiction Recovery")</f>
        <v>Medical - Addiction Recovery</v>
      </c>
      <c r="O360" s="10">
        <f>IFERROR(__xludf.DUMMYFUNCTION("""COMPUTED_VALUE"""),1.0)</f>
        <v>1</v>
      </c>
      <c r="P360" s="10" t="str">
        <f>IFERROR(__xludf.DUMMYFUNCTION("""COMPUTED_VALUE"""),"ACTIVE")</f>
        <v>ACTIVE</v>
      </c>
      <c r="Q360" s="11">
        <f>IFERROR(__xludf.DUMMYFUNCTION("""COMPUTED_VALUE"""),45948.0)</f>
        <v>45948</v>
      </c>
      <c r="R360" s="9" t="str">
        <f>IFERROR(__xludf.DUMMYFUNCTION("""COMPUTED_VALUE"""),"Verified online")</f>
        <v>Verified online</v>
      </c>
      <c r="S360" s="9" t="str">
        <f>IFERROR(__xludf.DUMMYFUNCTION("""COMPUTED_VALUE"""),"Operates the National Suicide Lifeline Hotline - 988 - for 45 counties in Texas.
Substance Use Disorder Services
Outpatient Mental Health
Pharmacy
")</f>
        <v>Operates the National Suicide Lifeline Hotline - 988 - for 45 counties in Texas.
Substance Use Disorder Services
Outpatient Mental Health
Pharmacy
</v>
      </c>
      <c r="T360" s="12" t="b">
        <f>IFERROR(__xludf.DUMMYFUNCTION("""COMPUTED_VALUE"""),FALSE)</f>
        <v>0</v>
      </c>
      <c r="U360" s="12" t="b">
        <f>IFERROR(__xludf.DUMMYFUNCTION("""COMPUTED_VALUE"""),FALSE)</f>
        <v>0</v>
      </c>
      <c r="V360" s="13" t="str">
        <f>IFERROR(__xludf.DUMMYFUNCTION("""COMPUTED_VALUE"""),"https://www.theharriscenter.org/about")</f>
        <v>https://www.theharriscenter.org/about</v>
      </c>
      <c r="W360" s="14" t="str">
        <f>IFERROR(__xludf.DUMMYFUNCTION("""COMPUTED_VALUE"""),"https://www.google.com/maps/place/The+Harris+Center+Northeast+Community+Service+Center/@29.8038621,-95.301307,17z/data=!3m1!4b1!4m6!3m5!1s0x8640bbc38718c473:0x7f8a006bfe5d0099!8m2!3d29.8038622!4d-95.2964361!16s%2Fg%2F1tfg3ghx?entry=ttu&amp;g_ep=EgoyMDI1MTAxNC"&amp;"4wIKXMDSoASAFQAw%3D%3D")</f>
        <v>https://www.google.com/maps/place/The+Harris+Center+Northeast+Community+Service+Center/@29.8038621,-95.301307,17z/data=!3m1!4b1!4m6!3m5!1s0x8640bbc38718c473:0x7f8a006bfe5d0099!8m2!3d29.8038622!4d-95.2964361!16s%2Fg%2F1tfg3ghx?entry=ttu&amp;g_ep=EgoyMDI1MTAxNC4wIKXMDSoASAFQAw%3D%3D</v>
      </c>
      <c r="X360" s="10"/>
      <c r="Y360" s="9" t="str">
        <f>IFERROR(__xludf.DUMMYFUNCTION("""COMPUTED_VALUE"""),"Houston")</f>
        <v>Houston</v>
      </c>
      <c r="Z360" s="9" t="str">
        <f>IFERROR(__xludf.DUMMYFUNCTION("""COMPUTED_VALUE"""),"East Houston, Northside, Settegast")</f>
        <v>East Houston, Northside, Settegast</v>
      </c>
      <c r="AA360" s="9" t="str">
        <f>IFERROR(__xludf.DUMMYFUNCTION("""COMPUTED_VALUE"""),"The Harris Center for Mental Health &amp; IDD")</f>
        <v>The Harris Center for Mental Health &amp; IDD</v>
      </c>
      <c r="AB360" s="9" t="str">
        <f>IFERROR(__xludf.DUMMYFUNCTION("""COMPUTED_VALUE"""),"Northside")</f>
        <v>Northside</v>
      </c>
    </row>
    <row r="361" ht="30.0" customHeight="1">
      <c r="A361" s="17">
        <v>360.0</v>
      </c>
      <c r="B361" s="8" t="str">
        <f>IFERROR(__xludf.DUMMYFUNCTION("""COMPUTED_VALUE"""),"[""99999""]")</f>
        <v>["99999"]</v>
      </c>
      <c r="C361" s="9" t="str">
        <f>IFERROR(__xludf.DUMMYFUNCTION("""COMPUTED_VALUE"""),"Harris Center - Northwest Community Service Center")</f>
        <v>Harris Center - Northwest Community Service Center</v>
      </c>
      <c r="D361" s="9" t="str">
        <f>IFERROR(__xludf.DUMMYFUNCTION("""COMPUTED_VALUE"""),"3737 Dacoma Street")</f>
        <v>3737 Dacoma Street</v>
      </c>
      <c r="E361" s="9"/>
      <c r="F361" s="9" t="str">
        <f>IFERROR(__xludf.DUMMYFUNCTION("""COMPUTED_VALUE"""),"Houston")</f>
        <v>Houston</v>
      </c>
      <c r="G361" s="9" t="str">
        <f>IFERROR(__xludf.DUMMYFUNCTION("""COMPUTED_VALUE"""),"TX")</f>
        <v>TX</v>
      </c>
      <c r="H361" s="9" t="str">
        <f>IFERROR(__xludf.DUMMYFUNCTION("""COMPUTED_VALUE"""),"77092")</f>
        <v>77092</v>
      </c>
      <c r="I361" s="9" t="str">
        <f>IFERROR(__xludf.DUMMYFUNCTION("""COMPUTED_VALUE"""),"713-970-7000")</f>
        <v>713-970-7000</v>
      </c>
      <c r="J361" s="9" t="str">
        <f>IFERROR(__xludf.DUMMYFUNCTION("""COMPUTED_VALUE"""),"29.80932636036296, -95.446640021616")</f>
        <v>29.80932636036296, -95.446640021616</v>
      </c>
      <c r="K361" s="9" t="str">
        <f>IFERROR(__xludf.DUMMYFUNCTION("""COMPUTED_VALUE"""),"{""regular"":[{""days"":[""Mo"",""Tu"",""We"",""Th"",""Fr""],""open"":""07:30"",""close"":""17:00""}]}")</f>
        <v>{"regular":[{"days":["Mo","Tu","We","Th","Fr"],"open":"07:30","close":"17:00"}]}</v>
      </c>
      <c r="L361" s="9"/>
      <c r="M361" s="10">
        <f>IFERROR(__xludf.DUMMYFUNCTION("""COMPUTED_VALUE"""),33.0)</f>
        <v>33</v>
      </c>
      <c r="N361" s="10" t="str">
        <f>IFERROR(__xludf.DUMMYFUNCTION("""COMPUTED_VALUE"""),"Medical - Behavioral Health")</f>
        <v>Medical - Behavioral Health</v>
      </c>
      <c r="O361" s="10">
        <f>IFERROR(__xludf.DUMMYFUNCTION("""COMPUTED_VALUE"""),1.0)</f>
        <v>1</v>
      </c>
      <c r="P361" s="10" t="str">
        <f>IFERROR(__xludf.DUMMYFUNCTION("""COMPUTED_VALUE"""),"ACTIVE")</f>
        <v>ACTIVE</v>
      </c>
      <c r="Q361" s="11">
        <f>IFERROR(__xludf.DUMMYFUNCTION("""COMPUTED_VALUE"""),45948.0)</f>
        <v>45948</v>
      </c>
      <c r="R361" s="9" t="str">
        <f>IFERROR(__xludf.DUMMYFUNCTION("""COMPUTED_VALUE"""),"Verified online")</f>
        <v>Verified online</v>
      </c>
      <c r="S361" s="9" t="str">
        <f>IFERROR(__xludf.DUMMYFUNCTION("""COMPUTED_VALUE"""),"Operates the National Suicide Lifeline Hotline - 988 - for 45 counties in Texas.
Outpatient Mental Health
Pharmacy
Substance Use Disorder Services")</f>
        <v>Operates the National Suicide Lifeline Hotline - 988 - for 45 counties in Texas.
Outpatient Mental Health
Pharmacy
Substance Use Disorder Services</v>
      </c>
      <c r="T361" s="12" t="b">
        <f>IFERROR(__xludf.DUMMYFUNCTION("""COMPUTED_VALUE"""),FALSE)</f>
        <v>0</v>
      </c>
      <c r="U361" s="12" t="b">
        <f>IFERROR(__xludf.DUMMYFUNCTION("""COMPUTED_VALUE"""),FALSE)</f>
        <v>0</v>
      </c>
      <c r="V361" s="13" t="str">
        <f>IFERROR(__xludf.DUMMYFUNCTION("""COMPUTED_VALUE"""),"https://www.theharriscenter.org/about")</f>
        <v>https://www.theharriscenter.org/about</v>
      </c>
      <c r="W361" s="14" t="str">
        <f>IFERROR(__xludf.DUMMYFUNCTION("""COMPUTED_VALUE"""),"https://www.google.com/maps/place/The+Harris+Center+Northwest+Community+Service+Center/@29.8089168,-95.4491291,16z/data=!3m2!4b1!5s0x8640c6f0a10ccaff:0x537c78a642ebb276!4m6!3m5!1s0x8640c6f0a1a6082d:0x85c3ba979fd4f86!8m2!3d29.8089168!4d-95.4465542!16s%2Fg%"&amp;"2F1vyswxyj?entry=ttu&amp;g_ep=EgoyMDI1MTAxNC4wIKXMDSoASAFQAw%3D%3D")</f>
        <v>https://www.google.com/maps/place/The+Harris+Center+Northwest+Community+Service+Center/@29.8089168,-95.4491291,16z/data=!3m2!4b1!5s0x8640c6f0a10ccaff:0x537c78a642ebb276!4m6!3m5!1s0x8640c6f0a1a6082d:0x85c3ba979fd4f86!8m2!3d29.8089168!4d-95.4465542!16s%2Fg%2F1vyswxyj?entry=ttu&amp;g_ep=EgoyMDI1MTAxNC4wIKXMDSoASAFQAw%3D%3D</v>
      </c>
      <c r="X361" s="10"/>
      <c r="Y361" s="9" t="str">
        <f>IFERROR(__xludf.DUMMYFUNCTION("""COMPUTED_VALUE"""),"Houston")</f>
        <v>Houston</v>
      </c>
      <c r="Z361" s="9" t="str">
        <f>IFERROR(__xludf.DUMMYFUNCTION("""COMPUTED_VALUE"""),"Central Northwest, Fairbanks / Northwest Crossing, Lazybrook / Timbergrove, Oak Forest West, Westside")</f>
        <v>Central Northwest, Fairbanks / Northwest Crossing, Lazybrook / Timbergrove, Oak Forest West, Westside</v>
      </c>
      <c r="AA361" s="9" t="str">
        <f>IFERROR(__xludf.DUMMYFUNCTION("""COMPUTED_VALUE"""),"The Harris Center for Mental Health &amp; IDD")</f>
        <v>The Harris Center for Mental Health &amp; IDD</v>
      </c>
      <c r="AB361" s="9" t="str">
        <f>IFERROR(__xludf.DUMMYFUNCTION("""COMPUTED_VALUE"""),"Lazybrook / Timbergrove")</f>
        <v>Lazybrook / Timbergrove</v>
      </c>
    </row>
    <row r="362" ht="30.0" customHeight="1">
      <c r="A362" s="17">
        <v>361.0</v>
      </c>
      <c r="B362" s="8" t="str">
        <f>IFERROR(__xludf.DUMMYFUNCTION("""COMPUTED_VALUE"""),"[""99999""]")</f>
        <v>["99999"]</v>
      </c>
      <c r="C362" s="9" t="str">
        <f>IFERROR(__xludf.DUMMYFUNCTION("""COMPUTED_VALUE"""),"Harris Center - Northwest Community Service Center")</f>
        <v>Harris Center - Northwest Community Service Center</v>
      </c>
      <c r="D362" s="9" t="str">
        <f>IFERROR(__xludf.DUMMYFUNCTION("""COMPUTED_VALUE"""),"3737 Dacoma Street")</f>
        <v>3737 Dacoma Street</v>
      </c>
      <c r="E362" s="9"/>
      <c r="F362" s="9" t="str">
        <f>IFERROR(__xludf.DUMMYFUNCTION("""COMPUTED_VALUE"""),"Houston")</f>
        <v>Houston</v>
      </c>
      <c r="G362" s="9" t="str">
        <f>IFERROR(__xludf.DUMMYFUNCTION("""COMPUTED_VALUE"""),"TX")</f>
        <v>TX</v>
      </c>
      <c r="H362" s="9" t="str">
        <f>IFERROR(__xludf.DUMMYFUNCTION("""COMPUTED_VALUE"""),"77092")</f>
        <v>77092</v>
      </c>
      <c r="I362" s="9" t="str">
        <f>IFERROR(__xludf.DUMMYFUNCTION("""COMPUTED_VALUE"""),"713-970-7000")</f>
        <v>713-970-7000</v>
      </c>
      <c r="J362" s="9" t="str">
        <f>IFERROR(__xludf.DUMMYFUNCTION("""COMPUTED_VALUE"""),"29.80932636036296, -95.446640021616")</f>
        <v>29.80932636036296, -95.446640021616</v>
      </c>
      <c r="K362" s="9" t="str">
        <f>IFERROR(__xludf.DUMMYFUNCTION("""COMPUTED_VALUE"""),"{""regular"":[{""days"":[""Mo"",""Tu"",""We"",""Th"",""Fr""],""open"":""07:30"",""close"":""17:00""}]}")</f>
        <v>{"regular":[{"days":["Mo","Tu","We","Th","Fr"],"open":"07:30","close":"17:00"}]}</v>
      </c>
      <c r="L362" s="9"/>
      <c r="M362" s="10">
        <f>IFERROR(__xludf.DUMMYFUNCTION("""COMPUTED_VALUE"""),34.0)</f>
        <v>34</v>
      </c>
      <c r="N362" s="10" t="str">
        <f>IFERROR(__xludf.DUMMYFUNCTION("""COMPUTED_VALUE"""),"Medical - Addiction Recovery")</f>
        <v>Medical - Addiction Recovery</v>
      </c>
      <c r="O362" s="10">
        <f>IFERROR(__xludf.DUMMYFUNCTION("""COMPUTED_VALUE"""),1.0)</f>
        <v>1</v>
      </c>
      <c r="P362" s="10" t="str">
        <f>IFERROR(__xludf.DUMMYFUNCTION("""COMPUTED_VALUE"""),"ACTIVE")</f>
        <v>ACTIVE</v>
      </c>
      <c r="Q362" s="11">
        <f>IFERROR(__xludf.DUMMYFUNCTION("""COMPUTED_VALUE"""),45948.0)</f>
        <v>45948</v>
      </c>
      <c r="R362" s="9" t="str">
        <f>IFERROR(__xludf.DUMMYFUNCTION("""COMPUTED_VALUE"""),"Verified online")</f>
        <v>Verified online</v>
      </c>
      <c r="S362" s="9" t="str">
        <f>IFERROR(__xludf.DUMMYFUNCTION("""COMPUTED_VALUE"""),"Operates the National Suicide Lifeline Hotline - 988 - for 45 counties in Texas.
Substance Use Disorder Services
Outpatient Mental Health
Pharmacy
")</f>
        <v>Operates the National Suicide Lifeline Hotline - 988 - for 45 counties in Texas.
Substance Use Disorder Services
Outpatient Mental Health
Pharmacy
</v>
      </c>
      <c r="T362" s="12" t="b">
        <f>IFERROR(__xludf.DUMMYFUNCTION("""COMPUTED_VALUE"""),FALSE)</f>
        <v>0</v>
      </c>
      <c r="U362" s="12" t="b">
        <f>IFERROR(__xludf.DUMMYFUNCTION("""COMPUTED_VALUE"""),FALSE)</f>
        <v>0</v>
      </c>
      <c r="V362" s="13" t="str">
        <f>IFERROR(__xludf.DUMMYFUNCTION("""COMPUTED_VALUE"""),"https://www.theharriscenter.org/about")</f>
        <v>https://www.theharriscenter.org/about</v>
      </c>
      <c r="W362" s="14" t="str">
        <f>IFERROR(__xludf.DUMMYFUNCTION("""COMPUTED_VALUE"""),"https://www.google.com/maps/place/The+Harris+Center+Northwest+Community+Service+Center/@29.8089168,-95.4491291,16z/data=!3m2!4b1!5s0x8640c6f0a10ccaff:0x537c78a642ebb276!4m6!3m5!1s0x8640c6f0a1a6082d:0x85c3ba979fd4f86!8m2!3d29.8089168!4d-95.4465542!16s%2Fg%"&amp;"2F1vyswxyj?entry=ttu&amp;g_ep=EgoyMDI1MTAxNC4wIKXMDSoASAFQAw%3D%3D")</f>
        <v>https://www.google.com/maps/place/The+Harris+Center+Northwest+Community+Service+Center/@29.8089168,-95.4491291,16z/data=!3m2!4b1!5s0x8640c6f0a10ccaff:0x537c78a642ebb276!4m6!3m5!1s0x8640c6f0a1a6082d:0x85c3ba979fd4f86!8m2!3d29.8089168!4d-95.4465542!16s%2Fg%2F1vyswxyj?entry=ttu&amp;g_ep=EgoyMDI1MTAxNC4wIKXMDSoASAFQAw%3D%3D</v>
      </c>
      <c r="X362" s="10"/>
      <c r="Y362" s="9" t="str">
        <f>IFERROR(__xludf.DUMMYFUNCTION("""COMPUTED_VALUE"""),"Houston")</f>
        <v>Houston</v>
      </c>
      <c r="Z362" s="9" t="str">
        <f>IFERROR(__xludf.DUMMYFUNCTION("""COMPUTED_VALUE"""),"Central Northwest, Fairbanks / Northwest Crossing, Lazybrook / Timbergrove, Oak Forest West, Westside")</f>
        <v>Central Northwest, Fairbanks / Northwest Crossing, Lazybrook / Timbergrove, Oak Forest West, Westside</v>
      </c>
      <c r="AA362" s="9" t="str">
        <f>IFERROR(__xludf.DUMMYFUNCTION("""COMPUTED_VALUE"""),"The Harris Center for Mental Health &amp; IDD")</f>
        <v>The Harris Center for Mental Health &amp; IDD</v>
      </c>
      <c r="AB362" s="9" t="str">
        <f>IFERROR(__xludf.DUMMYFUNCTION("""COMPUTED_VALUE"""),"Lazybrook / Timbergrove")</f>
        <v>Lazybrook / Timbergrove</v>
      </c>
    </row>
    <row r="363" ht="30.0" customHeight="1">
      <c r="A363" s="17">
        <v>362.0</v>
      </c>
      <c r="B363" s="8" t="str">
        <f>IFERROR(__xludf.DUMMYFUNCTION("""COMPUTED_VALUE"""),"[""99999""]")</f>
        <v>["99999"]</v>
      </c>
      <c r="C363" s="9" t="str">
        <f>IFERROR(__xludf.DUMMYFUNCTION("""COMPUTED_VALUE"""),"Harris Center - Respite, Rehabilitation &amp; Re-Entry Center")</f>
        <v>Harris Center - Respite, Rehabilitation &amp; Re-Entry Center</v>
      </c>
      <c r="D363" s="9" t="str">
        <f>IFERROR(__xludf.DUMMYFUNCTION("""COMPUTED_VALUE"""),"6160 South Loop East")</f>
        <v>6160 South Loop East</v>
      </c>
      <c r="E363" s="9"/>
      <c r="F363" s="9" t="str">
        <f>IFERROR(__xludf.DUMMYFUNCTION("""COMPUTED_VALUE"""),"Houston")</f>
        <v>Houston</v>
      </c>
      <c r="G363" s="9" t="str">
        <f>IFERROR(__xludf.DUMMYFUNCTION("""COMPUTED_VALUE"""),"TX")</f>
        <v>TX</v>
      </c>
      <c r="H363" s="9" t="str">
        <f>IFERROR(__xludf.DUMMYFUNCTION("""COMPUTED_VALUE"""),"77087")</f>
        <v>77087</v>
      </c>
      <c r="I363" s="9" t="str">
        <f>IFERROR(__xludf.DUMMYFUNCTION("""COMPUTED_VALUE"""),"713-970-7000")</f>
        <v>713-970-7000</v>
      </c>
      <c r="J363" s="9" t="str">
        <f>IFERROR(__xludf.DUMMYFUNCTION("""COMPUTED_VALUE"""),"29.695162420039946, -95.31740865302265")</f>
        <v>29.695162420039946, -95.31740865302265</v>
      </c>
      <c r="K363" s="9" t="str">
        <f>IFERROR(__xludf.DUMMYFUNCTION("""COMPUTED_VALUE"""),"{""regular"":[{""days"":[""Mo"",""Tu"",""We"",""Th"",""Fr"",""Sa"",""Su""],""open"":""00:00"",""close"":""23:59""}]}")</f>
        <v>{"regular":[{"days":["Mo","Tu","We","Th","Fr","Sa","Su"],"open":"00:00","close":"23:59"}]}</v>
      </c>
      <c r="L363" s="9" t="str">
        <f>IFERROR(__xludf.DUMMYFUNCTION("""COMPUTED_VALUE"""),"No walk-ins or open community access")</f>
        <v>No walk-ins or open community access</v>
      </c>
      <c r="M363" s="10">
        <f>IFERROR(__xludf.DUMMYFUNCTION("""COMPUTED_VALUE"""),33.0)</f>
        <v>33</v>
      </c>
      <c r="N363" s="10" t="str">
        <f>IFERROR(__xludf.DUMMYFUNCTION("""COMPUTED_VALUE"""),"Medical - Behavioral Health")</f>
        <v>Medical - Behavioral Health</v>
      </c>
      <c r="O363" s="10">
        <f>IFERROR(__xludf.DUMMYFUNCTION("""COMPUTED_VALUE"""),1.0)</f>
        <v>1</v>
      </c>
      <c r="P363" s="10" t="str">
        <f>IFERROR(__xludf.DUMMYFUNCTION("""COMPUTED_VALUE"""),"ACTIVE")</f>
        <v>ACTIVE</v>
      </c>
      <c r="Q363" s="11">
        <f>IFERROR(__xludf.DUMMYFUNCTION("""COMPUTED_VALUE"""),45948.0)</f>
        <v>45948</v>
      </c>
      <c r="R363" s="9" t="str">
        <f>IFERROR(__xludf.DUMMYFUNCTION("""COMPUTED_VALUE"""),"Verified online")</f>
        <v>Verified online</v>
      </c>
      <c r="S363" s="9" t="str">
        <f>IFERROR(__xludf.DUMMYFUNCTION("""COMPUTED_VALUE"""),"Operates the National Suicide Lifeline Hotline - 988 - for 45 counties in Texas.
Forensic Mental Health Services
Pharmacy
Residential")</f>
        <v>Operates the National Suicide Lifeline Hotline - 988 - for 45 counties in Texas.
Forensic Mental Health Services
Pharmacy
Residential</v>
      </c>
      <c r="T363" s="12" t="b">
        <f>IFERROR(__xludf.DUMMYFUNCTION("""COMPUTED_VALUE"""),FALSE)</f>
        <v>0</v>
      </c>
      <c r="U363" s="12" t="b">
        <f>IFERROR(__xludf.DUMMYFUNCTION("""COMPUTED_VALUE"""),FALSE)</f>
        <v>0</v>
      </c>
      <c r="V363" s="13" t="str">
        <f>IFERROR(__xludf.DUMMYFUNCTION("""COMPUTED_VALUE"""),"https://www.theharriscenter.org/about")</f>
        <v>https://www.theharriscenter.org/about</v>
      </c>
      <c r="W363" s="14" t="str">
        <f>IFERROR(__xludf.DUMMYFUNCTION("""COMPUTED_VALUE"""),"https://www.google.com/maps/@29.6949202,-95.3224941,16z?entry=ttu&amp;g_ep=EgoyMDI1MTAxNC4wIKXMDSoASAFQAw%3D%3D")</f>
        <v>https://www.google.com/maps/@29.6949202,-95.3224941,16z?entry=ttu&amp;g_ep=EgoyMDI1MTAxNC4wIKXMDSoASAFQAw%3D%3D</v>
      </c>
      <c r="X363" s="10"/>
      <c r="Y363" s="9" t="str">
        <f>IFERROR(__xludf.DUMMYFUNCTION("""COMPUTED_VALUE"""),"Houston")</f>
        <v>Houston</v>
      </c>
      <c r="Z363" s="9" t="str">
        <f>IFERROR(__xludf.DUMMYFUNCTION("""COMPUTED_VALUE"""),"Gulfgate, Gulfgate Riverview / Pine Valley, Pine Valley, Southeast Houston")</f>
        <v>Gulfgate, Gulfgate Riverview / Pine Valley, Pine Valley, Southeast Houston</v>
      </c>
      <c r="AA363" s="9" t="str">
        <f>IFERROR(__xludf.DUMMYFUNCTION("""COMPUTED_VALUE"""),"The Harris Center for Mental Health &amp; IDD")</f>
        <v>The Harris Center for Mental Health &amp; IDD</v>
      </c>
      <c r="AB363" s="9" t="str">
        <f>IFERROR(__xludf.DUMMYFUNCTION("""COMPUTED_VALUE"""),"Southeast Houston")</f>
        <v>Southeast Houston</v>
      </c>
    </row>
    <row r="364" ht="30.0" customHeight="1">
      <c r="A364" s="17">
        <v>363.0</v>
      </c>
      <c r="B364" s="8" t="str">
        <f>IFERROR(__xludf.DUMMYFUNCTION("""COMPUTED_VALUE"""),"[""99999""]")</f>
        <v>["99999"]</v>
      </c>
      <c r="C364" s="9" t="str">
        <f>IFERROR(__xludf.DUMMYFUNCTION("""COMPUTED_VALUE"""),"Harris Center - Southeast Community Service Center")</f>
        <v>Harris Center - Southeast Community Service Center</v>
      </c>
      <c r="D364" s="9" t="str">
        <f>IFERROR(__xludf.DUMMYFUNCTION("""COMPUTED_VALUE"""),"5901 Long Drive")</f>
        <v>5901 Long Drive</v>
      </c>
      <c r="E364" s="9"/>
      <c r="F364" s="9" t="str">
        <f>IFERROR(__xludf.DUMMYFUNCTION("""COMPUTED_VALUE"""),"Houston")</f>
        <v>Houston</v>
      </c>
      <c r="G364" s="9" t="str">
        <f>IFERROR(__xludf.DUMMYFUNCTION("""COMPUTED_VALUE"""),"TX")</f>
        <v>TX</v>
      </c>
      <c r="H364" s="9" t="str">
        <f>IFERROR(__xludf.DUMMYFUNCTION("""COMPUTED_VALUE"""),"77087")</f>
        <v>77087</v>
      </c>
      <c r="I364" s="9" t="str">
        <f>IFERROR(__xludf.DUMMYFUNCTION("""COMPUTED_VALUE"""),"713-970-7000")</f>
        <v>713-970-7000</v>
      </c>
      <c r="J364" s="9" t="str">
        <f>IFERROR(__xludf.DUMMYFUNCTION("""COMPUTED_VALUE"""),"29.6947224280297, -95.32446260886407")</f>
        <v>29.6947224280297, -95.32446260886407</v>
      </c>
      <c r="K364" s="9" t="str">
        <f>IFERROR(__xludf.DUMMYFUNCTION("""COMPUTED_VALUE"""),"{""regular"":[{""days"":[""Mo"",""Tu"",""We"",""Th"",""Fr""],""open"":""07:30"",""close"":""17:00""}]}")</f>
        <v>{"regular":[{"days":["Mo","Tu","We","Th","Fr"],"open":"07:30","close":"17:00"}]}</v>
      </c>
      <c r="L364" s="9"/>
      <c r="M364" s="10">
        <f>IFERROR(__xludf.DUMMYFUNCTION("""COMPUTED_VALUE"""),31.0)</f>
        <v>31</v>
      </c>
      <c r="N364" s="10" t="str">
        <f>IFERROR(__xludf.DUMMYFUNCTION("""COMPUTED_VALUE"""),"Medical - Primary Care")</f>
        <v>Medical - Primary Care</v>
      </c>
      <c r="O364" s="10">
        <f>IFERROR(__xludf.DUMMYFUNCTION("""COMPUTED_VALUE"""),1.0)</f>
        <v>1</v>
      </c>
      <c r="P364" s="10" t="str">
        <f>IFERROR(__xludf.DUMMYFUNCTION("""COMPUTED_VALUE"""),"ACTIVE")</f>
        <v>ACTIVE</v>
      </c>
      <c r="Q364" s="11">
        <f>IFERROR(__xludf.DUMMYFUNCTION("""COMPUTED_VALUE"""),45948.0)</f>
        <v>45948</v>
      </c>
      <c r="R364" s="9" t="str">
        <f>IFERROR(__xludf.DUMMYFUNCTION("""COMPUTED_VALUE"""),"Verified online")</f>
        <v>Verified online</v>
      </c>
      <c r="S364" s="9" t="str">
        <f>IFERROR(__xludf.DUMMYFUNCTION("""COMPUTED_VALUE"""),"Operates the National Suicide Lifeline Hotline - 988 - for 45 counties in Texas.
Primary Medical Care
Outpatient Mental Health
Children Services
Pharmacy
Substance Use Disorder Services")</f>
        <v>Operates the National Suicide Lifeline Hotline - 988 - for 45 counties in Texas.
Primary Medical Care
Outpatient Mental Health
Children Services
Pharmacy
Substance Use Disorder Services</v>
      </c>
      <c r="T364" s="12" t="b">
        <f>IFERROR(__xludf.DUMMYFUNCTION("""COMPUTED_VALUE"""),FALSE)</f>
        <v>0</v>
      </c>
      <c r="U364" s="12" t="b">
        <f>IFERROR(__xludf.DUMMYFUNCTION("""COMPUTED_VALUE"""),FALSE)</f>
        <v>0</v>
      </c>
      <c r="V364" s="13" t="str">
        <f>IFERROR(__xludf.DUMMYFUNCTION("""COMPUTED_VALUE"""),"https://www.theharriscenter.org/about")</f>
        <v>https://www.theharriscenter.org/about</v>
      </c>
      <c r="W364" s="14" t="str">
        <f>IFERROR(__xludf.DUMMYFUNCTION("""COMPUTED_VALUE"""),"https://www.google.com/maps/place/The+Harris+Center+Southeast+Community+Service+Center/@29.6945454,-95.3270697,17z/data=!3m1!4b1!4m6!3m5!1s0x8640be109416bfe5:0xd01a055af2fa4534!8m2!3d29.6945454!4d-95.3244948!16s%2Fg%2F1td6gw8p?entry=ttu&amp;g_ep=EgoyMDI1MTAxN"&amp;"C4wIKXMDSoASAFQAw%3D%3D")</f>
        <v>https://www.google.com/maps/place/The+Harris+Center+Southeast+Community+Service+Center/@29.6945454,-95.3270697,17z/data=!3m1!4b1!4m6!3m5!1s0x8640be109416bfe5:0xd01a055af2fa4534!8m2!3d29.6945454!4d-95.3244948!16s%2Fg%2F1td6gw8p?entry=ttu&amp;g_ep=EgoyMDI1MTAxNC4wIKXMDSoASAFQAw%3D%3D</v>
      </c>
      <c r="X364" s="10"/>
      <c r="Y364" s="9" t="str">
        <f>IFERROR(__xludf.DUMMYFUNCTION("""COMPUTED_VALUE"""),"Houston")</f>
        <v>Houston</v>
      </c>
      <c r="Z364" s="9" t="str">
        <f>IFERROR(__xludf.DUMMYFUNCTION("""COMPUTED_VALUE"""),"Gulfgate, Gulfgate Riverview / Pine Valley, Pine Valley, Southeast Houston")</f>
        <v>Gulfgate, Gulfgate Riverview / Pine Valley, Pine Valley, Southeast Houston</v>
      </c>
      <c r="AA364" s="9" t="str">
        <f>IFERROR(__xludf.DUMMYFUNCTION("""COMPUTED_VALUE"""),"The Harris Center for Mental Health &amp; IDD")</f>
        <v>The Harris Center for Mental Health &amp; IDD</v>
      </c>
      <c r="AB364" s="9" t="str">
        <f>IFERROR(__xludf.DUMMYFUNCTION("""COMPUTED_VALUE"""),"Gulfgate Riverview / Pine Valley")</f>
        <v>Gulfgate Riverview / Pine Valley</v>
      </c>
    </row>
    <row r="365" ht="30.0" customHeight="1">
      <c r="A365" s="17">
        <v>364.0</v>
      </c>
      <c r="B365" s="8" t="str">
        <f>IFERROR(__xludf.DUMMYFUNCTION("""COMPUTED_VALUE"""),"[""99999""]")</f>
        <v>["99999"]</v>
      </c>
      <c r="C365" s="9" t="str">
        <f>IFERROR(__xludf.DUMMYFUNCTION("""COMPUTED_VALUE"""),"Harris Center - Southeast Community Service Center")</f>
        <v>Harris Center - Southeast Community Service Center</v>
      </c>
      <c r="D365" s="9" t="str">
        <f>IFERROR(__xludf.DUMMYFUNCTION("""COMPUTED_VALUE"""),"5901 Long Drive")</f>
        <v>5901 Long Drive</v>
      </c>
      <c r="E365" s="9"/>
      <c r="F365" s="9" t="str">
        <f>IFERROR(__xludf.DUMMYFUNCTION("""COMPUTED_VALUE"""),"Houston")</f>
        <v>Houston</v>
      </c>
      <c r="G365" s="9" t="str">
        <f>IFERROR(__xludf.DUMMYFUNCTION("""COMPUTED_VALUE"""),"TX")</f>
        <v>TX</v>
      </c>
      <c r="H365" s="9" t="str">
        <f>IFERROR(__xludf.DUMMYFUNCTION("""COMPUTED_VALUE"""),"77087")</f>
        <v>77087</v>
      </c>
      <c r="I365" s="9" t="str">
        <f>IFERROR(__xludf.DUMMYFUNCTION("""COMPUTED_VALUE"""),"713-970-7000")</f>
        <v>713-970-7000</v>
      </c>
      <c r="J365" s="9" t="str">
        <f>IFERROR(__xludf.DUMMYFUNCTION("""COMPUTED_VALUE"""),"29.6947224280297, -95.32446260886407")</f>
        <v>29.6947224280297, -95.32446260886407</v>
      </c>
      <c r="K365" s="9" t="str">
        <f>IFERROR(__xludf.DUMMYFUNCTION("""COMPUTED_VALUE"""),"{""regular"":[{""days"":[""Mo"",""Tu"",""We"",""Th"",""Fr""],""open"":""07:30"",""close"":""17:00""}]}")</f>
        <v>{"regular":[{"days":["Mo","Tu","We","Th","Fr"],"open":"07:30","close":"17:00"}]}</v>
      </c>
      <c r="L365" s="9"/>
      <c r="M365" s="10">
        <f>IFERROR(__xludf.DUMMYFUNCTION("""COMPUTED_VALUE"""),33.0)</f>
        <v>33</v>
      </c>
      <c r="N365" s="10" t="str">
        <f>IFERROR(__xludf.DUMMYFUNCTION("""COMPUTED_VALUE"""),"Medical - Behavioral Health")</f>
        <v>Medical - Behavioral Health</v>
      </c>
      <c r="O365" s="10">
        <f>IFERROR(__xludf.DUMMYFUNCTION("""COMPUTED_VALUE"""),1.0)</f>
        <v>1</v>
      </c>
      <c r="P365" s="10" t="str">
        <f>IFERROR(__xludf.DUMMYFUNCTION("""COMPUTED_VALUE"""),"ACTIVE")</f>
        <v>ACTIVE</v>
      </c>
      <c r="Q365" s="11">
        <f>IFERROR(__xludf.DUMMYFUNCTION("""COMPUTED_VALUE"""),45948.0)</f>
        <v>45948</v>
      </c>
      <c r="R365" s="9" t="str">
        <f>IFERROR(__xludf.DUMMYFUNCTION("""COMPUTED_VALUE"""),"Verified online")</f>
        <v>Verified online</v>
      </c>
      <c r="S365" s="9" t="str">
        <f>IFERROR(__xludf.DUMMYFUNCTION("""COMPUTED_VALUE"""),"Operates the National Suicide Lifeline Hotline - 988 - for 45 counties in Texas.
Outpatient Mental Health
Children Services
Primary Medical Care
Pharmacy
Substance Use Disorder Services")</f>
        <v>Operates the National Suicide Lifeline Hotline - 988 - for 45 counties in Texas.
Outpatient Mental Health
Children Services
Primary Medical Care
Pharmacy
Substance Use Disorder Services</v>
      </c>
      <c r="T365" s="12" t="b">
        <f>IFERROR(__xludf.DUMMYFUNCTION("""COMPUTED_VALUE"""),FALSE)</f>
        <v>0</v>
      </c>
      <c r="U365" s="12" t="b">
        <f>IFERROR(__xludf.DUMMYFUNCTION("""COMPUTED_VALUE"""),FALSE)</f>
        <v>0</v>
      </c>
      <c r="V365" s="13" t="str">
        <f>IFERROR(__xludf.DUMMYFUNCTION("""COMPUTED_VALUE"""),"https://www.theharriscenter.org/about")</f>
        <v>https://www.theharriscenter.org/about</v>
      </c>
      <c r="W365" s="14" t="str">
        <f>IFERROR(__xludf.DUMMYFUNCTION("""COMPUTED_VALUE"""),"https://www.google.com/maps/place/The+Harris+Center+Southeast+Community+Service+Center/@29.6945454,-95.3270697,17z/data=!3m1!4b1!4m6!3m5!1s0x8640be109416bfe5:0xd01a055af2fa4534!8m2!3d29.6945454!4d-95.3244948!16s%2Fg%2F1td6gw8p?entry=ttu&amp;g_ep=EgoyMDI1MTAxN"&amp;"C4wIKXMDSoASAFQAw%3D%3D")</f>
        <v>https://www.google.com/maps/place/The+Harris+Center+Southeast+Community+Service+Center/@29.6945454,-95.3270697,17z/data=!3m1!4b1!4m6!3m5!1s0x8640be109416bfe5:0xd01a055af2fa4534!8m2!3d29.6945454!4d-95.3244948!16s%2Fg%2F1td6gw8p?entry=ttu&amp;g_ep=EgoyMDI1MTAxNC4wIKXMDSoASAFQAw%3D%3D</v>
      </c>
      <c r="X365" s="10"/>
      <c r="Y365" s="9" t="str">
        <f>IFERROR(__xludf.DUMMYFUNCTION("""COMPUTED_VALUE"""),"Houston")</f>
        <v>Houston</v>
      </c>
      <c r="Z365" s="9" t="str">
        <f>IFERROR(__xludf.DUMMYFUNCTION("""COMPUTED_VALUE"""),"Gulfgate, Gulfgate Riverview / Pine Valley, Pine Valley, Southeast Houston")</f>
        <v>Gulfgate, Gulfgate Riverview / Pine Valley, Pine Valley, Southeast Houston</v>
      </c>
      <c r="AA365" s="9" t="str">
        <f>IFERROR(__xludf.DUMMYFUNCTION("""COMPUTED_VALUE"""),"The Harris Center for Mental Health &amp; IDD")</f>
        <v>The Harris Center for Mental Health &amp; IDD</v>
      </c>
      <c r="AB365" s="9" t="str">
        <f>IFERROR(__xludf.DUMMYFUNCTION("""COMPUTED_VALUE"""),"Gulfgate Riverview / Pine Valley")</f>
        <v>Gulfgate Riverview / Pine Valley</v>
      </c>
    </row>
    <row r="366" ht="30.0" customHeight="1">
      <c r="A366" s="17">
        <v>365.0</v>
      </c>
      <c r="B366" s="8" t="str">
        <f>IFERROR(__xludf.DUMMYFUNCTION("""COMPUTED_VALUE"""),"[""99999""]")</f>
        <v>["99999"]</v>
      </c>
      <c r="C366" s="9" t="str">
        <f>IFERROR(__xludf.DUMMYFUNCTION("""COMPUTED_VALUE"""),"Harris Center - Southeast Community Service Center")</f>
        <v>Harris Center - Southeast Community Service Center</v>
      </c>
      <c r="D366" s="9" t="str">
        <f>IFERROR(__xludf.DUMMYFUNCTION("""COMPUTED_VALUE"""),"5901 Long Drive")</f>
        <v>5901 Long Drive</v>
      </c>
      <c r="E366" s="9"/>
      <c r="F366" s="9" t="str">
        <f>IFERROR(__xludf.DUMMYFUNCTION("""COMPUTED_VALUE"""),"Houston")</f>
        <v>Houston</v>
      </c>
      <c r="G366" s="9" t="str">
        <f>IFERROR(__xludf.DUMMYFUNCTION("""COMPUTED_VALUE"""),"TX")</f>
        <v>TX</v>
      </c>
      <c r="H366" s="9" t="str">
        <f>IFERROR(__xludf.DUMMYFUNCTION("""COMPUTED_VALUE"""),"77087")</f>
        <v>77087</v>
      </c>
      <c r="I366" s="9" t="str">
        <f>IFERROR(__xludf.DUMMYFUNCTION("""COMPUTED_VALUE"""),"713-970-7000")</f>
        <v>713-970-7000</v>
      </c>
      <c r="J366" s="9" t="str">
        <f>IFERROR(__xludf.DUMMYFUNCTION("""COMPUTED_VALUE"""),"29.6947224280297, -95.32446260886407")</f>
        <v>29.6947224280297, -95.32446260886407</v>
      </c>
      <c r="K366" s="9" t="str">
        <f>IFERROR(__xludf.DUMMYFUNCTION("""COMPUTED_VALUE"""),"{""regular"":[{""days"":[""Mo"",""Tu"",""We"",""Th"",""Fr""],""open"":""07:30"",""close"":""17:00""}]}")</f>
        <v>{"regular":[{"days":["Mo","Tu","We","Th","Fr"],"open":"07:30","close":"17:00"}]}</v>
      </c>
      <c r="L366" s="9"/>
      <c r="M366" s="10">
        <f>IFERROR(__xludf.DUMMYFUNCTION("""COMPUTED_VALUE"""),34.0)</f>
        <v>34</v>
      </c>
      <c r="N366" s="10" t="str">
        <f>IFERROR(__xludf.DUMMYFUNCTION("""COMPUTED_VALUE"""),"Medical - Addiction Recovery")</f>
        <v>Medical - Addiction Recovery</v>
      </c>
      <c r="O366" s="10">
        <f>IFERROR(__xludf.DUMMYFUNCTION("""COMPUTED_VALUE"""),1.0)</f>
        <v>1</v>
      </c>
      <c r="P366" s="10" t="str">
        <f>IFERROR(__xludf.DUMMYFUNCTION("""COMPUTED_VALUE"""),"ACTIVE")</f>
        <v>ACTIVE</v>
      </c>
      <c r="Q366" s="11">
        <f>IFERROR(__xludf.DUMMYFUNCTION("""COMPUTED_VALUE"""),45948.0)</f>
        <v>45948</v>
      </c>
      <c r="R366" s="9" t="str">
        <f>IFERROR(__xludf.DUMMYFUNCTION("""COMPUTED_VALUE"""),"Verified online")</f>
        <v>Verified online</v>
      </c>
      <c r="S366" s="9" t="str">
        <f>IFERROR(__xludf.DUMMYFUNCTION("""COMPUTED_VALUE"""),"Operates the National Suicide Lifeline Hotline - 988 - for 45 counties in Texas.
Substance Use Disorder Services
Outpatient Mental Health
Children Services
Primary Medical Care
Pharmacy
")</f>
        <v>Operates the National Suicide Lifeline Hotline - 988 - for 45 counties in Texas.
Substance Use Disorder Services
Outpatient Mental Health
Children Services
Primary Medical Care
Pharmacy
</v>
      </c>
      <c r="T366" s="12" t="b">
        <f>IFERROR(__xludf.DUMMYFUNCTION("""COMPUTED_VALUE"""),FALSE)</f>
        <v>0</v>
      </c>
      <c r="U366" s="12" t="b">
        <f>IFERROR(__xludf.DUMMYFUNCTION("""COMPUTED_VALUE"""),FALSE)</f>
        <v>0</v>
      </c>
      <c r="V366" s="13" t="str">
        <f>IFERROR(__xludf.DUMMYFUNCTION("""COMPUTED_VALUE"""),"https://www.theharriscenter.org/about")</f>
        <v>https://www.theharriscenter.org/about</v>
      </c>
      <c r="W366" s="14" t="str">
        <f>IFERROR(__xludf.DUMMYFUNCTION("""COMPUTED_VALUE"""),"https://www.google.com/maps/place/The+Harris+Center+Southeast+Community+Service+Center/@29.6945454,-95.3270697,17z/data=!3m1!4b1!4m6!3m5!1s0x8640be109416bfe5:0xd01a055af2fa4534!8m2!3d29.6945454!4d-95.3244948!16s%2Fg%2F1td6gw8p?entry=ttu&amp;g_ep=EgoyMDI1MTAxN"&amp;"C4wIKXMDSoASAFQAw%3D%3D")</f>
        <v>https://www.google.com/maps/place/The+Harris+Center+Southeast+Community+Service+Center/@29.6945454,-95.3270697,17z/data=!3m1!4b1!4m6!3m5!1s0x8640be109416bfe5:0xd01a055af2fa4534!8m2!3d29.6945454!4d-95.3244948!16s%2Fg%2F1td6gw8p?entry=ttu&amp;g_ep=EgoyMDI1MTAxNC4wIKXMDSoASAFQAw%3D%3D</v>
      </c>
      <c r="X366" s="10"/>
      <c r="Y366" s="9" t="str">
        <f>IFERROR(__xludf.DUMMYFUNCTION("""COMPUTED_VALUE"""),"Houston")</f>
        <v>Houston</v>
      </c>
      <c r="Z366" s="9" t="str">
        <f>IFERROR(__xludf.DUMMYFUNCTION("""COMPUTED_VALUE"""),"Gulfgate, Gulfgate Riverview / Pine Valley, Pine Valley, Southeast Houston")</f>
        <v>Gulfgate, Gulfgate Riverview / Pine Valley, Pine Valley, Southeast Houston</v>
      </c>
      <c r="AA366" s="9" t="str">
        <f>IFERROR(__xludf.DUMMYFUNCTION("""COMPUTED_VALUE"""),"The Harris Center for Mental Health &amp; IDD")</f>
        <v>The Harris Center for Mental Health &amp; IDD</v>
      </c>
      <c r="AB366" s="9" t="str">
        <f>IFERROR(__xludf.DUMMYFUNCTION("""COMPUTED_VALUE"""),"Gulfgate Riverview / Pine Valley")</f>
        <v>Gulfgate Riverview / Pine Valley</v>
      </c>
    </row>
    <row r="367" ht="30.0" customHeight="1">
      <c r="A367" s="17">
        <v>366.0</v>
      </c>
      <c r="B367" s="8" t="str">
        <f>IFERROR(__xludf.DUMMYFUNCTION("""COMPUTED_VALUE"""),"[""99999""]")</f>
        <v>["99999"]</v>
      </c>
      <c r="C367" s="9" t="str">
        <f>IFERROR(__xludf.DUMMYFUNCTION("""COMPUTED_VALUE"""),"Harris Center - Southwest Community Service Center")</f>
        <v>Harris Center - Southwest Community Service Center</v>
      </c>
      <c r="D367" s="9" t="str">
        <f>IFERROR(__xludf.DUMMYFUNCTION("""COMPUTED_VALUE"""),"9401 Southwest Fwy")</f>
        <v>9401 Southwest Fwy</v>
      </c>
      <c r="E367" s="9"/>
      <c r="F367" s="9" t="str">
        <f>IFERROR(__xludf.DUMMYFUNCTION("""COMPUTED_VALUE"""),"Houston")</f>
        <v>Houston</v>
      </c>
      <c r="G367" s="9" t="str">
        <f>IFERROR(__xludf.DUMMYFUNCTION("""COMPUTED_VALUE"""),"TX")</f>
        <v>TX</v>
      </c>
      <c r="H367" s="9" t="str">
        <f>IFERROR(__xludf.DUMMYFUNCTION("""COMPUTED_VALUE"""),"77074")</f>
        <v>77074</v>
      </c>
      <c r="I367" s="9" t="str">
        <f>IFERROR(__xludf.DUMMYFUNCTION("""COMPUTED_VALUE"""),"713-970-7000")</f>
        <v>713-970-7000</v>
      </c>
      <c r="J367" s="9" t="str">
        <f>IFERROR(__xludf.DUMMYFUNCTION("""COMPUTED_VALUE"""),"29.678706127491743, -95.53833687803608")</f>
        <v>29.678706127491743, -95.53833687803608</v>
      </c>
      <c r="K367" s="9" t="str">
        <f>IFERROR(__xludf.DUMMYFUNCTION("""COMPUTED_VALUE"""),"{""regular"":[{""days"":[""Mo"",""Tu"",""We"",""Th"",""Fr""],""open"":""07:30"",""close"":""17:00""}]}")</f>
        <v>{"regular":[{"days":["Mo","Tu","We","Th","Fr"],"open":"07:30","close":"17:00"}]}</v>
      </c>
      <c r="L367" s="9"/>
      <c r="M367" s="10">
        <f>IFERROR(__xludf.DUMMYFUNCTION("""COMPUTED_VALUE"""),31.0)</f>
        <v>31</v>
      </c>
      <c r="N367" s="10" t="str">
        <f>IFERROR(__xludf.DUMMYFUNCTION("""COMPUTED_VALUE"""),"Medical - Primary Care")</f>
        <v>Medical - Primary Care</v>
      </c>
      <c r="O367" s="10">
        <f>IFERROR(__xludf.DUMMYFUNCTION("""COMPUTED_VALUE"""),1.0)</f>
        <v>1</v>
      </c>
      <c r="P367" s="10" t="str">
        <f>IFERROR(__xludf.DUMMYFUNCTION("""COMPUTED_VALUE"""),"ACTIVE")</f>
        <v>ACTIVE</v>
      </c>
      <c r="Q367" s="11">
        <f>IFERROR(__xludf.DUMMYFUNCTION("""COMPUTED_VALUE"""),45948.0)</f>
        <v>45948</v>
      </c>
      <c r="R367" s="9" t="str">
        <f>IFERROR(__xludf.DUMMYFUNCTION("""COMPUTED_VALUE"""),"Verified online")</f>
        <v>Verified online</v>
      </c>
      <c r="S367" s="9" t="str">
        <f>IFERROR(__xludf.DUMMYFUNCTION("""COMPUTED_VALUE"""),"Operates the National Suicide Lifeline Hotline - 988 - for 45 counties in Texas.
Primary Medical Care
Pharmacy
Outpatient Mental Health
Children Services
Intellectual Disabilities and Autism
Substance Use Disorder.")</f>
        <v>Operates the National Suicide Lifeline Hotline - 988 - for 45 counties in Texas.
Primary Medical Care
Pharmacy
Outpatient Mental Health
Children Services
Intellectual Disabilities and Autism
Substance Use Disorder.</v>
      </c>
      <c r="T367" s="12" t="b">
        <f>IFERROR(__xludf.DUMMYFUNCTION("""COMPUTED_VALUE"""),FALSE)</f>
        <v>0</v>
      </c>
      <c r="U367" s="12" t="b">
        <f>IFERROR(__xludf.DUMMYFUNCTION("""COMPUTED_VALUE"""),FALSE)</f>
        <v>0</v>
      </c>
      <c r="V367" s="13" t="str">
        <f>IFERROR(__xludf.DUMMYFUNCTION("""COMPUTED_VALUE"""),"https://www.theharriscenter.org/about")</f>
        <v>https://www.theharriscenter.org/about</v>
      </c>
      <c r="W367" s="14" t="str">
        <f>IFERROR(__xludf.DUMMYFUNCTION("""COMPUTED_VALUE"""),"https://www.google.com/maps/place/The+Harris+Center+Southwest+Community+Service+Center/@29.6784545,-95.5409547,17z/data=!3m2!4b1!5s0x8640c29f264c3a51:0xabdbf83e6c708826!4m6!3m5!1s0x8640c29f2615b457:0xfd4cbe48d3582122!8m2!3d29.6784545!4d-95.5383798!16s%2Fg"&amp;"%2F11c1q8b24n?entry=ttu&amp;g_ep=EgoyMDI1MTAxNC4wIKXMDSoASAFQAw%3D%3D")</f>
        <v>https://www.google.com/maps/place/The+Harris+Center+Southwest+Community+Service+Center/@29.6784545,-95.5409547,17z/data=!3m2!4b1!5s0x8640c29f264c3a51:0xabdbf83e6c708826!4m6!3m5!1s0x8640c29f2615b457:0xfd4cbe48d3582122!8m2!3d29.6784545!4d-95.5383798!16s%2Fg%2F11c1q8b24n?entry=ttu&amp;g_ep=EgoyMDI1MTAxNC4wIKXMDSoASAFQAw%3D%3D</v>
      </c>
      <c r="X367" s="10"/>
      <c r="Y367" s="9" t="str">
        <f>IFERROR(__xludf.DUMMYFUNCTION("""COMPUTED_VALUE"""),"Houston")</f>
        <v>Houston</v>
      </c>
      <c r="Z367" s="9" t="str">
        <f>IFERROR(__xludf.DUMMYFUNCTION("""COMPUTED_VALUE"""),"Braeburn, Robindell, Sharpstown")</f>
        <v>Braeburn, Robindell, Sharpstown</v>
      </c>
      <c r="AA367" s="9" t="str">
        <f>IFERROR(__xludf.DUMMYFUNCTION("""COMPUTED_VALUE"""),"The Harris Center for Mental Health &amp; IDD")</f>
        <v>The Harris Center for Mental Health &amp; IDD</v>
      </c>
      <c r="AB367" s="9" t="str">
        <f>IFERROR(__xludf.DUMMYFUNCTION("""COMPUTED_VALUE"""),"Braeburn")</f>
        <v>Braeburn</v>
      </c>
    </row>
    <row r="368" ht="30.0" customHeight="1">
      <c r="A368" s="17">
        <v>367.0</v>
      </c>
      <c r="B368" s="8" t="str">
        <f>IFERROR(__xludf.DUMMYFUNCTION("""COMPUTED_VALUE"""),"[""99999""]")</f>
        <v>["99999"]</v>
      </c>
      <c r="C368" s="9" t="str">
        <f>IFERROR(__xludf.DUMMYFUNCTION("""COMPUTED_VALUE"""),"Harris Center - Southwest Community Service Center")</f>
        <v>Harris Center - Southwest Community Service Center</v>
      </c>
      <c r="D368" s="9" t="str">
        <f>IFERROR(__xludf.DUMMYFUNCTION("""COMPUTED_VALUE"""),"9401 Southwest Fwy")</f>
        <v>9401 Southwest Fwy</v>
      </c>
      <c r="E368" s="9"/>
      <c r="F368" s="9" t="str">
        <f>IFERROR(__xludf.DUMMYFUNCTION("""COMPUTED_VALUE"""),"Houston")</f>
        <v>Houston</v>
      </c>
      <c r="G368" s="9" t="str">
        <f>IFERROR(__xludf.DUMMYFUNCTION("""COMPUTED_VALUE"""),"TX")</f>
        <v>TX</v>
      </c>
      <c r="H368" s="9" t="str">
        <f>IFERROR(__xludf.DUMMYFUNCTION("""COMPUTED_VALUE"""),"77074")</f>
        <v>77074</v>
      </c>
      <c r="I368" s="9" t="str">
        <f>IFERROR(__xludf.DUMMYFUNCTION("""COMPUTED_VALUE"""),"713-970-7000")</f>
        <v>713-970-7000</v>
      </c>
      <c r="J368" s="9" t="str">
        <f>IFERROR(__xludf.DUMMYFUNCTION("""COMPUTED_VALUE"""),"29.678706127491743, -95.53833687803608")</f>
        <v>29.678706127491743, -95.53833687803608</v>
      </c>
      <c r="K368" s="9" t="str">
        <f>IFERROR(__xludf.DUMMYFUNCTION("""COMPUTED_VALUE"""),"{""regular"":[{""days"":[""Mo"",""Tu"",""We"",""Th"",""Fr""],""open"":""07:30"",""close"":""17:00""}]}")</f>
        <v>{"regular":[{"days":["Mo","Tu","We","Th","Fr"],"open":"07:30","close":"17:00"}]}</v>
      </c>
      <c r="L368" s="9"/>
      <c r="M368" s="10">
        <f>IFERROR(__xludf.DUMMYFUNCTION("""COMPUTED_VALUE"""),33.0)</f>
        <v>33</v>
      </c>
      <c r="N368" s="10" t="str">
        <f>IFERROR(__xludf.DUMMYFUNCTION("""COMPUTED_VALUE"""),"Medical - Behavioral Health")</f>
        <v>Medical - Behavioral Health</v>
      </c>
      <c r="O368" s="10">
        <f>IFERROR(__xludf.DUMMYFUNCTION("""COMPUTED_VALUE"""),1.0)</f>
        <v>1</v>
      </c>
      <c r="P368" s="10" t="str">
        <f>IFERROR(__xludf.DUMMYFUNCTION("""COMPUTED_VALUE"""),"ACTIVE")</f>
        <v>ACTIVE</v>
      </c>
      <c r="Q368" s="11">
        <f>IFERROR(__xludf.DUMMYFUNCTION("""COMPUTED_VALUE"""),45948.0)</f>
        <v>45948</v>
      </c>
      <c r="R368" s="9" t="str">
        <f>IFERROR(__xludf.DUMMYFUNCTION("""COMPUTED_VALUE"""),"Verified online")</f>
        <v>Verified online</v>
      </c>
      <c r="S368" s="9" t="str">
        <f>IFERROR(__xludf.DUMMYFUNCTION("""COMPUTED_VALUE"""),"Operates the National Suicide Lifeline Hotline - 988 - for 45 counties in Texas.
Pharmacy
Outpatient Mental Health
Children Services
Primary Medical Care
Intellectual Disabilities and Autism
Substance Use Disorder.")</f>
        <v>Operates the National Suicide Lifeline Hotline - 988 - for 45 counties in Texas.
Pharmacy
Outpatient Mental Health
Children Services
Primary Medical Care
Intellectual Disabilities and Autism
Substance Use Disorder.</v>
      </c>
      <c r="T368" s="12" t="b">
        <f>IFERROR(__xludf.DUMMYFUNCTION("""COMPUTED_VALUE"""),FALSE)</f>
        <v>0</v>
      </c>
      <c r="U368" s="12" t="b">
        <f>IFERROR(__xludf.DUMMYFUNCTION("""COMPUTED_VALUE"""),FALSE)</f>
        <v>0</v>
      </c>
      <c r="V368" s="13" t="str">
        <f>IFERROR(__xludf.DUMMYFUNCTION("""COMPUTED_VALUE"""),"https://www.theharriscenter.org/about")</f>
        <v>https://www.theharriscenter.org/about</v>
      </c>
      <c r="W368" s="14" t="str">
        <f>IFERROR(__xludf.DUMMYFUNCTION("""COMPUTED_VALUE"""),"https://www.google.com/maps/place/The+Harris+Center+Southwest+Community+Service+Center/@29.6784545,-95.5409547,17z/data=!3m2!4b1!5s0x8640c29f264c3a51:0xabdbf83e6c708826!4m6!3m5!1s0x8640c29f2615b457:0xfd4cbe48d3582122!8m2!3d29.6784545!4d-95.5383798!16s%2Fg"&amp;"%2F11c1q8b24n?entry=ttu&amp;g_ep=EgoyMDI1MTAxNC4wIKXMDSoASAFQAw%3D%3D")</f>
        <v>https://www.google.com/maps/place/The+Harris+Center+Southwest+Community+Service+Center/@29.6784545,-95.5409547,17z/data=!3m2!4b1!5s0x8640c29f264c3a51:0xabdbf83e6c708826!4m6!3m5!1s0x8640c29f2615b457:0xfd4cbe48d3582122!8m2!3d29.6784545!4d-95.5383798!16s%2Fg%2F11c1q8b24n?entry=ttu&amp;g_ep=EgoyMDI1MTAxNC4wIKXMDSoASAFQAw%3D%3D</v>
      </c>
      <c r="X368" s="10"/>
      <c r="Y368" s="9" t="str">
        <f>IFERROR(__xludf.DUMMYFUNCTION("""COMPUTED_VALUE"""),"Houston")</f>
        <v>Houston</v>
      </c>
      <c r="Z368" s="9" t="str">
        <f>IFERROR(__xludf.DUMMYFUNCTION("""COMPUTED_VALUE"""),"Braeburn, Robindell, Sharpstown")</f>
        <v>Braeburn, Robindell, Sharpstown</v>
      </c>
      <c r="AA368" s="9" t="str">
        <f>IFERROR(__xludf.DUMMYFUNCTION("""COMPUTED_VALUE"""),"The Harris Center for Mental Health &amp; IDD")</f>
        <v>The Harris Center for Mental Health &amp; IDD</v>
      </c>
      <c r="AB368" s="9" t="str">
        <f>IFERROR(__xludf.DUMMYFUNCTION("""COMPUTED_VALUE"""),"Braeburn")</f>
        <v>Braeburn</v>
      </c>
    </row>
    <row r="369" ht="30.0" customHeight="1">
      <c r="A369" s="17">
        <v>368.0</v>
      </c>
      <c r="B369" s="8" t="str">
        <f>IFERROR(__xludf.DUMMYFUNCTION("""COMPUTED_VALUE"""),"[""99999""]")</f>
        <v>["99999"]</v>
      </c>
      <c r="C369" s="9" t="str">
        <f>IFERROR(__xludf.DUMMYFUNCTION("""COMPUTED_VALUE"""),"Harris Center - Southwest Community Service Center")</f>
        <v>Harris Center - Southwest Community Service Center</v>
      </c>
      <c r="D369" s="9" t="str">
        <f>IFERROR(__xludf.DUMMYFUNCTION("""COMPUTED_VALUE"""),"9401 Southwest Fwy")</f>
        <v>9401 Southwest Fwy</v>
      </c>
      <c r="E369" s="9"/>
      <c r="F369" s="9" t="str">
        <f>IFERROR(__xludf.DUMMYFUNCTION("""COMPUTED_VALUE"""),"Houston")</f>
        <v>Houston</v>
      </c>
      <c r="G369" s="9" t="str">
        <f>IFERROR(__xludf.DUMMYFUNCTION("""COMPUTED_VALUE"""),"TX")</f>
        <v>TX</v>
      </c>
      <c r="H369" s="9" t="str">
        <f>IFERROR(__xludf.DUMMYFUNCTION("""COMPUTED_VALUE"""),"77074")</f>
        <v>77074</v>
      </c>
      <c r="I369" s="9" t="str">
        <f>IFERROR(__xludf.DUMMYFUNCTION("""COMPUTED_VALUE"""),"713-970-7000")</f>
        <v>713-970-7000</v>
      </c>
      <c r="J369" s="9" t="str">
        <f>IFERROR(__xludf.DUMMYFUNCTION("""COMPUTED_VALUE"""),"29.678706127491743, -95.53833687803608")</f>
        <v>29.678706127491743, -95.53833687803608</v>
      </c>
      <c r="K369" s="9" t="str">
        <f>IFERROR(__xludf.DUMMYFUNCTION("""COMPUTED_VALUE"""),"{""regular"":[{""days"":[""Mo"",""Tu"",""We"",""Th"",""Fr""],""open"":""07:30"",""close"":""17:00""}]}")</f>
        <v>{"regular":[{"days":["Mo","Tu","We","Th","Fr"],"open":"07:30","close":"17:00"}]}</v>
      </c>
      <c r="L369" s="9"/>
      <c r="M369" s="10">
        <f>IFERROR(__xludf.DUMMYFUNCTION("""COMPUTED_VALUE"""),34.0)</f>
        <v>34</v>
      </c>
      <c r="N369" s="10" t="str">
        <f>IFERROR(__xludf.DUMMYFUNCTION("""COMPUTED_VALUE"""),"Medical - Addiction Recovery")</f>
        <v>Medical - Addiction Recovery</v>
      </c>
      <c r="O369" s="10">
        <f>IFERROR(__xludf.DUMMYFUNCTION("""COMPUTED_VALUE"""),1.0)</f>
        <v>1</v>
      </c>
      <c r="P369" s="10" t="str">
        <f>IFERROR(__xludf.DUMMYFUNCTION("""COMPUTED_VALUE"""),"ACTIVE")</f>
        <v>ACTIVE</v>
      </c>
      <c r="Q369" s="11">
        <f>IFERROR(__xludf.DUMMYFUNCTION("""COMPUTED_VALUE"""),45948.0)</f>
        <v>45948</v>
      </c>
      <c r="R369" s="9" t="str">
        <f>IFERROR(__xludf.DUMMYFUNCTION("""COMPUTED_VALUE"""),"Verified online")</f>
        <v>Verified online</v>
      </c>
      <c r="S369" s="9" t="str">
        <f>IFERROR(__xludf.DUMMYFUNCTION("""COMPUTED_VALUE"""),"Operates the National Suicide Lifeline Hotline - 988 - for 45 counties in Texas.
Substance Use Disorder.
Pharmacy
Outpatient Mental Health
Children Services
Primary Medical Care
Intellectual Disabilities and Autism
")</f>
        <v>Operates the National Suicide Lifeline Hotline - 988 - for 45 counties in Texas.
Substance Use Disorder.
Pharmacy
Outpatient Mental Health
Children Services
Primary Medical Care
Intellectual Disabilities and Autism
</v>
      </c>
      <c r="T369" s="12" t="b">
        <f>IFERROR(__xludf.DUMMYFUNCTION("""COMPUTED_VALUE"""),FALSE)</f>
        <v>0</v>
      </c>
      <c r="U369" s="12" t="b">
        <f>IFERROR(__xludf.DUMMYFUNCTION("""COMPUTED_VALUE"""),FALSE)</f>
        <v>0</v>
      </c>
      <c r="V369" s="13" t="str">
        <f>IFERROR(__xludf.DUMMYFUNCTION("""COMPUTED_VALUE"""),"https://www.theharriscenter.org/about")</f>
        <v>https://www.theharriscenter.org/about</v>
      </c>
      <c r="W369" s="14" t="str">
        <f>IFERROR(__xludf.DUMMYFUNCTION("""COMPUTED_VALUE"""),"https://www.google.com/maps/place/The+Harris+Center+Southwest+Community+Service+Center/@29.6784545,-95.5409547,17z/data=!3m2!4b1!5s0x8640c29f264c3a51:0xabdbf83e6c708826!4m6!3m5!1s0x8640c29f2615b457:0xfd4cbe48d3582122!8m2!3d29.6784545!4d-95.5383798!16s%2Fg"&amp;"%2F11c1q8b24n?entry=ttu&amp;g_ep=EgoyMDI1MTAxNC4wIKXMDSoASAFQAw%3D%3D")</f>
        <v>https://www.google.com/maps/place/The+Harris+Center+Southwest+Community+Service+Center/@29.6784545,-95.5409547,17z/data=!3m2!4b1!5s0x8640c29f264c3a51:0xabdbf83e6c708826!4m6!3m5!1s0x8640c29f2615b457:0xfd4cbe48d3582122!8m2!3d29.6784545!4d-95.5383798!16s%2Fg%2F11c1q8b24n?entry=ttu&amp;g_ep=EgoyMDI1MTAxNC4wIKXMDSoASAFQAw%3D%3D</v>
      </c>
      <c r="X369" s="10"/>
      <c r="Y369" s="9" t="str">
        <f>IFERROR(__xludf.DUMMYFUNCTION("""COMPUTED_VALUE"""),"Houston")</f>
        <v>Houston</v>
      </c>
      <c r="Z369" s="9" t="str">
        <f>IFERROR(__xludf.DUMMYFUNCTION("""COMPUTED_VALUE"""),"Braeburn, Robindell, Sharpstown")</f>
        <v>Braeburn, Robindell, Sharpstown</v>
      </c>
      <c r="AA369" s="9" t="str">
        <f>IFERROR(__xludf.DUMMYFUNCTION("""COMPUTED_VALUE"""),"The Harris Center for Mental Health &amp; IDD")</f>
        <v>The Harris Center for Mental Health &amp; IDD</v>
      </c>
      <c r="AB369" s="9" t="str">
        <f>IFERROR(__xludf.DUMMYFUNCTION("""COMPUTED_VALUE"""),"Braeburn")</f>
        <v>Braeburn</v>
      </c>
    </row>
    <row r="370" ht="30.0" customHeight="1">
      <c r="A370" s="17">
        <v>369.0</v>
      </c>
      <c r="B37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0" s="9" t="str">
        <f>IFERROR(__xludf.DUMMYFUNCTION("""COMPUTED_VALUE"""),"Harris County Area Agency on Aging")</f>
        <v>Harris County Area Agency on Aging</v>
      </c>
      <c r="D370" s="9" t="str">
        <f>IFERROR(__xludf.DUMMYFUNCTION("""COMPUTED_VALUE"""),"8000 N Stadium Drive")</f>
        <v>8000 N Stadium Drive</v>
      </c>
      <c r="E370" s="9"/>
      <c r="F370" s="9" t="str">
        <f>IFERROR(__xludf.DUMMYFUNCTION("""COMPUTED_VALUE"""),"Houston")</f>
        <v>Houston</v>
      </c>
      <c r="G370" s="9" t="str">
        <f>IFERROR(__xludf.DUMMYFUNCTION("""COMPUTED_VALUE"""),"TX")</f>
        <v>TX</v>
      </c>
      <c r="H370" s="9" t="str">
        <f>IFERROR(__xludf.DUMMYFUNCTION("""COMPUTED_VALUE"""),"77054")</f>
        <v>77054</v>
      </c>
      <c r="I370" s="9" t="str">
        <f>IFERROR(__xludf.DUMMYFUNCTION("""COMPUTED_VALUE"""),"832-393-4301")</f>
        <v>832-393-4301</v>
      </c>
      <c r="J370" s="9" t="str">
        <f>IFERROR(__xludf.DUMMYFUNCTION("""COMPUTED_VALUE"""),"29.693408, -95.408383")</f>
        <v>29.693408, -95.408383</v>
      </c>
      <c r="K370" s="9"/>
      <c r="L370" s="9"/>
      <c r="M370" s="10">
        <f>IFERROR(__xludf.DUMMYFUNCTION("""COMPUTED_VALUE"""),61.0)</f>
        <v>61</v>
      </c>
      <c r="N370" s="10" t="str">
        <f>IFERROR(__xludf.DUMMYFUNCTION("""COMPUTED_VALUE"""),"Seniors")</f>
        <v>Seniors</v>
      </c>
      <c r="O370" s="10">
        <f>IFERROR(__xludf.DUMMYFUNCTION("""COMPUTED_VALUE"""),1.0)</f>
        <v>1</v>
      </c>
      <c r="P370" s="10" t="str">
        <f>IFERROR(__xludf.DUMMYFUNCTION("""COMPUTED_VALUE"""),"ACTIVE")</f>
        <v>ACTIVE</v>
      </c>
      <c r="Q370" s="11">
        <f>IFERROR(__xludf.DUMMYFUNCTION("""COMPUTED_VALUE"""),45667.0)</f>
        <v>45667</v>
      </c>
      <c r="R370" s="9" t="str">
        <f>IFERROR(__xludf.DUMMYFUNCTION("""COMPUTED_VALUE"""),"One client trying to get assistance has been on a waiting list since Nov 2024.")</f>
        <v>One client trying to get assistance has been on a waiting list since Nov 2024.</v>
      </c>
      <c r="S370" s="9" t="str">
        <f>IFERROR(__xludf.DUMMYFUNCTION("""COMPUTED_VALUE"""),"Meals at community and senior centers.
Home delivered meals, 5 days a week.
Referrals to other services.
Benefits counseling.")</f>
        <v>Meals at community and senior centers.
Home delivered meals, 5 days a week.
Referrals to other services.
Benefits counseling.</v>
      </c>
      <c r="T370" s="12" t="b">
        <f>IFERROR(__xludf.DUMMYFUNCTION("""COMPUTED_VALUE"""),FALSE)</f>
        <v>0</v>
      </c>
      <c r="U370" s="12" t="b">
        <f>IFERROR(__xludf.DUMMYFUNCTION("""COMPUTED_VALUE"""),FALSE)</f>
        <v>0</v>
      </c>
      <c r="V370" s="13" t="str">
        <f>IFERROR(__xludf.DUMMYFUNCTION("""COMPUTED_VALUE"""),"https://www.houstonhealth.org/services/aging")</f>
        <v>https://www.houstonhealth.org/services/aging</v>
      </c>
      <c r="W370" s="10"/>
      <c r="X370" s="10"/>
      <c r="Y370" s="9" t="str">
        <f>IFERROR(__xludf.DUMMYFUNCTION("""COMPUTED_VALUE"""),"Houston")</f>
        <v>Houston</v>
      </c>
      <c r="Z370" s="9" t="str">
        <f>IFERROR(__xludf.DUMMYFUNCTION("""COMPUTED_VALUE"""),"Astrodome Area, Medical Center South, NRG Park area, South Main")</f>
        <v>Astrodome Area, Medical Center South, NRG Park area, South Main</v>
      </c>
      <c r="AA370" s="9" t="str">
        <f>IFERROR(__xludf.DUMMYFUNCTION("""COMPUTED_VALUE"""),"Harris County")</f>
        <v>Harris County</v>
      </c>
      <c r="AB370" s="9" t="str">
        <f>IFERROR(__xludf.DUMMYFUNCTION("""COMPUTED_VALUE"""),"Astrodome Area")</f>
        <v>Astrodome Area</v>
      </c>
    </row>
    <row r="371" ht="30.0" customHeight="1">
      <c r="A371" s="17">
        <v>370.0</v>
      </c>
      <c r="B37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1" s="9" t="str">
        <f>IFERROR(__xludf.DUMMYFUNCTION("""COMPUTED_VALUE"""),"Harris County Domestic Relations Office")</f>
        <v>Harris County Domestic Relations Office</v>
      </c>
      <c r="D371" s="9" t="str">
        <f>IFERROR(__xludf.DUMMYFUNCTION("""COMPUTED_VALUE"""),"1310 Prairie Street")</f>
        <v>1310 Prairie Street</v>
      </c>
      <c r="E371" s="9" t="str">
        <f>IFERROR(__xludf.DUMMYFUNCTION("""COMPUTED_VALUE"""),"Suite 1080")</f>
        <v>Suite 1080</v>
      </c>
      <c r="F371" s="9" t="str">
        <f>IFERROR(__xludf.DUMMYFUNCTION("""COMPUTED_VALUE"""),"Houston")</f>
        <v>Houston</v>
      </c>
      <c r="G371" s="9" t="str">
        <f>IFERROR(__xludf.DUMMYFUNCTION("""COMPUTED_VALUE"""),"TX")</f>
        <v>TX</v>
      </c>
      <c r="H371" s="9" t="str">
        <f>IFERROR(__xludf.DUMMYFUNCTION("""COMPUTED_VALUE"""),"77002")</f>
        <v>77002</v>
      </c>
      <c r="I371" s="9" t="str">
        <f>IFERROR(__xludf.DUMMYFUNCTION("""COMPUTED_VALUE"""),"713-274-7300")</f>
        <v>713-274-7300</v>
      </c>
      <c r="J371" s="9" t="str">
        <f>IFERROR(__xludf.DUMMYFUNCTION("""COMPUTED_VALUE"""),"29.7590005510204, -95.3591968367347")</f>
        <v>29.7590005510204, -95.3591968367347</v>
      </c>
      <c r="K371" s="9"/>
      <c r="L371" s="9"/>
      <c r="M371" s="10">
        <f>IFERROR(__xludf.DUMMYFUNCTION("""COMPUTED_VALUE"""),42.0)</f>
        <v>42</v>
      </c>
      <c r="N371" s="10" t="str">
        <f>IFERROR(__xludf.DUMMYFUNCTION("""COMPUTED_VALUE"""),"Domestic Abuse - Other")</f>
        <v>Domestic Abuse - Other</v>
      </c>
      <c r="O371" s="10">
        <f>IFERROR(__xludf.DUMMYFUNCTION("""COMPUTED_VALUE"""),1.0)</f>
        <v>1</v>
      </c>
      <c r="P371" s="10" t="str">
        <f>IFERROR(__xludf.DUMMYFUNCTION("""COMPUTED_VALUE"""),"ACTIVE")</f>
        <v>ACTIVE</v>
      </c>
      <c r="Q371" s="11"/>
      <c r="R371" s="9"/>
      <c r="S371" s="9" t="str">
        <f>IFERROR(__xludf.DUMMYFUNCTION("""COMPUTED_VALUE"""),"Provides legal representation of Harris County parents to establish/enforce parenting time visitation and child support, establish parentage, terminate income withholding orders, provide child support accountings and conduct attorney consultations.
Must n"&amp;"ot be on TANF.
Valid ID, Proof of Address, Child's birth certificate, Marriage Certificate, Green Card.
$25 application fee and $50 for attorney consultation.")</f>
        <v>Provides legal representation of Harris County parents to establish/enforce parenting time visitation and child support, establish parentage, terminate income withholding orders, provide child support accountings and conduct attorney consultations.
Must not be on TANF.
Valid ID, Proof of Address, Child's birth certificate, Marriage Certificate, Green Card.
$25 application fee and $50 for attorney consultation.</v>
      </c>
      <c r="T371" s="12" t="b">
        <f>IFERROR(__xludf.DUMMYFUNCTION("""COMPUTED_VALUE"""),FALSE)</f>
        <v>0</v>
      </c>
      <c r="U371" s="12" t="b">
        <f>IFERROR(__xludf.DUMMYFUNCTION("""COMPUTED_VALUE"""),FALSE)</f>
        <v>0</v>
      </c>
      <c r="V371" s="13" t="str">
        <f>IFERROR(__xludf.DUMMYFUNCTION("""COMPUTED_VALUE"""),"https://dro.harriscountytx.gov/Child-Support/Services")</f>
        <v>https://dro.harriscountytx.gov/Child-Support/Services</v>
      </c>
      <c r="W371" s="14" t="str">
        <f>IFERROR(__xludf.DUMMYFUNCTION("""COMPUTED_VALUE"""),"https://maps.google.com/?q=Harris%20County%20Domestic%20Relations%20Office%201310%20Prairie%20St%2C%20Ste%201080%20Houston%20TX%2070002")</f>
        <v>https://maps.google.com/?q=Harris%20County%20Domestic%20Relations%20Office%201310%20Prairie%20St%2C%20Ste%201080%20Houston%20TX%2070002</v>
      </c>
      <c r="X371" s="10"/>
      <c r="Y371" s="9" t="str">
        <f>IFERROR(__xludf.DUMMYFUNCTION("""COMPUTED_VALUE"""),"Houston")</f>
        <v>Houston</v>
      </c>
      <c r="Z371"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371" s="9" t="str">
        <f>IFERROR(__xludf.DUMMYFUNCTION("""COMPUTED_VALUE"""),"Harris County")</f>
        <v>Harris County</v>
      </c>
      <c r="AB371" s="9" t="str">
        <f>IFERROR(__xludf.DUMMYFUNCTION("""COMPUTED_VALUE"""),"Downtown Houston")</f>
        <v>Downtown Houston</v>
      </c>
    </row>
    <row r="372" ht="30.0" customHeight="1">
      <c r="A372" s="17">
        <v>371.0</v>
      </c>
      <c r="B37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2" s="9" t="str">
        <f>IFERROR(__xludf.DUMMYFUNCTION("""COMPUTED_VALUE"""),"Harris County Eastgate Cemetery")</f>
        <v>Harris County Eastgate Cemetery</v>
      </c>
      <c r="D372" s="9" t="str">
        <f>IFERROR(__xludf.DUMMYFUNCTION("""COMPUTED_VALUE"""),"21122 Crosby Eastgate Road")</f>
        <v>21122 Crosby Eastgate Road</v>
      </c>
      <c r="E372" s="9"/>
      <c r="F372" s="9" t="str">
        <f>IFERROR(__xludf.DUMMYFUNCTION("""COMPUTED_VALUE"""),"Crosby")</f>
        <v>Crosby</v>
      </c>
      <c r="G372" s="9" t="str">
        <f>IFERROR(__xludf.DUMMYFUNCTION("""COMPUTED_VALUE"""),"TX")</f>
        <v>TX</v>
      </c>
      <c r="H372" s="9" t="str">
        <f>IFERROR(__xludf.DUMMYFUNCTION("""COMPUTED_VALUE"""),"77532")</f>
        <v>77532</v>
      </c>
      <c r="I372" s="9" t="str">
        <f>IFERROR(__xludf.DUMMYFUNCTION("""COMPUTED_VALUE"""),"713-696-1952")</f>
        <v>713-696-1952</v>
      </c>
      <c r="J372" s="9" t="str">
        <f>IFERROR(__xludf.DUMMYFUNCTION("""COMPUTED_VALUE"""),"29.985559570124586, -95.02124276511859")</f>
        <v>29.985559570124586, -95.02124276511859</v>
      </c>
      <c r="K372" s="9" t="str">
        <f>IFERROR(__xludf.DUMMYFUNCTION("""COMPUTED_VALUE"""),"{""regular"":[{""days"":[""Mo"",""We"",""Fr""],""open"":""08:00"",""close"":""15:00""}]}")</f>
        <v>{"regular":[{"days":["Mo","We","Fr"],"open":"08:00","close":"15:00"}]}</v>
      </c>
      <c r="L372" s="9"/>
      <c r="M372" s="10">
        <f>IFERROR(__xludf.DUMMYFUNCTION("""COMPUTED_VALUE"""),65.0)</f>
        <v>65</v>
      </c>
      <c r="N372" s="10" t="str">
        <f>IFERROR(__xludf.DUMMYFUNCTION("""COMPUTED_VALUE"""),"Other")</f>
        <v>Other</v>
      </c>
      <c r="O372" s="10">
        <f>IFERROR(__xludf.DUMMYFUNCTION("""COMPUTED_VALUE"""),1.0)</f>
        <v>1</v>
      </c>
      <c r="P372" s="10" t="str">
        <f>IFERROR(__xludf.DUMMYFUNCTION("""COMPUTED_VALUE"""),"ACTIVE")</f>
        <v>ACTIVE</v>
      </c>
      <c r="Q372" s="11">
        <f>IFERROR(__xludf.DUMMYFUNCTION("""COMPUTED_VALUE"""),46006.0)</f>
        <v>46006</v>
      </c>
      <c r="R372" s="9" t="str">
        <f>IFERROR(__xludf.DUMMYFUNCTION("""COMPUTED_VALUE"""),"Verified online")</f>
        <v>Verified online</v>
      </c>
      <c r="S372" s="9" t="str">
        <f>IFERROR(__xludf.DUMMYFUNCTION("""COMPUTED_VALUE"""),"Part of the Harris County Bereavement Program.
Ensure deceased individuals have access to a dignified funeral service and burial.
Referrals normally through Institute of Forensic Sciences, local hospitals or funeral homes.")</f>
        <v>Part of the Harris County Bereavement Program.
Ensure deceased individuals have access to a dignified funeral service and burial.
Referrals normally through Institute of Forensic Sciences, local hospitals or funeral homes.</v>
      </c>
      <c r="T372" s="12" t="b">
        <f>IFERROR(__xludf.DUMMYFUNCTION("""COMPUTED_VALUE"""),FALSE)</f>
        <v>0</v>
      </c>
      <c r="U372" s="12" t="b">
        <f>IFERROR(__xludf.DUMMYFUNCTION("""COMPUTED_VALUE"""),FALSE)</f>
        <v>0</v>
      </c>
      <c r="V372" s="13" t="str">
        <f>IFERROR(__xludf.DUMMYFUNCTION("""COMPUTED_VALUE"""),"https://hcd.harriscountytx.gov/Residents/Bereavement-Services")</f>
        <v>https://hcd.harriscountytx.gov/Residents/Bereavement-Services</v>
      </c>
      <c r="W372" s="14" t="str">
        <f>IFERROR(__xludf.DUMMYFUNCTION("""COMPUTED_VALUE"""),"https://www.google.com/maps/place/Harris+County+Eastgate+Cemetery/@29.9853319,-95.0238284,17z/data=!3m1!4b1!4m6!3m5!1s0x863f5543a6febb79:0xb005d404fc5a1ac9!8m2!3d29.9853273!4d-95.0212535!16s%2Fg%2F11gjss66zd?entry=ttu&amp;g_ep=EgoyMDI1MDUxMS4wIKXMDSoASAFQAw%3"&amp;"D%3D")</f>
        <v>https://www.google.com/maps/place/Harris+County+Eastgate+Cemetery/@29.9853319,-95.0238284,17z/data=!3m1!4b1!4m6!3m5!1s0x863f5543a6febb79:0xb005d404fc5a1ac9!8m2!3d29.9853273!4d-95.0212535!16s%2Fg%2F11gjss66zd?entry=ttu&amp;g_ep=EgoyMDI1MDUxMS4wIKXMDSoASAFQAw%3D%3D</v>
      </c>
      <c r="X372" s="10"/>
      <c r="Y372" s="9" t="str">
        <f>IFERROR(__xludf.DUMMYFUNCTION("""COMPUTED_VALUE"""),"Crosby")</f>
        <v>Crosby</v>
      </c>
      <c r="Z372" s="9" t="str">
        <f>IFERROR(__xludf.DUMMYFUNCTION("""COMPUTED_VALUE"""),"Burris, Crosby")</f>
        <v>Burris, Crosby</v>
      </c>
      <c r="AA372" s="9" t="str">
        <f>IFERROR(__xludf.DUMMYFUNCTION("""COMPUTED_VALUE"""),"Harris County")</f>
        <v>Harris County</v>
      </c>
      <c r="AB372" s="9" t="str">
        <f>IFERROR(__xludf.DUMMYFUNCTION("""COMPUTED_VALUE"""),"Crosby")</f>
        <v>Crosby</v>
      </c>
    </row>
    <row r="373" ht="30.0" customHeight="1">
      <c r="A373" s="17">
        <v>372.0</v>
      </c>
      <c r="B37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3" s="9" t="str">
        <f>IFERROR(__xludf.DUMMYFUNCTION("""COMPUTED_VALUE"""),"Harris County Housing &amp; Community Development")</f>
        <v>Harris County Housing &amp; Community Development</v>
      </c>
      <c r="D373" s="9" t="str">
        <f>IFERROR(__xludf.DUMMYFUNCTION("""COMPUTED_VALUE"""),"8410 Lantern Point Drive")</f>
        <v>8410 Lantern Point Drive</v>
      </c>
      <c r="E373" s="9"/>
      <c r="F373" s="9" t="str">
        <f>IFERROR(__xludf.DUMMYFUNCTION("""COMPUTED_VALUE"""),"Houston")</f>
        <v>Houston</v>
      </c>
      <c r="G373" s="9" t="str">
        <f>IFERROR(__xludf.DUMMYFUNCTION("""COMPUTED_VALUE"""),"TX")</f>
        <v>TX</v>
      </c>
      <c r="H373" s="9" t="str">
        <f>IFERROR(__xludf.DUMMYFUNCTION("""COMPUTED_VALUE"""),"77054")</f>
        <v>77054</v>
      </c>
      <c r="I373" s="9" t="str">
        <f>IFERROR(__xludf.DUMMYFUNCTION("""COMPUTED_VALUE"""),"832-927-4957")</f>
        <v>832-927-4957</v>
      </c>
      <c r="J373" s="9" t="str">
        <f>IFERROR(__xludf.DUMMYFUNCTION("""COMPUTED_VALUE"""),"29.6847108163265, -95.4156223673469")</f>
        <v>29.6847108163265, -95.4156223673469</v>
      </c>
      <c r="K373" s="9" t="str">
        <f>IFERROR(__xludf.DUMMYFUNCTION("""COMPUTED_VALUE"""),"{""regular"":[{""days"":[""Mo"",""Tu"",""We"",""Th"",""Fr""],""open"":null,""close"":null}]}")</f>
        <v>{"regular":[{"days":["Mo","Tu","We","Th","Fr"],"open":null,"close":null}]}</v>
      </c>
      <c r="L373" s="9"/>
      <c r="M373" s="10">
        <f>IFERROR(__xludf.DUMMYFUNCTION("""COMPUTED_VALUE"""),62.0)</f>
        <v>62</v>
      </c>
      <c r="N373" s="10" t="str">
        <f>IFERROR(__xludf.DUMMYFUNCTION("""COMPUTED_VALUE"""),"Handyman")</f>
        <v>Handyman</v>
      </c>
      <c r="O373" s="10">
        <f>IFERROR(__xludf.DUMMYFUNCTION("""COMPUTED_VALUE"""),1.0)</f>
        <v>1</v>
      </c>
      <c r="P373" s="10" t="str">
        <f>IFERROR(__xludf.DUMMYFUNCTION("""COMPUTED_VALUE"""),"ACTIVE")</f>
        <v>ACTIVE</v>
      </c>
      <c r="Q373" s="11">
        <f>IFERROR(__xludf.DUMMYFUNCTION("""COMPUTED_VALUE"""),45792.0)</f>
        <v>45792</v>
      </c>
      <c r="R373" s="9" t="str">
        <f>IFERROR(__xludf.DUMMYFUNCTION("""COMPUTED_VALUE"""),"Verified online")</f>
        <v>Verified online</v>
      </c>
      <c r="S373" s="9" t="str">
        <f>IFERROR(__xludf.DUMMYFUNCTION("""COMPUTED_VALUE"""),"Home Repair Program.  
Fill out application online.
Must be at least one of the following:  1)  62 years or older, 2)  disabled or 3)  have a disabled person residing in the home.
Address health and safety hazards in homes owned and occupied by very low t"&amp;"o low income residents.")</f>
        <v>Home Repair Program.  
Fill out application online.
Must be at least one of the following:  1)  62 years or older, 2)  disabled or 3)  have a disabled person residing in the home.
Address health and safety hazards in homes owned and occupied by very low to low income residents.</v>
      </c>
      <c r="T373" s="12" t="b">
        <f>IFERROR(__xludf.DUMMYFUNCTION("""COMPUTED_VALUE"""),FALSE)</f>
        <v>0</v>
      </c>
      <c r="U373" s="12" t="b">
        <f>IFERROR(__xludf.DUMMYFUNCTION("""COMPUTED_VALUE"""),FALSE)</f>
        <v>0</v>
      </c>
      <c r="V373" s="13" t="str">
        <f>IFERROR(__xludf.DUMMYFUNCTION("""COMPUTED_VALUE"""),"https://hcd.harriscountytx.gov/Residents/Home-Repair-Program")</f>
        <v>https://hcd.harriscountytx.gov/Residents/Home-Repair-Program</v>
      </c>
      <c r="W373" s="14" t="str">
        <f>IFERROR(__xludf.DUMMYFUNCTION("""COMPUTED_VALUE"""),"https://www.google.com/maps/place/1111+Fannin+St,+Houston,+TX+77002/@29.7552171,-95.3695025,17z/data=!3m1!4b1!4m6!3m5!1s0x8640bf3f8e29b9a9:0x8fd7ee903ef77abb!8m2!3d29.7552125!4d-95.3646316!16s%2Fg%2F11ltpgk85w?entry=ttu&amp;g_ep=EgoyMDI1MDUxMS4wIKXMDSoASAFQAw"&amp;"%3D%3D")</f>
        <v>https://www.google.com/maps/place/1111+Fannin+St,+Houston,+TX+77002/@29.7552171,-95.3695025,17z/data=!3m1!4b1!4m6!3m5!1s0x8640bf3f8e29b9a9:0x8fd7ee903ef77abb!8m2!3d29.7552125!4d-95.3646316!16s%2Fg%2F11ltpgk85w?entry=ttu&amp;g_ep=EgoyMDI1MDUxMS4wIKXMDSoASAFQAw%3D%3D</v>
      </c>
      <c r="X373" s="10"/>
      <c r="Y373" s="9" t="str">
        <f>IFERROR(__xludf.DUMMYFUNCTION("""COMPUTED_VALUE"""),"Houston")</f>
        <v>Houston</v>
      </c>
      <c r="Z373" s="9" t="str">
        <f>IFERROR(__xludf.DUMMYFUNCTION("""COMPUTED_VALUE"""),"Astrodome Area, Medical Center South, NRG Park area, South Main")</f>
        <v>Astrodome Area, Medical Center South, NRG Park area, South Main</v>
      </c>
      <c r="AA373" s="9" t="str">
        <f>IFERROR(__xludf.DUMMYFUNCTION("""COMPUTED_VALUE"""),"Harris County")</f>
        <v>Harris County</v>
      </c>
      <c r="AB373" s="9" t="str">
        <f>IFERROR(__xludf.DUMMYFUNCTION("""COMPUTED_VALUE"""),"South Main")</f>
        <v>South Main</v>
      </c>
    </row>
    <row r="374" ht="30.0" customHeight="1">
      <c r="A374" s="17">
        <v>373.0</v>
      </c>
      <c r="B374" s="8" t="str">
        <f>IFERROR(__xludf.DUMMYFUNCTION("""COMPUTED_VALUE"""),"[""77005"", ""77014"", ""77015"", ""77016"", ""77029"", ""77032"", ""77037"", ""77038"", ""77039"", ""77040"", ""77041"", ""77044"", ""77047"", ""77049"", ""77050"", ""77053"", ""77058"", ""77060"", ""77064"", ""77065"", ""77066"", ""77067"", ""77069"", "&amp;"""77070"", ""77073"", ""77078"", ""77082"", ""77084"", ""77086"", ""77088"", ""77089"", ""77090"", ""77093"", ""77094"", ""77095"", ""77336"", ""77338"", ""77339"", ""77345"", ""77346"", ""77357"", ""77365"", ""77373"", ""77375"", ""77377"", ""77379"", """&amp;"77388"", ""77389"", ""77396"", ""77401"", ""77429"", ""77429"", ""77433"", ""77447"", ""77449"", ""77450"", ""77484"", ""77493"", ""77494"", ""77507"", ""77530"", ""77532"", ""77532"", ""77536"", ""77546"", ""77547"", ""77547"", ""77562"", ""77571"", ""77"&amp;"586"", ""77587"", ""77598""]")</f>
        <v>["77005", "77014", "77015", "77016", "77029", "77032", "77037", "77038", "77039", "77040", "77041", "77044", "77047", "77049", "77050", "77053", "77058", "77060", "77064", "77065", "77066", "77067", "77069", "77070", "77073", "77078", "77082", "77084", "77086", "77088", "77089", "77090", "77093", "77094", "77095", "77336", "77338", "77339", "77345", "77346", "77357", "77365", "77373", "77375", "77377", "77379", "77388", "77389", "77396", "77401", "77429", "77429", "77433", "77447", "77449", "77450", "77484", "77493", "77494", "77507", "77530", "77532", "77532", "77536", "77546", "77547", "77547", "77562", "77571", "77586", "77587", "77598"]</v>
      </c>
      <c r="C374" s="9" t="str">
        <f>IFERROR(__xludf.DUMMYFUNCTION("""COMPUTED_VALUE"""),"Harris County Housing Authority")</f>
        <v>Harris County Housing Authority</v>
      </c>
      <c r="D374" s="9" t="str">
        <f>IFERROR(__xludf.DUMMYFUNCTION("""COMPUTED_VALUE"""),"1933 Hussion Street")</f>
        <v>1933 Hussion Street</v>
      </c>
      <c r="E374" s="9"/>
      <c r="F374" s="9" t="str">
        <f>IFERROR(__xludf.DUMMYFUNCTION("""COMPUTED_VALUE"""),"Houston")</f>
        <v>Houston</v>
      </c>
      <c r="G374" s="9" t="str">
        <f>IFERROR(__xludf.DUMMYFUNCTION("""COMPUTED_VALUE"""),"TX")</f>
        <v>TX</v>
      </c>
      <c r="H374" s="9" t="str">
        <f>IFERROR(__xludf.DUMMYFUNCTION("""COMPUTED_VALUE"""),"77003")</f>
        <v>77003</v>
      </c>
      <c r="I374" s="9" t="str">
        <f>IFERROR(__xludf.DUMMYFUNCTION("""COMPUTED_VALUE"""),"713-578-2100")</f>
        <v>713-578-2100</v>
      </c>
      <c r="J374" s="9" t="str">
        <f>IFERROR(__xludf.DUMMYFUNCTION("""COMPUTED_VALUE"""),"29.7360877221137, -95.343436636923")</f>
        <v>29.7360877221137, -95.343436636923</v>
      </c>
      <c r="K374" s="9" t="str">
        <f>IFERROR(__xludf.DUMMYFUNCTION("""COMPUTED_VALUE"""),"{""regular"":[{""days"":[""Mo"",""Tu"",""We"",""Th"",""Fr""],""open"":""09:00"",""close"":""17:00""}]}")</f>
        <v>{"regular":[{"days":["Mo","Tu","We","Th","Fr"],"open":"09:00","close":"17:00"}]}</v>
      </c>
      <c r="L374" s="9"/>
      <c r="M374" s="10">
        <f>IFERROR(__xludf.DUMMYFUNCTION("""COMPUTED_VALUE"""),24.0)</f>
        <v>24</v>
      </c>
      <c r="N374" s="10" t="str">
        <f>IFERROR(__xludf.DUMMYFUNCTION("""COMPUTED_VALUE"""),"Housing")</f>
        <v>Housing</v>
      </c>
      <c r="O374" s="10">
        <f>IFERROR(__xludf.DUMMYFUNCTION("""COMPUTED_VALUE"""),3.0)</f>
        <v>3</v>
      </c>
      <c r="P374" s="10" t="str">
        <f>IFERROR(__xludf.DUMMYFUNCTION("""COMPUTED_VALUE"""),"INACTIVE")</f>
        <v>INACTIVE</v>
      </c>
      <c r="Q374" s="11">
        <f>IFERROR(__xludf.DUMMYFUNCTION("""COMPUTED_VALUE"""),45874.0)</f>
        <v>45874</v>
      </c>
      <c r="R374" s="9" t="str">
        <f>IFERROR(__xludf.DUMMYFUNCTION("""COMPUTED_VALUE"""),"Waitlist closed in Nov 2016.  Unknown when it will reopen.")</f>
        <v>Waitlist closed in Nov 2016.  Unknown when it will reopen.</v>
      </c>
      <c r="S374" s="9" t="str">
        <f>IFERROR(__xludf.DUMMYFUNCTION("""COMPUTED_VALUE"""),"Housing Choice Voucher Program allows low-income families to rent in the private market using federal funds.
Must meet income eligibility requirements.")</f>
        <v>Housing Choice Voucher Program allows low-income families to rent in the private market using federal funds.
Must meet income eligibility requirements.</v>
      </c>
      <c r="T374" s="12" t="b">
        <f>IFERROR(__xludf.DUMMYFUNCTION("""COMPUTED_VALUE"""),FALSE)</f>
        <v>0</v>
      </c>
      <c r="U374" s="12" t="b">
        <f>IFERROR(__xludf.DUMMYFUNCTION("""COMPUTED_VALUE"""),FALSE)</f>
        <v>0</v>
      </c>
      <c r="V374" s="13" t="str">
        <f>IFERROR(__xludf.DUMMYFUNCTION("""COMPUTED_VALUE"""),"https://hchatexas.org/")</f>
        <v>https://hchatexas.org/</v>
      </c>
      <c r="W374" s="14" t="str">
        <f>IFERROR(__xludf.DUMMYFUNCTION("""COMPUTED_VALUE"""),"https://maps.google.com/?q=Harris%20County%20Housing%20Authority%20%20%20TX%20")</f>
        <v>https://maps.google.com/?q=Harris%20County%20Housing%20Authority%20%20%20TX%20</v>
      </c>
      <c r="X374" s="10"/>
      <c r="Y374" s="9" t="str">
        <f>IFERROR(__xludf.DUMMYFUNCTION("""COMPUTED_VALUE"""),"Houston")</f>
        <v>Houston</v>
      </c>
      <c r="Z374" s="9" t="str">
        <f>IFERROR(__xludf.DUMMYFUNCTION("""COMPUTED_VALUE"""),"East Downtown, Downtown Houston, Second Ward, South Central Houston, South Side")</f>
        <v>East Downtown, Downtown Houston, Second Ward, South Central Houston, South Side</v>
      </c>
      <c r="AA374" s="9" t="str">
        <f>IFERROR(__xludf.DUMMYFUNCTION("""COMPUTED_VALUE"""),"Harris County")</f>
        <v>Harris County</v>
      </c>
      <c r="AB374" s="9" t="str">
        <f>IFERROR(__xludf.DUMMYFUNCTION("""COMPUTED_VALUE"""),"South Central Houston")</f>
        <v>South Central Houston</v>
      </c>
    </row>
    <row r="375" ht="30.0" customHeight="1">
      <c r="A375" s="17">
        <v>374.0</v>
      </c>
      <c r="B37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5" s="9" t="str">
        <f>IFERROR(__xludf.DUMMYFUNCTION("""COMPUTED_VALUE"""),"Harris County Oats Cemetery")</f>
        <v>Harris County Oats Cemetery</v>
      </c>
      <c r="D375" s="9" t="str">
        <f>IFERROR(__xludf.DUMMYFUNCTION("""COMPUTED_VALUE"""),"5434 Oates Road")</f>
        <v>5434 Oates Road</v>
      </c>
      <c r="E375" s="9"/>
      <c r="F375" s="9" t="str">
        <f>IFERROR(__xludf.DUMMYFUNCTION("""COMPUTED_VALUE"""),"Houston")</f>
        <v>Houston</v>
      </c>
      <c r="G375" s="9" t="str">
        <f>IFERROR(__xludf.DUMMYFUNCTION("""COMPUTED_VALUE"""),"TX")</f>
        <v>TX</v>
      </c>
      <c r="H375" s="9" t="str">
        <f>IFERROR(__xludf.DUMMYFUNCTION("""COMPUTED_VALUE"""),"77013")</f>
        <v>77013</v>
      </c>
      <c r="I375" s="9" t="str">
        <f>IFERROR(__xludf.DUMMYFUNCTION("""COMPUTED_VALUE"""),"713-696-1952")</f>
        <v>713-696-1952</v>
      </c>
      <c r="J375" s="9" t="str">
        <f>IFERROR(__xludf.DUMMYFUNCTION("""COMPUTED_VALUE"""),"29.8146086443647, -95.2404586149396")</f>
        <v>29.8146086443647, -95.2404586149396</v>
      </c>
      <c r="K375" s="9" t="str">
        <f>IFERROR(__xludf.DUMMYFUNCTION("""COMPUTED_VALUE"""),"{""regular"":[{""days"":[""Mo"",""Th""],""open"":""08:00"",""close"":""15:00""}]}")</f>
        <v>{"regular":[{"days":["Mo","Th"],"open":"08:00","close":"15:00"}]}</v>
      </c>
      <c r="L375" s="9"/>
      <c r="M375" s="10">
        <f>IFERROR(__xludf.DUMMYFUNCTION("""COMPUTED_VALUE"""),65.0)</f>
        <v>65</v>
      </c>
      <c r="N375" s="10" t="str">
        <f>IFERROR(__xludf.DUMMYFUNCTION("""COMPUTED_VALUE"""),"Other")</f>
        <v>Other</v>
      </c>
      <c r="O375" s="10">
        <f>IFERROR(__xludf.DUMMYFUNCTION("""COMPUTED_VALUE"""),1.0)</f>
        <v>1</v>
      </c>
      <c r="P375" s="10" t="str">
        <f>IFERROR(__xludf.DUMMYFUNCTION("""COMPUTED_VALUE"""),"ACTIVE")</f>
        <v>ACTIVE</v>
      </c>
      <c r="Q375" s="11">
        <f>IFERROR(__xludf.DUMMYFUNCTION("""COMPUTED_VALUE"""),46006.0)</f>
        <v>46006</v>
      </c>
      <c r="R375" s="9" t="str">
        <f>IFERROR(__xludf.DUMMYFUNCTION("""COMPUTED_VALUE"""),"Verified online")</f>
        <v>Verified online</v>
      </c>
      <c r="S375" s="9" t="str">
        <f>IFERROR(__xludf.DUMMYFUNCTION("""COMPUTED_VALUE"""),"Part of the Harris County Bereavement Program.
Ensure deceased individuals have access to a dignified funeral service and burial.
Referrals normally through Institute of Forensic Sciences, local hospitals or funeral homes.")</f>
        <v>Part of the Harris County Bereavement Program.
Ensure deceased individuals have access to a dignified funeral service and burial.
Referrals normally through Institute of Forensic Sciences, local hospitals or funeral homes.</v>
      </c>
      <c r="T375" s="12" t="b">
        <f>IFERROR(__xludf.DUMMYFUNCTION("""COMPUTED_VALUE"""),FALSE)</f>
        <v>0</v>
      </c>
      <c r="U375" s="12" t="b">
        <f>IFERROR(__xludf.DUMMYFUNCTION("""COMPUTED_VALUE"""),FALSE)</f>
        <v>0</v>
      </c>
      <c r="V375" s="13" t="str">
        <f>IFERROR(__xludf.DUMMYFUNCTION("""COMPUTED_VALUE"""),"https://hcd.harriscountytx.gov/Residents/Bereavement-Services")</f>
        <v>https://hcd.harriscountytx.gov/Residents/Bereavement-Services</v>
      </c>
      <c r="W375" s="14" t="str">
        <f>IFERROR(__xludf.DUMMYFUNCTION("""COMPUTED_VALUE"""),"https://www.google.com/maps/place/Harris+County+Cemetery/@29.8152693,-95.2393573,17z/data=!3m1!4b1!4m6!3m5!1s0x8640bb2583833435:0xee53b2c3fb77944f!8m2!3d29.8152647!4d-95.2367824!16s%2Fg%2F1vntk8dl?entry=ttu&amp;g_ep=EgoyMDI1MDUxMS4wIKXMDSoASAFQAw%3D%3D")</f>
        <v>https://www.google.com/maps/place/Harris+County+Cemetery/@29.8152693,-95.2393573,17z/data=!3m1!4b1!4m6!3m5!1s0x8640bb2583833435:0xee53b2c3fb77944f!8m2!3d29.8152647!4d-95.2367824!16s%2Fg%2F1vntk8dl?entry=ttu&amp;g_ep=EgoyMDI1MDUxMS4wIKXMDSoASAFQAw%3D%3D</v>
      </c>
      <c r="X375" s="10"/>
      <c r="Y375" s="9" t="str">
        <f>IFERROR(__xludf.DUMMYFUNCTION("""COMPUTED_VALUE"""),"Houston")</f>
        <v>Houston</v>
      </c>
      <c r="Z375" s="9" t="str">
        <f>IFERROR(__xludf.DUMMYFUNCTION("""COMPUTED_VALUE"""),"El Dorado / Oates Prairie, Pleasantville")</f>
        <v>El Dorado / Oates Prairie, Pleasantville</v>
      </c>
      <c r="AA375" s="9" t="str">
        <f>IFERROR(__xludf.DUMMYFUNCTION("""COMPUTED_VALUE"""),"Harris County")</f>
        <v>Harris County</v>
      </c>
      <c r="AB375" s="9" t="str">
        <f>IFERROR(__xludf.DUMMYFUNCTION("""COMPUTED_VALUE"""),"El Dorado / Oates Prairie")</f>
        <v>El Dorado / Oates Prairie</v>
      </c>
    </row>
    <row r="376" ht="30.0" customHeight="1">
      <c r="A376" s="17">
        <v>375.0</v>
      </c>
      <c r="B37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""77242"", ""77257"", ""77277"", ""77279"", ""77336"", ""77338"", ""77339"", ""77345"", ""77346"", ""77347"", ""77357"", ""77365"", ""77373"", ""77375"", ""77377"", ""77379"", ""77383"", ""77387"", ""77388"", ""77389"", ""77393"&amp;""", ""77396"", ""77401"", ""77410"", ""77429"", ""77433"", ""77447"", ""77449"", ""77450"", ""77493"", ""77501"", ""77502"", ""77503"", ""77504"", ""77505"", ""77506"", ""77507"", ""77508"", ""77520"", ""77521"", ""77530"", ""77532"", ""77535"", ""77536"""&amp;",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376" s="9" t="str">
        <f>IFERROR(__xludf.DUMMYFUNCTION("""COMPUTED_VALUE"""),"Harris County Resources for Children and Adults")</f>
        <v>Harris County Resources for Children and Adults</v>
      </c>
      <c r="D376" s="9" t="str">
        <f>IFERROR(__xludf.DUMMYFUNCTION("""COMPUTED_VALUE"""),"2525 Murworth Drive")</f>
        <v>2525 Murworth Drive</v>
      </c>
      <c r="E376" s="9"/>
      <c r="F376" s="9" t="str">
        <f>IFERROR(__xludf.DUMMYFUNCTION("""COMPUTED_VALUE"""),"Houston")</f>
        <v>Houston</v>
      </c>
      <c r="G376" s="9" t="str">
        <f>IFERROR(__xludf.DUMMYFUNCTION("""COMPUTED_VALUE"""),"TX")</f>
        <v>TX</v>
      </c>
      <c r="H376" s="9" t="str">
        <f>IFERROR(__xludf.DUMMYFUNCTION("""COMPUTED_VALUE"""),"77054")</f>
        <v>77054</v>
      </c>
      <c r="I376" s="9" t="str">
        <f>IFERROR(__xludf.DUMMYFUNCTION("""COMPUTED_VALUE"""),"713-394-4000")</f>
        <v>713-394-4000</v>
      </c>
      <c r="J376" s="9" t="str">
        <f>IFERROR(__xludf.DUMMYFUNCTION("""COMPUTED_VALUE"""),"29.685038464028278, -95.41690966915023")</f>
        <v>29.685038464028278, -95.41690966915023</v>
      </c>
      <c r="K376" s="9" t="str">
        <f>IFERROR(__xludf.DUMMYFUNCTION("""COMPUTED_VALUE"""),"{""regular"":[{""days"":[""Mo"",""Tu"",""We"",""Th"",""Fr"",""Sa""],""open"":""08:00"",""close"":""17:00""}]}")</f>
        <v>{"regular":[{"days":["Mo","Tu","We","Th","Fr","Sa"],"open":"08:00","close":"17:00"}]}</v>
      </c>
      <c r="L376" s="9"/>
      <c r="M376" s="10">
        <f>IFERROR(__xludf.DUMMYFUNCTION("""COMPUTED_VALUE"""),21.0)</f>
        <v>21</v>
      </c>
      <c r="N376" s="10" t="str">
        <f>IFERROR(__xludf.DUMMYFUNCTION("""COMPUTED_VALUE"""),"Homeless - Shelters")</f>
        <v>Homeless - Shelters</v>
      </c>
      <c r="O376" s="10">
        <f>IFERROR(__xludf.DUMMYFUNCTION("""COMPUTED_VALUE"""),1.0)</f>
        <v>1</v>
      </c>
      <c r="P376" s="10" t="str">
        <f>IFERROR(__xludf.DUMMYFUNCTION("""COMPUTED_VALUE"""),"ACTIVE")</f>
        <v>ACTIVE</v>
      </c>
      <c r="Q376" s="11">
        <f>IFERROR(__xludf.DUMMYFUNCTION("""COMPUTED_VALUE"""),45946.0)</f>
        <v>45946</v>
      </c>
      <c r="R376" s="9" t="str">
        <f>IFERROR(__xludf.DUMMYFUNCTION("""COMPUTED_VALUE"""),"Verified online")</f>
        <v>Verified online</v>
      </c>
      <c r="S376" s="9" t="str">
        <f>IFERROR(__xludf.DUMMYFUNCTION("""COMPUTED_VALUE"""),"Emergency shelter for youths aged 12 to 17 years.")</f>
        <v>Emergency shelter for youths aged 12 to 17 years.</v>
      </c>
      <c r="T376" s="12" t="b">
        <f>IFERROR(__xludf.DUMMYFUNCTION("""COMPUTED_VALUE"""),FALSE)</f>
        <v>0</v>
      </c>
      <c r="U376" s="12" t="b">
        <f>IFERROR(__xludf.DUMMYFUNCTION("""COMPUTED_VALUE"""),FALSE)</f>
        <v>0</v>
      </c>
      <c r="V376" s="13" t="str">
        <f>IFERROR(__xludf.DUMMYFUNCTION("""COMPUTED_VALUE"""),"https://resources.harriscountytx.gov/About-Us/Who-We-Are")</f>
        <v>https://resources.harriscountytx.gov/About-Us/Who-We-Are</v>
      </c>
      <c r="W376" s="14" t="str">
        <f>IFERROR(__xludf.DUMMYFUNCTION("""COMPUTED_VALUE"""),"https://www.google.com/maps/place/Harris+County+Resources+for+Children+and+Adults/@29.6846563,-95.4195168,16z/data=!3m1!4b1!4m6!3m5!1s0x8640c0222098f103:0xf23ddb54b95c6976!8m2!3d29.6846517!4d-95.4169365!16s%2Fg%2F1t_hzcfk?entry=ttu&amp;g_ep=EgoyMDI1MTAxMy4wIK"&amp;"XMDSoASAFQAw%3D%3D")</f>
        <v>https://www.google.com/maps/place/Harris+County+Resources+for+Children+and+Adults/@29.6846563,-95.4195168,16z/data=!3m1!4b1!4m6!3m5!1s0x8640c0222098f103:0xf23ddb54b95c6976!8m2!3d29.6846517!4d-95.4169365!16s%2Fg%2F1t_hzcfk?entry=ttu&amp;g_ep=EgoyMDI1MTAxMy4wIKXMDSoASAFQAw%3D%3D</v>
      </c>
      <c r="X376" s="10"/>
      <c r="Y376" s="9" t="str">
        <f>IFERROR(__xludf.DUMMYFUNCTION("""COMPUTED_VALUE"""),"Houston")</f>
        <v>Houston</v>
      </c>
      <c r="Z376" s="9" t="str">
        <f>IFERROR(__xludf.DUMMYFUNCTION("""COMPUTED_VALUE"""),"Astrodome Area, Medical Center South, NRG Park area, South Main")</f>
        <v>Astrodome Area, Medical Center South, NRG Park area, South Main</v>
      </c>
      <c r="AA376" s="9" t="str">
        <f>IFERROR(__xludf.DUMMYFUNCTION("""COMPUTED_VALUE"""),"Harris County")</f>
        <v>Harris County</v>
      </c>
      <c r="AB376" s="9" t="str">
        <f>IFERROR(__xludf.DUMMYFUNCTION("""COMPUTED_VALUE"""),"South Main")</f>
        <v>South Main</v>
      </c>
    </row>
    <row r="377" ht="30.0" customHeight="1">
      <c r="A377" s="17">
        <v>376.0</v>
      </c>
      <c r="B37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7" s="9" t="str">
        <f>IFERROR(__xludf.DUMMYFUNCTION("""COMPUTED_VALUE"""),"Harris County Social Services")</f>
        <v>Harris County Social Services</v>
      </c>
      <c r="D377" s="9" t="str">
        <f>IFERROR(__xludf.DUMMYFUNCTION("""COMPUTED_VALUE"""),"9418 Jensen Drive")</f>
        <v>9418 Jensen Drive</v>
      </c>
      <c r="E377" s="9"/>
      <c r="F377" s="9" t="str">
        <f>IFERROR(__xludf.DUMMYFUNCTION("""COMPUTED_VALUE"""),"Houston")</f>
        <v>Houston</v>
      </c>
      <c r="G377" s="9" t="str">
        <f>IFERROR(__xludf.DUMMYFUNCTION("""COMPUTED_VALUE"""),"TX")</f>
        <v>TX</v>
      </c>
      <c r="H377" s="9" t="str">
        <f>IFERROR(__xludf.DUMMYFUNCTION("""COMPUTED_VALUE"""),"77093")</f>
        <v>77093</v>
      </c>
      <c r="I377" s="9" t="str">
        <f>IFERROR(__xludf.DUMMYFUNCTION("""COMPUTED_VALUE"""),"832-927-4955")</f>
        <v>832-927-4955</v>
      </c>
      <c r="J377" s="9" t="str">
        <f>IFERROR(__xludf.DUMMYFUNCTION("""COMPUTED_VALUE"""),"29.847218, -95.342847")</f>
        <v>29.847218, -95.342847</v>
      </c>
      <c r="K377" s="9" t="str">
        <f>IFERROR(__xludf.DUMMYFUNCTION("""COMPUTED_VALUE"""),"{""regular"":[{""days"":[""Mo"",""Tu"",""We"",""Th"",""Fr""],""open"":""08:00"",""close"":""17:00""}]}")</f>
        <v>{"regular":[{"days":["Mo","Tu","We","Th","Fr"],"open":"08:00","close":"17:00"}]}</v>
      </c>
      <c r="L377" s="9"/>
      <c r="M377" s="10">
        <f>IFERROR(__xludf.DUMMYFUNCTION("""COMPUTED_VALUE"""),11.0)</f>
        <v>11</v>
      </c>
      <c r="N377" s="10" t="str">
        <f>IFERROR(__xludf.DUMMYFUNCTION("""COMPUTED_VALUE"""),"Rent")</f>
        <v>Rent</v>
      </c>
      <c r="O377" s="10">
        <f>IFERROR(__xludf.DUMMYFUNCTION("""COMPUTED_VALUE"""),4.0)</f>
        <v>4</v>
      </c>
      <c r="P377" s="10" t="str">
        <f>IFERROR(__xludf.DUMMYFUNCTION("""COMPUTED_VALUE"""),"CLOSED")</f>
        <v>CLOSED</v>
      </c>
      <c r="Q377" s="11">
        <f>IFERROR(__xludf.DUMMYFUNCTION("""COMPUTED_VALUE"""),45874.0)</f>
        <v>45874</v>
      </c>
      <c r="R377" s="9" t="str">
        <f>IFERROR(__xludf.DUMMYFUNCTION("""COMPUTED_VALUE"""),"No assistance for past 3 years according to CCSC client.  Website refers people to 211.")</f>
        <v>No assistance for past 3 years according to CCSC client.  Website refers people to 211.</v>
      </c>
      <c r="S377" s="9" t="str">
        <f>IFERROR(__xludf.DUMMYFUNCTION("""COMPUTED_VALUE"""),"Clients are seen on a walk-in basis. Waiting time depends on the number of appointments for the day. However, recommend clients call first.
Current government issued picture ID and Social Security Card. Original documents, not copies.
US Citizens/Permanen"&amp;"t Residents.
Applicant must reside in household seeking assistance.
House deed, lease agreement or housing contract.
Proof of current or most recent and/or proof of past management of rent. Verification of all income must be provided for ALL household mem"&amp;"bers who are receiving income. Income must be verifiable. Income documentation may include SS Disability award letters, TANF award letters, Food Stamp award letters, VA award letters, Child Support, paycheck stubs or letter from employer. IF there is no i"&amp;"ncome from a household member who is 18 years or older, a certification of income form must be completed.-Bank Transaction History Report and receipts (for the last 30 days from the date of appointment).
Verification of other assistance. If you are curren"&amp;"tly receiving assistance from another agency or organization, please provide proof of ALL pledges and assistance.")</f>
        <v>Clients are seen on a walk-in basis. Waiting time depends on the number of appointments for the day. However, recommend clients call first.
Current government issued picture ID and Social Security Card. Original documents, not copies.
US Citizens/Permanent Residents.
Applicant must reside in household seeking assistance.
House deed, lease agreement or housing contract.
Proof of current or most recent and/or proof of past management of rent. Verification of all income must be provided for ALL household members who are receiving income. Income must be verifiable. Income documentation may include SS Disability award letters, TANF award letters, Food Stamp award letters, VA award letters, Child Support, paycheck stubs or letter from employer. IF there is no income from a household member who is 18 years or older, a certification of income form must be completed.-Bank Transaction History Report and receipts (for the last 30 days from the date of appointment).
Verification of other assistance. If you are currently receiving assistance from another agency or organization, please provide proof of ALL pledges and assistance.</v>
      </c>
      <c r="T377" s="12" t="b">
        <f>IFERROR(__xludf.DUMMYFUNCTION("""COMPUTED_VALUE"""),FALSE)</f>
        <v>0</v>
      </c>
      <c r="U377" s="12" t="b">
        <f>IFERROR(__xludf.DUMMYFUNCTION("""COMPUTED_VALUE"""),FALSE)</f>
        <v>0</v>
      </c>
      <c r="V377" s="13" t="str">
        <f>IFERROR(__xludf.DUMMYFUNCTION("""COMPUTED_VALUE"""),"https://hcd.harriscountytx.gov/")</f>
        <v>https://hcd.harriscountytx.gov/</v>
      </c>
      <c r="W377" s="14" t="str">
        <f>IFERROR(__xludf.DUMMYFUNCTION("""COMPUTED_VALUE"""),"https://maps.app.goo.gl/WPuB2MH9d6FTxm9e7")</f>
        <v>https://maps.app.goo.gl/WPuB2MH9d6FTxm9e7</v>
      </c>
      <c r="X377" s="10"/>
      <c r="Y377" s="9" t="str">
        <f>IFERROR(__xludf.DUMMYFUNCTION("""COMPUTED_VALUE"""),"Houston")</f>
        <v>Houston</v>
      </c>
      <c r="Z377" s="9" t="str">
        <f>IFERROR(__xludf.DUMMYFUNCTION("""COMPUTED_VALUE"""),"Eastex, Jensen, Northeast Houston")</f>
        <v>Eastex, Jensen, Northeast Houston</v>
      </c>
      <c r="AA377" s="9" t="str">
        <f>IFERROR(__xludf.DUMMYFUNCTION("""COMPUTED_VALUE"""),"Harris County")</f>
        <v>Harris County</v>
      </c>
      <c r="AB377" s="9" t="str">
        <f>IFERROR(__xludf.DUMMYFUNCTION("""COMPUTED_VALUE"""),"Northeast Houston")</f>
        <v>Northeast Houston</v>
      </c>
    </row>
    <row r="378" ht="30.0" customHeight="1">
      <c r="A378" s="17">
        <v>377.0</v>
      </c>
      <c r="B378" s="8" t="str">
        <f>IFERROR(__xludf.DUMMYFUNCTION("""COMPUTED_VALUE"""),"[""99999""]")</f>
        <v>["99999"]</v>
      </c>
      <c r="C378" s="9" t="str">
        <f>IFERROR(__xludf.DUMMYFUNCTION("""COMPUTED_VALUE"""),"Harris County Veterans Services Department")</f>
        <v>Harris County Veterans Services Department</v>
      </c>
      <c r="D378" s="9" t="str">
        <f>IFERROR(__xludf.DUMMYFUNCTION("""COMPUTED_VALUE"""),"2000 Travis Street")</f>
        <v>2000 Travis Street</v>
      </c>
      <c r="E378" s="9" t="str">
        <f>IFERROR(__xludf.DUMMYFUNCTION("""COMPUTED_VALUE"""),"Suite 210")</f>
        <v>Suite 210</v>
      </c>
      <c r="F378" s="10" t="str">
        <f>IFERROR(__xludf.DUMMYFUNCTION("""COMPUTED_VALUE"""),"Houston")</f>
        <v>Houston</v>
      </c>
      <c r="G378" s="9" t="str">
        <f>IFERROR(__xludf.DUMMYFUNCTION("""COMPUTED_VALUE"""),"TX")</f>
        <v>TX</v>
      </c>
      <c r="H378" s="9" t="str">
        <f>IFERROR(__xludf.DUMMYFUNCTION("""COMPUTED_VALUE"""),"77002")</f>
        <v>77002</v>
      </c>
      <c r="I378" s="9" t="str">
        <f>IFERROR(__xludf.DUMMYFUNCTION("""COMPUTED_VALUE"""),"281-876-6600")</f>
        <v>281-876-6600</v>
      </c>
      <c r="J378" s="9" t="str">
        <f>IFERROR(__xludf.DUMMYFUNCTION("""COMPUTED_VALUE"""),"29.750238303558806, -95.37168207898542")</f>
        <v>29.750238303558806, -95.37168207898542</v>
      </c>
      <c r="K378" s="9" t="str">
        <f>IFERROR(__xludf.DUMMYFUNCTION("""COMPUTED_VALUE"""),"{""regular"":[{""days"":[""Mo"",""Tu"",""We"",""Th"",""Fr""],""open"":""08:00"",""close"":""17:00""}]}")</f>
        <v>{"regular":[{"days":["Mo","Tu","We","Th","Fr"],"open":"08:00","close":"17:00"}]}</v>
      </c>
      <c r="L378" s="9"/>
      <c r="M378" s="10">
        <f>IFERROR(__xludf.DUMMYFUNCTION("""COMPUTED_VALUE"""),56.0)</f>
        <v>56</v>
      </c>
      <c r="N378" s="10" t="str">
        <f>IFERROR(__xludf.DUMMYFUNCTION("""COMPUTED_VALUE"""),"Veterans")</f>
        <v>Veterans</v>
      </c>
      <c r="O378" s="10">
        <f>IFERROR(__xludf.DUMMYFUNCTION("""COMPUTED_VALUE"""),1.0)</f>
        <v>1</v>
      </c>
      <c r="P378" s="10" t="str">
        <f>IFERROR(__xludf.DUMMYFUNCTION("""COMPUTED_VALUE"""),"ACTIVE")</f>
        <v>ACTIVE</v>
      </c>
      <c r="Q378" s="11">
        <f>IFERROR(__xludf.DUMMYFUNCTION("""COMPUTED_VALUE"""),46066.0)</f>
        <v>46066</v>
      </c>
      <c r="R378" s="9" t="str">
        <f>IFERROR(__xludf.DUMMYFUNCTION("""COMPUTED_VALUE"""),"Verified online")</f>
        <v>Verified online</v>
      </c>
      <c r="S378" s="9" t="str">
        <f>IFERROR(__xludf.DUMMYFUNCTION("""COMPUTED_VALUE"""),"Veterans
Advocates for veterans and their dependents in Harris and surrounding counties.
Assistance with compensation, pension, medical, educational, insurance, death benefits and obtaining necessary documentation to apply for benefits.")</f>
        <v>Veterans
Advocates for veterans and their dependents in Harris and surrounding counties.
Assistance with compensation, pension, medical, educational, insurance, death benefits and obtaining necessary documentation to apply for benefits.</v>
      </c>
      <c r="T378" s="12" t="b">
        <f>IFERROR(__xludf.DUMMYFUNCTION("""COMPUTED_VALUE"""),FALSE)</f>
        <v>0</v>
      </c>
      <c r="U378" s="12" t="b">
        <f>IFERROR(__xludf.DUMMYFUNCTION("""COMPUTED_VALUE"""),FALSE)</f>
        <v>0</v>
      </c>
      <c r="V378" s="13" t="str">
        <f>IFERROR(__xludf.DUMMYFUNCTION("""COMPUTED_VALUE"""),"https://www.harrisvets.com/claims")</f>
        <v>https://www.harrisvets.com/claims</v>
      </c>
      <c r="W378" s="14" t="str">
        <f>IFERROR(__xludf.DUMMYFUNCTION("""COMPUTED_VALUE"""),"https://www.google.com/maps/place/2000+Travis+St,+Houston,+TX+77002/@29.7500194,-95.3743053,17z/data=!3m1!4b1!4m5!3m4!1s0x8640bf3fe1f88cb1:0x4e6a2f3cb4c836a4!8m2!3d29.7500148!4d-95.371725?entry=ttu&amp;g_ep=EgoyMDI2MDIxMS4wIKXMDSoASAFQAw%3D%3D")</f>
        <v>https://www.google.com/maps/place/2000+Travis+St,+Houston,+TX+77002/@29.7500194,-95.3743053,17z/data=!3m1!4b1!4m5!3m4!1s0x8640bf3fe1f88cb1:0x4e6a2f3cb4c836a4!8m2!3d29.7500148!4d-95.371725?entry=ttu&amp;g_ep=EgoyMDI2MDIxMS4wIKXMDSoASAFQAw%3D%3D</v>
      </c>
      <c r="X378" s="10"/>
      <c r="Y378" s="9" t="str">
        <f>IFERROR(__xludf.DUMMYFUNCTION("""COMPUTED_VALUE"""),"Houston")</f>
        <v>Houston</v>
      </c>
      <c r="Z378"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378" s="9" t="str">
        <f>IFERROR(__xludf.DUMMYFUNCTION("""COMPUTED_VALUE"""),"Harris County")</f>
        <v>Harris County</v>
      </c>
      <c r="AB378" s="9" t="str">
        <f>IFERROR(__xludf.DUMMYFUNCTION("""COMPUTED_VALUE"""),"Downtown Houston")</f>
        <v>Downtown Houston</v>
      </c>
    </row>
    <row r="379" ht="30.0" customHeight="1">
      <c r="A379" s="17">
        <v>378.0</v>
      </c>
      <c r="B37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79" s="9" t="str">
        <f>IFERROR(__xludf.DUMMYFUNCTION("""COMPUTED_VALUE"""),"Harris Health")</f>
        <v>Harris Health</v>
      </c>
      <c r="D379" s="9" t="str">
        <f>IFERROR(__xludf.DUMMYFUNCTION("""COMPUTED_VALUE"""),"4800 Fournace Place")</f>
        <v>4800 Fournace Place</v>
      </c>
      <c r="E379" s="9"/>
      <c r="F379" s="10" t="str">
        <f>IFERROR(__xludf.DUMMYFUNCTION("""COMPUTED_VALUE"""),"Bellaire")</f>
        <v>Bellaire</v>
      </c>
      <c r="G379" s="9" t="str">
        <f>IFERROR(__xludf.DUMMYFUNCTION("""COMPUTED_VALUE"""),"TX")</f>
        <v>TX</v>
      </c>
      <c r="H379" s="9" t="str">
        <f>IFERROR(__xludf.DUMMYFUNCTION("""COMPUTED_VALUE"""),"77401")</f>
        <v>77401</v>
      </c>
      <c r="I379" s="9" t="str">
        <f>IFERROR(__xludf.DUMMYFUNCTION("""COMPUTED_VALUE"""),"713-634-1000")</f>
        <v>713-634-1000</v>
      </c>
      <c r="J379" s="9" t="str">
        <f>IFERROR(__xludf.DUMMYFUNCTION("""COMPUTED_VALUE"""),"29.716716661017, -95.462143779661")</f>
        <v>29.716716661017, -95.462143779661</v>
      </c>
      <c r="K379" s="9" t="str">
        <f>IFERROR(__xludf.DUMMYFUNCTION("""COMPUTED_VALUE"""),"{""regular"":[{""days"":[""Mo"",""Tu"",""We"",""Th"",""Fr""],""open"":""08:00"",""close"":""17:00""}]}")</f>
        <v>{"regular":[{"days":["Mo","Tu","We","Th","Fr"],"open":"08:00","close":"17:00"}]}</v>
      </c>
      <c r="L379" s="9"/>
      <c r="M379" s="10">
        <f>IFERROR(__xludf.DUMMYFUNCTION("""COMPUTED_VALUE"""),31.0)</f>
        <v>31</v>
      </c>
      <c r="N379" s="10" t="str">
        <f>IFERROR(__xludf.DUMMYFUNCTION("""COMPUTED_VALUE"""),"Medical - Primary Care")</f>
        <v>Medical - Primary Care</v>
      </c>
      <c r="O379" s="10">
        <f>IFERROR(__xludf.DUMMYFUNCTION("""COMPUTED_VALUE"""),1.0)</f>
        <v>1</v>
      </c>
      <c r="P379" s="10" t="str">
        <f>IFERROR(__xludf.DUMMYFUNCTION("""COMPUTED_VALUE"""),"ACTIVE")</f>
        <v>ACTIVE</v>
      </c>
      <c r="Q379" s="11">
        <f>IFERROR(__xludf.DUMMYFUNCTION("""COMPUTED_VALUE"""),45805.0)</f>
        <v>45805</v>
      </c>
      <c r="R379" s="9" t="str">
        <f>IFERROR(__xludf.DUMMYFUNCTION("""COMPUTED_VALUE"""),"Verified online")</f>
        <v>Verified online</v>
      </c>
      <c r="S379" s="9" t="str">
        <f>IFERROR(__xludf.DUMMYFUNCTION("""COMPUTED_VALUE"""),"Harris Health is the safety-net healthcare provider for Harris County focusing on low-income uninsured and underinsured patients.
It operates two hospitals, 16 Community Health centers, four mobile clinics as well as multiple emergency shelters for the un"&amp;"housed and school based clinics.  Each health facility is listed individually in this database.")</f>
        <v>Harris Health is the safety-net healthcare provider for Harris County focusing on low-income uninsured and underinsured patients.
It operates two hospitals, 16 Community Health centers, four mobile clinics as well as multiple emergency shelters for the unhoused and school based clinics.  Each health facility is listed individually in this database.</v>
      </c>
      <c r="T379" s="12" t="b">
        <f>IFERROR(__xludf.DUMMYFUNCTION("""COMPUTED_VALUE"""),FALSE)</f>
        <v>0</v>
      </c>
      <c r="U379" s="12" t="b">
        <f>IFERROR(__xludf.DUMMYFUNCTION("""COMPUTED_VALUE"""),FALSE)</f>
        <v>0</v>
      </c>
      <c r="V379" s="13" t="str">
        <f>IFERROR(__xludf.DUMMYFUNCTION("""COMPUTED_VALUE"""),"https://www.harrishealth.org")</f>
        <v>https://www.harrishealth.org</v>
      </c>
      <c r="W379" s="14" t="str">
        <f>IFERROR(__xludf.DUMMYFUNCTION("""COMPUTED_VALUE"""),"https://www.google.com/maps/place/Harris+Health+Corporate+Office/@29.7168245,-95.4817272,15z/data=!3m1!5s0x8640c16edf11b053:0x4add2405afe1aba8!4m10!1m2!2m1!1sHarris+Health+System!3m6!1s0x8640c1d14d503349:0x4f3423ea719c88d5!8m2!3d29.7168245!4d-95.4626728!1"&amp;"5sChRIYXJyaXMgSGVhbHRoIFN5c3RlbSIDiAEBkgEQY29ycG9yYXRlX29mZmljZaoBZQoNL2cvMTFjMXdrMDN2ORABKhgiFGhhcnJpcyBoZWFsdGggc3lzdGVtKAAyHhABIhrcC92RdDxkf4w4A7GWYZSfUNxkTax7pBEK2jIYEAIiFGhhcnJpcyBoZWFsdGggc3lzdGVt4AEA!16s%2Fg%2F11rv5vq4vt?entry=ttu&amp;g_ep=EgoyMDI1MDUy"&amp;"MS4wIKXMDSoASAFQAw%3D%3D")</f>
        <v>https://www.google.com/maps/place/Harris+Health+Corporate+Office/@29.7168245,-95.4817272,15z/data=!3m1!5s0x8640c16edf11b053:0x4add2405afe1aba8!4m10!1m2!2m1!1sHarris+Health+System!3m6!1s0x8640c1d14d503349:0x4f3423ea719c88d5!8m2!3d29.7168245!4d-95.4626728!15sChRIYXJyaXMgSGVhbHRoIFN5c3RlbSIDiAEBkgEQY29ycG9yYXRlX29mZmljZaoBZQoNL2cvMTFjMXdrMDN2ORABKhgiFGhhcnJpcyBoZWFsdGggc3lzdGVtKAAyHhABIhrcC92RdDxkf4w4A7GWYZSfUNxkTax7pBEK2jIYEAIiFGhhcnJpcyBoZWFsdGggc3lzdGVt4AEA!16s%2Fg%2F11rv5vq4vt?entry=ttu&amp;g_ep=EgoyMDI1MDUyMS4wIKXMDSoASAFQAw%3D%3D</v>
      </c>
      <c r="X379" s="10"/>
      <c r="Y379" s="9" t="str">
        <f>IFERROR(__xludf.DUMMYFUNCTION("""COMPUTED_VALUE"""),"Bellaire")</f>
        <v>Bellaire</v>
      </c>
      <c r="Z379" s="9" t="str">
        <f>IFERROR(__xludf.DUMMYFUNCTION("""COMPUTED_VALUE"""),"Bellaire")</f>
        <v>Bellaire</v>
      </c>
      <c r="AA379" s="9" t="str">
        <f>IFERROR(__xludf.DUMMYFUNCTION("""COMPUTED_VALUE"""),"Harris Health")</f>
        <v>Harris Health</v>
      </c>
      <c r="AB379" s="9" t="str">
        <f>IFERROR(__xludf.DUMMYFUNCTION("""COMPUTED_VALUE"""),"Bellaire")</f>
        <v>Bellaire</v>
      </c>
    </row>
    <row r="380" ht="30.0" customHeight="1">
      <c r="A380" s="17">
        <v>379.0</v>
      </c>
      <c r="B38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0" s="9" t="str">
        <f>IFERROR(__xludf.DUMMYFUNCTION("""COMPUTED_VALUE"""),"Harris Health - Acres Home")</f>
        <v>Harris Health - Acres Home</v>
      </c>
      <c r="D380" s="9" t="str">
        <f>IFERROR(__xludf.DUMMYFUNCTION("""COMPUTED_VALUE"""),"818 Ringold Street")</f>
        <v>818 Ringold Street</v>
      </c>
      <c r="E380" s="9"/>
      <c r="F380" s="10" t="str">
        <f>IFERROR(__xludf.DUMMYFUNCTION("""COMPUTED_VALUE"""),"Houston")</f>
        <v>Houston</v>
      </c>
      <c r="G380" s="9" t="str">
        <f>IFERROR(__xludf.DUMMYFUNCTION("""COMPUTED_VALUE"""),"TX")</f>
        <v>TX</v>
      </c>
      <c r="H380" s="9" t="str">
        <f>IFERROR(__xludf.DUMMYFUNCTION("""COMPUTED_VALUE"""),"77088")</f>
        <v>77088</v>
      </c>
      <c r="I380" s="9" t="str">
        <f>IFERROR(__xludf.DUMMYFUNCTION("""COMPUTED_VALUE"""),"281-448-6391")</f>
        <v>281-448-6391</v>
      </c>
      <c r="J380" s="9" t="str">
        <f>IFERROR(__xludf.DUMMYFUNCTION("""COMPUTED_VALUE"""),"29.8751200528619, -95.4189603724318")</f>
        <v>29.8751200528619, -95.4189603724318</v>
      </c>
      <c r="K380" s="9" t="str">
        <f>IFERROR(__xludf.DUMMYFUNCTION("""COMPUTED_VALUE"""),"{""regular"":[{""days"":[""Mo"",""Tu"",""We"",""Th"",""Fr""],""open"":""08:00"",""close"":""17:00""}]}")</f>
        <v>{"regular":[{"days":["Mo","Tu","We","Th","Fr"],"open":"08:00","close":"17:00"}]}</v>
      </c>
      <c r="L380" s="9"/>
      <c r="M380" s="10">
        <f>IFERROR(__xludf.DUMMYFUNCTION("""COMPUTED_VALUE"""),31.0)</f>
        <v>31</v>
      </c>
      <c r="N380" s="10" t="str">
        <f>IFERROR(__xludf.DUMMYFUNCTION("""COMPUTED_VALUE"""),"Medical - Primary Care")</f>
        <v>Medical - Primary Care</v>
      </c>
      <c r="O380" s="10">
        <f>IFERROR(__xludf.DUMMYFUNCTION("""COMPUTED_VALUE"""),1.0)</f>
        <v>1</v>
      </c>
      <c r="P380" s="10" t="str">
        <f>IFERROR(__xludf.DUMMYFUNCTION("""COMPUTED_VALUE"""),"ACTIVE")</f>
        <v>ACTIVE</v>
      </c>
      <c r="Q380" s="11">
        <f>IFERROR(__xludf.DUMMYFUNCTION("""COMPUTED_VALUE"""),45805.0)</f>
        <v>45805</v>
      </c>
      <c r="R380" s="9" t="str">
        <f>IFERROR(__xludf.DUMMYFUNCTION("""COMPUTED_VALUE"""),"Verified online")</f>
        <v>Verified online</v>
      </c>
      <c r="S380" s="9" t="str">
        <f>IFERROR(__xludf.DUMMYFUNCTION("""COMPUTED_VALUE"""),"Adult and pediatric primary care, adult dentistry, ophthalmology, podiatry, on-site lab, pharmacy, x-ray services, nutrition, counseling and social services.
Harris Health is the safety-net healthcare provider for Harris County focusing on low-income unin"&amp;"sured and underinsured patients.")</f>
        <v>Adult and pediatric primary care, adult dentistry, ophthalmology, podiatry, on-site lab, pharmacy, x-ray services, nutrition, counseling and social services.
Harris Health is the safety-net healthcare provider for Harris County focusing on low-income uninsured and underinsured patients.</v>
      </c>
      <c r="T380" s="12" t="b">
        <f>IFERROR(__xludf.DUMMYFUNCTION("""COMPUTED_VALUE"""),FALSE)</f>
        <v>0</v>
      </c>
      <c r="U380" s="12" t="b">
        <f>IFERROR(__xludf.DUMMYFUNCTION("""COMPUTED_VALUE"""),FALSE)</f>
        <v>0</v>
      </c>
      <c r="V380" s="13" t="str">
        <f>IFERROR(__xludf.DUMMYFUNCTION("""COMPUTED_VALUE"""),"https://www.harrishealth.org/locations-hh/Pages/acres-home-health-center.aspx")</f>
        <v>https://www.harrishealth.org/locations-hh/Pages/acres-home-health-center.aspx</v>
      </c>
      <c r="W380" s="14" t="str">
        <f>IFERROR(__xludf.DUMMYFUNCTION("""COMPUTED_VALUE"""),"https://www.google.com/maps/place/Harris+Health+Acres+Home+Health+Center/@29.8758543,-95.4213997,16z/data=!3m1!4b1!4m6!3m5!1s0x8640c86de9652fa7:0x936a59c12f7e8ddd!8m2!3d29.8758497!4d-95.4188194!16s%2Fg%2F1tg4x6ts?entry=ttu&amp;g_ep=EgoyMDI1MDUyMS4wIKXMDSoASAF"&amp;"QAw%3D%3D")</f>
        <v>https://www.google.com/maps/place/Harris+Health+Acres+Home+Health+Center/@29.8758543,-95.4213997,16z/data=!3m1!4b1!4m6!3m5!1s0x8640c86de9652fa7:0x936a59c12f7e8ddd!8m2!3d29.8758497!4d-95.4188194!16s%2Fg%2F1tg4x6ts?entry=ttu&amp;g_ep=EgoyMDI1MDUyMS4wIKXMDSoASAFQAw%3D%3D</v>
      </c>
      <c r="X380" s="10"/>
      <c r="Y380" s="9" t="str">
        <f>IFERROR(__xludf.DUMMYFUNCTION("""COMPUTED_VALUE"""),"Houston")</f>
        <v>Houston</v>
      </c>
      <c r="Z380" s="9" t="str">
        <f>IFERROR(__xludf.DUMMYFUNCTION("""COMPUTED_VALUE"""),"Acres Home, Inwood, Northside")</f>
        <v>Acres Home, Inwood, Northside</v>
      </c>
      <c r="AA380" s="9" t="str">
        <f>IFERROR(__xludf.DUMMYFUNCTION("""COMPUTED_VALUE"""),"Harris Health")</f>
        <v>Harris Health</v>
      </c>
      <c r="AB380" s="9" t="str">
        <f>IFERROR(__xludf.DUMMYFUNCTION("""COMPUTED_VALUE"""),"Acres Home")</f>
        <v>Acres Home</v>
      </c>
    </row>
    <row r="381" ht="30.0" customHeight="1">
      <c r="A381" s="17">
        <v>380.0</v>
      </c>
      <c r="B38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1" s="9" t="str">
        <f>IFERROR(__xludf.DUMMYFUNCTION("""COMPUTED_VALUE"""),"Harris Health - Aldine")</f>
        <v>Harris Health - Aldine</v>
      </c>
      <c r="D381" s="9" t="str">
        <f>IFERROR(__xludf.DUMMYFUNCTION("""COMPUTED_VALUE"""),"4755 Aldine Mail Route")</f>
        <v>4755 Aldine Mail Route</v>
      </c>
      <c r="E381" s="9"/>
      <c r="F381" s="10" t="str">
        <f>IFERROR(__xludf.DUMMYFUNCTION("""COMPUTED_VALUE"""),"Houston")</f>
        <v>Houston</v>
      </c>
      <c r="G381" s="9" t="str">
        <f>IFERROR(__xludf.DUMMYFUNCTION("""COMPUTED_VALUE"""),"TX")</f>
        <v>TX</v>
      </c>
      <c r="H381" s="9" t="str">
        <f>IFERROR(__xludf.DUMMYFUNCTION("""COMPUTED_VALUE"""),"77039")</f>
        <v>77039</v>
      </c>
      <c r="I381" s="9" t="str">
        <f>IFERROR(__xludf.DUMMYFUNCTION("""COMPUTED_VALUE"""),"281-985-7600")</f>
        <v>281-985-7600</v>
      </c>
      <c r="J381" s="9" t="str">
        <f>IFERROR(__xludf.DUMMYFUNCTION("""COMPUTED_VALUE"""),"29.9029053061225, -95.3226580408163")</f>
        <v>29.9029053061225, -95.3226580408163</v>
      </c>
      <c r="K381" s="9" t="str">
        <f>IFERROR(__xludf.DUMMYFUNCTION("""COMPUTED_VALUE"""),"{""regular"":[{""days"":[""Mo"",""Tu"",""We"",""Th"",""Fr""],""open"":""08:00"",""close"":""17:00""}]}")</f>
        <v>{"regular":[{"days":["Mo","Tu","We","Th","Fr"],"open":"08:00","close":"17:00"}]}</v>
      </c>
      <c r="L381" s="9"/>
      <c r="M381" s="10">
        <f>IFERROR(__xludf.DUMMYFUNCTION("""COMPUTED_VALUE"""),31.0)</f>
        <v>31</v>
      </c>
      <c r="N381" s="10" t="str">
        <f>IFERROR(__xludf.DUMMYFUNCTION("""COMPUTED_VALUE"""),"Medical - Primary Care")</f>
        <v>Medical - Primary Care</v>
      </c>
      <c r="O381" s="10">
        <f>IFERROR(__xludf.DUMMYFUNCTION("""COMPUTED_VALUE"""),1.0)</f>
        <v>1</v>
      </c>
      <c r="P381" s="10" t="str">
        <f>IFERROR(__xludf.DUMMYFUNCTION("""COMPUTED_VALUE"""),"ACTIVE")</f>
        <v>ACTIVE</v>
      </c>
      <c r="Q381" s="11">
        <f>IFERROR(__xludf.DUMMYFUNCTION("""COMPUTED_VALUE"""),46049.0)</f>
        <v>46049</v>
      </c>
      <c r="R381" s="9" t="str">
        <f>IFERROR(__xludf.DUMMYFUNCTION("""COMPUTED_VALUE"""),"Verified online")</f>
        <v>Verified online</v>
      </c>
      <c r="S381" s="9" t="str">
        <f>IFERROR(__xludf.DUMMYFUNCTION("""COMPUTED_VALUE"""),"Primary healthcare, dental care, mammography services, OB/GYN, podiatry, psychiatry, on-site lab, pharmacy, x-ray services, nutrition, counseling and social services.
Harris Health is the safety-net healthcare provider for Harris County focusing on low-in"&amp;"come uninsured and underinsured patients.")</f>
        <v>Primary healthcare, dental care, mammography services, OB/GYN, podiatry, psychiatry, on-site lab, pharmacy, x-ray services, nutrition, counseling and social services.
Harris Health is the safety-net healthcare provider for Harris County focusing on low-income uninsured and underinsured patients.</v>
      </c>
      <c r="T381" s="12" t="b">
        <f>IFERROR(__xludf.DUMMYFUNCTION("""COMPUTED_VALUE"""),FALSE)</f>
        <v>0</v>
      </c>
      <c r="U381" s="12" t="b">
        <f>IFERROR(__xludf.DUMMYFUNCTION("""COMPUTED_VALUE"""),FALSE)</f>
        <v>0</v>
      </c>
      <c r="V381" s="13" t="str">
        <f>IFERROR(__xludf.DUMMYFUNCTION("""COMPUTED_VALUE"""),"https://www.harrishealth.org/locations-hh/Pages/aldine-health-center.aspx")</f>
        <v>https://www.harrishealth.org/locations-hh/Pages/aldine-health-center.aspx</v>
      </c>
      <c r="W381" s="14" t="str">
        <f>IFERROR(__xludf.DUMMYFUNCTION("""COMPUTED_VALUE"""),"https://www.google.com/maps/place/Harris+Health+Aldine+Health+Center/@29.9032127,-95.3235658,16z/data=!3m1!4b1!4m6!3m5!1s0x8640b7256679bf63:0xd195fa76b13c3a3e!8m2!3d29.9032081!4d-95.3209855!16s%2Fg%2F1tgz0znw?entry=ttu&amp;g_ep=EgoyMDI1MDUyMS4wIKXMDSoASAFQAw%"&amp;"3D%3D")</f>
        <v>https://www.google.com/maps/place/Harris+Health+Aldine+Health+Center/@29.9032127,-95.3235658,16z/data=!3m1!4b1!4m6!3m5!1s0x8640b7256679bf63:0xd195fa76b13c3a3e!8m2!3d29.9032081!4d-95.3209855!16s%2Fg%2F1tgz0znw?entry=ttu&amp;g_ep=EgoyMDI1MDUyMS4wIKXMDSoASAFQAw%3D%3D</v>
      </c>
      <c r="X381" s="10"/>
      <c r="Y381" s="9" t="str">
        <f>IFERROR(__xludf.DUMMYFUNCTION("""COMPUTED_VALUE"""),"Houston")</f>
        <v>Houston</v>
      </c>
      <c r="Z381" s="9" t="str">
        <f>IFERROR(__xludf.DUMMYFUNCTION("""COMPUTED_VALUE"""),"Airline, Aldine, Fairgreen, High Meadows")</f>
        <v>Airline, Aldine, Fairgreen, High Meadows</v>
      </c>
      <c r="AA381" s="9" t="str">
        <f>IFERROR(__xludf.DUMMYFUNCTION("""COMPUTED_VALUE"""),"Harris Health")</f>
        <v>Harris Health</v>
      </c>
      <c r="AB381" s="9" t="str">
        <f>IFERROR(__xludf.DUMMYFUNCTION("""COMPUTED_VALUE"""),"High Meadows")</f>
        <v>High Meadows</v>
      </c>
    </row>
    <row r="382" ht="30.0" customHeight="1">
      <c r="A382" s="17">
        <v>381.0</v>
      </c>
      <c r="B38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2" s="9" t="str">
        <f>IFERROR(__xludf.DUMMYFUNCTION("""COMPUTED_VALUE"""),"Harris Health - Aldine")</f>
        <v>Harris Health - Aldine</v>
      </c>
      <c r="D382" s="9" t="str">
        <f>IFERROR(__xludf.DUMMYFUNCTION("""COMPUTED_VALUE"""),"4755 Aldine Mail Route")</f>
        <v>4755 Aldine Mail Route</v>
      </c>
      <c r="E382" s="9"/>
      <c r="F382" s="10" t="str">
        <f>IFERROR(__xludf.DUMMYFUNCTION("""COMPUTED_VALUE"""),"Houston")</f>
        <v>Houston</v>
      </c>
      <c r="G382" s="9" t="str">
        <f>IFERROR(__xludf.DUMMYFUNCTION("""COMPUTED_VALUE"""),"TX")</f>
        <v>TX</v>
      </c>
      <c r="H382" s="9" t="str">
        <f>IFERROR(__xludf.DUMMYFUNCTION("""COMPUTED_VALUE"""),"77039")</f>
        <v>77039</v>
      </c>
      <c r="I382" s="9" t="str">
        <f>IFERROR(__xludf.DUMMYFUNCTION("""COMPUTED_VALUE"""),"281-985-7600")</f>
        <v>281-985-7600</v>
      </c>
      <c r="J382" s="9" t="str">
        <f>IFERROR(__xludf.DUMMYFUNCTION("""COMPUTED_VALUE"""),"29.9029053061225, -95.3226580408163")</f>
        <v>29.9029053061225, -95.3226580408163</v>
      </c>
      <c r="K382" s="9" t="str">
        <f>IFERROR(__xludf.DUMMYFUNCTION("""COMPUTED_VALUE"""),"{""regular"":[{""days"":[""Mo"",""Tu"",""We"",""Th"",""Fr""],""open"":""08:00"",""close"":""17:00""}]}")</f>
        <v>{"regular":[{"days":["Mo","Tu","We","Th","Fr"],"open":"08:00","close":"17:00"}]}</v>
      </c>
      <c r="L382" s="9"/>
      <c r="M382" s="10">
        <f>IFERROR(__xludf.DUMMYFUNCTION("""COMPUTED_VALUE"""),32.0)</f>
        <v>32</v>
      </c>
      <c r="N382" s="10" t="str">
        <f>IFERROR(__xludf.DUMMYFUNCTION("""COMPUTED_VALUE"""),"Medical - Dental &amp; Vision")</f>
        <v>Medical - Dental &amp; Vision</v>
      </c>
      <c r="O382" s="10">
        <f>IFERROR(__xludf.DUMMYFUNCTION("""COMPUTED_VALUE"""),1.0)</f>
        <v>1</v>
      </c>
      <c r="P382" s="10" t="str">
        <f>IFERROR(__xludf.DUMMYFUNCTION("""COMPUTED_VALUE"""),"ACTIVE")</f>
        <v>ACTIVE</v>
      </c>
      <c r="Q382" s="11">
        <f>IFERROR(__xludf.DUMMYFUNCTION("""COMPUTED_VALUE"""),46049.0)</f>
        <v>46049</v>
      </c>
      <c r="R382" s="9" t="str">
        <f>IFERROR(__xludf.DUMMYFUNCTION("""COMPUTED_VALUE"""),"Verified online")</f>
        <v>Verified online</v>
      </c>
      <c r="S382" s="9" t="str">
        <f>IFERROR(__xludf.DUMMYFUNCTION("""COMPUTED_VALUE"""),"Vision
Harris Health provides vision care but specifics are unclear.
Harris Health is the safety-net healthcare provider for Harris County focusing on low-income uninsured and underinsured patients.")</f>
        <v>Vision
Harris Health provides vision care but specifics are unclear.
Harris Health is the safety-net healthcare provider for Harris County focusing on low-income uninsured and underinsured patients.</v>
      </c>
      <c r="T382" s="12" t="b">
        <f>IFERROR(__xludf.DUMMYFUNCTION("""COMPUTED_VALUE"""),TRUE)</f>
        <v>1</v>
      </c>
      <c r="U382" s="12" t="b">
        <f>IFERROR(__xludf.DUMMYFUNCTION("""COMPUTED_VALUE"""),FALSE)</f>
        <v>0</v>
      </c>
      <c r="V382" s="13" t="str">
        <f>IFERROR(__xludf.DUMMYFUNCTION("""COMPUTED_VALUE"""),"https://www.harrishealth.org/locations-hh/Pages/aldine-health-center.aspx")</f>
        <v>https://www.harrishealth.org/locations-hh/Pages/aldine-health-center.aspx</v>
      </c>
      <c r="W382" s="14" t="str">
        <f>IFERROR(__xludf.DUMMYFUNCTION("""COMPUTED_VALUE"""),"https://www.google.com/maps/place/Harris+Health+Aldine+Health+Center/@29.9032127,-95.3235658,16z/data=!3m1!4b1!4m6!3m5!1s0x8640b7256679bf63:0xd195fa76b13c3a3e!8m2!3d29.9032081!4d-95.3209855!16s%2Fg%2F1tgz0znw?entry=ttu&amp;g_ep=EgoyMDI1MDUyMS4wIKXMDSoASAFQAw%"&amp;"3D%3D")</f>
        <v>https://www.google.com/maps/place/Harris+Health+Aldine+Health+Center/@29.9032127,-95.3235658,16z/data=!3m1!4b1!4m6!3m5!1s0x8640b7256679bf63:0xd195fa76b13c3a3e!8m2!3d29.9032081!4d-95.3209855!16s%2Fg%2F1tgz0znw?entry=ttu&amp;g_ep=EgoyMDI1MDUyMS4wIKXMDSoASAFQAw%3D%3D</v>
      </c>
      <c r="X382" s="10"/>
      <c r="Y382" s="9" t="str">
        <f>IFERROR(__xludf.DUMMYFUNCTION("""COMPUTED_VALUE"""),"Houston")</f>
        <v>Houston</v>
      </c>
      <c r="Z382" s="9" t="str">
        <f>IFERROR(__xludf.DUMMYFUNCTION("""COMPUTED_VALUE"""),"Airline, Aldine, Fairgreen, High Meadows")</f>
        <v>Airline, Aldine, Fairgreen, High Meadows</v>
      </c>
      <c r="AA382" s="9" t="str">
        <f>IFERROR(__xludf.DUMMYFUNCTION("""COMPUTED_VALUE"""),"Harris Health")</f>
        <v>Harris Health</v>
      </c>
      <c r="AB382" s="9" t="str">
        <f>IFERROR(__xludf.DUMMYFUNCTION("""COMPUTED_VALUE"""),"High Meadows")</f>
        <v>High Meadows</v>
      </c>
    </row>
    <row r="383" ht="30.0" customHeight="1">
      <c r="A383" s="17">
        <v>382.0</v>
      </c>
      <c r="B38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3" s="9" t="str">
        <f>IFERROR(__xludf.DUMMYFUNCTION("""COMPUTED_VALUE"""),"Harris Health - Baytown")</f>
        <v>Harris Health - Baytown</v>
      </c>
      <c r="D383" s="9" t="str">
        <f>IFERROR(__xludf.DUMMYFUNCTION("""COMPUTED_VALUE"""),"1602 Garth Road")</f>
        <v>1602 Garth Road</v>
      </c>
      <c r="E383" s="9"/>
      <c r="F383" s="10" t="str">
        <f>IFERROR(__xludf.DUMMYFUNCTION("""COMPUTED_VALUE"""),"Baytown")</f>
        <v>Baytown</v>
      </c>
      <c r="G383" s="9" t="str">
        <f>IFERROR(__xludf.DUMMYFUNCTION("""COMPUTED_VALUE"""),"TX")</f>
        <v>TX</v>
      </c>
      <c r="H383" s="9" t="str">
        <f>IFERROR(__xludf.DUMMYFUNCTION("""COMPUTED_VALUE"""),"77520")</f>
        <v>77520</v>
      </c>
      <c r="I383" s="9" t="str">
        <f>IFERROR(__xludf.DUMMYFUNCTION("""COMPUTED_VALUE"""),"281-837-2700")</f>
        <v>281-837-2700</v>
      </c>
      <c r="J383" s="9" t="str">
        <f>IFERROR(__xludf.DUMMYFUNCTION("""COMPUTED_VALUE"""),"29.7440374448195, -94.9787792242936")</f>
        <v>29.7440374448195, -94.9787792242936</v>
      </c>
      <c r="K383" s="9" t="str">
        <f>IFERROR(__xludf.DUMMYFUNCTION("""COMPUTED_VALUE"""),"{""regular"":[{""days"":[""Mo"",""Tu"",""We"",""Th"",""Fr""],""open"":""07:00"",""close"":""17:00""}]}")</f>
        <v>{"regular":[{"days":["Mo","Tu","We","Th","Fr"],"open":"07:00","close":"17:00"}]}</v>
      </c>
      <c r="L383" s="9"/>
      <c r="M383" s="10">
        <f>IFERROR(__xludf.DUMMYFUNCTION("""COMPUTED_VALUE"""),31.0)</f>
        <v>31</v>
      </c>
      <c r="N383" s="10" t="str">
        <f>IFERROR(__xludf.DUMMYFUNCTION("""COMPUTED_VALUE"""),"Medical - Primary Care")</f>
        <v>Medical - Primary Care</v>
      </c>
      <c r="O383" s="10">
        <f>IFERROR(__xludf.DUMMYFUNCTION("""COMPUTED_VALUE"""),1.0)</f>
        <v>1</v>
      </c>
      <c r="P383" s="10" t="str">
        <f>IFERROR(__xludf.DUMMYFUNCTION("""COMPUTED_VALUE"""),"ACTIVE")</f>
        <v>ACTIVE</v>
      </c>
      <c r="Q383" s="11">
        <f>IFERROR(__xludf.DUMMYFUNCTION("""COMPUTED_VALUE"""),45805.0)</f>
        <v>45805</v>
      </c>
      <c r="R383" s="9" t="str">
        <f>IFERROR(__xludf.DUMMYFUNCTION("""COMPUTED_VALUE"""),"Verified online")</f>
        <v>Verified online</v>
      </c>
      <c r="S383" s="9" t="str">
        <f>IFERROR(__xludf.DUMMYFUNCTION("""COMPUTED_VALUE"""),"Primary care services with specialists in pediatrics, geriatrics, ophthalmology, mammography, podiatry, psychiatry, radiology, on site lab, pharmacy services and nutrition and health education.
Harris Health is the safety-net healthcare provider for Harri"&amp;"s County focusing on low-income uninsured and underinsured patients.")</f>
        <v>Primary care services with specialists in pediatrics, geriatrics, ophthalmology, mammography, podiatry, psychiatry, radiology, on site lab, pharmacy services and nutrition and health education.
Harris Health is the safety-net healthcare provider for Harris County focusing on low-income uninsured and underinsured patients.</v>
      </c>
      <c r="T383" s="12" t="b">
        <f>IFERROR(__xludf.DUMMYFUNCTION("""COMPUTED_VALUE"""),FALSE)</f>
        <v>0</v>
      </c>
      <c r="U383" s="12" t="b">
        <f>IFERROR(__xludf.DUMMYFUNCTION("""COMPUTED_VALUE"""),FALSE)</f>
        <v>0</v>
      </c>
      <c r="V383" s="13" t="str">
        <f>IFERROR(__xludf.DUMMYFUNCTION("""COMPUTED_VALUE"""),"https://www.harrishealth.org/locations-hh/Pages/baytown-health-center.aspx")</f>
        <v>https://www.harrishealth.org/locations-hh/Pages/baytown-health-center.aspx</v>
      </c>
      <c r="W383" s="14" t="str">
        <f>IFERROR(__xludf.DUMMYFUNCTION("""COMPUTED_VALUE"""),"https://www.google.com/maps/place/Harris+Health+Baytown+Health+Center/@29.7446409,-94.9793789,16z/data=!3m1!4b1!4m6!3m5!1s0x863f5e808517a3ad:0x7e6c32939669e3a0!8m2!3d29.7446363!4d-94.9767986!16s%2Fg%2F1263l5c19?entry=ttu&amp;g_ep=EgoyMDI1MDUyMS4wIKXMDSoASAFQA"&amp;"w%3D%3D")</f>
        <v>https://www.google.com/maps/place/Harris+Health+Baytown+Health+Center/@29.7446409,-94.9793789,16z/data=!3m1!4b1!4m6!3m5!1s0x863f5e808517a3ad:0x7e6c32939669e3a0!8m2!3d29.7446363!4d-94.9767986!16s%2Fg%2F1263l5c19?entry=ttu&amp;g_ep=EgoyMDI1MDUyMS4wIKXMDSoASAFQAw%3D%3D</v>
      </c>
      <c r="X383" s="10"/>
      <c r="Y383" s="9" t="str">
        <f>IFERROR(__xludf.DUMMYFUNCTION("""COMPUTED_VALUE"""),"Baytown")</f>
        <v>Baytown</v>
      </c>
      <c r="Z383" s="9" t="str">
        <f>IFERROR(__xludf.DUMMYFUNCTION("""COMPUTED_VALUE"""),"Amelia Airhart, Baytown, East Baytown")</f>
        <v>Amelia Airhart, Baytown, East Baytown</v>
      </c>
      <c r="AA383" s="9" t="str">
        <f>IFERROR(__xludf.DUMMYFUNCTION("""COMPUTED_VALUE"""),"Harris Health")</f>
        <v>Harris Health</v>
      </c>
      <c r="AB383" s="9" t="str">
        <f>IFERROR(__xludf.DUMMYFUNCTION("""COMPUTED_VALUE"""),"Baytown")</f>
        <v>Baytown</v>
      </c>
    </row>
    <row r="384" ht="30.0" customHeight="1">
      <c r="A384" s="17">
        <v>383.0</v>
      </c>
      <c r="B38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4" s="9" t="str">
        <f>IFERROR(__xludf.DUMMYFUNCTION("""COMPUTED_VALUE"""),"Harris Health - Ben Taub Hospital")</f>
        <v>Harris Health - Ben Taub Hospital</v>
      </c>
      <c r="D384" s="9" t="str">
        <f>IFERROR(__xludf.DUMMYFUNCTION("""COMPUTED_VALUE"""),"1504 Taub Loop")</f>
        <v>1504 Taub Loop</v>
      </c>
      <c r="E384" s="9"/>
      <c r="F384" s="9" t="str">
        <f>IFERROR(__xludf.DUMMYFUNCTION("""COMPUTED_VALUE"""),"Houston")</f>
        <v>Houston</v>
      </c>
      <c r="G384" s="9" t="str">
        <f>IFERROR(__xludf.DUMMYFUNCTION("""COMPUTED_VALUE"""),"TX")</f>
        <v>TX</v>
      </c>
      <c r="H384" s="9" t="str">
        <f>IFERROR(__xludf.DUMMYFUNCTION("""COMPUTED_VALUE"""),"77030")</f>
        <v>77030</v>
      </c>
      <c r="I384" s="9" t="str">
        <f>IFERROR(__xludf.DUMMYFUNCTION("""COMPUTED_VALUE"""),"713-873-2000")</f>
        <v>713-873-2000</v>
      </c>
      <c r="J384" s="9" t="str">
        <f>IFERROR(__xludf.DUMMYFUNCTION("""COMPUTED_VALUE"""),"29.7106109, -95.39342919183")</f>
        <v>29.7106109, -95.39342919183</v>
      </c>
      <c r="K384" s="9" t="str">
        <f>IFERROR(__xludf.DUMMYFUNCTION("""COMPUTED_VALUE"""),"{""regular"":[{""days"":[""Mo"",""Tu"",""We"",""Th"",""Fr"",""Sa"",""Su""],""open"":""00:00"",""close"":""23:59""}]}")</f>
        <v>{"regular":[{"days":["Mo","Tu","We","Th","Fr","Sa","Su"],"open":"00:00","close":"23:59"}]}</v>
      </c>
      <c r="L384" s="9" t="str">
        <f>IFERROR(__xludf.DUMMYFUNCTION("""COMPUTED_VALUE"""),"Specialty Clinic: 7 a.m. to 5 p.m.")</f>
        <v>Specialty Clinic: 7 a.m. to 5 p.m.</v>
      </c>
      <c r="M384" s="10">
        <f>IFERROR(__xludf.DUMMYFUNCTION("""COMPUTED_VALUE"""),31.0)</f>
        <v>31</v>
      </c>
      <c r="N384" s="10" t="str">
        <f>IFERROR(__xludf.DUMMYFUNCTION("""COMPUTED_VALUE"""),"Medical - Primary Care")</f>
        <v>Medical - Primary Care</v>
      </c>
      <c r="O384" s="10">
        <f>IFERROR(__xludf.DUMMYFUNCTION("""COMPUTED_VALUE"""),1.0)</f>
        <v>1</v>
      </c>
      <c r="P384" s="10" t="str">
        <f>IFERROR(__xludf.DUMMYFUNCTION("""COMPUTED_VALUE"""),"ACTIVE")</f>
        <v>ACTIVE</v>
      </c>
      <c r="Q384" s="11">
        <f>IFERROR(__xludf.DUMMYFUNCTION("""COMPUTED_VALUE"""),45805.0)</f>
        <v>45805</v>
      </c>
      <c r="R384" s="9" t="str">
        <f>IFERROR(__xludf.DUMMYFUNCTION("""COMPUTED_VALUE"""),"Verified online")</f>
        <v>Verified online</v>
      </c>
      <c r="S384" s="9" t="str">
        <f>IFERROR(__xludf.DUMMYFUNCTION("""COMPUTED_VALUE"""),"Harris Health is the safety-net healthcare provider for Harris County focusing on low-income uninsured and underinsured patients.")</f>
        <v>Harris Health is the safety-net healthcare provider for Harris County focusing on low-income uninsured and underinsured patients.</v>
      </c>
      <c r="T384" s="12" t="b">
        <f>IFERROR(__xludf.DUMMYFUNCTION("""COMPUTED_VALUE"""),FALSE)</f>
        <v>0</v>
      </c>
      <c r="U384" s="12" t="b">
        <f>IFERROR(__xludf.DUMMYFUNCTION("""COMPUTED_VALUE"""),FALSE)</f>
        <v>0</v>
      </c>
      <c r="V384" s="13" t="str">
        <f>IFERROR(__xludf.DUMMYFUNCTION("""COMPUTED_VALUE"""),"https://www.harrishealth.org/locations-hh/Pages/ben-taub.aspx")</f>
        <v>https://www.harrishealth.org/locations-hh/Pages/ben-taub.aspx</v>
      </c>
      <c r="W384" s="14" t="str">
        <f>IFERROR(__xludf.DUMMYFUNCTION("""COMPUTED_VALUE"""),"https://www.google.com/maps/place/Harris+Health+Ben+Taub+Hospital/@29.7110084,-95.3961757,17z/data=!3m1!5s0x8640c0762b63f5f5:0x73238771294260bb!4m10!1m2!2m1!1sben+taub!3m6!1s0x8640c0763339cd31:0x1bbd8ebf70c2247d!8m2!3d29.7108129!4d-95.3942132!15sCghiZW4gd"&amp;"GF1YpIBCGhvc3BpdGFsqgE8CgkvbS8wZHh5eDgQATIfEAEiG-Ak1rXT6DB_DYE95Tcb5hFGknDuuT_aVVM7QTIMEAIiCGJlbiB0YXVi4AEA!16zL20vMGR4eXg4?entry=ttu&amp;g_ep=EgoyMDI1MDUyMS4wIKXMDSoASAFQAw%3D%3D")</f>
        <v>https://www.google.com/maps/place/Harris+Health+Ben+Taub+Hospital/@29.7110084,-95.3961757,17z/data=!3m1!5s0x8640c0762b63f5f5:0x73238771294260bb!4m10!1m2!2m1!1sben+taub!3m6!1s0x8640c0763339cd31:0x1bbd8ebf70c2247d!8m2!3d29.7108129!4d-95.3942132!15sCghiZW4gdGF1YpIBCGhvc3BpdGFsqgE8CgkvbS8wZHh5eDgQATIfEAEiG-Ak1rXT6DB_DYE95Tcb5hFGknDuuT_aVVM7QTIMEAIiCGJlbiB0YXVi4AEA!16zL20vMGR4eXg4?entry=ttu&amp;g_ep=EgoyMDI1MDUyMS4wIKXMDSoASAFQAw%3D%3D</v>
      </c>
      <c r="X384" s="10"/>
      <c r="Y384" s="9" t="str">
        <f>IFERROR(__xludf.DUMMYFUNCTION("""COMPUTED_VALUE"""),"Houston")</f>
        <v>Houston</v>
      </c>
      <c r="Z384" s="9" t="str">
        <f>IFERROR(__xludf.DUMMYFUNCTION("""COMPUTED_VALUE"""),"Central Southwest, Houston Museum District, South Central Houston, Southgate, Texas Medical Center")</f>
        <v>Central Southwest, Houston Museum District, South Central Houston, Southgate, Texas Medical Center</v>
      </c>
      <c r="AA384" s="9" t="str">
        <f>IFERROR(__xludf.DUMMYFUNCTION("""COMPUTED_VALUE"""),"Harris Health")</f>
        <v>Harris Health</v>
      </c>
      <c r="AB384" s="9" t="str">
        <f>IFERROR(__xludf.DUMMYFUNCTION("""COMPUTED_VALUE"""),"South Central Houston")</f>
        <v>South Central Houston</v>
      </c>
    </row>
    <row r="385" ht="30.0" customHeight="1">
      <c r="A385" s="17">
        <v>384.0</v>
      </c>
      <c r="B38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5" s="9" t="str">
        <f>IFERROR(__xludf.DUMMYFUNCTION("""COMPUTED_VALUE"""),"Harris Health - C. E. Odom")</f>
        <v>Harris Health - C. E. Odom</v>
      </c>
      <c r="D385" s="9" t="str">
        <f>IFERROR(__xludf.DUMMYFUNCTION("""COMPUTED_VALUE"""),"5516 Lockwood Drive")</f>
        <v>5516 Lockwood Drive</v>
      </c>
      <c r="E385" s="9"/>
      <c r="F385" s="9" t="str">
        <f>IFERROR(__xludf.DUMMYFUNCTION("""COMPUTED_VALUE"""),"Houston")</f>
        <v>Houston</v>
      </c>
      <c r="G385" s="9" t="str">
        <f>IFERROR(__xludf.DUMMYFUNCTION("""COMPUTED_VALUE"""),"TX")</f>
        <v>TX</v>
      </c>
      <c r="H385" s="9" t="str">
        <f>IFERROR(__xludf.DUMMYFUNCTION("""COMPUTED_VALUE"""),"77026")</f>
        <v>77026</v>
      </c>
      <c r="I385" s="9" t="str">
        <f>IFERROR(__xludf.DUMMYFUNCTION("""COMPUTED_VALUE"""),"713-497-0000")</f>
        <v>713-497-0000</v>
      </c>
      <c r="J385" s="9" t="str">
        <f>IFERROR(__xludf.DUMMYFUNCTION("""COMPUTED_VALUE"""),"29.81071895, -95.316644459306")</f>
        <v>29.81071895, -95.316644459306</v>
      </c>
      <c r="K385" s="9" t="str">
        <f>IFERROR(__xludf.DUMMYFUNCTION("""COMPUTED_VALUE"""),"{""regular"":[{""days"":[""Mo"",""Tu"",""We"",""Th"",""Fr""],""open"":""08:00"",""close"":""17:00""}]}")</f>
        <v>{"regular":[{"days":["Mo","Tu","We","Th","Fr"],"open":"08:00","close":"17:00"}]}</v>
      </c>
      <c r="L385" s="9"/>
      <c r="M385" s="10">
        <f>IFERROR(__xludf.DUMMYFUNCTION("""COMPUTED_VALUE"""),31.0)</f>
        <v>31</v>
      </c>
      <c r="N385" s="10" t="str">
        <f>IFERROR(__xludf.DUMMYFUNCTION("""COMPUTED_VALUE"""),"Medical - Primary Care")</f>
        <v>Medical - Primary Care</v>
      </c>
      <c r="O385" s="10">
        <f>IFERROR(__xludf.DUMMYFUNCTION("""COMPUTED_VALUE"""),1.0)</f>
        <v>1</v>
      </c>
      <c r="P385" s="10" t="str">
        <f>IFERROR(__xludf.DUMMYFUNCTION("""COMPUTED_VALUE"""),"ACTIVE")</f>
        <v>ACTIVE</v>
      </c>
      <c r="Q385" s="11">
        <f>IFERROR(__xludf.DUMMYFUNCTION("""COMPUTED_VALUE"""),45805.0)</f>
        <v>45805</v>
      </c>
      <c r="R385" s="9" t="str">
        <f>IFERROR(__xludf.DUMMYFUNCTION("""COMPUTED_VALUE"""),"Verified online")</f>
        <v>Verified online</v>
      </c>
      <c r="S385" s="9" t="str">
        <f>IFERROR(__xludf.DUMMYFUNCTION("""COMPUTED_VALUE"""),"Care of newborns to teens up to 18 years old.  Primary care and treatment of acute and chronic diseases.
Harris Health is the safety-net healthcare provider for Harris County focusing on low-income uninsured and underinsured patients.")</f>
        <v>Care of newborns to teens up to 18 years old.  Primary care and treatment of acute and chronic diseases.
Harris Health is the safety-net healthcare provider for Harris County focusing on low-income uninsured and underinsured patients.</v>
      </c>
      <c r="T385" s="12" t="b">
        <f>IFERROR(__xludf.DUMMYFUNCTION("""COMPUTED_VALUE"""),FALSE)</f>
        <v>0</v>
      </c>
      <c r="U385" s="12" t="b">
        <f>IFERROR(__xludf.DUMMYFUNCTION("""COMPUTED_VALUE"""),FALSE)</f>
        <v>0</v>
      </c>
      <c r="V385" s="13" t="str">
        <f>IFERROR(__xludf.DUMMYFUNCTION("""COMPUTED_VALUE"""),"https://www.harrishealth.org/locations-hh/Pages/c-e-odom-pediatric-and-adolescent-health-center.aspx")</f>
        <v>https://www.harrishealth.org/locations-hh/Pages/c-e-odom-pediatric-and-adolescent-health-center.aspx</v>
      </c>
      <c r="W385" s="14" t="str">
        <f>IFERROR(__xludf.DUMMYFUNCTION("""COMPUTED_VALUE"""),"https://www.google.com/maps/place/Harris+Health+C.E.+Odom+Pediatric+and+Adolescent+Health+Center/@29.8105635,-95.3192549,17z/data=!3m1!4b1!4m6!3m5!1s0x8640b97b40784413:0xfc6248cc253a0ff5!8m2!3d29.8105589!4d-95.3166746!16s%2Fg%2F11gglt7d97?entry=ttu&amp;g_ep=E"&amp;"goyMDI1MDUyMS4wIKXMDSoASAFQAw%3D%3D")</f>
        <v>https://www.google.com/maps/place/Harris+Health+C.E.+Odom+Pediatric+and+Adolescent+Health+Center/@29.8105635,-95.3192549,17z/data=!3m1!4b1!4m6!3m5!1s0x8640b97b40784413:0xfc6248cc253a0ff5!8m2!3d29.8105589!4d-95.3166746!16s%2Fg%2F11gglt7d97?entry=ttu&amp;g_ep=EgoyMDI1MDUyMS4wIKXMDSoASAFQAw%3D%3D</v>
      </c>
      <c r="X385" s="10"/>
      <c r="Y385" s="9" t="str">
        <f>IFERROR(__xludf.DUMMYFUNCTION("""COMPUTED_VALUE"""),"Houston")</f>
        <v>Houston</v>
      </c>
      <c r="Z385" s="9" t="str">
        <f>IFERROR(__xludf.DUMMYFUNCTION("""COMPUTED_VALUE"""),"Kashmere Gardens, Northside, Trinity / Houston Gardens")</f>
        <v>Kashmere Gardens, Northside, Trinity / Houston Gardens</v>
      </c>
      <c r="AA385" s="9" t="str">
        <f>IFERROR(__xludf.DUMMYFUNCTION("""COMPUTED_VALUE"""),"Harris Health")</f>
        <v>Harris Health</v>
      </c>
      <c r="AB385" s="9" t="str">
        <f>IFERROR(__xludf.DUMMYFUNCTION("""COMPUTED_VALUE"""),"Northside")</f>
        <v>Northside</v>
      </c>
    </row>
    <row r="386" ht="30.0" customHeight="1">
      <c r="A386" s="17">
        <v>385.0</v>
      </c>
      <c r="B38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6" s="9" t="str">
        <f>IFERROR(__xludf.DUMMYFUNCTION("""COMPUTED_VALUE"""),"Harris Health - Casa de Amigos")</f>
        <v>Harris Health - Casa de Amigos</v>
      </c>
      <c r="D386" s="9" t="str">
        <f>IFERROR(__xludf.DUMMYFUNCTION("""COMPUTED_VALUE"""),"1615 North Main Street")</f>
        <v>1615 North Main Street</v>
      </c>
      <c r="E386" s="9"/>
      <c r="F386" s="9" t="str">
        <f>IFERROR(__xludf.DUMMYFUNCTION("""COMPUTED_VALUE"""),"Houston")</f>
        <v>Houston</v>
      </c>
      <c r="G386" s="9" t="str">
        <f>IFERROR(__xludf.DUMMYFUNCTION("""COMPUTED_VALUE"""),"TX")</f>
        <v>TX</v>
      </c>
      <c r="H386" s="9" t="str">
        <f>IFERROR(__xludf.DUMMYFUNCTION("""COMPUTED_VALUE"""),"77009")</f>
        <v>77009</v>
      </c>
      <c r="I386" s="9" t="str">
        <f>IFERROR(__xludf.DUMMYFUNCTION("""COMPUTED_VALUE"""),"713-222-2272")</f>
        <v>713-222-2272</v>
      </c>
      <c r="J386" s="9" t="str">
        <f>IFERROR(__xludf.DUMMYFUNCTION("""COMPUTED_VALUE"""),"29.77380855, -95.3610553729517")</f>
        <v>29.77380855, -95.3610553729517</v>
      </c>
      <c r="K386" s="9" t="str">
        <f>IFERROR(__xludf.DUMMYFUNCTION("""COMPUTED_VALUE"""),"{""regular"":[{""days"":[""Mo"",""Tu"",""We"",""Th"",""Fr""],""open"":""07:00"",""close"":""16:00""}]}")</f>
        <v>{"regular":[{"days":["Mo","Tu","We","Th","Fr"],"open":"07:00","close":"16:00"}]}</v>
      </c>
      <c r="L386" s="9"/>
      <c r="M386" s="10">
        <f>IFERROR(__xludf.DUMMYFUNCTION("""COMPUTED_VALUE"""),31.0)</f>
        <v>31</v>
      </c>
      <c r="N386" s="10" t="str">
        <f>IFERROR(__xludf.DUMMYFUNCTION("""COMPUTED_VALUE"""),"Medical - Primary Care")</f>
        <v>Medical - Primary Care</v>
      </c>
      <c r="O386" s="10">
        <f>IFERROR(__xludf.DUMMYFUNCTION("""COMPUTED_VALUE"""),1.0)</f>
        <v>1</v>
      </c>
      <c r="P386" s="10" t="str">
        <f>IFERROR(__xludf.DUMMYFUNCTION("""COMPUTED_VALUE"""),"ACTIVE")</f>
        <v>ACTIVE</v>
      </c>
      <c r="Q386" s="11">
        <f>IFERROR(__xludf.DUMMYFUNCTION("""COMPUTED_VALUE"""),45805.0)</f>
        <v>45805</v>
      </c>
      <c r="R386" s="9" t="str">
        <f>IFERROR(__xludf.DUMMYFUNCTION("""COMPUTED_VALUE"""),"Verified online")</f>
        <v>Verified online</v>
      </c>
      <c r="S386" s="9" t="str">
        <f>IFERROR(__xludf.DUMMYFUNCTION("""COMPUTED_VALUE"""),"Primary care service, OB/GYN, ophthalmology, psychiatry, on site lab, pharmacy services and nutrition, counseling and social services.
Harris Health is the safety-net healthcare provider for Harris County focusing on low-income uninsured and underinsured "&amp;"patients.")</f>
        <v>Primary care service, OB/GYN, ophthalmology, psychiatry, on site lab, pharmacy services and nutrition, counseling and social services.
Harris Health is the safety-net healthcare provider for Harris County focusing on low-income uninsured and underinsured patients.</v>
      </c>
      <c r="T386" s="12" t="b">
        <f>IFERROR(__xludf.DUMMYFUNCTION("""COMPUTED_VALUE"""),FALSE)</f>
        <v>0</v>
      </c>
      <c r="U386" s="12" t="b">
        <f>IFERROR(__xludf.DUMMYFUNCTION("""COMPUTED_VALUE"""),FALSE)</f>
        <v>0</v>
      </c>
      <c r="V386" s="13" t="str">
        <f>IFERROR(__xludf.DUMMYFUNCTION("""COMPUTED_VALUE"""),"https://www.harrishealth.org/locations-hh/Pages/casa-de-amigos-health-center.aspx")</f>
        <v>https://www.harrishealth.org/locations-hh/Pages/casa-de-amigos-health-center.aspx</v>
      </c>
      <c r="W386" s="14" t="str">
        <f>IFERROR(__xludf.DUMMYFUNCTION("""COMPUTED_VALUE"""),"https://www.google.com/maps/place/Harris+Health+Casa+De+Amigos+Health+Center/@29.7738946,-95.3635215,17z/data=!3m1!4b1!4m6!3m5!1s0x8640b8d2c5bde5b7:0x49a1b4d6b4f95e3!8m2!3d29.77389!4d-95.3609412!16s%2Fg%2F1tgx2dhc?entry=ttu&amp;g_ep=EgoyMDI1MDUyMS4wIKXMDSoASA"&amp;"FQAw%3D%3D")</f>
        <v>https://www.google.com/maps/place/Harris+Health+Casa+De+Amigos+Health+Center/@29.7738946,-95.3635215,17z/data=!3m1!4b1!4m6!3m5!1s0x8640b8d2c5bde5b7:0x49a1b4d6b4f95e3!8m2!3d29.77389!4d-95.3609412!16s%2Fg%2F1tgx2dhc?entry=ttu&amp;g_ep=EgoyMDI1MDUyMS4wIKXMDSoASAFQAw%3D%3D</v>
      </c>
      <c r="X386" s="10"/>
      <c r="Y386" s="9" t="str">
        <f>IFERROR(__xludf.DUMMYFUNCTION("""COMPUTED_VALUE"""),"Houston")</f>
        <v>Houston</v>
      </c>
      <c r="Z386" s="9" t="str">
        <f>IFERROR(__xludf.DUMMYFUNCTION("""COMPUTED_VALUE"""),"Lindale Park, Near Northside, Northside, Woodland Heights")</f>
        <v>Lindale Park, Near Northside, Northside, Woodland Heights</v>
      </c>
      <c r="AA386" s="9" t="str">
        <f>IFERROR(__xludf.DUMMYFUNCTION("""COMPUTED_VALUE"""),"Harris Health")</f>
        <v>Harris Health</v>
      </c>
      <c r="AB386" s="9" t="str">
        <f>IFERROR(__xludf.DUMMYFUNCTION("""COMPUTED_VALUE"""),"Northside")</f>
        <v>Northside</v>
      </c>
    </row>
    <row r="387" ht="30.0" customHeight="1">
      <c r="A387" s="17">
        <v>386.0</v>
      </c>
      <c r="B38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7" s="9" t="str">
        <f>IFERROR(__xludf.DUMMYFUNCTION("""COMPUTED_VALUE"""),"Harris Health - Cypress")</f>
        <v>Harris Health - Cypress</v>
      </c>
      <c r="D387" s="9" t="str">
        <f>IFERROR(__xludf.DUMMYFUNCTION("""COMPUTED_VALUE"""),"12340 Jones Road")</f>
        <v>12340 Jones Road</v>
      </c>
      <c r="E387" s="9" t="str">
        <f>IFERROR(__xludf.DUMMYFUNCTION("""COMPUTED_VALUE"""),"Suite 100")</f>
        <v>Suite 100</v>
      </c>
      <c r="F387" s="9" t="str">
        <f>IFERROR(__xludf.DUMMYFUNCTION("""COMPUTED_VALUE"""),"Houston")</f>
        <v>Houston</v>
      </c>
      <c r="G387" s="9" t="str">
        <f>IFERROR(__xludf.DUMMYFUNCTION("""COMPUTED_VALUE"""),"TX")</f>
        <v>TX</v>
      </c>
      <c r="H387" s="9" t="str">
        <f>IFERROR(__xludf.DUMMYFUNCTION("""COMPUTED_VALUE"""),"77070")</f>
        <v>77070</v>
      </c>
      <c r="I387" s="9" t="str">
        <f>IFERROR(__xludf.DUMMYFUNCTION("""COMPUTED_VALUE"""),"713-873-5240")</f>
        <v>713-873-5240</v>
      </c>
      <c r="J387" s="9" t="str">
        <f>IFERROR(__xludf.DUMMYFUNCTION("""COMPUTED_VALUE"""),"29.9532622355925, -95.5847975798426")</f>
        <v>29.9532622355925, -95.5847975798426</v>
      </c>
      <c r="K387" s="9" t="str">
        <f>IFERROR(__xludf.DUMMYFUNCTION("""COMPUTED_VALUE"""),"{""regular"":[{""days"":[""Mo"",""Tu"",""We"",""Th"",""Fr""],""open"":""08:00"",""close"":""17:00""}]}")</f>
        <v>{"regular":[{"days":["Mo","Tu","We","Th","Fr"],"open":"08:00","close":"17:00"}]}</v>
      </c>
      <c r="L387" s="9"/>
      <c r="M387" s="10">
        <f>IFERROR(__xludf.DUMMYFUNCTION("""COMPUTED_VALUE"""),31.0)</f>
        <v>31</v>
      </c>
      <c r="N387" s="10" t="str">
        <f>IFERROR(__xludf.DUMMYFUNCTION("""COMPUTED_VALUE"""),"Medical - Primary Care")</f>
        <v>Medical - Primary Care</v>
      </c>
      <c r="O387" s="10">
        <f>IFERROR(__xludf.DUMMYFUNCTION("""COMPUTED_VALUE"""),1.0)</f>
        <v>1</v>
      </c>
      <c r="P387" s="10" t="str">
        <f>IFERROR(__xludf.DUMMYFUNCTION("""COMPUTED_VALUE"""),"ACTIVE")</f>
        <v>ACTIVE</v>
      </c>
      <c r="Q387" s="11">
        <f>IFERROR(__xludf.DUMMYFUNCTION("""COMPUTED_VALUE"""),46049.0)</f>
        <v>46049</v>
      </c>
      <c r="R387" s="9" t="str">
        <f>IFERROR(__xludf.DUMMYFUNCTION("""COMPUTED_VALUE"""),"Verified online")</f>
        <v>Verified online</v>
      </c>
      <c r="S387" s="9" t="str">
        <f>IFERROR(__xludf.DUMMYFUNCTION("""COMPUTED_VALUE"""),"Primary care, treatment of acute and chronic diseases, specialty care for pediatric patients includes psychiatry, behavioral health therapy and weight management.
Harris Health is the safety-net healthcare provider for Harris County focusing on low-income"&amp;" uninsured and underinsured patients.")</f>
        <v>Primary care, treatment of acute and chronic diseases, specialty care for pediatric patients includes psychiatry, behavioral health therapy and weight management.
Harris Health is the safety-net healthcare provider for Harris County focusing on low-income uninsured and underinsured patients.</v>
      </c>
      <c r="T387" s="12" t="b">
        <f>IFERROR(__xludf.DUMMYFUNCTION("""COMPUTED_VALUE"""),FALSE)</f>
        <v>0</v>
      </c>
      <c r="U387" s="12" t="b">
        <f>IFERROR(__xludf.DUMMYFUNCTION("""COMPUTED_VALUE"""),FALSE)</f>
        <v>0</v>
      </c>
      <c r="V387" s="13" t="str">
        <f>IFERROR(__xludf.DUMMYFUNCTION("""COMPUTED_VALUE"""),"https://www.harrishealth.org/locations-hh/Pages/cypress-health-center.aspx")</f>
        <v>https://www.harrishealth.org/locations-hh/Pages/cypress-health-center.aspx</v>
      </c>
      <c r="W387" s="14" t="str">
        <f>IFERROR(__xludf.DUMMYFUNCTION("""COMPUTED_VALUE"""),"https://www.google.com/maps/place/Harris+Health+Cypress+Health+Center/@29.9537051,-95.5865345,17z/data=!3m1!4b1!4m6!3m5!1s0x8640d221f251a4c3:0x8ec2f2b73d1591d3!8m2!3d29.9537005!4d-95.5839542!16s%2Fg%2F11cjhq99b5?entry=ttu&amp;g_ep=EgoyMDI1MDUyMS4wIKXMDSoASAFQ"&amp;"Aw%3D%3D")</f>
        <v>https://www.google.com/maps/place/Harris+Health+Cypress+Health+Center/@29.9537051,-95.5865345,17z/data=!3m1!4b1!4m6!3m5!1s0x8640d221f251a4c3:0x8ec2f2b73d1591d3!8m2!3d29.9537005!4d-95.5839542!16s%2Fg%2F11cjhq99b5?entry=ttu&amp;g_ep=EgoyMDI1MDUyMS4wIKXMDSoASAFQAw%3D%3D</v>
      </c>
      <c r="X387" s="10"/>
      <c r="Y387" s="9" t="str">
        <f>IFERROR(__xludf.DUMMYFUNCTION("""COMPUTED_VALUE"""),"Houston")</f>
        <v>Houston</v>
      </c>
      <c r="Z387" s="9" t="str">
        <f>IFERROR(__xludf.DUMMYFUNCTION("""COMPUTED_VALUE"""),"Champion Forest, Mill Ridge North, Willowbrook")</f>
        <v>Champion Forest, Mill Ridge North, Willowbrook</v>
      </c>
      <c r="AA387" s="9" t="str">
        <f>IFERROR(__xludf.DUMMYFUNCTION("""COMPUTED_VALUE"""),"Harris Health")</f>
        <v>Harris Health</v>
      </c>
      <c r="AB387" s="9" t="str">
        <f>IFERROR(__xludf.DUMMYFUNCTION("""COMPUTED_VALUE"""),"Mill Ridge North")</f>
        <v>Mill Ridge North</v>
      </c>
    </row>
    <row r="388" ht="30.0" customHeight="1">
      <c r="A388" s="17">
        <v>387.0</v>
      </c>
      <c r="B38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8" s="9" t="str">
        <f>IFERROR(__xludf.DUMMYFUNCTION("""COMPUTED_VALUE"""),"Harris Health - Cypress")</f>
        <v>Harris Health - Cypress</v>
      </c>
      <c r="D388" s="9" t="str">
        <f>IFERROR(__xludf.DUMMYFUNCTION("""COMPUTED_VALUE"""),"12340 Jones Road")</f>
        <v>12340 Jones Road</v>
      </c>
      <c r="E388" s="9" t="str">
        <f>IFERROR(__xludf.DUMMYFUNCTION("""COMPUTED_VALUE"""),"Suite 100")</f>
        <v>Suite 100</v>
      </c>
      <c r="F388" s="9" t="str">
        <f>IFERROR(__xludf.DUMMYFUNCTION("""COMPUTED_VALUE"""),"Houston")</f>
        <v>Houston</v>
      </c>
      <c r="G388" s="9" t="str">
        <f>IFERROR(__xludf.DUMMYFUNCTION("""COMPUTED_VALUE"""),"TX")</f>
        <v>TX</v>
      </c>
      <c r="H388" s="9" t="str">
        <f>IFERROR(__xludf.DUMMYFUNCTION("""COMPUTED_VALUE"""),"77070")</f>
        <v>77070</v>
      </c>
      <c r="I388" s="9" t="str">
        <f>IFERROR(__xludf.DUMMYFUNCTION("""COMPUTED_VALUE"""),"713-873-5240")</f>
        <v>713-873-5240</v>
      </c>
      <c r="J388" s="9" t="str">
        <f>IFERROR(__xludf.DUMMYFUNCTION("""COMPUTED_VALUE"""),"29.9532622355925, -95.5847975798426")</f>
        <v>29.9532622355925, -95.5847975798426</v>
      </c>
      <c r="K388" s="9" t="str">
        <f>IFERROR(__xludf.DUMMYFUNCTION("""COMPUTED_VALUE"""),"{""regular"":[{""days"":[""Mo"",""Tu"",""We"",""Th"",""Fr""],""open"":""08:00"",""close"":""17:00""}]}")</f>
        <v>{"regular":[{"days":["Mo","Tu","We","Th","Fr"],"open":"08:00","close":"17:00"}]}</v>
      </c>
      <c r="L388" s="9"/>
      <c r="M388" s="10">
        <f>IFERROR(__xludf.DUMMYFUNCTION("""COMPUTED_VALUE"""),33.0)</f>
        <v>33</v>
      </c>
      <c r="N388" s="10" t="str">
        <f>IFERROR(__xludf.DUMMYFUNCTION("""COMPUTED_VALUE"""),"Medical - Behavioral Health")</f>
        <v>Medical - Behavioral Health</v>
      </c>
      <c r="O388" s="10">
        <f>IFERROR(__xludf.DUMMYFUNCTION("""COMPUTED_VALUE"""),1.0)</f>
        <v>1</v>
      </c>
      <c r="P388" s="10" t="str">
        <f>IFERROR(__xludf.DUMMYFUNCTION("""COMPUTED_VALUE"""),"ACTIVE")</f>
        <v>ACTIVE</v>
      </c>
      <c r="Q388" s="11">
        <f>IFERROR(__xludf.DUMMYFUNCTION("""COMPUTED_VALUE"""),46049.0)</f>
        <v>46049</v>
      </c>
      <c r="R388" s="9" t="str">
        <f>IFERROR(__xludf.DUMMYFUNCTION("""COMPUTED_VALUE"""),"Verified online")</f>
        <v>Verified online</v>
      </c>
      <c r="S388" s="9" t="str">
        <f>IFERROR(__xludf.DUMMYFUNCTION("""COMPUTED_VALUE"""),"Behavioral and mental health counseling")</f>
        <v>Behavioral and mental health counseling</v>
      </c>
      <c r="T388" s="12" t="b">
        <f>IFERROR(__xludf.DUMMYFUNCTION("""COMPUTED_VALUE"""),FALSE)</f>
        <v>0</v>
      </c>
      <c r="U388" s="12" t="b">
        <f>IFERROR(__xludf.DUMMYFUNCTION("""COMPUTED_VALUE"""),FALSE)</f>
        <v>0</v>
      </c>
      <c r="V388" s="13" t="str">
        <f>IFERROR(__xludf.DUMMYFUNCTION("""COMPUTED_VALUE"""),"https://www.harrishealth.org/locations-hh/Pages/cypress-health-center.aspx")</f>
        <v>https://www.harrishealth.org/locations-hh/Pages/cypress-health-center.aspx</v>
      </c>
      <c r="W388" s="14" t="str">
        <f>IFERROR(__xludf.DUMMYFUNCTION("""COMPUTED_VALUE"""),"https://www.google.com/maps/place/Harris+Health+Cypress+Health+Center/@29.9537051,-95.5865345,17z/data=!3m1!4b1!4m6!3m5!1s0x8640d221f251a4c3:0x8ec2f2b73d1591d3!8m2!3d29.9537005!4d-95.5839542!16s%2Fg%2F11cjhq99b5?entry=ttu&amp;g_ep=EgoyMDI1MDUyMS4wIKXMDSoASAFQ"&amp;"Aw%3D%3D")</f>
        <v>https://www.google.com/maps/place/Harris+Health+Cypress+Health+Center/@29.9537051,-95.5865345,17z/data=!3m1!4b1!4m6!3m5!1s0x8640d221f251a4c3:0x8ec2f2b73d1591d3!8m2!3d29.9537005!4d-95.5839542!16s%2Fg%2F11cjhq99b5?entry=ttu&amp;g_ep=EgoyMDI1MDUyMS4wIKXMDSoASAFQAw%3D%3D</v>
      </c>
      <c r="X388" s="10"/>
      <c r="Y388" s="9" t="str">
        <f>IFERROR(__xludf.DUMMYFUNCTION("""COMPUTED_VALUE"""),"Houston")</f>
        <v>Houston</v>
      </c>
      <c r="Z388" s="9" t="str">
        <f>IFERROR(__xludf.DUMMYFUNCTION("""COMPUTED_VALUE"""),"Champion Forest, Mill Ridge North, Willowbrook")</f>
        <v>Champion Forest, Mill Ridge North, Willowbrook</v>
      </c>
      <c r="AA388" s="9" t="str">
        <f>IFERROR(__xludf.DUMMYFUNCTION("""COMPUTED_VALUE"""),"Harris Health")</f>
        <v>Harris Health</v>
      </c>
      <c r="AB388" s="9" t="str">
        <f>IFERROR(__xludf.DUMMYFUNCTION("""COMPUTED_VALUE"""),"Mill Ridge North")</f>
        <v>Mill Ridge North</v>
      </c>
    </row>
    <row r="389" ht="30.0" customHeight="1">
      <c r="A389" s="17">
        <v>388.0</v>
      </c>
      <c r="B38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89" s="9" t="str">
        <f>IFERROR(__xludf.DUMMYFUNCTION("""COMPUTED_VALUE"""),"Harris Health - Danny Jackson")</f>
        <v>Harris Health - Danny Jackson</v>
      </c>
      <c r="D389" s="9" t="str">
        <f>IFERROR(__xludf.DUMMYFUNCTION("""COMPUTED_VALUE"""),"5503 N Fry Road")</f>
        <v>5503 N Fry Road</v>
      </c>
      <c r="E389" s="9"/>
      <c r="F389" s="9" t="str">
        <f>IFERROR(__xludf.DUMMYFUNCTION("""COMPUTED_VALUE"""),"Katy")</f>
        <v>Katy</v>
      </c>
      <c r="G389" s="9" t="str">
        <f>IFERROR(__xludf.DUMMYFUNCTION("""COMPUTED_VALUE"""),"TX")</f>
        <v>TX</v>
      </c>
      <c r="H389" s="9" t="str">
        <f>IFERROR(__xludf.DUMMYFUNCTION("""COMPUTED_VALUE"""),"77449")</f>
        <v>77449</v>
      </c>
      <c r="I389" s="9" t="str">
        <f>IFERROR(__xludf.DUMMYFUNCTION("""COMPUTED_VALUE"""),"713-982-7071")</f>
        <v>713-982-7071</v>
      </c>
      <c r="J389" s="9" t="str">
        <f>IFERROR(__xludf.DUMMYFUNCTION("""COMPUTED_VALUE"""),"29.8511421, -95.7186474")</f>
        <v>29.8511421, -95.7186474</v>
      </c>
      <c r="K389" s="9" t="str">
        <f>IFERROR(__xludf.DUMMYFUNCTION("""COMPUTED_VALUE"""),"{""regular"":[{""days"":[""Mo"",""Tu"",""We"",""Th"",""Fr""],""open"":""08:00"",""close"":""17:00""}]}")</f>
        <v>{"regular":[{"days":["Mo","Tu","We","Th","Fr"],"open":"08:00","close":"17:00"}]}</v>
      </c>
      <c r="L389" s="9"/>
      <c r="M389" s="10">
        <f>IFERROR(__xludf.DUMMYFUNCTION("""COMPUTED_VALUE"""),31.0)</f>
        <v>31</v>
      </c>
      <c r="N389" s="10" t="str">
        <f>IFERROR(__xludf.DUMMYFUNCTION("""COMPUTED_VALUE"""),"Medical - Primary Care")</f>
        <v>Medical - Primary Care</v>
      </c>
      <c r="O389" s="10">
        <f>IFERROR(__xludf.DUMMYFUNCTION("""COMPUTED_VALUE"""),1.0)</f>
        <v>1</v>
      </c>
      <c r="P389" s="10" t="str">
        <f>IFERROR(__xludf.DUMMYFUNCTION("""COMPUTED_VALUE"""),"ACTIVE")</f>
        <v>ACTIVE</v>
      </c>
      <c r="Q389" s="11">
        <f>IFERROR(__xludf.DUMMYFUNCTION("""COMPUTED_VALUE"""),45805.0)</f>
        <v>45805</v>
      </c>
      <c r="R389" s="9" t="str">
        <f>IFERROR(__xludf.DUMMYFUNCTION("""COMPUTED_VALUE"""),"Verified online")</f>
        <v>Verified online</v>
      </c>
      <c r="S389" s="9" t="str">
        <f>IFERROR(__xludf.DUMMYFUNCTION("""COMPUTED_VALUE"""),"Primary care, treatment of acute and chronic disease and care coordination for essential medical services to adults and and children.
Harris Health is the safety-net healthcare provider for Harris County focusing on low-income uninsured and underinsured p"&amp;"atients.")</f>
        <v>Primary care, treatment of acute and chronic disease and care coordination for essential medical services to adults and and children.
Harris Health is the safety-net healthcare provider for Harris County focusing on low-income uninsured and underinsured patients.</v>
      </c>
      <c r="T389" s="12" t="b">
        <f>IFERROR(__xludf.DUMMYFUNCTION("""COMPUTED_VALUE"""),FALSE)</f>
        <v>0</v>
      </c>
      <c r="U389" s="12" t="b">
        <f>IFERROR(__xludf.DUMMYFUNCTION("""COMPUTED_VALUE"""),FALSE)</f>
        <v>0</v>
      </c>
      <c r="V389" s="13" t="str">
        <f>IFERROR(__xludf.DUMMYFUNCTION("""COMPUTED_VALUE"""),"https://www.harrishealth.org/locations-hh/Pages/danny-jackson-health-center.aspx")</f>
        <v>https://www.harrishealth.org/locations-hh/Pages/danny-jackson-health-center.aspx</v>
      </c>
      <c r="W389" s="14" t="str">
        <f>IFERROR(__xludf.DUMMYFUNCTION("""COMPUTED_VALUE"""),"https://www.google.com/maps/place/Harris+Health+Danny+Jackson+Health+Center/@29.8503882,-95.7217981,16z/data=!3m1!4b1!4m6!3m5!1s0x8640d81d558affb7:0x1d5d1143a74e74a0!8m2!3d29.8503836!4d-95.7192178!16s%2Fg%2F11b70cbpt8?entry=ttu&amp;g_ep=EgoyMDI1MDUyMS4wIKXMDS"&amp;"oASAFQAw%3D%3D")</f>
        <v>https://www.google.com/maps/place/Harris+Health+Danny+Jackson+Health+Center/@29.8503882,-95.7217981,16z/data=!3m1!4b1!4m6!3m5!1s0x8640d81d558affb7:0x1d5d1143a74e74a0!8m2!3d29.8503836!4d-95.7192178!16s%2Fg%2F11b70cbpt8?entry=ttu&amp;g_ep=EgoyMDI1MDUyMS4wIKXMDSoASAFQAw%3D%3D</v>
      </c>
      <c r="X389" s="10"/>
      <c r="Y389" s="9" t="str">
        <f>IFERROR(__xludf.DUMMYFUNCTION("""COMPUTED_VALUE"""),"Katy")</f>
        <v>Katy</v>
      </c>
      <c r="Z389" s="9" t="str">
        <f>IFERROR(__xludf.DUMMYFUNCTION("""COMPUTED_VALUE"""),"Katy (North), Morton Ranch, Villages Of Bear Creek")</f>
        <v>Katy (North), Morton Ranch, Villages Of Bear Creek</v>
      </c>
      <c r="AA389" s="9" t="str">
        <f>IFERROR(__xludf.DUMMYFUNCTION("""COMPUTED_VALUE"""),"Harris Health")</f>
        <v>Harris Health</v>
      </c>
      <c r="AB389" s="9" t="str">
        <f>IFERROR(__xludf.DUMMYFUNCTION("""COMPUTED_VALUE"""),"Villages Of Bear Creek")</f>
        <v>Villages Of Bear Creek</v>
      </c>
    </row>
    <row r="390" ht="30.0" customHeight="1">
      <c r="A390" s="17">
        <v>389.0</v>
      </c>
      <c r="B39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0" s="9" t="str">
        <f>IFERROR(__xludf.DUMMYFUNCTION("""COMPUTED_VALUE"""),"Harris Health - Dental Center")</f>
        <v>Harris Health - Dental Center</v>
      </c>
      <c r="D390" s="9" t="str">
        <f>IFERROR(__xludf.DUMMYFUNCTION("""COMPUTED_VALUE"""),"5230 Griggs Road")</f>
        <v>5230 Griggs Road</v>
      </c>
      <c r="E390" s="9"/>
      <c r="F390" s="9" t="str">
        <f>IFERROR(__xludf.DUMMYFUNCTION("""COMPUTED_VALUE"""),"Houston")</f>
        <v>Houston</v>
      </c>
      <c r="G390" s="9" t="str">
        <f>IFERROR(__xludf.DUMMYFUNCTION("""COMPUTED_VALUE"""),"TX")</f>
        <v>TX</v>
      </c>
      <c r="H390" s="9" t="str">
        <f>IFERROR(__xludf.DUMMYFUNCTION("""COMPUTED_VALUE"""),"77021")</f>
        <v>77021</v>
      </c>
      <c r="I390" s="9" t="str">
        <f>IFERROR(__xludf.DUMMYFUNCTION("""COMPUTED_VALUE"""),"713-757-0572")</f>
        <v>713-757-0572</v>
      </c>
      <c r="J390" s="9" t="str">
        <f>IFERROR(__xludf.DUMMYFUNCTION("""COMPUTED_VALUE"""),"29.6976763061225, -95.3363851428571")</f>
        <v>29.6976763061225, -95.3363851428571</v>
      </c>
      <c r="K390" s="9" t="str">
        <f>IFERROR(__xludf.DUMMYFUNCTION("""COMPUTED_VALUE"""),"{""regular"":[{""days"":[""Mo"",""Tu"",""We"",""Th"",""Fr""],""open"":""08:00"",""close"":""17:00""}]}")</f>
        <v>{"regular":[{"days":["Mo","Tu","We","Th","Fr"],"open":"08:00","close":"17:00"}]}</v>
      </c>
      <c r="L390" s="9"/>
      <c r="M390" s="10">
        <f>IFERROR(__xludf.DUMMYFUNCTION("""COMPUTED_VALUE"""),32.0)</f>
        <v>32</v>
      </c>
      <c r="N390" s="10" t="str">
        <f>IFERROR(__xludf.DUMMYFUNCTION("""COMPUTED_VALUE"""),"Medical - Dental &amp; Vision")</f>
        <v>Medical - Dental &amp; Vision</v>
      </c>
      <c r="O390" s="10">
        <f>IFERROR(__xludf.DUMMYFUNCTION("""COMPUTED_VALUE"""),1.0)</f>
        <v>1</v>
      </c>
      <c r="P390" s="10" t="str">
        <f>IFERROR(__xludf.DUMMYFUNCTION("""COMPUTED_VALUE"""),"ACTIVE")</f>
        <v>ACTIVE</v>
      </c>
      <c r="Q390" s="11">
        <f>IFERROR(__xludf.DUMMYFUNCTION("""COMPUTED_VALUE"""),46049.0)</f>
        <v>46049</v>
      </c>
      <c r="R390" s="9" t="str">
        <f>IFERROR(__xludf.DUMMYFUNCTION("""COMPUTED_VALUE"""),"Verified online")</f>
        <v>Verified online</v>
      </c>
      <c r="S390" s="9" t="str">
        <f>IFERROR(__xludf.DUMMYFUNCTION("""COMPUTED_VALUE"""),"Dental
Preventive and restorative dental care including examinations, cleanings, fillings, extractions and emergency care.
Dental treatment available to established Harris Health adult patients only with valid financial assistance plans.
Must be referred "&amp;"by primary care physician.
Harris Health is the safety-net healthcare provider for Harris County focusing on low-income uninsured and underinsured patients.")</f>
        <v>Dental
Preventive and restorative dental care including examinations, cleanings, fillings, extractions and emergency care.
Dental treatment available to established Harris Health adult patients only with valid financial assistance plans.
Must be referred by primary care physician.
Harris Health is the safety-net healthcare provider for Harris County focusing on low-income uninsured and underinsured patients.</v>
      </c>
      <c r="T390" s="12" t="b">
        <f>IFERROR(__xludf.DUMMYFUNCTION("""COMPUTED_VALUE"""),TRUE)</f>
        <v>1</v>
      </c>
      <c r="U390" s="12" t="b">
        <f>IFERROR(__xludf.DUMMYFUNCTION("""COMPUTED_VALUE"""),FALSE)</f>
        <v>0</v>
      </c>
      <c r="V390" s="13" t="str">
        <f>IFERROR(__xludf.DUMMYFUNCTION("""COMPUTED_VALUE"""),"https://www.harrishealth.org/locations-hh/Pages/dental-program.aspx")</f>
        <v>https://www.harrishealth.org/locations-hh/Pages/dental-program.aspx</v>
      </c>
      <c r="W390" s="14" t="str">
        <f>IFERROR(__xludf.DUMMYFUNCTION("""COMPUTED_VALUE"""),"https://www.google.com/maps/place/Harris+Health+Dental+Center/@29.696282,-95.3379907,16z/data=!3m1!4b1!4m6!3m5!1s0x8640bfb2ed85fbcb:0x35972ee8ff7fd474!8m2!3d29.6962774!4d-95.3354104!16s%2Fg%2F11g1pq9dw7?entry=ttu&amp;g_ep=EgoyMDI1MDUyMS4wIKXMDSoASAFQAw%3D%3D")</f>
        <v>https://www.google.com/maps/place/Harris+Health+Dental+Center/@29.696282,-95.3379907,16z/data=!3m1!4b1!4m6!3m5!1s0x8640bfb2ed85fbcb:0x35972ee8ff7fd474!8m2!3d29.6962774!4d-95.3354104!16s%2Fg%2F11g1pq9dw7?entry=ttu&amp;g_ep=EgoyMDI1MDUyMS4wIKXMDSoASAFQAw%3D%3D</v>
      </c>
      <c r="X390" s="10"/>
      <c r="Y390" s="9" t="str">
        <f>IFERROR(__xludf.DUMMYFUNCTION("""COMPUTED_VALUE"""),"Houston")</f>
        <v>Houston</v>
      </c>
      <c r="Z390" s="9" t="str">
        <f>IFERROR(__xludf.DUMMYFUNCTION("""COMPUTED_VALUE"""),"MacGregor, Riverside Terrace, South Side")</f>
        <v>MacGregor, Riverside Terrace, South Side</v>
      </c>
      <c r="AA390" s="9" t="str">
        <f>IFERROR(__xludf.DUMMYFUNCTION("""COMPUTED_VALUE"""),"Harris Health")</f>
        <v>Harris Health</v>
      </c>
      <c r="AB390" s="9" t="str">
        <f>IFERROR(__xludf.DUMMYFUNCTION("""COMPUTED_VALUE"""),"South Side")</f>
        <v>South Side</v>
      </c>
    </row>
    <row r="391" ht="30.0" customHeight="1">
      <c r="A391" s="17">
        <v>390.0</v>
      </c>
      <c r="B39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1" s="9" t="str">
        <f>IFERROR(__xludf.DUMMYFUNCTION("""COMPUTED_VALUE"""),"Harris Health - El Franco Lee")</f>
        <v>Harris Health - El Franco Lee</v>
      </c>
      <c r="D391" s="9" t="str">
        <f>IFERROR(__xludf.DUMMYFUNCTION("""COMPUTED_VALUE"""),"8901 Boone Road")</f>
        <v>8901 Boone Road</v>
      </c>
      <c r="E391" s="9"/>
      <c r="F391" s="9" t="str">
        <f>IFERROR(__xludf.DUMMYFUNCTION("""COMPUTED_VALUE"""),"Houston")</f>
        <v>Houston</v>
      </c>
      <c r="G391" s="9" t="str">
        <f>IFERROR(__xludf.DUMMYFUNCTION("""COMPUTED_VALUE"""),"TX")</f>
        <v>TX</v>
      </c>
      <c r="H391" s="9" t="str">
        <f>IFERROR(__xludf.DUMMYFUNCTION("""COMPUTED_VALUE"""),"77099")</f>
        <v>77099</v>
      </c>
      <c r="I391" s="9" t="str">
        <f>IFERROR(__xludf.DUMMYFUNCTION("""COMPUTED_VALUE"""),"281-454-0500")</f>
        <v>281-454-0500</v>
      </c>
      <c r="J391" s="9" t="str">
        <f>IFERROR(__xludf.DUMMYFUNCTION("""COMPUTED_VALUE"""),"29.6800646, -95.5730186")</f>
        <v>29.6800646, -95.5730186</v>
      </c>
      <c r="K391" s="9" t="str">
        <f>IFERROR(__xludf.DUMMYFUNCTION("""COMPUTED_VALUE"""),"{""regular"":[{""days"":[""Mo"",""Tu"",""We"",""Th"",""Fr""],""open"":""08:00"",""close"":""17:00""}]}")</f>
        <v>{"regular":[{"days":["Mo","Tu","We","Th","Fr"],"open":"08:00","close":"17:00"}]}</v>
      </c>
      <c r="L391" s="9"/>
      <c r="M391" s="10">
        <f>IFERROR(__xludf.DUMMYFUNCTION("""COMPUTED_VALUE"""),31.0)</f>
        <v>31</v>
      </c>
      <c r="N391" s="10" t="str">
        <f>IFERROR(__xludf.DUMMYFUNCTION("""COMPUTED_VALUE"""),"Medical - Primary Care")</f>
        <v>Medical - Primary Care</v>
      </c>
      <c r="O391" s="10">
        <f>IFERROR(__xludf.DUMMYFUNCTION("""COMPUTED_VALUE"""),1.0)</f>
        <v>1</v>
      </c>
      <c r="P391" s="10" t="str">
        <f>IFERROR(__xludf.DUMMYFUNCTION("""COMPUTED_VALUE"""),"ACTIVE")</f>
        <v>ACTIVE</v>
      </c>
      <c r="Q391" s="11">
        <f>IFERROR(__xludf.DUMMYFUNCTION("""COMPUTED_VALUE"""),45805.0)</f>
        <v>45805</v>
      </c>
      <c r="R391" s="9" t="str">
        <f>IFERROR(__xludf.DUMMYFUNCTION("""COMPUTED_VALUE"""),"Verified online")</f>
        <v>Verified online</v>
      </c>
      <c r="S391" s="9" t="str">
        <f>IFERROR(__xludf.DUMMYFUNCTION("""COMPUTED_VALUE"""),"Primary care, on site optometry, pharmacy, podiatry, psychiatry and radiology services and nutrition, counseling and social services.
Harris Health is the safety-net healthcare provider for Harris County focusing on low-income uninsured and underinsured p"&amp;"atients.")</f>
        <v>Primary care, on site optometry, pharmacy, podiatry, psychiatry and radiology services and nutrition, counseling and social services.
Harris Health is the safety-net healthcare provider for Harris County focusing on low-income uninsured and underinsured patients.</v>
      </c>
      <c r="T391" s="12" t="b">
        <f>IFERROR(__xludf.DUMMYFUNCTION("""COMPUTED_VALUE"""),FALSE)</f>
        <v>0</v>
      </c>
      <c r="U391" s="12" t="b">
        <f>IFERROR(__xludf.DUMMYFUNCTION("""COMPUTED_VALUE"""),FALSE)</f>
        <v>0</v>
      </c>
      <c r="V391" s="13" t="str">
        <f>IFERROR(__xludf.DUMMYFUNCTION("""COMPUTED_VALUE"""),"https://www.harrishealth.org/locations-hh/Pages/el-franco-lee-health-center.aspx")</f>
        <v>https://www.harrishealth.org/locations-hh/Pages/el-franco-lee-health-center.aspx</v>
      </c>
      <c r="W391" s="14" t="str">
        <f>IFERROR(__xludf.DUMMYFUNCTION("""COMPUTED_VALUE"""),"https://www.google.com/maps/place/Harris+Health+El+Franco+Lee+Health+Center/@29.6804541,-95.5769875,16z/data=!3m1!4b1!4m6!3m5!1s0x8640dd5ae14f6e69:0x1ae2691fe6b59e84!8m2!3d29.6804495!4d-95.5744072!16s%2Fg%2F11b6wh_y_q?entry=ttu&amp;g_ep=EgoyMDI1MDUyMS4wIKXMDS"&amp;"oASAFQAw%3D%3D")</f>
        <v>https://www.google.com/maps/place/Harris+Health+El+Franco+Lee+Health+Center/@29.6804541,-95.5769875,16z/data=!3m1!4b1!4m6!3m5!1s0x8640dd5ae14f6e69:0x1ae2691fe6b59e84!8m2!3d29.6804495!4d-95.5744072!16s%2Fg%2F11b6wh_y_q?entry=ttu&amp;g_ep=EgoyMDI1MDUyMS4wIKXMDSoASAFQAw%3D%3D</v>
      </c>
      <c r="X391" s="10"/>
      <c r="Y391" s="9" t="str">
        <f>IFERROR(__xludf.DUMMYFUNCTION("""COMPUTED_VALUE"""),"Houston")</f>
        <v>Houston</v>
      </c>
      <c r="Z391" s="9" t="str">
        <f>IFERROR(__xludf.DUMMYFUNCTION("""COMPUTED_VALUE"""),"Alief")</f>
        <v>Alief</v>
      </c>
      <c r="AA391" s="9" t="str">
        <f>IFERROR(__xludf.DUMMYFUNCTION("""COMPUTED_VALUE"""),"Harris Health")</f>
        <v>Harris Health</v>
      </c>
      <c r="AB391" s="9" t="str">
        <f>IFERROR(__xludf.DUMMYFUNCTION("""COMPUTED_VALUE"""),"Alief")</f>
        <v>Alief</v>
      </c>
    </row>
    <row r="392" ht="30.0" customHeight="1">
      <c r="A392" s="17">
        <v>391.0</v>
      </c>
      <c r="B39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2" s="9" t="str">
        <f>IFERROR(__xludf.DUMMYFUNCTION("""COMPUTED_VALUE"""),"Harris Health - Gulfgate")</f>
        <v>Harris Health - Gulfgate</v>
      </c>
      <c r="D392" s="9" t="str">
        <f>IFERROR(__xludf.DUMMYFUNCTION("""COMPUTED_VALUE"""),"7550 Office City Drive")</f>
        <v>7550 Office City Drive</v>
      </c>
      <c r="E392" s="9"/>
      <c r="F392" s="10" t="str">
        <f>IFERROR(__xludf.DUMMYFUNCTION("""COMPUTED_VALUE"""),"Houston")</f>
        <v>Houston</v>
      </c>
      <c r="G392" s="9" t="str">
        <f>IFERROR(__xludf.DUMMYFUNCTION("""COMPUTED_VALUE"""),"TX")</f>
        <v>TX</v>
      </c>
      <c r="H392" s="9" t="str">
        <f>IFERROR(__xludf.DUMMYFUNCTION("""COMPUTED_VALUE"""),"77012")</f>
        <v>77012</v>
      </c>
      <c r="I392" s="9" t="str">
        <f>IFERROR(__xludf.DUMMYFUNCTION("""COMPUTED_VALUE"""),"713-495-3700")</f>
        <v>713-495-3700</v>
      </c>
      <c r="J392" s="9" t="str">
        <f>IFERROR(__xludf.DUMMYFUNCTION("""COMPUTED_VALUE"""),"29.69956305, -95.2856118007138")</f>
        <v>29.69956305, -95.2856118007138</v>
      </c>
      <c r="K392" s="9" t="str">
        <f>IFERROR(__xludf.DUMMYFUNCTION("""COMPUTED_VALUE"""),"{""regular"":[{""days"":[""Mo"",""Tu"",""We"",""Th"",""Fr""],""open"":""08:00"",""close"":""17:00""}]}")</f>
        <v>{"regular":[{"days":["Mo","Tu","We","Th","Fr"],"open":"08:00","close":"17:00"}]}</v>
      </c>
      <c r="L392" s="9"/>
      <c r="M392" s="10">
        <f>IFERROR(__xludf.DUMMYFUNCTION("""COMPUTED_VALUE"""),31.0)</f>
        <v>31</v>
      </c>
      <c r="N392" s="10" t="str">
        <f>IFERROR(__xludf.DUMMYFUNCTION("""COMPUTED_VALUE"""),"Medical - Primary Care")</f>
        <v>Medical - Primary Care</v>
      </c>
      <c r="O392" s="10">
        <f>IFERROR(__xludf.DUMMYFUNCTION("""COMPUTED_VALUE"""),1.0)</f>
        <v>1</v>
      </c>
      <c r="P392" s="10" t="str">
        <f>IFERROR(__xludf.DUMMYFUNCTION("""COMPUTED_VALUE"""),"ACTIVE")</f>
        <v>ACTIVE</v>
      </c>
      <c r="Q392" s="11">
        <f>IFERROR(__xludf.DUMMYFUNCTION("""COMPUTED_VALUE"""),46049.0)</f>
        <v>46049</v>
      </c>
      <c r="R392" s="9" t="str">
        <f>IFERROR(__xludf.DUMMYFUNCTION("""COMPUTED_VALUE"""),"Verified online")</f>
        <v>Verified online</v>
      </c>
      <c r="S392" s="9" t="str">
        <f>IFERROR(__xludf.DUMMYFUNCTION("""COMPUTED_VALUE"""),"Primary healthcare, OB/GYN, dental, psychiatry, on site lab, pharmacy, x-ray services and nutrition, counseling and social services.
Harris Health is the safety-net healthcare provider for Harris County focusing on low-income uninsured and underinsured pa"&amp;"tients.")</f>
        <v>Primary healthcare, OB/GYN, dental, psychiatry, on site lab, pharmacy, x-ray services and nutrition, counseling and social services.
Harris Health is the safety-net healthcare provider for Harris County focusing on low-income uninsured and underinsured patients.</v>
      </c>
      <c r="T392" s="12" t="b">
        <f>IFERROR(__xludf.DUMMYFUNCTION("""COMPUTED_VALUE"""),FALSE)</f>
        <v>0</v>
      </c>
      <c r="U392" s="12" t="b">
        <f>IFERROR(__xludf.DUMMYFUNCTION("""COMPUTED_VALUE"""),FALSE)</f>
        <v>0</v>
      </c>
      <c r="V392" s="13" t="str">
        <f>IFERROR(__xludf.DUMMYFUNCTION("""COMPUTED_VALUE"""),"https://www.harrishealth.org/locations-hh/Pages/gulfgate-health-center.aspx")</f>
        <v>https://www.harrishealth.org/locations-hh/Pages/gulfgate-health-center.aspx</v>
      </c>
      <c r="W392" s="14" t="str">
        <f>IFERROR(__xludf.DUMMYFUNCTION("""COMPUTED_VALUE"""),"https://www.google.com/maps/place/Harris+Health+Gulfgate+Health+Center/@29.6997779,-95.2883048,17z/data=!3m1!4b1!4m6!3m5!1s0x8640bd93784a65c1:0x72d463c89480905d!8m2!3d29.6997733!4d-95.2857245!16s%2Fg%2F1tz963qh?entry=ttu&amp;g_ep=EgoyMDI1MDUyMS4wIKXMDSoASAFQA"&amp;"w%3D%3D")</f>
        <v>https://www.google.com/maps/place/Harris+Health+Gulfgate+Health+Center/@29.6997779,-95.2883048,17z/data=!3m1!4b1!4m6!3m5!1s0x8640bd93784a65c1:0x72d463c89480905d!8m2!3d29.6997733!4d-95.2857245!16s%2Fg%2F1tz963qh?entry=ttu&amp;g_ep=EgoyMDI1MDUyMS4wIKXMDSoASAFQAw%3D%3D</v>
      </c>
      <c r="X392" s="10"/>
      <c r="Y392" s="9" t="str">
        <f>IFERROR(__xludf.DUMMYFUNCTION("""COMPUTED_VALUE"""),"Houston")</f>
        <v>Houston</v>
      </c>
      <c r="Z392" s="9" t="str">
        <f>IFERROR(__xludf.DUMMYFUNCTION("""COMPUTED_VALUE"""),"Greater East End, Harrisburg, Magnolia Park")</f>
        <v>Greater East End, Harrisburg, Magnolia Park</v>
      </c>
      <c r="AA392" s="9" t="str">
        <f>IFERROR(__xludf.DUMMYFUNCTION("""COMPUTED_VALUE"""),"Harris Health")</f>
        <v>Harris Health</v>
      </c>
      <c r="AB392" s="9" t="str">
        <f>IFERROR(__xludf.DUMMYFUNCTION("""COMPUTED_VALUE"""),"Greater East End")</f>
        <v>Greater East End</v>
      </c>
    </row>
    <row r="393" ht="30.0" customHeight="1">
      <c r="A393" s="17">
        <v>392.0</v>
      </c>
      <c r="B39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3" s="9" t="str">
        <f>IFERROR(__xludf.DUMMYFUNCTION("""COMPUTED_VALUE"""),"Harris Health - Gulfgate")</f>
        <v>Harris Health - Gulfgate</v>
      </c>
      <c r="D393" s="9" t="str">
        <f>IFERROR(__xludf.DUMMYFUNCTION("""COMPUTED_VALUE"""),"7550 Office City Drive")</f>
        <v>7550 Office City Drive</v>
      </c>
      <c r="E393" s="9"/>
      <c r="F393" s="10" t="str">
        <f>IFERROR(__xludf.DUMMYFUNCTION("""COMPUTED_VALUE"""),"Houston")</f>
        <v>Houston</v>
      </c>
      <c r="G393" s="9" t="str">
        <f>IFERROR(__xludf.DUMMYFUNCTION("""COMPUTED_VALUE"""),"TX")</f>
        <v>TX</v>
      </c>
      <c r="H393" s="9" t="str">
        <f>IFERROR(__xludf.DUMMYFUNCTION("""COMPUTED_VALUE"""),"77012")</f>
        <v>77012</v>
      </c>
      <c r="I393" s="9" t="str">
        <f>IFERROR(__xludf.DUMMYFUNCTION("""COMPUTED_VALUE"""),"713-495-3700")</f>
        <v>713-495-3700</v>
      </c>
      <c r="J393" s="9" t="str">
        <f>IFERROR(__xludf.DUMMYFUNCTION("""COMPUTED_VALUE"""),"29.69956305, -95.2856118007138")</f>
        <v>29.69956305, -95.2856118007138</v>
      </c>
      <c r="K393" s="9" t="str">
        <f>IFERROR(__xludf.DUMMYFUNCTION("""COMPUTED_VALUE"""),"{""regular"":[{""days"":[""Mo"",""Tu"",""We"",""Th"",""Fr""],""open"":""08:00"",""close"":""17:00""}]}")</f>
        <v>{"regular":[{"days":["Mo","Tu","We","Th","Fr"],"open":"08:00","close":"17:00"}]}</v>
      </c>
      <c r="L393" s="9"/>
      <c r="M393" s="10">
        <f>IFERROR(__xludf.DUMMYFUNCTION("""COMPUTED_VALUE"""),32.0)</f>
        <v>32</v>
      </c>
      <c r="N393" s="10" t="str">
        <f>IFERROR(__xludf.DUMMYFUNCTION("""COMPUTED_VALUE"""),"Medical - Dental &amp; Vision")</f>
        <v>Medical - Dental &amp; Vision</v>
      </c>
      <c r="O393" s="10">
        <f>IFERROR(__xludf.DUMMYFUNCTION("""COMPUTED_VALUE"""),1.0)</f>
        <v>1</v>
      </c>
      <c r="P393" s="10" t="str">
        <f>IFERROR(__xludf.DUMMYFUNCTION("""COMPUTED_VALUE"""),"ACTIVE")</f>
        <v>ACTIVE</v>
      </c>
      <c r="Q393" s="11">
        <f>IFERROR(__xludf.DUMMYFUNCTION("""COMPUTED_VALUE"""),46049.0)</f>
        <v>46049</v>
      </c>
      <c r="R393" s="9" t="str">
        <f>IFERROR(__xludf.DUMMYFUNCTION("""COMPUTED_VALUE"""),"Verified online")</f>
        <v>Verified online</v>
      </c>
      <c r="S393" s="9" t="str">
        <f>IFERROR(__xludf.DUMMYFUNCTION("""COMPUTED_VALUE"""),"Vision
Harris Health provides vision care but specifics are unclear.
Harris Health is the safety-net healthcare provider for Harris County focusing on low-income uninsured and underinsured patients.")</f>
        <v>Vision
Harris Health provides vision care but specifics are unclear.
Harris Health is the safety-net healthcare provider for Harris County focusing on low-income uninsured and underinsured patients.</v>
      </c>
      <c r="T393" s="12" t="b">
        <f>IFERROR(__xludf.DUMMYFUNCTION("""COMPUTED_VALUE"""),TRUE)</f>
        <v>1</v>
      </c>
      <c r="U393" s="12" t="b">
        <f>IFERROR(__xludf.DUMMYFUNCTION("""COMPUTED_VALUE"""),FALSE)</f>
        <v>0</v>
      </c>
      <c r="V393" s="13" t="str">
        <f>IFERROR(__xludf.DUMMYFUNCTION("""COMPUTED_VALUE"""),"https://www.harrishealth.org/locations-hh/Pages/gulfgate-health-center.aspx")</f>
        <v>https://www.harrishealth.org/locations-hh/Pages/gulfgate-health-center.aspx</v>
      </c>
      <c r="W393" s="14" t="str">
        <f>IFERROR(__xludf.DUMMYFUNCTION("""COMPUTED_VALUE"""),"https://www.google.com/maps/place/Harris+Health+Gulfgate+Health+Center/@29.6997779,-95.2883048,17z/data=!3m1!4b1!4m6!3m5!1s0x8640bd93784a65c1:0x72d463c89480905d!8m2!3d29.6997733!4d-95.2857245!16s%2Fg%2F1tz963qh?entry=ttu&amp;g_ep=EgoyMDI1MDUyMS4wIKXMDSoASAFQA"&amp;"w%3D%3D")</f>
        <v>https://www.google.com/maps/place/Harris+Health+Gulfgate+Health+Center/@29.6997779,-95.2883048,17z/data=!3m1!4b1!4m6!3m5!1s0x8640bd93784a65c1:0x72d463c89480905d!8m2!3d29.6997733!4d-95.2857245!16s%2Fg%2F1tz963qh?entry=ttu&amp;g_ep=EgoyMDI1MDUyMS4wIKXMDSoASAFQAw%3D%3D</v>
      </c>
      <c r="X393" s="10"/>
      <c r="Y393" s="9" t="str">
        <f>IFERROR(__xludf.DUMMYFUNCTION("""COMPUTED_VALUE"""),"Houston")</f>
        <v>Houston</v>
      </c>
      <c r="Z393" s="9" t="str">
        <f>IFERROR(__xludf.DUMMYFUNCTION("""COMPUTED_VALUE"""),"Greater East End, Harrisburg, Magnolia Park")</f>
        <v>Greater East End, Harrisburg, Magnolia Park</v>
      </c>
      <c r="AA393" s="9" t="str">
        <f>IFERROR(__xludf.DUMMYFUNCTION("""COMPUTED_VALUE"""),"Harris Health")</f>
        <v>Harris Health</v>
      </c>
      <c r="AB393" s="9" t="str">
        <f>IFERROR(__xludf.DUMMYFUNCTION("""COMPUTED_VALUE"""),"Greater East End")</f>
        <v>Greater East End</v>
      </c>
    </row>
    <row r="394" ht="30.0" customHeight="1">
      <c r="A394" s="17">
        <v>393.0</v>
      </c>
      <c r="B39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4" s="9" t="str">
        <f>IFERROR(__xludf.DUMMYFUNCTION("""COMPUTED_VALUE"""),"Harris Health - LBJ Hospital")</f>
        <v>Harris Health - LBJ Hospital</v>
      </c>
      <c r="D394" s="9" t="str">
        <f>IFERROR(__xludf.DUMMYFUNCTION("""COMPUTED_VALUE"""),"5656 Kelley Street")</f>
        <v>5656 Kelley Street</v>
      </c>
      <c r="E394" s="9"/>
      <c r="F394" s="10" t="str">
        <f>IFERROR(__xludf.DUMMYFUNCTION("""COMPUTED_VALUE"""),"Houston")</f>
        <v>Houston</v>
      </c>
      <c r="G394" s="9" t="str">
        <f>IFERROR(__xludf.DUMMYFUNCTION("""COMPUTED_VALUE"""),"TX")</f>
        <v>TX</v>
      </c>
      <c r="H394" s="9" t="str">
        <f>IFERROR(__xludf.DUMMYFUNCTION("""COMPUTED_VALUE"""),"77026")</f>
        <v>77026</v>
      </c>
      <c r="I394" s="9" t="str">
        <f>IFERROR(__xludf.DUMMYFUNCTION("""COMPUTED_VALUE"""),"713-566-5000")</f>
        <v>713-566-5000</v>
      </c>
      <c r="J394" s="9" t="str">
        <f>IFERROR(__xludf.DUMMYFUNCTION("""COMPUTED_VALUE"""),"29.8132289849885, -95.3121062206132")</f>
        <v>29.8132289849885, -95.3121062206132</v>
      </c>
      <c r="K394" s="9" t="str">
        <f>IFERROR(__xludf.DUMMYFUNCTION("""COMPUTED_VALUE"""),"{""regular"":[{""days"":[""Mo"",""Tu"",""We"",""Th"",""Fr"",""Sa"",""Su""],""open"":""00:00"",""close"":""23:59""}]}")</f>
        <v>{"regular":[{"days":["Mo","Tu","We","Th","Fr","Sa","Su"],"open":"00:00","close":"23:59"}]}</v>
      </c>
      <c r="L394" s="9"/>
      <c r="M394" s="10">
        <f>IFERROR(__xludf.DUMMYFUNCTION("""COMPUTED_VALUE"""),31.0)</f>
        <v>31</v>
      </c>
      <c r="N394" s="10" t="str">
        <f>IFERROR(__xludf.DUMMYFUNCTION("""COMPUTED_VALUE"""),"Medical - Primary Care")</f>
        <v>Medical - Primary Care</v>
      </c>
      <c r="O394" s="10">
        <f>IFERROR(__xludf.DUMMYFUNCTION("""COMPUTED_VALUE"""),1.0)</f>
        <v>1</v>
      </c>
      <c r="P394" s="10" t="str">
        <f>IFERROR(__xludf.DUMMYFUNCTION("""COMPUTED_VALUE"""),"ACTIVE")</f>
        <v>ACTIVE</v>
      </c>
      <c r="Q394" s="11">
        <f>IFERROR(__xludf.DUMMYFUNCTION("""COMPUTED_VALUE"""),45805.0)</f>
        <v>45805</v>
      </c>
      <c r="R394" s="9" t="str">
        <f>IFERROR(__xludf.DUMMYFUNCTION("""COMPUTED_VALUE"""),"Verified online")</f>
        <v>Verified online</v>
      </c>
      <c r="S394" s="9" t="str">
        <f>IFERROR(__xludf.DUMMYFUNCTION("""COMPUTED_VALUE"""),"Harris Health is the safety-net healthcare provider for Harris County focusing on low-income uninsured and underinsured patients.
Harris Health is the safety-net healthcare provider for Harris County focusing on low-income uninsured and underinsured patie"&amp;"nts.")</f>
        <v>Harris Health is the safety-net healthcare provider for Harris County focusing on low-income uninsured and underinsured patients.
Harris Health is the safety-net healthcare provider for Harris County focusing on low-income uninsured and underinsured patients.</v>
      </c>
      <c r="T394" s="12" t="b">
        <f>IFERROR(__xludf.DUMMYFUNCTION("""COMPUTED_VALUE"""),FALSE)</f>
        <v>0</v>
      </c>
      <c r="U394" s="12" t="b">
        <f>IFERROR(__xludf.DUMMYFUNCTION("""COMPUTED_VALUE"""),FALSE)</f>
        <v>0</v>
      </c>
      <c r="V394" s="13" t="str">
        <f>IFERROR(__xludf.DUMMYFUNCTION("""COMPUTED_VALUE"""),"https://www.harrishealth.org/locations-hh/Pages/lbj.aspx")</f>
        <v>https://www.harrishealth.org/locations-hh/Pages/lbj.aspx</v>
      </c>
      <c r="W394" s="14" t="str">
        <f>IFERROR(__xludf.DUMMYFUNCTION("""COMPUTED_VALUE"""),"https://www.google.com/maps/place/Lyndon+B.+Johnson+Hospital+Emergency+Room/@29.8120223,-95.3168451,17z/data=!3m2!4b1!5s0x88602f187266b603:0x923a0355d1884044!4m6!3m5!1s0x8640b97d755e51ad:0x818b0ea39e4ca28d!8m2!3d29.8120177!4d-95.3119688!16s%2Fg%2F11f291r2"&amp;"jj?entry=ttu&amp;g_ep=EgoyMDI1MDUyMS4wIKXMDSoASAFQAw%3D%3D")</f>
        <v>https://www.google.com/maps/place/Lyndon+B.+Johnson+Hospital+Emergency+Room/@29.8120223,-95.3168451,17z/data=!3m2!4b1!5s0x88602f187266b603:0x923a0355d1884044!4m6!3m5!1s0x8640b97d755e51ad:0x818b0ea39e4ca28d!8m2!3d29.8120177!4d-95.3119688!16s%2Fg%2F11f291r2jj?entry=ttu&amp;g_ep=EgoyMDI1MDUyMS4wIKXMDSoASAFQAw%3D%3D</v>
      </c>
      <c r="X394" s="10"/>
      <c r="Y394" s="9" t="str">
        <f>IFERROR(__xludf.DUMMYFUNCTION("""COMPUTED_VALUE"""),"Houston")</f>
        <v>Houston</v>
      </c>
      <c r="Z394" s="9" t="str">
        <f>IFERROR(__xludf.DUMMYFUNCTION("""COMPUTED_VALUE"""),"Kashmere Gardens, Northside, Trinity / Houston Gardens")</f>
        <v>Kashmere Gardens, Northside, Trinity / Houston Gardens</v>
      </c>
      <c r="AA394" s="9" t="str">
        <f>IFERROR(__xludf.DUMMYFUNCTION("""COMPUTED_VALUE"""),"Harris Health")</f>
        <v>Harris Health</v>
      </c>
      <c r="AB394" s="9" t="str">
        <f>IFERROR(__xludf.DUMMYFUNCTION("""COMPUTED_VALUE"""),"Northside")</f>
        <v>Northside</v>
      </c>
    </row>
    <row r="395" ht="30.0" customHeight="1">
      <c r="A395" s="17">
        <v>394.0</v>
      </c>
      <c r="B39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5" s="9" t="str">
        <f>IFERROR(__xludf.DUMMYFUNCTION("""COMPUTED_VALUE"""),"Harris Health - Martin Luther King Jr")</f>
        <v>Harris Health - Martin Luther King Jr</v>
      </c>
      <c r="D395" s="9" t="str">
        <f>IFERROR(__xludf.DUMMYFUNCTION("""COMPUTED_VALUE"""),"3550 Swingle Road")</f>
        <v>3550 Swingle Road</v>
      </c>
      <c r="E395" s="9"/>
      <c r="F395" s="9" t="str">
        <f>IFERROR(__xludf.DUMMYFUNCTION("""COMPUTED_VALUE"""),"Houston")</f>
        <v>Houston</v>
      </c>
      <c r="G395" s="9" t="str">
        <f>IFERROR(__xludf.DUMMYFUNCTION("""COMPUTED_VALUE"""),"TX")</f>
        <v>TX</v>
      </c>
      <c r="H395" s="9" t="str">
        <f>IFERROR(__xludf.DUMMYFUNCTION("""COMPUTED_VALUE"""),"77047")</f>
        <v>77047</v>
      </c>
      <c r="I395" s="9" t="str">
        <f>IFERROR(__xludf.DUMMYFUNCTION("""COMPUTED_VALUE"""),"713-547-1000")</f>
        <v>713-547-1000</v>
      </c>
      <c r="J395" s="9" t="str">
        <f>IFERROR(__xludf.DUMMYFUNCTION("""COMPUTED_VALUE"""),"29.6210014285714, -95.3669173673469")</f>
        <v>29.6210014285714, -95.3669173673469</v>
      </c>
      <c r="K395" s="9" t="str">
        <f>IFERROR(__xludf.DUMMYFUNCTION("""COMPUTED_VALUE"""),"{""regular"":[{""days"":[""Mo"",""Tu"",""We"",""Th"",""Fr""],""open"":""08:00"",""close"":""17:00""}]}")</f>
        <v>{"regular":[{"days":["Mo","Tu","We","Th","Fr"],"open":"08:00","close":"17:00"}]}</v>
      </c>
      <c r="L395" s="9"/>
      <c r="M395" s="10">
        <f>IFERROR(__xludf.DUMMYFUNCTION("""COMPUTED_VALUE"""),31.0)</f>
        <v>31</v>
      </c>
      <c r="N395" s="10" t="str">
        <f>IFERROR(__xludf.DUMMYFUNCTION("""COMPUTED_VALUE"""),"Medical - Primary Care")</f>
        <v>Medical - Primary Care</v>
      </c>
      <c r="O395" s="10">
        <f>IFERROR(__xludf.DUMMYFUNCTION("""COMPUTED_VALUE"""),1.0)</f>
        <v>1</v>
      </c>
      <c r="P395" s="10" t="str">
        <f>IFERROR(__xludf.DUMMYFUNCTION("""COMPUTED_VALUE"""),"ACTIVE")</f>
        <v>ACTIVE</v>
      </c>
      <c r="Q395" s="11">
        <f>IFERROR(__xludf.DUMMYFUNCTION("""COMPUTED_VALUE"""),45805.0)</f>
        <v>45805</v>
      </c>
      <c r="R395" s="9" t="str">
        <f>IFERROR(__xludf.DUMMYFUNCTION("""COMPUTED_VALUE"""),"Verified online")</f>
        <v>Verified online</v>
      </c>
      <c r="S395" s="9" t="str">
        <f>IFERROR(__xludf.DUMMYFUNCTION("""COMPUTED_VALUE"""),"Adult and pediatric primary care, OB/GYN, ophthalmology, podiatry, psychiatry, on site lab, mammography, x-ray services and nutrition, counseling and social services.
Harris Health is the safety-net healthcare provider for Harris County focusing on low-in"&amp;"come uninsured and underinsured patients.")</f>
        <v>Adult and pediatric primary care, OB/GYN, ophthalmology, podiatry, psychiatry, on site lab, mammography, x-ray services and nutrition, counseling and social services.
Harris Health is the safety-net healthcare provider for Harris County focusing on low-income uninsured and underinsured patients.</v>
      </c>
      <c r="T395" s="12" t="b">
        <f>IFERROR(__xludf.DUMMYFUNCTION("""COMPUTED_VALUE"""),FALSE)</f>
        <v>0</v>
      </c>
      <c r="U395" s="12" t="b">
        <f>IFERROR(__xludf.DUMMYFUNCTION("""COMPUTED_VALUE"""),FALSE)</f>
        <v>0</v>
      </c>
      <c r="V395" s="13" t="str">
        <f>IFERROR(__xludf.DUMMYFUNCTION("""COMPUTED_VALUE"""),"https://www.harrishealth.org/locations-hh/Pages/martin-luther-king-jr-health-center.aspx")</f>
        <v>https://www.harrishealth.org/locations-hh/Pages/martin-luther-king-jr-health-center.aspx</v>
      </c>
      <c r="W395" s="14" t="str">
        <f>IFERROR(__xludf.DUMMYFUNCTION("""COMPUTED_VALUE"""),"https://www.google.com/maps/place/Harris+Health+Martin+Luther+King+Jr.+Health+Center/@29.6196453,-95.3695031,16z/data=!3m1!4b1!4m6!3m5!1s0x864094ef11aabe2f:0x2e3a131c5bf49c2d!8m2!3d29.6196407!4d-95.3669228!16s%2Fg%2F1tpc8bp6?entry=ttu&amp;g_ep=EgoyMDI1MDUyMS4"&amp;"wIKXMDSoASAFQAw%3D%3D")</f>
        <v>https://www.google.com/maps/place/Harris+Health+Martin+Luther+King+Jr.+Health+Center/@29.6196453,-95.3695031,16z/data=!3m1!4b1!4m6!3m5!1s0x864094ef11aabe2f:0x2e3a131c5bf49c2d!8m2!3d29.6196407!4d-95.3669228!16s%2Fg%2F1tpc8bp6?entry=ttu&amp;g_ep=EgoyMDI1MDUyMS4wIKXMDSoASAFQAw%3D%3D</v>
      </c>
      <c r="X395" s="10"/>
      <c r="Y395" s="9" t="str">
        <f>IFERROR(__xludf.DUMMYFUNCTION("""COMPUTED_VALUE"""),"Houston")</f>
        <v>Houston</v>
      </c>
      <c r="Z395" s="9" t="str">
        <f>IFERROR(__xludf.DUMMYFUNCTION("""COMPUTED_VALUE"""),"Minnetex, South Acres / Crestmont Park")</f>
        <v>Minnetex, South Acres / Crestmont Park</v>
      </c>
      <c r="AA395" s="9" t="str">
        <f>IFERROR(__xludf.DUMMYFUNCTION("""COMPUTED_VALUE"""),"Harris Health")</f>
        <v>Harris Health</v>
      </c>
      <c r="AB395" s="9" t="str">
        <f>IFERROR(__xludf.DUMMYFUNCTION("""COMPUTED_VALUE"""),"South Acres / Crestmont Park")</f>
        <v>South Acres / Crestmont Park</v>
      </c>
    </row>
    <row r="396" ht="30.0" customHeight="1">
      <c r="A396" s="17">
        <v>395.0</v>
      </c>
      <c r="B39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6" s="9" t="str">
        <f>IFERROR(__xludf.DUMMYFUNCTION("""COMPUTED_VALUE"""),"Harris Health - Monroe")</f>
        <v>Harris Health - Monroe</v>
      </c>
      <c r="D396" s="9" t="str">
        <f>IFERROR(__xludf.DUMMYFUNCTION("""COMPUTED_VALUE"""),"8539 Gulf Freeway")</f>
        <v>8539 Gulf Freeway</v>
      </c>
      <c r="E396" s="9"/>
      <c r="F396" s="9" t="str">
        <f>IFERROR(__xludf.DUMMYFUNCTION("""COMPUTED_VALUE"""),"Houston")</f>
        <v>Houston</v>
      </c>
      <c r="G396" s="9" t="str">
        <f>IFERROR(__xludf.DUMMYFUNCTION("""COMPUTED_VALUE"""),"TX")</f>
        <v>TX</v>
      </c>
      <c r="H396" s="9" t="str">
        <f>IFERROR(__xludf.DUMMYFUNCTION("""COMPUTED_VALUE"""),"77017")</f>
        <v>77017</v>
      </c>
      <c r="I396" s="9" t="str">
        <f>IFERROR(__xludf.DUMMYFUNCTION("""COMPUTED_VALUE"""),"713-218-2697")</f>
        <v>713-218-2697</v>
      </c>
      <c r="J396" s="9" t="str">
        <f>IFERROR(__xludf.DUMMYFUNCTION("""COMPUTED_VALUE"""),"29.6689385, -95.2603907")</f>
        <v>29.6689385, -95.2603907</v>
      </c>
      <c r="K396" s="9" t="str">
        <f>IFERROR(__xludf.DUMMYFUNCTION("""COMPUTED_VALUE"""),"{""regular"":[{""days"":[""Mo"",""Tu"",""We"",""Th"",""Fr"",""Sa""],""open"":""08:00"",""close"":""20:00""}]}")</f>
        <v>{"regular":[{"days":["Mo","Tu","We","Th","Fr","Sa"],"open":"08:00","close":"20:00"}]}</v>
      </c>
      <c r="L396" s="9"/>
      <c r="M396" s="10">
        <f>IFERROR(__xludf.DUMMYFUNCTION("""COMPUTED_VALUE"""),31.0)</f>
        <v>31</v>
      </c>
      <c r="N396" s="10" t="str">
        <f>IFERROR(__xludf.DUMMYFUNCTION("""COMPUTED_VALUE"""),"Medical - Primary Care")</f>
        <v>Medical - Primary Care</v>
      </c>
      <c r="O396" s="10">
        <f>IFERROR(__xludf.DUMMYFUNCTION("""COMPUTED_VALUE"""),1.0)</f>
        <v>1</v>
      </c>
      <c r="P396" s="10" t="str">
        <f>IFERROR(__xludf.DUMMYFUNCTION("""COMPUTED_VALUE"""),"ACTIVE")</f>
        <v>ACTIVE</v>
      </c>
      <c r="Q396" s="11">
        <f>IFERROR(__xludf.DUMMYFUNCTION("""COMPUTED_VALUE"""),45805.0)</f>
        <v>45805</v>
      </c>
      <c r="R396" s="9" t="str">
        <f>IFERROR(__xludf.DUMMYFUNCTION("""COMPUTED_VALUE"""),"Verified online")</f>
        <v>Verified online</v>
      </c>
      <c r="S396" s="9" t="str">
        <f>IFERROR(__xludf.DUMMYFUNCTION("""COMPUTED_VALUE"""),"For minor illnesses and injuries.
No appointment needed.
Harris Health is the safety-net healthcare provider for Harris County focusing on low-income uninsured and underinsured patients.")</f>
        <v>For minor illnesses and injuries.
No appointment needed.
Harris Health is the safety-net healthcare provider for Harris County focusing on low-income uninsured and underinsured patients.</v>
      </c>
      <c r="T396" s="12" t="b">
        <f>IFERROR(__xludf.DUMMYFUNCTION("""COMPUTED_VALUE"""),FALSE)</f>
        <v>0</v>
      </c>
      <c r="U396" s="12" t="b">
        <f>IFERROR(__xludf.DUMMYFUNCTION("""COMPUTED_VALUE"""),FALSE)</f>
        <v>0</v>
      </c>
      <c r="V396" s="13" t="str">
        <f>IFERROR(__xludf.DUMMYFUNCTION("""COMPUTED_VALUE"""),"https://www.harrishealth.org/locations-hh/Pages/monroe-clinic.aspx")</f>
        <v>https://www.harrishealth.org/locations-hh/Pages/monroe-clinic.aspx</v>
      </c>
      <c r="W396" s="14" t="str">
        <f>IFERROR(__xludf.DUMMYFUNCTION("""COMPUTED_VALUE"""),"https://www.google.com/maps/place/Harris+Health+Monroe+Clinic/@29.6689242,-95.263044,16z/data=!3m1!4b1!4m6!3m5!1s0x864097ced0144bb1:0x63d4ddb2f4832b6!8m2!3d29.6689196!4d-95.2604637!16s%2Fg%2F11gr30wbw5?entry=ttu&amp;g_ep=EgoyMDI1MDUyMS4wIKXMDSoASAFQAw%3D%3D")</f>
        <v>https://www.google.com/maps/place/Harris+Health+Monroe+Clinic/@29.6689242,-95.263044,16z/data=!3m1!4b1!4m6!3m5!1s0x864097ced0144bb1:0x63d4ddb2f4832b6!8m2!3d29.6689196!4d-95.2604637!16s%2Fg%2F11gr30wbw5?entry=ttu&amp;g_ep=EgoyMDI1MDUyMS4wIKXMDSoASAFQAw%3D%3D</v>
      </c>
      <c r="X396" s="10"/>
      <c r="Y396" s="9" t="str">
        <f>IFERROR(__xludf.DUMMYFUNCTION("""COMPUTED_VALUE"""),"Houston")</f>
        <v>Houston</v>
      </c>
      <c r="Z396" s="9" t="str">
        <f>IFERROR(__xludf.DUMMYFUNCTION("""COMPUTED_VALUE"""),"Meadowbrook / Allendale, Meadowcreek Village, Park Place")</f>
        <v>Meadowbrook / Allendale, Meadowcreek Village, Park Place</v>
      </c>
      <c r="AA396" s="9" t="str">
        <f>IFERROR(__xludf.DUMMYFUNCTION("""COMPUTED_VALUE"""),"Harris Health")</f>
        <v>Harris Health</v>
      </c>
      <c r="AB396" s="9" t="str">
        <f>IFERROR(__xludf.DUMMYFUNCTION("""COMPUTED_VALUE"""),"Meadowbrook / Allendale")</f>
        <v>Meadowbrook / Allendale</v>
      </c>
    </row>
    <row r="397" ht="30.0" customHeight="1">
      <c r="A397" s="17">
        <v>396.0</v>
      </c>
      <c r="B39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7" s="9" t="str">
        <f>IFERROR(__xludf.DUMMYFUNCTION("""COMPUTED_VALUE"""),"Harris Health - Northwest")</f>
        <v>Harris Health - Northwest</v>
      </c>
      <c r="D397" s="9" t="str">
        <f>IFERROR(__xludf.DUMMYFUNCTION("""COMPUTED_VALUE"""),"1100 W 34th Street")</f>
        <v>1100 W 34th Street</v>
      </c>
      <c r="E397" s="9"/>
      <c r="F397" s="9" t="str">
        <f>IFERROR(__xludf.DUMMYFUNCTION("""COMPUTED_VALUE"""),"Houston")</f>
        <v>Houston</v>
      </c>
      <c r="G397" s="9" t="str">
        <f>IFERROR(__xludf.DUMMYFUNCTION("""COMPUTED_VALUE"""),"TX")</f>
        <v>TX</v>
      </c>
      <c r="H397" s="9" t="str">
        <f>IFERROR(__xludf.DUMMYFUNCTION("""COMPUTED_VALUE"""),"77018")</f>
        <v>77018</v>
      </c>
      <c r="I397" s="9" t="str">
        <f>IFERROR(__xludf.DUMMYFUNCTION("""COMPUTED_VALUE"""),"713-861-3939")</f>
        <v>713-861-3939</v>
      </c>
      <c r="J397" s="9" t="str">
        <f>IFERROR(__xludf.DUMMYFUNCTION("""COMPUTED_VALUE"""),"29.81836255, -95.4183650878389")</f>
        <v>29.81836255, -95.4183650878389</v>
      </c>
      <c r="K397" s="9" t="str">
        <f>IFERROR(__xludf.DUMMYFUNCTION("""COMPUTED_VALUE"""),"{""regular"":[{""days"":[""Mo"",""Tu"",""We"",""Th"",""Fr""],""open"":""08:00"",""close"":""17:00""}]}")</f>
        <v>{"regular":[{"days":["Mo","Tu","We","Th","Fr"],"open":"08:00","close":"17:00"}]}</v>
      </c>
      <c r="L397" s="9"/>
      <c r="M397" s="10">
        <f>IFERROR(__xludf.DUMMYFUNCTION("""COMPUTED_VALUE"""),31.0)</f>
        <v>31</v>
      </c>
      <c r="N397" s="10" t="str">
        <f>IFERROR(__xludf.DUMMYFUNCTION("""COMPUTED_VALUE"""),"Medical - Primary Care")</f>
        <v>Medical - Primary Care</v>
      </c>
      <c r="O397" s="10">
        <f>IFERROR(__xludf.DUMMYFUNCTION("""COMPUTED_VALUE"""),1.0)</f>
        <v>1</v>
      </c>
      <c r="P397" s="10" t="str">
        <f>IFERROR(__xludf.DUMMYFUNCTION("""COMPUTED_VALUE"""),"ACTIVE")</f>
        <v>ACTIVE</v>
      </c>
      <c r="Q397" s="11">
        <f>IFERROR(__xludf.DUMMYFUNCTION("""COMPUTED_VALUE"""),45805.0)</f>
        <v>45805</v>
      </c>
      <c r="R397" s="9" t="str">
        <f>IFERROR(__xludf.DUMMYFUNCTION("""COMPUTED_VALUE"""),"Verified online")</f>
        <v>Verified online</v>
      </c>
      <c r="S397" s="9" t="str">
        <f>IFERROR(__xludf.DUMMYFUNCTION("""COMPUTED_VALUE"""),"Primary care, OB/GYN, ophthalmology, podiatry, psychiatry, case management of HIV/AIDS, on site lab, pharmacy and nutrition, counseling and social services.
Harris Health is the safety-net healthcare provider for Harris County focusing on low-income unins"&amp;"ured and underinsured patients.")</f>
        <v>Primary care, OB/GYN, ophthalmology, podiatry, psychiatry, case management of HIV/AIDS, on site lab, pharmacy and nutrition, counseling and social services.
Harris Health is the safety-net healthcare provider for Harris County focusing on low-income uninsured and underinsured patients.</v>
      </c>
      <c r="T397" s="12" t="b">
        <f>IFERROR(__xludf.DUMMYFUNCTION("""COMPUTED_VALUE"""),FALSE)</f>
        <v>0</v>
      </c>
      <c r="U397" s="12" t="b">
        <f>IFERROR(__xludf.DUMMYFUNCTION("""COMPUTED_VALUE"""),FALSE)</f>
        <v>0</v>
      </c>
      <c r="V397" s="13" t="str">
        <f>IFERROR(__xludf.DUMMYFUNCTION("""COMPUTED_VALUE"""),"https://www.harrishealth.org/locations-hh/Pages/northwest-health-center.aspx")</f>
        <v>https://www.harrishealth.org/locations-hh/Pages/northwest-health-center.aspx</v>
      </c>
      <c r="W397" s="14" t="str">
        <f>IFERROR(__xludf.DUMMYFUNCTION("""COMPUTED_VALUE"""),"https://www.google.com/maps/place/Harris+Health+Northwest+Health+Center/@29.8183144,-95.4209388,17z/data=!3m1!4b1!4m6!3m5!1s0x8640c7a093af5811:0x1109bde063c823d1!8m2!3d29.8183098!4d-95.4183585!16s%2Fg%2F1tgwsn6q?entry=ttu&amp;g_ep=EgoyMDI1MDUyMS4wIKXMDSoASAFQ"&amp;"Aw%3D%3D")</f>
        <v>https://www.google.com/maps/place/Harris+Health+Northwest+Health+Center/@29.8183144,-95.4209388,17z/data=!3m1!4b1!4m6!3m5!1s0x8640c7a093af5811:0x1109bde063c823d1!8m2!3d29.8183098!4d-95.4183585!16s%2Fg%2F1tgwsn6q?entry=ttu&amp;g_ep=EgoyMDI1MDUyMS4wIKXMDSoASAFQAw%3D%3D</v>
      </c>
      <c r="X397" s="10"/>
      <c r="Y397" s="9" t="str">
        <f>IFERROR(__xludf.DUMMYFUNCTION("""COMPUTED_VALUE"""),"Houston")</f>
        <v>Houston</v>
      </c>
      <c r="Z397" s="9" t="str">
        <f>IFERROR(__xludf.DUMMYFUNCTION("""COMPUTED_VALUE"""),"Central Northwest, Garden Oaks, Northside, Oak Forest")</f>
        <v>Central Northwest, Garden Oaks, Northside, Oak Forest</v>
      </c>
      <c r="AA397" s="9" t="str">
        <f>IFERROR(__xludf.DUMMYFUNCTION("""COMPUTED_VALUE"""),"Harris Health")</f>
        <v>Harris Health</v>
      </c>
      <c r="AB397" s="9" t="str">
        <f>IFERROR(__xludf.DUMMYFUNCTION("""COMPUTED_VALUE"""),"Central Northwest")</f>
        <v>Central Northwest</v>
      </c>
    </row>
    <row r="398" ht="30.0" customHeight="1">
      <c r="A398" s="17">
        <v>397.0</v>
      </c>
      <c r="B39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8" s="9" t="str">
        <f>IFERROR(__xludf.DUMMYFUNCTION("""COMPUTED_VALUE"""),"Harris Health - Outpatient Center")</f>
        <v>Harris Health - Outpatient Center</v>
      </c>
      <c r="D398" s="9" t="str">
        <f>IFERROR(__xludf.DUMMYFUNCTION("""COMPUTED_VALUE"""),"5550 Kelley Street")</f>
        <v>5550 Kelley Street</v>
      </c>
      <c r="E398" s="9"/>
      <c r="F398" s="9" t="str">
        <f>IFERROR(__xludf.DUMMYFUNCTION("""COMPUTED_VALUE"""),"Houston")</f>
        <v>Houston</v>
      </c>
      <c r="G398" s="9" t="str">
        <f>IFERROR(__xludf.DUMMYFUNCTION("""COMPUTED_VALUE"""),"TX")</f>
        <v>TX</v>
      </c>
      <c r="H398" s="9" t="str">
        <f>IFERROR(__xludf.DUMMYFUNCTION("""COMPUTED_VALUE"""),"77026")</f>
        <v>77026</v>
      </c>
      <c r="I398" s="9" t="str">
        <f>IFERROR(__xludf.DUMMYFUNCTION("""COMPUTED_VALUE"""),"713-566-4858")</f>
        <v>713-566-4858</v>
      </c>
      <c r="J398" s="9" t="str">
        <f>IFERROR(__xludf.DUMMYFUNCTION("""COMPUTED_VALUE"""),"29.8137010476116, -95.3126564303921")</f>
        <v>29.8137010476116, -95.3126564303921</v>
      </c>
      <c r="K398" s="9" t="str">
        <f>IFERROR(__xludf.DUMMYFUNCTION("""COMPUTED_VALUE"""),"{""regular"":[{""days"":[""Mo"",""Tu"",""We"",""Th"",""Fr""],""open"":""08:00"",""close"":""17:00""}]}")</f>
        <v>{"regular":[{"days":["Mo","Tu","We","Th","Fr"],"open":"08:00","close":"17:00"}]}</v>
      </c>
      <c r="L398" s="9"/>
      <c r="M398" s="10">
        <f>IFERROR(__xludf.DUMMYFUNCTION("""COMPUTED_VALUE"""),31.0)</f>
        <v>31</v>
      </c>
      <c r="N398" s="10" t="str">
        <f>IFERROR(__xludf.DUMMYFUNCTION("""COMPUTED_VALUE"""),"Medical - Primary Care")</f>
        <v>Medical - Primary Care</v>
      </c>
      <c r="O398" s="10">
        <f>IFERROR(__xludf.DUMMYFUNCTION("""COMPUTED_VALUE"""),1.0)</f>
        <v>1</v>
      </c>
      <c r="P398" s="10" t="str">
        <f>IFERROR(__xludf.DUMMYFUNCTION("""COMPUTED_VALUE"""),"ACTIVE")</f>
        <v>ACTIVE</v>
      </c>
      <c r="Q398" s="11">
        <f>IFERROR(__xludf.DUMMYFUNCTION("""COMPUTED_VALUE"""),45805.0)</f>
        <v>45805</v>
      </c>
      <c r="R398" s="9" t="str">
        <f>IFERROR(__xludf.DUMMYFUNCTION("""COMPUTED_VALUE"""),"Verified online")</f>
        <v>Verified online</v>
      </c>
      <c r="S398" s="9" t="str">
        <f>IFERROR(__xludf.DUMMYFUNCTION("""COMPUTED_VALUE"""),"Located on LBJ Hospital Campus.
For outpatients requiring specialty and outpatient diagnostic surgical care.
Harris Health is the safety-net healthcare provider for Harris County focusing on low-income uninsured and underinsured patients.")</f>
        <v>Located on LBJ Hospital Campus.
For outpatients requiring specialty and outpatient diagnostic surgical care.
Harris Health is the safety-net healthcare provider for Harris County focusing on low-income uninsured and underinsured patients.</v>
      </c>
      <c r="T398" s="12" t="b">
        <f>IFERROR(__xludf.DUMMYFUNCTION("""COMPUTED_VALUE"""),FALSE)</f>
        <v>0</v>
      </c>
      <c r="U398" s="12" t="b">
        <f>IFERROR(__xludf.DUMMYFUNCTION("""COMPUTED_VALUE"""),FALSE)</f>
        <v>0</v>
      </c>
      <c r="V398" s="13" t="str">
        <f>IFERROR(__xludf.DUMMYFUNCTION("""COMPUTED_VALUE"""),"https://www.harrishealth.org/locations-hh/Pages/outpatient-center.aspx")</f>
        <v>https://www.harrishealth.org/locations-hh/Pages/outpatient-center.aspx</v>
      </c>
      <c r="W398" s="14" t="str">
        <f>IFERROR(__xludf.DUMMYFUNCTION("""COMPUTED_VALUE"""),"https://www.google.com/maps/place/Harris+Health+Outpatient+Center/@29.8115523,-95.315884,17z/data=!3m1!4b1!4m6!3m5!1s0x8640b97cfb307c89:0x88e3d7b28eba7c4d!8m2!3d29.8115477!4d-95.3133037!16s%2Fg%2F11c525w7f1?entry=ttu&amp;g_ep=EgoyMDI1MDUyMS4wIKXMDSoASAFQAw%3D"&amp;"%3D")</f>
        <v>https://www.google.com/maps/place/Harris+Health+Outpatient+Center/@29.8115523,-95.315884,17z/data=!3m1!4b1!4m6!3m5!1s0x8640b97cfb307c89:0x88e3d7b28eba7c4d!8m2!3d29.8115477!4d-95.3133037!16s%2Fg%2F11c525w7f1?entry=ttu&amp;g_ep=EgoyMDI1MDUyMS4wIKXMDSoASAFQAw%3D%3D</v>
      </c>
      <c r="X398" s="10"/>
      <c r="Y398" s="9" t="str">
        <f>IFERROR(__xludf.DUMMYFUNCTION("""COMPUTED_VALUE"""),"Houston")</f>
        <v>Houston</v>
      </c>
      <c r="Z398" s="9" t="str">
        <f>IFERROR(__xludf.DUMMYFUNCTION("""COMPUTED_VALUE"""),"Kashmere Gardens, Northside, Trinity / Houston Gardens")</f>
        <v>Kashmere Gardens, Northside, Trinity / Houston Gardens</v>
      </c>
      <c r="AA398" s="9" t="str">
        <f>IFERROR(__xludf.DUMMYFUNCTION("""COMPUTED_VALUE"""),"Harris Health")</f>
        <v>Harris Health</v>
      </c>
      <c r="AB398" s="9" t="str">
        <f>IFERROR(__xludf.DUMMYFUNCTION("""COMPUTED_VALUE"""),"Trinity / Houston Gardens")</f>
        <v>Trinity / Houston Gardens</v>
      </c>
    </row>
    <row r="399" ht="30.0" customHeight="1">
      <c r="A399" s="17">
        <v>398.0</v>
      </c>
      <c r="B39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399" s="9" t="str">
        <f>IFERROR(__xludf.DUMMYFUNCTION("""COMPUTED_VALUE"""),"Harris Health - Pasadena")</f>
        <v>Harris Health - Pasadena</v>
      </c>
      <c r="D399" s="9" t="str">
        <f>IFERROR(__xludf.DUMMYFUNCTION("""COMPUTED_VALUE"""),"3925 Fairmont Parkway")</f>
        <v>3925 Fairmont Parkway</v>
      </c>
      <c r="E399" s="9"/>
      <c r="F399" s="9" t="str">
        <f>IFERROR(__xludf.DUMMYFUNCTION("""COMPUTED_VALUE"""),"Pasadena")</f>
        <v>Pasadena</v>
      </c>
      <c r="G399" s="9" t="str">
        <f>IFERROR(__xludf.DUMMYFUNCTION("""COMPUTED_VALUE"""),"TX")</f>
        <v>TX</v>
      </c>
      <c r="H399" s="9" t="str">
        <f>IFERROR(__xludf.DUMMYFUNCTION("""COMPUTED_VALUE"""),"77504")</f>
        <v>77504</v>
      </c>
      <c r="I399" s="9" t="str">
        <f>IFERROR(__xludf.DUMMYFUNCTION("""COMPUTED_VALUE"""),"713-873-6300")</f>
        <v>713-873-6300</v>
      </c>
      <c r="J399" s="9" t="str">
        <f>IFERROR(__xludf.DUMMYFUNCTION("""COMPUTED_VALUE"""),"29.6511177943145, -95.1860518966931")</f>
        <v>29.6511177943145, -95.1860518966931</v>
      </c>
      <c r="K399" s="9" t="str">
        <f>IFERROR(__xludf.DUMMYFUNCTION("""COMPUTED_VALUE"""),"{""regular"":[{""days"":[""Mo"",""Tu"",""We"",""Th"",""Fr""],""open"":""08:00"",""close"":""17:00""}]}")</f>
        <v>{"regular":[{"days":["Mo","Tu","We","Th","Fr"],"open":"08:00","close":"17:00"}]}</v>
      </c>
      <c r="L399" s="9"/>
      <c r="M399" s="10">
        <f>IFERROR(__xludf.DUMMYFUNCTION("""COMPUTED_VALUE"""),31.0)</f>
        <v>31</v>
      </c>
      <c r="N399" s="10" t="str">
        <f>IFERROR(__xludf.DUMMYFUNCTION("""COMPUTED_VALUE"""),"Medical - Primary Care")</f>
        <v>Medical - Primary Care</v>
      </c>
      <c r="O399" s="10">
        <f>IFERROR(__xludf.DUMMYFUNCTION("""COMPUTED_VALUE"""),1.0)</f>
        <v>1</v>
      </c>
      <c r="P399" s="10" t="str">
        <f>IFERROR(__xludf.DUMMYFUNCTION("""COMPUTED_VALUE"""),"ACTIVE")</f>
        <v>ACTIVE</v>
      </c>
      <c r="Q399" s="11">
        <f>IFERROR(__xludf.DUMMYFUNCTION("""COMPUTED_VALUE"""),46049.0)</f>
        <v>46049</v>
      </c>
      <c r="R399" s="9" t="str">
        <f>IFERROR(__xludf.DUMMYFUNCTION("""COMPUTED_VALUE"""),"Verified online")</f>
        <v>Verified online</v>
      </c>
      <c r="S399" s="9" t="str">
        <f>IFERROR(__xludf.DUMMYFUNCTION("""COMPUTED_VALUE"""),"Primary care for newborns to teens up to 18 years old including treatment of acute and chronic diseases.  Specialty care includes pulmonary/developmental/high risk, gastrointestinal, endocrinology, cardiology, psychiatry, neurology and behavioral health t"&amp;"herapy and psychology.
Harris Health is the safety-net healthcare provider for Harris County focusing on low-income uninsured and underinsured patients.")</f>
        <v>Primary care for newborns to teens up to 18 years old including treatment of acute and chronic diseases.  Specialty care includes pulmonary/developmental/high risk, gastrointestinal, endocrinology, cardiology, psychiatry, neurology and behavioral health therapy and psychology.
Harris Health is the safety-net healthcare provider for Harris County focusing on low-income uninsured and underinsured patients.</v>
      </c>
      <c r="T399" s="12" t="b">
        <f>IFERROR(__xludf.DUMMYFUNCTION("""COMPUTED_VALUE"""),FALSE)</f>
        <v>0</v>
      </c>
      <c r="U399" s="12" t="b">
        <f>IFERROR(__xludf.DUMMYFUNCTION("""COMPUTED_VALUE"""),FALSE)</f>
        <v>0</v>
      </c>
      <c r="V399" s="13" t="str">
        <f>IFERROR(__xludf.DUMMYFUNCTION("""COMPUTED_VALUE"""),"https://www.harrishealth.org/locations-hh/Pages/pediatric-adolescent-health-center.aspx")</f>
        <v>https://www.harrishealth.org/locations-hh/Pages/pediatric-adolescent-health-center.aspx</v>
      </c>
      <c r="W399" s="14" t="str">
        <f>IFERROR(__xludf.DUMMYFUNCTION("""COMPUTED_VALUE"""),"https://www.google.com/maps/place/Harris+Health+Pasadena+Pediatric+and+Adolescent+Health+Center/@29.6515471,-95.1883539,17z/data=!3m1!4b1!4m6!3m5!1s0x86409857c3182259:0xec63279e76e03716!8m2!3d29.6515425!4d-95.1857736!16s%2Fg%2F11bbrj3f8r?entry=ttu&amp;g_ep=Eg"&amp;"oyMDI1MDUyMS4wIKXMDSoASAFQAw%3D%3D")</f>
        <v>https://www.google.com/maps/place/Harris+Health+Pasadena+Pediatric+and+Adolescent+Health+Center/@29.6515471,-95.1883539,17z/data=!3m1!4b1!4m6!3m5!1s0x86409857c3182259:0xec63279e76e03716!8m2!3d29.6515425!4d-95.1857736!16s%2Fg%2F11bbrj3f8r?entry=ttu&amp;g_ep=EgoyMDI1MDUyMS4wIKXMDSoASAFQAw%3D%3D</v>
      </c>
      <c r="X399" s="10"/>
      <c r="Y399" s="9" t="str">
        <f>IFERROR(__xludf.DUMMYFUNCTION("""COMPUTED_VALUE"""),"Pasadena")</f>
        <v>Pasadena</v>
      </c>
      <c r="Z399" s="9" t="str">
        <f>IFERROR(__xludf.DUMMYFUNCTION("""COMPUTED_VALUE"""),"Highland Farms, Pasadena")</f>
        <v>Highland Farms, Pasadena</v>
      </c>
      <c r="AA399" s="9" t="str">
        <f>IFERROR(__xludf.DUMMYFUNCTION("""COMPUTED_VALUE"""),"Harris Health")</f>
        <v>Harris Health</v>
      </c>
      <c r="AB399" s="9" t="str">
        <f>IFERROR(__xludf.DUMMYFUNCTION("""COMPUTED_VALUE"""),"Pasadena")</f>
        <v>Pasadena</v>
      </c>
    </row>
    <row r="400" ht="30.0" customHeight="1">
      <c r="A400" s="17">
        <v>399.0</v>
      </c>
      <c r="B40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0" s="9" t="str">
        <f>IFERROR(__xludf.DUMMYFUNCTION("""COMPUTED_VALUE"""),"Harris Health - Pasadena")</f>
        <v>Harris Health - Pasadena</v>
      </c>
      <c r="D400" s="9" t="str">
        <f>IFERROR(__xludf.DUMMYFUNCTION("""COMPUTED_VALUE"""),"3925 Fairmont Parkway")</f>
        <v>3925 Fairmont Parkway</v>
      </c>
      <c r="E400" s="9"/>
      <c r="F400" s="9" t="str">
        <f>IFERROR(__xludf.DUMMYFUNCTION("""COMPUTED_VALUE"""),"Pasadena")</f>
        <v>Pasadena</v>
      </c>
      <c r="G400" s="9" t="str">
        <f>IFERROR(__xludf.DUMMYFUNCTION("""COMPUTED_VALUE"""),"TX")</f>
        <v>TX</v>
      </c>
      <c r="H400" s="9" t="str">
        <f>IFERROR(__xludf.DUMMYFUNCTION("""COMPUTED_VALUE"""),"77504")</f>
        <v>77504</v>
      </c>
      <c r="I400" s="9" t="str">
        <f>IFERROR(__xludf.DUMMYFUNCTION("""COMPUTED_VALUE"""),"713-873-6300")</f>
        <v>713-873-6300</v>
      </c>
      <c r="J400" s="9" t="str">
        <f>IFERROR(__xludf.DUMMYFUNCTION("""COMPUTED_VALUE"""),"29.6511177943145, -95.1860518966931")</f>
        <v>29.6511177943145, -95.1860518966931</v>
      </c>
      <c r="K400" s="9" t="str">
        <f>IFERROR(__xludf.DUMMYFUNCTION("""COMPUTED_VALUE"""),"{""regular"":[{""days"":[""Mo"",""Tu"",""We"",""Th"",""Fr""],""open"":""08:00"",""close"":""17:00""}]}")</f>
        <v>{"regular":[{"days":["Mo","Tu","We","Th","Fr"],"open":"08:00","close":"17:00"}]}</v>
      </c>
      <c r="L400" s="9"/>
      <c r="M400" s="10">
        <f>IFERROR(__xludf.DUMMYFUNCTION("""COMPUTED_VALUE"""),33.0)</f>
        <v>33</v>
      </c>
      <c r="N400" s="10" t="str">
        <f>IFERROR(__xludf.DUMMYFUNCTION("""COMPUTED_VALUE"""),"Medical - Behavioral Health")</f>
        <v>Medical - Behavioral Health</v>
      </c>
      <c r="O400" s="10">
        <f>IFERROR(__xludf.DUMMYFUNCTION("""COMPUTED_VALUE"""),1.0)</f>
        <v>1</v>
      </c>
      <c r="P400" s="10" t="str">
        <f>IFERROR(__xludf.DUMMYFUNCTION("""COMPUTED_VALUE"""),"ACTIVE")</f>
        <v>ACTIVE</v>
      </c>
      <c r="Q400" s="11">
        <f>IFERROR(__xludf.DUMMYFUNCTION("""COMPUTED_VALUE"""),46049.0)</f>
        <v>46049</v>
      </c>
      <c r="R400" s="9" t="str">
        <f>IFERROR(__xludf.DUMMYFUNCTION("""COMPUTED_VALUE"""),"Verified online")</f>
        <v>Verified online</v>
      </c>
      <c r="S400" s="9" t="str">
        <f>IFERROR(__xludf.DUMMYFUNCTION("""COMPUTED_VALUE"""),"Behavioral and mental health counseling")</f>
        <v>Behavioral and mental health counseling</v>
      </c>
      <c r="T400" s="12" t="b">
        <f>IFERROR(__xludf.DUMMYFUNCTION("""COMPUTED_VALUE"""),FALSE)</f>
        <v>0</v>
      </c>
      <c r="U400" s="12" t="b">
        <f>IFERROR(__xludf.DUMMYFUNCTION("""COMPUTED_VALUE"""),FALSE)</f>
        <v>0</v>
      </c>
      <c r="V400" s="13" t="str">
        <f>IFERROR(__xludf.DUMMYFUNCTION("""COMPUTED_VALUE"""),"https://www.harrishealth.org/locations-hh/Pages/pediatric-adolescent-health-center.aspx")</f>
        <v>https://www.harrishealth.org/locations-hh/Pages/pediatric-adolescent-health-center.aspx</v>
      </c>
      <c r="W400" s="14" t="str">
        <f>IFERROR(__xludf.DUMMYFUNCTION("""COMPUTED_VALUE"""),"https://www.google.com/maps/place/Harris+Health+Pasadena+Pediatric+and+Adolescent+Health+Center/@29.6515471,-95.1883539,17z/data=!3m1!4b1!4m6!3m5!1s0x86409857c3182259:0xec63279e76e03716!8m2!3d29.6515425!4d-95.1857736!16s%2Fg%2F11bbrj3f8r?entry=ttu&amp;g_ep=Eg"&amp;"oyMDI1MDUyMS4wIKXMDSoASAFQAw%3D%3D")</f>
        <v>https://www.google.com/maps/place/Harris+Health+Pasadena+Pediatric+and+Adolescent+Health+Center/@29.6515471,-95.1883539,17z/data=!3m1!4b1!4m6!3m5!1s0x86409857c3182259:0xec63279e76e03716!8m2!3d29.6515425!4d-95.1857736!16s%2Fg%2F11bbrj3f8r?entry=ttu&amp;g_ep=EgoyMDI1MDUyMS4wIKXMDSoASAFQAw%3D%3D</v>
      </c>
      <c r="X400" s="10"/>
      <c r="Y400" s="9" t="str">
        <f>IFERROR(__xludf.DUMMYFUNCTION("""COMPUTED_VALUE"""),"Pasadena")</f>
        <v>Pasadena</v>
      </c>
      <c r="Z400" s="9" t="str">
        <f>IFERROR(__xludf.DUMMYFUNCTION("""COMPUTED_VALUE"""),"Highland Farms, Pasadena")</f>
        <v>Highland Farms, Pasadena</v>
      </c>
      <c r="AA400" s="9" t="str">
        <f>IFERROR(__xludf.DUMMYFUNCTION("""COMPUTED_VALUE"""),"Harris Health")</f>
        <v>Harris Health</v>
      </c>
      <c r="AB400" s="9" t="str">
        <f>IFERROR(__xludf.DUMMYFUNCTION("""COMPUTED_VALUE"""),"Pasadena")</f>
        <v>Pasadena</v>
      </c>
    </row>
    <row r="401" ht="30.0" customHeight="1">
      <c r="A401" s="17">
        <v>400.0</v>
      </c>
      <c r="B40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1" s="9" t="str">
        <f>IFERROR(__xludf.DUMMYFUNCTION("""COMPUTED_VALUE"""),"Harris Health - Quentin Mease")</f>
        <v>Harris Health - Quentin Mease</v>
      </c>
      <c r="D401" s="9" t="str">
        <f>IFERROR(__xludf.DUMMYFUNCTION("""COMPUTED_VALUE"""),"3601 North MacGregor Way")</f>
        <v>3601 North MacGregor Way</v>
      </c>
      <c r="E401" s="9"/>
      <c r="F401" s="9" t="str">
        <f>IFERROR(__xludf.DUMMYFUNCTION("""COMPUTED_VALUE"""),"Houston")</f>
        <v>Houston</v>
      </c>
      <c r="G401" s="9" t="str">
        <f>IFERROR(__xludf.DUMMYFUNCTION("""COMPUTED_VALUE"""),"TX")</f>
        <v>TX</v>
      </c>
      <c r="H401" s="9" t="str">
        <f>IFERROR(__xludf.DUMMYFUNCTION("""COMPUTED_VALUE"""),"77004")</f>
        <v>77004</v>
      </c>
      <c r="I401" s="9" t="str">
        <f>IFERROR(__xludf.DUMMYFUNCTION("""COMPUTED_VALUE"""),"713-873-3700")</f>
        <v>713-873-3700</v>
      </c>
      <c r="J401" s="9" t="str">
        <f>IFERROR(__xludf.DUMMYFUNCTION("""COMPUTED_VALUE"""),"29.7112702, -95.3594982944923")</f>
        <v>29.7112702, -95.3594982944923</v>
      </c>
      <c r="K401" s="9" t="str">
        <f>IFERROR(__xludf.DUMMYFUNCTION("""COMPUTED_VALUE"""),"{""regular"":[{""days"":[""Mo"",""Tu"",""We"",""Th"",""Fr""],""open"":""08:00"",""close"":""17:00""}]}")</f>
        <v>{"regular":[{"days":["Mo","Tu","We","Th","Fr"],"open":"08:00","close":"17:00"}]}</v>
      </c>
      <c r="L401" s="9"/>
      <c r="M401" s="10">
        <f>IFERROR(__xludf.DUMMYFUNCTION("""COMPUTED_VALUE"""),31.0)</f>
        <v>31</v>
      </c>
      <c r="N401" s="10" t="str">
        <f>IFERROR(__xludf.DUMMYFUNCTION("""COMPUTED_VALUE"""),"Medical - Primary Care")</f>
        <v>Medical - Primary Care</v>
      </c>
      <c r="O401" s="10">
        <f>IFERROR(__xludf.DUMMYFUNCTION("""COMPUTED_VALUE"""),1.0)</f>
        <v>1</v>
      </c>
      <c r="P401" s="10" t="str">
        <f>IFERROR(__xludf.DUMMYFUNCTION("""COMPUTED_VALUE"""),"ACTIVE")</f>
        <v>ACTIVE</v>
      </c>
      <c r="Q401" s="11">
        <f>IFERROR(__xludf.DUMMYFUNCTION("""COMPUTED_VALUE"""),45805.0)</f>
        <v>45805</v>
      </c>
      <c r="R401" s="9" t="str">
        <f>IFERROR(__xludf.DUMMYFUNCTION("""COMPUTED_VALUE"""),"Verified online")</f>
        <v>Verified online</v>
      </c>
      <c r="S401" s="9" t="str">
        <f>IFERROR(__xludf.DUMMYFUNCTION("""COMPUTED_VALUE"""),"HIV/AIDS and Endoscopic services.
Harris Health is the safety-net healthcare provider for Harris County focusing on low-income uninsured and underinsured patients.")</f>
        <v>HIV/AIDS and Endoscopic services.
Harris Health is the safety-net healthcare provider for Harris County focusing on low-income uninsured and underinsured patients.</v>
      </c>
      <c r="T401" s="12" t="b">
        <f>IFERROR(__xludf.DUMMYFUNCTION("""COMPUTED_VALUE"""),FALSE)</f>
        <v>0</v>
      </c>
      <c r="U401" s="12" t="b">
        <f>IFERROR(__xludf.DUMMYFUNCTION("""COMPUTED_VALUE"""),FALSE)</f>
        <v>0</v>
      </c>
      <c r="V401" s="13" t="str">
        <f>IFERROR(__xludf.DUMMYFUNCTION("""COMPUTED_VALUE"""),"https://www.harrishealth.org/locations-hh/Pages/quentin-mease.aspx")</f>
        <v>https://www.harrishealth.org/locations-hh/Pages/quentin-mease.aspx</v>
      </c>
      <c r="W401" s="14" t="str">
        <f>IFERROR(__xludf.DUMMYFUNCTION("""COMPUTED_VALUE"""),"https://www.google.com/maps/place/Harris+Health+Quentin+Mease+Health+Center/@29.711139,-95.362228,16z/data=!3m2!4b1!5s0x8640bfb11f7c6ae1:0xb8a348e1b92412a3!4m6!3m5!1s0x8640b8cc5ad31719:0x46f54af1a0382a5c!8m2!3d29.7111344!4d-95.3596477!16s%2Fg%2F1tfydz1v?e"&amp;"ntry=ttu&amp;g_ep=EgoyMDI1MDUyMS4wIKXMDSoASAFQAw%3D%3D")</f>
        <v>https://www.google.com/maps/place/Harris+Health+Quentin+Mease+Health+Center/@29.711139,-95.362228,16z/data=!3m2!4b1!5s0x8640bfb11f7c6ae1:0xb8a348e1b92412a3!4m6!3m5!1s0x8640b8cc5ad31719:0x46f54af1a0382a5c!8m2!3d29.7111344!4d-95.3596477!16s%2Fg%2F1tfydz1v?entry=ttu&amp;g_ep=EgoyMDI1MDUyMS4wIKXMDSoASAFQAw%3D%3D</v>
      </c>
      <c r="X401" s="10"/>
      <c r="Y401" s="9" t="str">
        <f>IFERROR(__xludf.DUMMYFUNCTION("""COMPUTED_VALUE"""),"Houston")</f>
        <v>Houston</v>
      </c>
      <c r="Z401"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401" s="9" t="str">
        <f>IFERROR(__xludf.DUMMYFUNCTION("""COMPUTED_VALUE"""),"Harris Health")</f>
        <v>Harris Health</v>
      </c>
      <c r="AB401" s="9" t="str">
        <f>IFERROR(__xludf.DUMMYFUNCTION("""COMPUTED_VALUE"""),"South Side")</f>
        <v>South Side</v>
      </c>
    </row>
    <row r="402" ht="30.0" customHeight="1">
      <c r="A402" s="17">
        <v>401.0</v>
      </c>
      <c r="B40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2" s="9" t="str">
        <f>IFERROR(__xludf.DUMMYFUNCTION("""COMPUTED_VALUE"""),"Harris Health - Sareen")</f>
        <v>Harris Health - Sareen</v>
      </c>
      <c r="D402" s="9" t="str">
        <f>IFERROR(__xludf.DUMMYFUNCTION("""COMPUTED_VALUE"""),"8888 W Bellfort Avenue")</f>
        <v>8888 W Bellfort Avenue</v>
      </c>
      <c r="E402" s="9"/>
      <c r="F402" s="9" t="str">
        <f>IFERROR(__xludf.DUMMYFUNCTION("""COMPUTED_VALUE"""),"Houston")</f>
        <v>Houston</v>
      </c>
      <c r="G402" s="9" t="str">
        <f>IFERROR(__xludf.DUMMYFUNCTION("""COMPUTED_VALUE"""),"TX")</f>
        <v>TX</v>
      </c>
      <c r="H402" s="9" t="str">
        <f>IFERROR(__xludf.DUMMYFUNCTION("""COMPUTED_VALUE"""),"77031")</f>
        <v>77031</v>
      </c>
      <c r="I402" s="9" t="str">
        <f>IFERROR(__xludf.DUMMYFUNCTION("""COMPUTED_VALUE"""),"713-218-2697")</f>
        <v>713-218-2697</v>
      </c>
      <c r="J402" s="9" t="str">
        <f>IFERROR(__xludf.DUMMYFUNCTION("""COMPUTED_VALUE"""),"29.656826, -95.5330430226804")</f>
        <v>29.656826, -95.5330430226804</v>
      </c>
      <c r="K402" s="9" t="str">
        <f>IFERROR(__xludf.DUMMYFUNCTION("""COMPUTED_VALUE"""),"{""regular"":[{""days"":[""Mo"",""Tu"",""We"",""Th"",""Fr""],""open"":""08:00"",""close"":""17:00""}]}")</f>
        <v>{"regular":[{"days":["Mo","Tu","We","Th","Fr"],"open":"08:00","close":"17:00"}]}</v>
      </c>
      <c r="L402" s="9"/>
      <c r="M402" s="10">
        <f>IFERROR(__xludf.DUMMYFUNCTION("""COMPUTED_VALUE"""),31.0)</f>
        <v>31</v>
      </c>
      <c r="N402" s="10" t="str">
        <f>IFERROR(__xludf.DUMMYFUNCTION("""COMPUTED_VALUE"""),"Medical - Primary Care")</f>
        <v>Medical - Primary Care</v>
      </c>
      <c r="O402" s="10">
        <f>IFERROR(__xludf.DUMMYFUNCTION("""COMPUTED_VALUE"""),1.0)</f>
        <v>1</v>
      </c>
      <c r="P402" s="10" t="str">
        <f>IFERROR(__xludf.DUMMYFUNCTION("""COMPUTED_VALUE"""),"ACTIVE")</f>
        <v>ACTIVE</v>
      </c>
      <c r="Q402" s="11">
        <f>IFERROR(__xludf.DUMMYFUNCTION("""COMPUTED_VALUE"""),45805.0)</f>
        <v>45805</v>
      </c>
      <c r="R402" s="9" t="str">
        <f>IFERROR(__xludf.DUMMYFUNCTION("""COMPUTED_VALUE"""),"Verified online")</f>
        <v>Verified online</v>
      </c>
      <c r="S402" s="9" t="str">
        <f>IFERROR(__xludf.DUMMYFUNCTION("""COMPUTED_VALUE"""),"For minor illnesses and injuries.
No appointment needed.
Co-located in India House.
Harris Health is the safety-net healthcare provider for Harris County focusing on low-income uninsured and underinsured patients.")</f>
        <v>For minor illnesses and injuries.
No appointment needed.
Co-located in India House.
Harris Health is the safety-net healthcare provider for Harris County focusing on low-income uninsured and underinsured patients.</v>
      </c>
      <c r="T402" s="12" t="b">
        <f>IFERROR(__xludf.DUMMYFUNCTION("""COMPUTED_VALUE"""),FALSE)</f>
        <v>0</v>
      </c>
      <c r="U402" s="12" t="b">
        <f>IFERROR(__xludf.DUMMYFUNCTION("""COMPUTED_VALUE"""),FALSE)</f>
        <v>0</v>
      </c>
      <c r="V402" s="13" t="str">
        <f>IFERROR(__xludf.DUMMYFUNCTION("""COMPUTED_VALUE"""),"https://www.harrishealth.org/locations-hh/Pages/sareen-same-day.aspx")</f>
        <v>https://www.harrishealth.org/locations-hh/Pages/sareen-same-day.aspx</v>
      </c>
      <c r="W402" s="14" t="str">
        <f>IFERROR(__xludf.DUMMYFUNCTION("""COMPUTED_VALUE"""),"https://www.google.com/maps/place/Harris+Health+Sareen+Clinic/@29.6567287,-95.5355176,16z/data=!3m1!4b1!4m6!3m5!1s0x8640e83bd4a02323:0x8f526c08026f8142!8m2!3d29.6567241!4d-95.5329373!16s%2Fg%2F11b70ghk6s?entry=ttu&amp;g_ep=EgoyMDI1MDUyMS4wIKXMDSoASAFQAw%3D%3D")</f>
        <v>https://www.google.com/maps/place/Harris+Health+Sareen+Clinic/@29.6567287,-95.5355176,16z/data=!3m1!4b1!4m6!3m5!1s0x8640e83bd4a02323:0x8f526c08026f8142!8m2!3d29.6567241!4d-95.5329373!16s%2Fg%2F11b70ghk6s?entry=ttu&amp;g_ep=EgoyMDI1MDUyMS4wIKXMDSoASAFQAw%3D%3D</v>
      </c>
      <c r="X402" s="10"/>
      <c r="Y402" s="9" t="str">
        <f>IFERROR(__xludf.DUMMYFUNCTION("""COMPUTED_VALUE"""),"Houston")</f>
        <v>Houston</v>
      </c>
      <c r="Z402" s="9" t="str">
        <f>IFERROR(__xludf.DUMMYFUNCTION("""COMPUTED_VALUE"""),"Brays Oaks, Fondren Southwest")</f>
        <v>Brays Oaks, Fondren Southwest</v>
      </c>
      <c r="AA402" s="9" t="str">
        <f>IFERROR(__xludf.DUMMYFUNCTION("""COMPUTED_VALUE"""),"Harris Health")</f>
        <v>Harris Health</v>
      </c>
      <c r="AB402" s="9" t="str">
        <f>IFERROR(__xludf.DUMMYFUNCTION("""COMPUTED_VALUE"""),"Brays Oaks")</f>
        <v>Brays Oaks</v>
      </c>
    </row>
    <row r="403" ht="30.0" customHeight="1">
      <c r="A403" s="17">
        <v>402.0</v>
      </c>
      <c r="B40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3" s="9" t="str">
        <f>IFERROR(__xludf.DUMMYFUNCTION("""COMPUTED_VALUE"""),"Harris Health - Settegast")</f>
        <v>Harris Health - Settegast</v>
      </c>
      <c r="D403" s="9" t="str">
        <f>IFERROR(__xludf.DUMMYFUNCTION("""COMPUTED_VALUE"""),"9105 N Wayside Drive")</f>
        <v>9105 N Wayside Drive</v>
      </c>
      <c r="E403" s="9"/>
      <c r="F403" s="9" t="str">
        <f>IFERROR(__xludf.DUMMYFUNCTION("""COMPUTED_VALUE"""),"Houston")</f>
        <v>Houston</v>
      </c>
      <c r="G403" s="9" t="str">
        <f>IFERROR(__xludf.DUMMYFUNCTION("""COMPUTED_VALUE"""),"TX")</f>
        <v>TX</v>
      </c>
      <c r="H403" s="9" t="str">
        <f>IFERROR(__xludf.DUMMYFUNCTION("""COMPUTED_VALUE"""),"77028")</f>
        <v>77028</v>
      </c>
      <c r="I403" s="9" t="str">
        <f>IFERROR(__xludf.DUMMYFUNCTION("""COMPUTED_VALUE"""),"713-633-2020")</f>
        <v>713-633-2020</v>
      </c>
      <c r="J403" s="9" t="str">
        <f>IFERROR(__xludf.DUMMYFUNCTION("""COMPUTED_VALUE"""),"29.8450907959184, -95.2846374897959")</f>
        <v>29.8450907959184, -95.2846374897959</v>
      </c>
      <c r="K403" s="9" t="str">
        <f>IFERROR(__xludf.DUMMYFUNCTION("""COMPUTED_VALUE"""),"{""regular"":[{""days"":[""Mo"",""Tu"",""We"",""Th"",""Fr""],""open"":""07:00"",""close"":""16:00""}]}")</f>
        <v>{"regular":[{"days":["Mo","Tu","We","Th","Fr"],"open":"07:00","close":"16:00"}]}</v>
      </c>
      <c r="L403" s="9"/>
      <c r="M403" s="10">
        <f>IFERROR(__xludf.DUMMYFUNCTION("""COMPUTED_VALUE"""),31.0)</f>
        <v>31</v>
      </c>
      <c r="N403" s="10" t="str">
        <f>IFERROR(__xludf.DUMMYFUNCTION("""COMPUTED_VALUE"""),"Medical - Primary Care")</f>
        <v>Medical - Primary Care</v>
      </c>
      <c r="O403" s="10">
        <f>IFERROR(__xludf.DUMMYFUNCTION("""COMPUTED_VALUE"""),1.0)</f>
        <v>1</v>
      </c>
      <c r="P403" s="10" t="str">
        <f>IFERROR(__xludf.DUMMYFUNCTION("""COMPUTED_VALUE"""),"ACTIVE")</f>
        <v>ACTIVE</v>
      </c>
      <c r="Q403" s="11">
        <f>IFERROR(__xludf.DUMMYFUNCTION("""COMPUTED_VALUE"""),45805.0)</f>
        <v>45805</v>
      </c>
      <c r="R403" s="9" t="str">
        <f>IFERROR(__xludf.DUMMYFUNCTION("""COMPUTED_VALUE"""),"Verified online")</f>
        <v>Verified online</v>
      </c>
      <c r="S403" s="9" t="str">
        <f>IFERROR(__xludf.DUMMYFUNCTION("""COMPUTED_VALUE"""),"Primary care, specialty care in optometry, podiatry, psychiatry, on site lab, pharmacy and nutrition, counseling and social services.
Harris Health is the safety-net healthcare provider for Harris County focusing on low-income uninsured and underinsured p"&amp;"atients.")</f>
        <v>Primary care, specialty care in optometry, podiatry, psychiatry, on site lab, pharmacy and nutrition, counseling and social services.
Harris Health is the safety-net healthcare provider for Harris County focusing on low-income uninsured and underinsured patients.</v>
      </c>
      <c r="T403" s="12" t="b">
        <f>IFERROR(__xludf.DUMMYFUNCTION("""COMPUTED_VALUE"""),FALSE)</f>
        <v>0</v>
      </c>
      <c r="U403" s="12" t="b">
        <f>IFERROR(__xludf.DUMMYFUNCTION("""COMPUTED_VALUE"""),FALSE)</f>
        <v>0</v>
      </c>
      <c r="V403" s="13" t="str">
        <f>IFERROR(__xludf.DUMMYFUNCTION("""COMPUTED_VALUE"""),"https://www.harrishealth.org/locations-hh/Pages/settegast-health-center.aspx")</f>
        <v>https://www.harrishealth.org/locations-hh/Pages/settegast-health-center.aspx</v>
      </c>
      <c r="W403" s="14" t="str">
        <f>IFERROR(__xludf.DUMMYFUNCTION("""COMPUTED_VALUE"""),"https://www.google.com/maps/place/Harris+Health+Settegast+Health+Center/@29.8453713,-95.2889164,16z/data=!3m1!4b1!4m6!3m5!1s0x8640ba41d80dc0af:0x89f01d1a68ed4bfe!8m2!3d29.8453667!4d-95.2863361!16s%2Fg%2F1tdwf9hz?entry=ttu&amp;g_ep=EgoyMDI1MDUyMS4wIKXMDSoASAFQ"&amp;"Aw%3D%3D")</f>
        <v>https://www.google.com/maps/place/Harris+Health+Settegast+Health+Center/@29.8453713,-95.2889164,16z/data=!3m1!4b1!4m6!3m5!1s0x8640ba41d80dc0af:0x89f01d1a68ed4bfe!8m2!3d29.8453667!4d-95.2863361!16s%2Fg%2F1tdwf9hz?entry=ttu&amp;g_ep=EgoyMDI1MDUyMS4wIKXMDSoASAFQAw%3D%3D</v>
      </c>
      <c r="X403" s="10"/>
      <c r="Y403" s="9" t="str">
        <f>IFERROR(__xludf.DUMMYFUNCTION("""COMPUTED_VALUE"""),"Houston")</f>
        <v>Houston</v>
      </c>
      <c r="Z403" s="9" t="str">
        <f>IFERROR(__xludf.DUMMYFUNCTION("""COMPUTED_VALUE"""),"East Houston, Northside, Settegast")</f>
        <v>East Houston, Northside, Settegast</v>
      </c>
      <c r="AA403" s="9" t="str">
        <f>IFERROR(__xludf.DUMMYFUNCTION("""COMPUTED_VALUE"""),"Harris Health")</f>
        <v>Harris Health</v>
      </c>
      <c r="AB403" s="9" t="str">
        <f>IFERROR(__xludf.DUMMYFUNCTION("""COMPUTED_VALUE"""),"East Houston")</f>
        <v>East Houston</v>
      </c>
    </row>
    <row r="404" ht="30.0" customHeight="1">
      <c r="A404" s="17">
        <v>403.0</v>
      </c>
      <c r="B40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4" s="9" t="str">
        <f>IFERROR(__xludf.DUMMYFUNCTION("""COMPUTED_VALUE"""),"Harris Health - Smith Clinic")</f>
        <v>Harris Health - Smith Clinic</v>
      </c>
      <c r="D404" s="9" t="str">
        <f>IFERROR(__xludf.DUMMYFUNCTION("""COMPUTED_VALUE"""),"2525-A Holly Hall Street")</f>
        <v>2525-A Holly Hall Street</v>
      </c>
      <c r="E404" s="9"/>
      <c r="F404" s="9" t="str">
        <f>IFERROR(__xludf.DUMMYFUNCTION("""COMPUTED_VALUE"""),"Houston")</f>
        <v>Houston</v>
      </c>
      <c r="G404" s="9" t="str">
        <f>IFERROR(__xludf.DUMMYFUNCTION("""COMPUTED_VALUE"""),"TX")</f>
        <v>TX</v>
      </c>
      <c r="H404" s="9" t="str">
        <f>IFERROR(__xludf.DUMMYFUNCTION("""COMPUTED_VALUE"""),"77054")</f>
        <v>77054</v>
      </c>
      <c r="I404" s="9" t="str">
        <f>IFERROR(__xludf.DUMMYFUNCTION("""COMPUTED_VALUE"""),"713-566-3600")</f>
        <v>713-566-3600</v>
      </c>
      <c r="J404" s="9" t="str">
        <f>IFERROR(__xludf.DUMMYFUNCTION("""COMPUTED_VALUE"""),"29.685644, -95.388481")</f>
        <v>29.685644, -95.388481</v>
      </c>
      <c r="K404" s="9" t="str">
        <f>IFERROR(__xludf.DUMMYFUNCTION("""COMPUTED_VALUE"""),"{""regular"":[{""days"":[""Mo"",""Tu"",""We"",""Th"",""Fr""],""open"":""08:00"",""close"":""17:00""}]}")</f>
        <v>{"regular":[{"days":["Mo","Tu","We","Th","Fr"],"open":"08:00","close":"17:00"}]}</v>
      </c>
      <c r="L404" s="9"/>
      <c r="M404" s="10">
        <f>IFERROR(__xludf.DUMMYFUNCTION("""COMPUTED_VALUE"""),31.0)</f>
        <v>31</v>
      </c>
      <c r="N404" s="10" t="str">
        <f>IFERROR(__xludf.DUMMYFUNCTION("""COMPUTED_VALUE"""),"Medical - Primary Care")</f>
        <v>Medical - Primary Care</v>
      </c>
      <c r="O404" s="10">
        <f>IFERROR(__xludf.DUMMYFUNCTION("""COMPUTED_VALUE"""),1.0)</f>
        <v>1</v>
      </c>
      <c r="P404" s="10" t="str">
        <f>IFERROR(__xludf.DUMMYFUNCTION("""COMPUTED_VALUE"""),"ACTIVE")</f>
        <v>ACTIVE</v>
      </c>
      <c r="Q404" s="11">
        <f>IFERROR(__xludf.DUMMYFUNCTION("""COMPUTED_VALUE"""),45805.0)</f>
        <v>45805</v>
      </c>
      <c r="R404" s="9" t="str">
        <f>IFERROR(__xludf.DUMMYFUNCTION("""COMPUTED_VALUE"""),"Verified online")</f>
        <v>Verified online</v>
      </c>
      <c r="S404" s="9" t="str">
        <f>IFERROR(__xludf.DUMMYFUNCTION("""COMPUTED_VALUE"""),"Diagnostic and specialty clinics as well as MRI and ultrasound diagnostics.
See website for full list of specialties covered.
Harris Health is the safety-net healthcare provider for Harris County focusing on low-income uninsured and underinsured patients.")</f>
        <v>Diagnostic and specialty clinics as well as MRI and ultrasound diagnostics.
See website for full list of specialties covered.
Harris Health is the safety-net healthcare provider for Harris County focusing on low-income uninsured and underinsured patients.</v>
      </c>
      <c r="T404" s="12" t="b">
        <f>IFERROR(__xludf.DUMMYFUNCTION("""COMPUTED_VALUE"""),FALSE)</f>
        <v>0</v>
      </c>
      <c r="U404" s="12" t="b">
        <f>IFERROR(__xludf.DUMMYFUNCTION("""COMPUTED_VALUE"""),FALSE)</f>
        <v>0</v>
      </c>
      <c r="V404" s="13" t="str">
        <f>IFERROR(__xludf.DUMMYFUNCTION("""COMPUTED_VALUE"""),"https://www.harrishealth.org/locations-hh/Pages/smith-clinic.aspx")</f>
        <v>https://www.harrishealth.org/locations-hh/Pages/smith-clinic.aspx</v>
      </c>
      <c r="W404" s="14" t="str">
        <f>IFERROR(__xludf.DUMMYFUNCTION("""COMPUTED_VALUE"""),"https://www.google.com/maps/place/Harris+Health+Smith+Clinic/@29.6862273,-95.3898745,17z/data=!3m1!4b1!4m6!3m5!1s0x863f5e805f9cadf3:0x6305e2c2bfb127eb!8m2!3d29.6862227!4d-95.3872942!16s%2Fg%2F1yfj55yns?entry=ttu&amp;g_ep=EgoyMDI1MDUyMS4wIKXMDSoASAFQAw%3D%3D")</f>
        <v>https://www.google.com/maps/place/Harris+Health+Smith+Clinic/@29.6862273,-95.3898745,17z/data=!3m1!4b1!4m6!3m5!1s0x863f5e805f9cadf3:0x6305e2c2bfb127eb!8m2!3d29.6862227!4d-95.3872942!16s%2Fg%2F1yfj55yns?entry=ttu&amp;g_ep=EgoyMDI1MDUyMS4wIKXMDSoASAFQAw%3D%3D</v>
      </c>
      <c r="X404" s="10"/>
      <c r="Y404" s="9" t="str">
        <f>IFERROR(__xludf.DUMMYFUNCTION("""COMPUTED_VALUE"""),"Houston")</f>
        <v>Houston</v>
      </c>
      <c r="Z404" s="9" t="str">
        <f>IFERROR(__xludf.DUMMYFUNCTION("""COMPUTED_VALUE"""),"Astrodome Area, Medical Center South, NRG Park area, South Main")</f>
        <v>Astrodome Area, Medical Center South, NRG Park area, South Main</v>
      </c>
      <c r="AA404" s="9" t="str">
        <f>IFERROR(__xludf.DUMMYFUNCTION("""COMPUTED_VALUE"""),"Harris Health")</f>
        <v>Harris Health</v>
      </c>
      <c r="AB404" s="9" t="str">
        <f>IFERROR(__xludf.DUMMYFUNCTION("""COMPUTED_VALUE"""),"Astrodome Area")</f>
        <v>Astrodome Area</v>
      </c>
    </row>
    <row r="405" ht="30.0" customHeight="1">
      <c r="A405" s="17">
        <v>404.0</v>
      </c>
      <c r="B40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5" s="9" t="str">
        <f>IFERROR(__xludf.DUMMYFUNCTION("""COMPUTED_VALUE"""),"Harris Health - Squatty Lyons")</f>
        <v>Harris Health - Squatty Lyons</v>
      </c>
      <c r="D405" s="9" t="str">
        <f>IFERROR(__xludf.DUMMYFUNCTION("""COMPUTED_VALUE"""),"1712 First Street E")</f>
        <v>1712 First Street E</v>
      </c>
      <c r="E405" s="9" t="str">
        <f>IFERROR(__xludf.DUMMYFUNCTION("""COMPUTED_VALUE"""),"Suite M20")</f>
        <v>Suite M20</v>
      </c>
      <c r="F405" s="9" t="str">
        <f>IFERROR(__xludf.DUMMYFUNCTION("""COMPUTED_VALUE"""),"Humble")</f>
        <v>Humble</v>
      </c>
      <c r="G405" s="9" t="str">
        <f>IFERROR(__xludf.DUMMYFUNCTION("""COMPUTED_VALUE"""),"TX")</f>
        <v>TX</v>
      </c>
      <c r="H405" s="9" t="str">
        <f>IFERROR(__xludf.DUMMYFUNCTION("""COMPUTED_VALUE"""),"77338")</f>
        <v>77338</v>
      </c>
      <c r="I405" s="9" t="str">
        <f>IFERROR(__xludf.DUMMYFUNCTION("""COMPUTED_VALUE"""),"281-446-4139")</f>
        <v>281-446-4139</v>
      </c>
      <c r="J405" s="9" t="str">
        <f>IFERROR(__xludf.DUMMYFUNCTION("""COMPUTED_VALUE"""),"29.99844959648907, -95.24824259686477")</f>
        <v>29.99844959648907, -95.24824259686477</v>
      </c>
      <c r="K405" s="9" t="str">
        <f>IFERROR(__xludf.DUMMYFUNCTION("""COMPUTED_VALUE"""),"{""regular"":[{""days"":[""Mo"",""Tu"",""We"",""Th"",""Fr""],""open"":""08:00"",""close"":""17:00""}]}")</f>
        <v>{"regular":[{"days":["Mo","Tu","We","Th","Fr"],"open":"08:00","close":"17:00"}]}</v>
      </c>
      <c r="L405" s="9"/>
      <c r="M405" s="10">
        <f>IFERROR(__xludf.DUMMYFUNCTION("""COMPUTED_VALUE"""),31.0)</f>
        <v>31</v>
      </c>
      <c r="N405" s="10" t="str">
        <f>IFERROR(__xludf.DUMMYFUNCTION("""COMPUTED_VALUE"""),"Medical - Primary Care")</f>
        <v>Medical - Primary Care</v>
      </c>
      <c r="O405" s="10">
        <f>IFERROR(__xludf.DUMMYFUNCTION("""COMPUTED_VALUE"""),1.0)</f>
        <v>1</v>
      </c>
      <c r="P405" s="10" t="str">
        <f>IFERROR(__xludf.DUMMYFUNCTION("""COMPUTED_VALUE"""),"ACTIVE")</f>
        <v>ACTIVE</v>
      </c>
      <c r="Q405" s="11">
        <f>IFERROR(__xludf.DUMMYFUNCTION("""COMPUTED_VALUE"""),45805.0)</f>
        <v>45805</v>
      </c>
      <c r="R405" s="9" t="str">
        <f>IFERROR(__xludf.DUMMYFUNCTION("""COMPUTED_VALUE"""),"Verified online")</f>
        <v>Verified online</v>
      </c>
      <c r="S405" s="9" t="str">
        <f>IFERROR(__xludf.DUMMYFUNCTION("""COMPUTED_VALUE"""),"Adult and pediatric primary care, psychiatry, pharmacy services and nutrition, counseling and social services.
Harris Health is the safety-net healthcare provider for Harris County focusing on low-income uninsured and underinsured patients.")</f>
        <v>Adult and pediatric primary care, psychiatry, pharmacy services and nutrition, counseling and social services.
Harris Health is the safety-net healthcare provider for Harris County focusing on low-income uninsured and underinsured patients.</v>
      </c>
      <c r="T405" s="12" t="b">
        <f>IFERROR(__xludf.DUMMYFUNCTION("""COMPUTED_VALUE"""),FALSE)</f>
        <v>0</v>
      </c>
      <c r="U405" s="12" t="b">
        <f>IFERROR(__xludf.DUMMYFUNCTION("""COMPUTED_VALUE"""),FALSE)</f>
        <v>0</v>
      </c>
      <c r="V405" s="13" t="str">
        <f>IFERROR(__xludf.DUMMYFUNCTION("""COMPUTED_VALUE"""),"https://www.harrishealth.org/locations-hh/Pages/ea-squatty-lyons-health-center.aspx")</f>
        <v>https://www.harrishealth.org/locations-hh/Pages/ea-squatty-lyons-health-center.aspx</v>
      </c>
      <c r="W405" s="14" t="str">
        <f>IFERROR(__xludf.DUMMYFUNCTION("""COMPUTED_VALUE"""),"https://www.google.com/maps/place/Harris+Health+Settegast+Health+Center/@29.8453713,-95.2889164,16z/data=!3m1!4b1!4m6!3m5!1s0x8640ba41d80dc0af:0x89f01d1a68ed4bfe!8m2!3d29.8453667!4d-95.2863361!16s%2Fg%2F1tdwf9hz?entry=ttu&amp;g_ep=EgoyMDI1MDUyMS4wIKXMDSoASAFQ"&amp;"Aw%3D%3D")</f>
        <v>https://www.google.com/maps/place/Harris+Health+Settegast+Health+Center/@29.8453713,-95.2889164,16z/data=!3m1!4b1!4m6!3m5!1s0x8640ba41d80dc0af:0x89f01d1a68ed4bfe!8m2!3d29.8453667!4d-95.2863361!16s%2Fg%2F1tdwf9hz?entry=ttu&amp;g_ep=EgoyMDI1MDUyMS4wIKXMDSoASAFQAw%3D%3D</v>
      </c>
      <c r="X405" s="10"/>
      <c r="Y405" s="9" t="str">
        <f>IFERROR(__xludf.DUMMYFUNCTION("""COMPUTED_VALUE"""),"Humble")</f>
        <v>Humble</v>
      </c>
      <c r="Z405" s="9" t="str">
        <f>IFERROR(__xludf.DUMMYFUNCTION("""COMPUTED_VALUE"""),"Humble, Humble (Old Town), Northshire")</f>
        <v>Humble, Humble (Old Town), Northshire</v>
      </c>
      <c r="AA405" s="9" t="str">
        <f>IFERROR(__xludf.DUMMYFUNCTION("""COMPUTED_VALUE"""),"Harris Health")</f>
        <v>Harris Health</v>
      </c>
      <c r="AB405" s="9" t="str">
        <f>IFERROR(__xludf.DUMMYFUNCTION("""COMPUTED_VALUE"""),"Humble")</f>
        <v>Humble</v>
      </c>
    </row>
    <row r="406" ht="30.0" customHeight="1">
      <c r="A406" s="17">
        <v>405.0</v>
      </c>
      <c r="B40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6" s="9" t="str">
        <f>IFERROR(__xludf.DUMMYFUNCTION("""COMPUTED_VALUE"""),"Harris Health - Strawberry")</f>
        <v>Harris Health - Strawberry</v>
      </c>
      <c r="D406" s="9" t="str">
        <f>IFERROR(__xludf.DUMMYFUNCTION("""COMPUTED_VALUE"""),"927 Shaw Avenue")</f>
        <v>927 Shaw Avenue</v>
      </c>
      <c r="E406" s="9"/>
      <c r="F406" s="9" t="str">
        <f>IFERROR(__xludf.DUMMYFUNCTION("""COMPUTED_VALUE"""),"Pasadena")</f>
        <v>Pasadena</v>
      </c>
      <c r="G406" s="9" t="str">
        <f>IFERROR(__xludf.DUMMYFUNCTION("""COMPUTED_VALUE"""),"TX")</f>
        <v>TX</v>
      </c>
      <c r="H406" s="9" t="str">
        <f>IFERROR(__xludf.DUMMYFUNCTION("""COMPUTED_VALUE"""),"77506")</f>
        <v>77506</v>
      </c>
      <c r="I406" s="9" t="str">
        <f>IFERROR(__xludf.DUMMYFUNCTION("""COMPUTED_VALUE"""),"713-982-5900")</f>
        <v>713-982-5900</v>
      </c>
      <c r="J406" s="9" t="str">
        <f>IFERROR(__xludf.DUMMYFUNCTION("""COMPUTED_VALUE"""),"29.7127396734694, -95.2025909795919")</f>
        <v>29.7127396734694, -95.2025909795919</v>
      </c>
      <c r="K406" s="9" t="str">
        <f>IFERROR(__xludf.DUMMYFUNCTION("""COMPUTED_VALUE"""),"{""regular"":[{""days"":[""Mo"",""Tu"",""We"",""Th"",""Fr""],""open"":""08:00"",""close"":""17:00""}]}")</f>
        <v>{"regular":[{"days":["Mo","Tu","We","Th","Fr"],"open":"08:00","close":"17:00"}]}</v>
      </c>
      <c r="L406" s="9"/>
      <c r="M406" s="10">
        <f>IFERROR(__xludf.DUMMYFUNCTION("""COMPUTED_VALUE"""),31.0)</f>
        <v>31</v>
      </c>
      <c r="N406" s="10" t="str">
        <f>IFERROR(__xludf.DUMMYFUNCTION("""COMPUTED_VALUE"""),"Medical - Primary Care")</f>
        <v>Medical - Primary Care</v>
      </c>
      <c r="O406" s="10">
        <f>IFERROR(__xludf.DUMMYFUNCTION("""COMPUTED_VALUE"""),1.0)</f>
        <v>1</v>
      </c>
      <c r="P406" s="10" t="str">
        <f>IFERROR(__xludf.DUMMYFUNCTION("""COMPUTED_VALUE"""),"ACTIVE")</f>
        <v>ACTIVE</v>
      </c>
      <c r="Q406" s="11">
        <f>IFERROR(__xludf.DUMMYFUNCTION("""COMPUTED_VALUE"""),46049.0)</f>
        <v>46049</v>
      </c>
      <c r="R406" s="9" t="str">
        <f>IFERROR(__xludf.DUMMYFUNCTION("""COMPUTED_VALUE"""),"Verified online")</f>
        <v>Verified online</v>
      </c>
      <c r="S406" s="9" t="str">
        <f>IFERROR(__xludf.DUMMYFUNCTION("""COMPUTED_VALUE"""),"Primary care, mammography, dental care, podiatry, pulmonology, psychiatry and nutrition, counseling and social services.
Harris Health is the safety-net healthcare provider for Harris County focusing on low-income uninsured and underinsured patients.")</f>
        <v>Primary care, mammography, dental care, podiatry, pulmonology, psychiatry and nutrition, counseling and social services.
Harris Health is the safety-net healthcare provider for Harris County focusing on low-income uninsured and underinsured patients.</v>
      </c>
      <c r="T406" s="12" t="b">
        <f>IFERROR(__xludf.DUMMYFUNCTION("""COMPUTED_VALUE"""),FALSE)</f>
        <v>0</v>
      </c>
      <c r="U406" s="12" t="b">
        <f>IFERROR(__xludf.DUMMYFUNCTION("""COMPUTED_VALUE"""),FALSE)</f>
        <v>0</v>
      </c>
      <c r="V406" s="13" t="str">
        <f>IFERROR(__xludf.DUMMYFUNCTION("""COMPUTED_VALUE"""),"https://www.harrishealth.org/locations-hh/Pages/strawberry-health-center.aspx")</f>
        <v>https://www.harrishealth.org/locations-hh/Pages/strawberry-health-center.aspx</v>
      </c>
      <c r="W406" s="14" t="str">
        <f>IFERROR(__xludf.DUMMYFUNCTION("""COMPUTED_VALUE"""),"https://www.google.com/maps/place/Harris+Health+Strawberry+Health+Center/@29.7134196,-95.2048264,16z/data=!3m1!4b1!4m6!3m5!1s0x8640a2c975cc1837:0xe6bb38d9d21dd738!8m2!3d29.713415!4d-95.2022461!16s%2Fg%2F1tfzh48r?entry=ttu&amp;g_ep=EgoyMDI1MDUyMS4wIKXMDSoASAFQ"&amp;"Aw%3D%3D")</f>
        <v>https://www.google.com/maps/place/Harris+Health+Strawberry+Health+Center/@29.7134196,-95.2048264,16z/data=!3m1!4b1!4m6!3m5!1s0x8640a2c975cc1837:0xe6bb38d9d21dd738!8m2!3d29.713415!4d-95.2022461!16s%2Fg%2F1tfzh48r?entry=ttu&amp;g_ep=EgoyMDI1MDUyMS4wIKXMDSoASAFQAw%3D%3D</v>
      </c>
      <c r="X406" s="10"/>
      <c r="Y406" s="9" t="str">
        <f>IFERROR(__xludf.DUMMYFUNCTION("""COMPUTED_VALUE"""),"Pasadena")</f>
        <v>Pasadena</v>
      </c>
      <c r="Z406" s="9" t="str">
        <f>IFERROR(__xludf.DUMMYFUNCTION("""COMPUTED_VALUE"""),"Pasadena")</f>
        <v>Pasadena</v>
      </c>
      <c r="AA406" s="9" t="str">
        <f>IFERROR(__xludf.DUMMYFUNCTION("""COMPUTED_VALUE"""),"Harris Health")</f>
        <v>Harris Health</v>
      </c>
      <c r="AB406" s="9" t="str">
        <f>IFERROR(__xludf.DUMMYFUNCTION("""COMPUTED_VALUE"""),"Pasadena")</f>
        <v>Pasadena</v>
      </c>
    </row>
    <row r="407" ht="30.0" customHeight="1">
      <c r="A407" s="17">
        <v>406.0</v>
      </c>
      <c r="B40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7" s="9" t="str">
        <f>IFERROR(__xludf.DUMMYFUNCTION("""COMPUTED_VALUE"""),"Harris Health - Strawberry")</f>
        <v>Harris Health - Strawberry</v>
      </c>
      <c r="D407" s="9" t="str">
        <f>IFERROR(__xludf.DUMMYFUNCTION("""COMPUTED_VALUE"""),"927 Shaw Avenue")</f>
        <v>927 Shaw Avenue</v>
      </c>
      <c r="E407" s="9"/>
      <c r="F407" s="9" t="str">
        <f>IFERROR(__xludf.DUMMYFUNCTION("""COMPUTED_VALUE"""),"Pasadena")</f>
        <v>Pasadena</v>
      </c>
      <c r="G407" s="9" t="str">
        <f>IFERROR(__xludf.DUMMYFUNCTION("""COMPUTED_VALUE"""),"TX")</f>
        <v>TX</v>
      </c>
      <c r="H407" s="9" t="str">
        <f>IFERROR(__xludf.DUMMYFUNCTION("""COMPUTED_VALUE"""),"77506")</f>
        <v>77506</v>
      </c>
      <c r="I407" s="9" t="str">
        <f>IFERROR(__xludf.DUMMYFUNCTION("""COMPUTED_VALUE"""),"713-982-5900")</f>
        <v>713-982-5900</v>
      </c>
      <c r="J407" s="9" t="str">
        <f>IFERROR(__xludf.DUMMYFUNCTION("""COMPUTED_VALUE"""),"29.7127396734694, -95.2025909795919")</f>
        <v>29.7127396734694, -95.2025909795919</v>
      </c>
      <c r="K407" s="9" t="str">
        <f>IFERROR(__xludf.DUMMYFUNCTION("""COMPUTED_VALUE"""),"{""regular"":[{""days"":[""Mo"",""Tu"",""We"",""Th"",""Fr""],""open"":""08:00"",""close"":""17:00""}]}")</f>
        <v>{"regular":[{"days":["Mo","Tu","We","Th","Fr"],"open":"08:00","close":"17:00"}]}</v>
      </c>
      <c r="L407" s="9"/>
      <c r="M407" s="10">
        <f>IFERROR(__xludf.DUMMYFUNCTION("""COMPUTED_VALUE"""),32.0)</f>
        <v>32</v>
      </c>
      <c r="N407" s="10" t="str">
        <f>IFERROR(__xludf.DUMMYFUNCTION("""COMPUTED_VALUE"""),"Medical - Dental &amp; Vision")</f>
        <v>Medical - Dental &amp; Vision</v>
      </c>
      <c r="O407" s="10">
        <f>IFERROR(__xludf.DUMMYFUNCTION("""COMPUTED_VALUE"""),1.0)</f>
        <v>1</v>
      </c>
      <c r="P407" s="10" t="str">
        <f>IFERROR(__xludf.DUMMYFUNCTION("""COMPUTED_VALUE"""),"ACTIVE")</f>
        <v>ACTIVE</v>
      </c>
      <c r="Q407" s="11">
        <f>IFERROR(__xludf.DUMMYFUNCTION("""COMPUTED_VALUE"""),46049.0)</f>
        <v>46049</v>
      </c>
      <c r="R407" s="9" t="str">
        <f>IFERROR(__xludf.DUMMYFUNCTION("""COMPUTED_VALUE"""),"Verified online")</f>
        <v>Verified online</v>
      </c>
      <c r="S407" s="9" t="str">
        <f>IFERROR(__xludf.DUMMYFUNCTION("""COMPUTED_VALUE"""),"Vision
Harris Health provides vision care but specifics are unclear.
Harris Health is the safety-net healthcare provider for Harris County focusing on low-income uninsured and underinsured patients.")</f>
        <v>Vision
Harris Health provides vision care but specifics are unclear.
Harris Health is the safety-net healthcare provider for Harris County focusing on low-income uninsured and underinsured patients.</v>
      </c>
      <c r="T407" s="12" t="b">
        <f>IFERROR(__xludf.DUMMYFUNCTION("""COMPUTED_VALUE"""),TRUE)</f>
        <v>1</v>
      </c>
      <c r="U407" s="12" t="b">
        <f>IFERROR(__xludf.DUMMYFUNCTION("""COMPUTED_VALUE"""),FALSE)</f>
        <v>0</v>
      </c>
      <c r="V407" s="13" t="str">
        <f>IFERROR(__xludf.DUMMYFUNCTION("""COMPUTED_VALUE"""),"https://www.harrishealth.org/locations-hh/Pages/strawberry-health-center.aspx")</f>
        <v>https://www.harrishealth.org/locations-hh/Pages/strawberry-health-center.aspx</v>
      </c>
      <c r="W407" s="14" t="str">
        <f>IFERROR(__xludf.DUMMYFUNCTION("""COMPUTED_VALUE"""),"https://www.google.com/maps/place/Harris+Health+Strawberry+Health+Center/@29.7134196,-95.2048264,16z/data=!3m1!4b1!4m6!3m5!1s0x8640a2c975cc1837:0xe6bb38d9d21dd738!8m2!3d29.713415!4d-95.2022461!16s%2Fg%2F1tfzh48r?entry=ttu&amp;g_ep=EgoyMDI1MDUyMS4wIKXMDSoASAFQ"&amp;"Aw%3D%3D")</f>
        <v>https://www.google.com/maps/place/Harris+Health+Strawberry+Health+Center/@29.7134196,-95.2048264,16z/data=!3m1!4b1!4m6!3m5!1s0x8640a2c975cc1837:0xe6bb38d9d21dd738!8m2!3d29.713415!4d-95.2022461!16s%2Fg%2F1tfzh48r?entry=ttu&amp;g_ep=EgoyMDI1MDUyMS4wIKXMDSoASAFQAw%3D%3D</v>
      </c>
      <c r="X407" s="10"/>
      <c r="Y407" s="9" t="str">
        <f>IFERROR(__xludf.DUMMYFUNCTION("""COMPUTED_VALUE"""),"Pasadena")</f>
        <v>Pasadena</v>
      </c>
      <c r="Z407" s="9" t="str">
        <f>IFERROR(__xludf.DUMMYFUNCTION("""COMPUTED_VALUE"""),"Pasadena")</f>
        <v>Pasadena</v>
      </c>
      <c r="AA407" s="9" t="str">
        <f>IFERROR(__xludf.DUMMYFUNCTION("""COMPUTED_VALUE"""),"Harris Health")</f>
        <v>Harris Health</v>
      </c>
      <c r="AB407" s="9" t="str">
        <f>IFERROR(__xludf.DUMMYFUNCTION("""COMPUTED_VALUE"""),"Pasadena")</f>
        <v>Pasadena</v>
      </c>
    </row>
    <row r="408" ht="30.0" customHeight="1">
      <c r="A408" s="17">
        <v>407.0</v>
      </c>
      <c r="B40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8" s="9" t="str">
        <f>IFERROR(__xludf.DUMMYFUNCTION("""COMPUTED_VALUE"""),"Harris Health - Sunset Heights")</f>
        <v>Harris Health - Sunset Heights</v>
      </c>
      <c r="D408" s="9" t="str">
        <f>IFERROR(__xludf.DUMMYFUNCTION("""COMPUTED_VALUE"""),"1623 Airline Drive")</f>
        <v>1623 Airline Drive</v>
      </c>
      <c r="E408" s="9" t="str">
        <f>IFERROR(__xludf.DUMMYFUNCTION("""COMPUTED_VALUE"""),"Suite 100B")</f>
        <v>Suite 100B</v>
      </c>
      <c r="F408" s="9" t="str">
        <f>IFERROR(__xludf.DUMMYFUNCTION("""COMPUTED_VALUE"""),"Houston")</f>
        <v>Houston</v>
      </c>
      <c r="G408" s="9" t="str">
        <f>IFERROR(__xludf.DUMMYFUNCTION("""COMPUTED_VALUE"""),"TX")</f>
        <v>TX</v>
      </c>
      <c r="H408" s="9" t="str">
        <f>IFERROR(__xludf.DUMMYFUNCTION("""COMPUTED_VALUE"""),"77009")</f>
        <v>77009</v>
      </c>
      <c r="I408" s="9" t="str">
        <f>IFERROR(__xludf.DUMMYFUNCTION("""COMPUTED_VALUE"""),"713-218-2697")</f>
        <v>713-218-2697</v>
      </c>
      <c r="J408" s="9" t="str">
        <f>IFERROR(__xludf.DUMMYFUNCTION("""COMPUTED_VALUE"""),"29.8006800731707, -95.3819585853659")</f>
        <v>29.8006800731707, -95.3819585853659</v>
      </c>
      <c r="K408" s="9" t="str">
        <f>IFERROR(__xludf.DUMMYFUNCTION("""COMPUTED_VALUE"""),"{""regular"":[{""days"":[""Mo"",""Tu"",""We"",""Th"",""Fr"",""Sa""],""open"":""08:00"",""close"":""20:00""}]}")</f>
        <v>{"regular":[{"days":["Mo","Tu","We","Th","Fr","Sa"],"open":"08:00","close":"20:00"}]}</v>
      </c>
      <c r="L408" s="9"/>
      <c r="M408" s="10">
        <f>IFERROR(__xludf.DUMMYFUNCTION("""COMPUTED_VALUE"""),31.0)</f>
        <v>31</v>
      </c>
      <c r="N408" s="10" t="str">
        <f>IFERROR(__xludf.DUMMYFUNCTION("""COMPUTED_VALUE"""),"Medical - Primary Care")</f>
        <v>Medical - Primary Care</v>
      </c>
      <c r="O408" s="10">
        <f>IFERROR(__xludf.DUMMYFUNCTION("""COMPUTED_VALUE"""),1.0)</f>
        <v>1</v>
      </c>
      <c r="P408" s="10" t="str">
        <f>IFERROR(__xludf.DUMMYFUNCTION("""COMPUTED_VALUE"""),"ACTIVE")</f>
        <v>ACTIVE</v>
      </c>
      <c r="Q408" s="11">
        <f>IFERROR(__xludf.DUMMYFUNCTION("""COMPUTED_VALUE"""),45805.0)</f>
        <v>45805</v>
      </c>
      <c r="R408" s="9" t="str">
        <f>IFERROR(__xludf.DUMMYFUNCTION("""COMPUTED_VALUE"""),"Verified online")</f>
        <v>Verified online</v>
      </c>
      <c r="S408" s="9" t="str">
        <f>IFERROR(__xludf.DUMMYFUNCTION("""COMPUTED_VALUE"""),"For minor illnesses and injuries.
No appointment needed.
Harris Health is the safety-net healthcare provider for Harris County focusing on low-income uninsured and underinsured patients.")</f>
        <v>For minor illnesses and injuries.
No appointment needed.
Harris Health is the safety-net healthcare provider for Harris County focusing on low-income uninsured and underinsured patients.</v>
      </c>
      <c r="T408" s="12" t="b">
        <f>IFERROR(__xludf.DUMMYFUNCTION("""COMPUTED_VALUE"""),FALSE)</f>
        <v>0</v>
      </c>
      <c r="U408" s="12" t="b">
        <f>IFERROR(__xludf.DUMMYFUNCTION("""COMPUTED_VALUE"""),FALSE)</f>
        <v>0</v>
      </c>
      <c r="V408" s="13" t="str">
        <f>IFERROR(__xludf.DUMMYFUNCTION("""COMPUTED_VALUE"""),"https://www.harrishealth.org/locations-hh/Pages/sunset-heights-clinic.aspx")</f>
        <v>https://www.harrishealth.org/locations-hh/Pages/sunset-heights-clinic.aspx</v>
      </c>
      <c r="W408" s="14" t="str">
        <f>IFERROR(__xludf.DUMMYFUNCTION("""COMPUTED_VALUE"""),"https://www.google.com/maps/place/Harris+Health+Sunset+Heights+Clinic/@29.8010981,-95.384798,16z/data=!3m1!4b1!4m6!3m5!1s0x8640b8973552df5b:0x2ff521c996db970!8m2!3d29.8010935!4d-95.3822177!16s%2Fg%2F11b70h90fp?entry=ttu&amp;g_ep=EgoyMDI1MDUyMS4wIKXMDSoASAFQAw"&amp;"%3D%3D")</f>
        <v>https://www.google.com/maps/place/Harris+Health+Sunset+Heights+Clinic/@29.8010981,-95.384798,16z/data=!3m1!4b1!4m6!3m5!1s0x8640b8973552df5b:0x2ff521c996db970!8m2!3d29.8010935!4d-95.3822177!16s%2Fg%2F11b70h90fp?entry=ttu&amp;g_ep=EgoyMDI1MDUyMS4wIKXMDSoASAFQAw%3D%3D</v>
      </c>
      <c r="X408" s="10"/>
      <c r="Y408" s="9" t="str">
        <f>IFERROR(__xludf.DUMMYFUNCTION("""COMPUTED_VALUE"""),"Houston")</f>
        <v>Houston</v>
      </c>
      <c r="Z408" s="9" t="str">
        <f>IFERROR(__xludf.DUMMYFUNCTION("""COMPUTED_VALUE"""),"Lindale Park, Near Northside, Northside, Woodland Heights")</f>
        <v>Lindale Park, Near Northside, Northside, Woodland Heights</v>
      </c>
      <c r="AA408" s="9" t="str">
        <f>IFERROR(__xludf.DUMMYFUNCTION("""COMPUTED_VALUE"""),"Harris Health")</f>
        <v>Harris Health</v>
      </c>
      <c r="AB408" s="9" t="str">
        <f>IFERROR(__xludf.DUMMYFUNCTION("""COMPUTED_VALUE"""),"Northside")</f>
        <v>Northside</v>
      </c>
    </row>
    <row r="409" ht="30.0" customHeight="1">
      <c r="A409" s="17">
        <v>408.0</v>
      </c>
      <c r="B40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09" s="9" t="str">
        <f>IFERROR(__xludf.DUMMYFUNCTION("""COMPUTED_VALUE"""),"Harris Health - Urgent Care")</f>
        <v>Harris Health - Urgent Care</v>
      </c>
      <c r="D409" s="9" t="str">
        <f>IFERROR(__xludf.DUMMYFUNCTION("""COMPUTED_VALUE"""),"5550 Kelley Street")</f>
        <v>5550 Kelley Street</v>
      </c>
      <c r="E409" s="9"/>
      <c r="F409" s="9" t="str">
        <f>IFERROR(__xludf.DUMMYFUNCTION("""COMPUTED_VALUE"""),"Houston")</f>
        <v>Houston</v>
      </c>
      <c r="G409" s="9" t="str">
        <f>IFERROR(__xludf.DUMMYFUNCTION("""COMPUTED_VALUE"""),"TX")</f>
        <v>TX</v>
      </c>
      <c r="H409" s="9" t="str">
        <f>IFERROR(__xludf.DUMMYFUNCTION("""COMPUTED_VALUE"""),"77026")</f>
        <v>77026</v>
      </c>
      <c r="I409" s="9" t="str">
        <f>IFERROR(__xludf.DUMMYFUNCTION("""COMPUTED_VALUE"""),"713-218-2697")</f>
        <v>713-218-2697</v>
      </c>
      <c r="J409" s="9" t="str">
        <f>IFERROR(__xludf.DUMMYFUNCTION("""COMPUTED_VALUE"""),"29.8137010476116, -95.3126564303921")</f>
        <v>29.8137010476116, -95.3126564303921</v>
      </c>
      <c r="K409" s="9" t="str">
        <f>IFERROR(__xludf.DUMMYFUNCTION("""COMPUTED_VALUE"""),"{""regular"":[{""days"":[""Mo"",""Tu"",""We"",""Th"",""Fr"",""Sa""],""open"":""08:00"",""close"":""20:00""}]}")</f>
        <v>{"regular":[{"days":["Mo","Tu","We","Th","Fr","Sa"],"open":"08:00","close":"20:00"}]}</v>
      </c>
      <c r="L409" s="9"/>
      <c r="M409" s="10">
        <f>IFERROR(__xludf.DUMMYFUNCTION("""COMPUTED_VALUE"""),31.0)</f>
        <v>31</v>
      </c>
      <c r="N409" s="10" t="str">
        <f>IFERROR(__xludf.DUMMYFUNCTION("""COMPUTED_VALUE"""),"Medical - Primary Care")</f>
        <v>Medical - Primary Care</v>
      </c>
      <c r="O409" s="10">
        <f>IFERROR(__xludf.DUMMYFUNCTION("""COMPUTED_VALUE"""),1.0)</f>
        <v>1</v>
      </c>
      <c r="P409" s="10" t="str">
        <f>IFERROR(__xludf.DUMMYFUNCTION("""COMPUTED_VALUE"""),"ACTIVE")</f>
        <v>ACTIVE</v>
      </c>
      <c r="Q409" s="11">
        <f>IFERROR(__xludf.DUMMYFUNCTION("""COMPUTED_VALUE"""),45805.0)</f>
        <v>45805</v>
      </c>
      <c r="R409" s="9" t="str">
        <f>IFERROR(__xludf.DUMMYFUNCTION("""COMPUTED_VALUE"""),"Verified online")</f>
        <v>Verified online</v>
      </c>
      <c r="S409" s="9" t="str">
        <f>IFERROR(__xludf.DUMMYFUNCTION("""COMPUTED_VALUE"""),"Must have valid Harris Health Financial Assistance Plan or in-network insurance.
Ability to pay co-pay or deposit at time of service.
No appointment needed.
Minor illnesses and injuries.
Fast medical treatment for non-emergency conditions.
Harris Health i"&amp;"s the safety-net healthcare provider for Harris County focusing on low-income uninsured and underinsured patients.")</f>
        <v>Must have valid Harris Health Financial Assistance Plan or in-network insurance.
Ability to pay co-pay or deposit at time of service.
No appointment needed.
Minor illnesses and injuries.
Fast medical treatment for non-emergency conditions.
Harris Health is the safety-net healthcare provider for Harris County focusing on low-income uninsured and underinsured patients.</v>
      </c>
      <c r="T409" s="12" t="b">
        <f>IFERROR(__xludf.DUMMYFUNCTION("""COMPUTED_VALUE"""),FALSE)</f>
        <v>0</v>
      </c>
      <c r="U409" s="12" t="b">
        <f>IFERROR(__xludf.DUMMYFUNCTION("""COMPUTED_VALUE"""),FALSE)</f>
        <v>0</v>
      </c>
      <c r="V409" s="13" t="str">
        <f>IFERROR(__xludf.DUMMYFUNCTION("""COMPUTED_VALUE"""),"https://www.harrishealth.org/locations-hh/Pages/urgent-care.aspx")</f>
        <v>https://www.harrishealth.org/locations-hh/Pages/urgent-care.aspx</v>
      </c>
      <c r="W409" s="14" t="str">
        <f>IFERROR(__xludf.DUMMYFUNCTION("""COMPUTED_VALUE"""),"https://www.google.com/maps/place/%E2%80%8B%E2%80%8BHarris+Health+Urgent+Care+at+Outpatient+Center/@29.8119078,-95.3146645,16z/data=!3m2!4b1!5s0x88602f187266b603:0x923a0355d1884044!4m6!3m5!1s0x8640b97d0149d42b:0xc78b8bf47cb08b75!8m2!3d29.8119032!4d-95.312"&amp;"0842!16s%2Fg%2F11c5xthhyk?entry=ttu&amp;g_ep=EgoyMDI1MDUyMS4wIKXMDSoASAFQAw%3D%3D")</f>
        <v>https://www.google.com/maps/place/%E2%80%8B%E2%80%8BHarris+Health+Urgent+Care+at+Outpatient+Center/@29.8119078,-95.3146645,16z/data=!3m2!4b1!5s0x88602f187266b603:0x923a0355d1884044!4m6!3m5!1s0x8640b97d0149d42b:0xc78b8bf47cb08b75!8m2!3d29.8119032!4d-95.3120842!16s%2Fg%2F11c5xthhyk?entry=ttu&amp;g_ep=EgoyMDI1MDUyMS4wIKXMDSoASAFQAw%3D%3D</v>
      </c>
      <c r="X409" s="10"/>
      <c r="Y409" s="9" t="str">
        <f>IFERROR(__xludf.DUMMYFUNCTION("""COMPUTED_VALUE"""),"Houston")</f>
        <v>Houston</v>
      </c>
      <c r="Z409" s="9" t="str">
        <f>IFERROR(__xludf.DUMMYFUNCTION("""COMPUTED_VALUE"""),"Kashmere Gardens, Northside, Trinity / Houston Gardens")</f>
        <v>Kashmere Gardens, Northside, Trinity / Houston Gardens</v>
      </c>
      <c r="AA409" s="9" t="str">
        <f>IFERROR(__xludf.DUMMYFUNCTION("""COMPUTED_VALUE"""),"Harris Health")</f>
        <v>Harris Health</v>
      </c>
      <c r="AB409" s="9" t="str">
        <f>IFERROR(__xludf.DUMMYFUNCTION("""COMPUTED_VALUE"""),"Trinity / Houston Gardens")</f>
        <v>Trinity / Houston Gardens</v>
      </c>
    </row>
    <row r="410" ht="30.0" customHeight="1">
      <c r="A410" s="17">
        <v>409.0</v>
      </c>
      <c r="B41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10" s="9" t="str">
        <f>IFERROR(__xludf.DUMMYFUNCTION("""COMPUTED_VALUE"""),"Harris Health - Vallbona")</f>
        <v>Harris Health - Vallbona</v>
      </c>
      <c r="D410" s="9" t="str">
        <f>IFERROR(__xludf.DUMMYFUNCTION("""COMPUTED_VALUE"""),"6630 DeMoss Drive")</f>
        <v>6630 DeMoss Drive</v>
      </c>
      <c r="E410" s="9"/>
      <c r="F410" s="9" t="str">
        <f>IFERROR(__xludf.DUMMYFUNCTION("""COMPUTED_VALUE"""),"Houston")</f>
        <v>Houston</v>
      </c>
      <c r="G410" s="9" t="str">
        <f>IFERROR(__xludf.DUMMYFUNCTION("""COMPUTED_VALUE"""),"TX")</f>
        <v>TX</v>
      </c>
      <c r="H410" s="9" t="str">
        <f>IFERROR(__xludf.DUMMYFUNCTION("""COMPUTED_VALUE"""),"77074")</f>
        <v>77074</v>
      </c>
      <c r="I410" s="9" t="str">
        <f>IFERROR(__xludf.DUMMYFUNCTION("""COMPUTED_VALUE"""),"713-272-2600")</f>
        <v>713-272-2600</v>
      </c>
      <c r="J410" s="9" t="str">
        <f>IFERROR(__xludf.DUMMYFUNCTION("""COMPUTED_VALUE"""),"29.707740321398553, -95.50015774585029")</f>
        <v>29.707740321398553, -95.50015774585029</v>
      </c>
      <c r="K410" s="9" t="str">
        <f>IFERROR(__xludf.DUMMYFUNCTION("""COMPUTED_VALUE"""),"{""regular"":[{""days"":[""Mo"",""Tu"",""We"",""Th"",""Fr""],""open"":""08:00"",""close"":""17:00""}]}")</f>
        <v>{"regular":[{"days":["Mo","Tu","We","Th","Fr"],"open":"08:00","close":"17:00"}]}</v>
      </c>
      <c r="L410" s="9"/>
      <c r="M410" s="10">
        <f>IFERROR(__xludf.DUMMYFUNCTION("""COMPUTED_VALUE"""),31.0)</f>
        <v>31</v>
      </c>
      <c r="N410" s="10" t="str">
        <f>IFERROR(__xludf.DUMMYFUNCTION("""COMPUTED_VALUE"""),"Medical - Primary Care")</f>
        <v>Medical - Primary Care</v>
      </c>
      <c r="O410" s="10">
        <f>IFERROR(__xludf.DUMMYFUNCTION("""COMPUTED_VALUE"""),1.0)</f>
        <v>1</v>
      </c>
      <c r="P410" s="10" t="str">
        <f>IFERROR(__xludf.DUMMYFUNCTION("""COMPUTED_VALUE"""),"ACTIVE")</f>
        <v>ACTIVE</v>
      </c>
      <c r="Q410" s="11">
        <f>IFERROR(__xludf.DUMMYFUNCTION("""COMPUTED_VALUE"""),45805.0)</f>
        <v>45805</v>
      </c>
      <c r="R410" s="9" t="str">
        <f>IFERROR(__xludf.DUMMYFUNCTION("""COMPUTED_VALUE"""),"Verified online")</f>
        <v>Verified online</v>
      </c>
      <c r="S410" s="9" t="str">
        <f>IFERROR(__xludf.DUMMYFUNCTION("""COMPUTED_VALUE"""),"Primary care. OB/GYN, mammography, podiatry, psychiatry, on site lab, pharmacy, x-ray services and nutrition, counseling and social services.
Harris Health is the safety-net healthcare provider for Harris County focusing on low-income uninsured and underi"&amp;"nsured patients.")</f>
        <v>Primary care. OB/GYN, mammography, podiatry, psychiatry, on site lab, pharmacy, x-ray services and nutrition, counseling and social services.
Harris Health is the safety-net healthcare provider for Harris County focusing on low-income uninsured and underinsured patients.</v>
      </c>
      <c r="T410" s="12" t="b">
        <f>IFERROR(__xludf.DUMMYFUNCTION("""COMPUTED_VALUE"""),FALSE)</f>
        <v>0</v>
      </c>
      <c r="U410" s="12" t="b">
        <f>IFERROR(__xludf.DUMMYFUNCTION("""COMPUTED_VALUE"""),FALSE)</f>
        <v>0</v>
      </c>
      <c r="V410" s="13" t="str">
        <f>IFERROR(__xludf.DUMMYFUNCTION("""COMPUTED_VALUE"""),"https://www.harrishealth.org/locations-hh/Pages/vallbona-health-center.aspx")</f>
        <v>https://www.harrishealth.org/locations-hh/Pages/vallbona-health-center.aspx</v>
      </c>
      <c r="W410" s="14" t="str">
        <f>IFERROR(__xludf.DUMMYFUNCTION("""COMPUTED_VALUE"""),"https://www.google.com/maps/place/Harris+Health+Vallbona+Health+Center/@29.7076745,-95.5028598,17z/data=!3m1!4b1!4m6!3m5!1s0x8640c247bd15c2dd:0xa56894ed48f376fc!8m2!3d29.7076699!4d-95.5002795!16s%2Fg%2F1tjbsk6j?entry=ttu&amp;g_ep=EgoyMDI1MDUyMS4wIKXMDSoASAFQA"&amp;"w%3D%3D")</f>
        <v>https://www.google.com/maps/place/Harris+Health+Vallbona+Health+Center/@29.7076745,-95.5028598,17z/data=!3m1!4b1!4m6!3m5!1s0x8640c247bd15c2dd:0xa56894ed48f376fc!8m2!3d29.7076699!4d-95.5002795!16s%2Fg%2F1tjbsk6j?entry=ttu&amp;g_ep=EgoyMDI1MDUyMS4wIKXMDSoASAFQAw%3D%3D</v>
      </c>
      <c r="X410" s="10"/>
      <c r="Y410" s="9" t="str">
        <f>IFERROR(__xludf.DUMMYFUNCTION("""COMPUTED_VALUE"""),"Houston")</f>
        <v>Houston</v>
      </c>
      <c r="Z410" s="9" t="str">
        <f>IFERROR(__xludf.DUMMYFUNCTION("""COMPUTED_VALUE"""),"Braeburn, Robindell, Sharpstown")</f>
        <v>Braeburn, Robindell, Sharpstown</v>
      </c>
      <c r="AA410" s="9" t="str">
        <f>IFERROR(__xludf.DUMMYFUNCTION("""COMPUTED_VALUE"""),"Harris Health")</f>
        <v>Harris Health</v>
      </c>
      <c r="AB410" s="9" t="str">
        <f>IFERROR(__xludf.DUMMYFUNCTION("""COMPUTED_VALUE"""),"Sharpstown")</f>
        <v>Sharpstown</v>
      </c>
    </row>
    <row r="411" ht="30.0" customHeight="1">
      <c r="A411" s="17">
        <v>410.0</v>
      </c>
      <c r="B41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C411" s="9" t="str">
        <f>IFERROR(__xludf.DUMMYFUNCTION("""COMPUTED_VALUE"""),"Harris Health- Rehabilitation Services")</f>
        <v>Harris Health- Rehabilitation Services</v>
      </c>
      <c r="D411" s="9" t="str">
        <f>IFERROR(__xludf.DUMMYFUNCTION("""COMPUTED_VALUE"""),"4800 Fournace Place")</f>
        <v>4800 Fournace Place</v>
      </c>
      <c r="E411" s="9"/>
      <c r="F411" s="10" t="str">
        <f>IFERROR(__xludf.DUMMYFUNCTION("""COMPUTED_VALUE"""),"Bellaire")</f>
        <v>Bellaire</v>
      </c>
      <c r="G411" s="9" t="str">
        <f>IFERROR(__xludf.DUMMYFUNCTION("""COMPUTED_VALUE"""),"TX")</f>
        <v>TX</v>
      </c>
      <c r="H411" s="9" t="str">
        <f>IFERROR(__xludf.DUMMYFUNCTION("""COMPUTED_VALUE"""),"77401")</f>
        <v>77401</v>
      </c>
      <c r="I411" s="9" t="str">
        <f>IFERROR(__xludf.DUMMYFUNCTION("""COMPUTED_VALUE"""),"713-526-4243")</f>
        <v>713-526-4243</v>
      </c>
      <c r="J411" s="9" t="str">
        <f>IFERROR(__xludf.DUMMYFUNCTION("""COMPUTED_VALUE"""),"29.716716661017, -95.462143779661")</f>
        <v>29.716716661017, -95.462143779661</v>
      </c>
      <c r="K411" s="9" t="str">
        <f>IFERROR(__xludf.DUMMYFUNCTION("""COMPUTED_VALUE"""),"{""regular"":[{""days"":[""Mo"",""Tu"",""We"",""Th"",""Fr""],""open"":""08:00"",""close"":""17:00""}]}")</f>
        <v>{"regular":[{"days":["Mo","Tu","We","Th","Fr"],"open":"08:00","close":"17:00"}]}</v>
      </c>
      <c r="L411" s="9"/>
      <c r="M411" s="10">
        <f>IFERROR(__xludf.DUMMYFUNCTION("""COMPUTED_VALUE"""),31.0)</f>
        <v>31</v>
      </c>
      <c r="N411" s="10" t="str">
        <f>IFERROR(__xludf.DUMMYFUNCTION("""COMPUTED_VALUE"""),"Medical - Primary Care")</f>
        <v>Medical - Primary Care</v>
      </c>
      <c r="O411" s="10">
        <f>IFERROR(__xludf.DUMMYFUNCTION("""COMPUTED_VALUE"""),1.0)</f>
        <v>1</v>
      </c>
      <c r="P411" s="10" t="str">
        <f>IFERROR(__xludf.DUMMYFUNCTION("""COMPUTED_VALUE"""),"ACTIVE")</f>
        <v>ACTIVE</v>
      </c>
      <c r="Q411" s="11">
        <f>IFERROR(__xludf.DUMMYFUNCTION("""COMPUTED_VALUE"""),45805.0)</f>
        <v>45805</v>
      </c>
      <c r="R411" s="9" t="str">
        <f>IFERROR(__xludf.DUMMYFUNCTION("""COMPUTED_VALUE"""),"Verified online")</f>
        <v>Verified online</v>
      </c>
      <c r="S411" s="9" t="str">
        <f>IFERROR(__xludf.DUMMYFUNCTION("""COMPUTED_VALUE"""),"Physical, occupational and speech therapy.
Harris Health is the safety-net healthcare provider for Harris County focusing on low-income uninsured and underinsured patients.")</f>
        <v>Physical, occupational and speech therapy.
Harris Health is the safety-net healthcare provider for Harris County focusing on low-income uninsured and underinsured patients.</v>
      </c>
      <c r="T411" s="12" t="b">
        <f>IFERROR(__xludf.DUMMYFUNCTION("""COMPUTED_VALUE"""),FALSE)</f>
        <v>0</v>
      </c>
      <c r="U411" s="12" t="b">
        <f>IFERROR(__xludf.DUMMYFUNCTION("""COMPUTED_VALUE"""),FALSE)</f>
        <v>0</v>
      </c>
      <c r="V411" s="13" t="str">
        <f>IFERROR(__xludf.DUMMYFUNCTION("""COMPUTED_VALUE"""),"https://www.harrishealth.org/locations-hh/Pages/fournace.aspx")</f>
        <v>https://www.harrishealth.org/locations-hh/Pages/fournace.aspx</v>
      </c>
      <c r="W411" s="14" t="str">
        <f>IFERROR(__xludf.DUMMYFUNCTION("""COMPUTED_VALUE"""),"https://www.google.com/maps/place/Harris+Health+Rehabilitation+Services+at+Fournace/@29.7171909,-95.465765,17z/data=!3m1!4b1!4m6!3m5!1s0x8640c177b71c6bf7:0x677a5ec31d89637c!8m2!3d29.7171863!4d-95.4631847!16s%2Fg%2F11rn3yc4y6?entry=ttu&amp;g_ep=EgoyMDI1MDUyMS4"&amp;"wIKXMDSoASAFQAw%3D%3D")</f>
        <v>https://www.google.com/maps/place/Harris+Health+Rehabilitation+Services+at+Fournace/@29.7171909,-95.465765,17z/data=!3m1!4b1!4m6!3m5!1s0x8640c177b71c6bf7:0x677a5ec31d89637c!8m2!3d29.7171863!4d-95.4631847!16s%2Fg%2F11rn3yc4y6?entry=ttu&amp;g_ep=EgoyMDI1MDUyMS4wIKXMDSoASAFQAw%3D%3D</v>
      </c>
      <c r="X411" s="10"/>
      <c r="Y411" s="9" t="str">
        <f>IFERROR(__xludf.DUMMYFUNCTION("""COMPUTED_VALUE"""),"Bellaire")</f>
        <v>Bellaire</v>
      </c>
      <c r="Z411" s="9" t="str">
        <f>IFERROR(__xludf.DUMMYFUNCTION("""COMPUTED_VALUE"""),"Bellaire")</f>
        <v>Bellaire</v>
      </c>
      <c r="AA411" s="9" t="str">
        <f>IFERROR(__xludf.DUMMYFUNCTION("""COMPUTED_VALUE"""),"Harris Health")</f>
        <v>Harris Health</v>
      </c>
      <c r="AB411" s="9" t="str">
        <f>IFERROR(__xludf.DUMMYFUNCTION("""COMPUTED_VALUE"""),"Bellaire")</f>
        <v>Bellaire</v>
      </c>
    </row>
    <row r="412" ht="30.0" customHeight="1">
      <c r="A412" s="17">
        <v>411.0</v>
      </c>
      <c r="B412" s="8" t="str">
        <f>IFERROR(__xludf.DUMMYFUNCTION("""COMPUTED_VALUE"""),"[""99999""]")</f>
        <v>["99999"]</v>
      </c>
      <c r="C412" s="9" t="str">
        <f>IFERROR(__xludf.DUMMYFUNCTION("""COMPUTED_VALUE"""),"Healthcare for the Homeless Caroline Street Clinic")</f>
        <v>Healthcare for the Homeless Caroline Street Clinic</v>
      </c>
      <c r="D412" s="9" t="str">
        <f>IFERROR(__xludf.DUMMYFUNCTION("""COMPUTED_VALUE"""),"1934 Caroline Street")</f>
        <v>1934 Caroline Street</v>
      </c>
      <c r="E412" s="9"/>
      <c r="F412" s="9" t="str">
        <f>IFERROR(__xludf.DUMMYFUNCTION("""COMPUTED_VALUE"""),"Houston")</f>
        <v>Houston</v>
      </c>
      <c r="G412" s="9" t="str">
        <f>IFERROR(__xludf.DUMMYFUNCTION("""COMPUTED_VALUE"""),"TX")</f>
        <v>TX</v>
      </c>
      <c r="H412" s="9" t="str">
        <f>IFERROR(__xludf.DUMMYFUNCTION("""COMPUTED_VALUE"""),"77002")</f>
        <v>77002</v>
      </c>
      <c r="I412" s="9" t="str">
        <f>IFERROR(__xludf.DUMMYFUNCTION("""COMPUTED_VALUE"""),"713-286-6000")</f>
        <v>713-286-6000</v>
      </c>
      <c r="J412" s="9" t="str">
        <f>IFERROR(__xludf.DUMMYFUNCTION("""COMPUTED_VALUE"""),"29.748425, -95.3679518367347")</f>
        <v>29.748425, -95.3679518367347</v>
      </c>
      <c r="K412" s="9" t="str">
        <f>IFERROR(__xludf.DUMMYFUNCTION("""COMPUTED_VALUE"""),"{""regular"":[{""days"":[""Mo"",""Tu"",""We"",""Th""],""open"":""08:00"",""close"":""16:30""},{""days"":[""Fr""],""open"":""08:00"",""close"":""12:00""}]}")</f>
        <v>{"regular":[{"days":["Mo","Tu","We","Th"],"open":"08:00","close":"16:30"},{"days":["Fr"],"open":"08:00","close":"12:00"}]}</v>
      </c>
      <c r="L412" s="9"/>
      <c r="M412" s="10">
        <f>IFERROR(__xludf.DUMMYFUNCTION("""COMPUTED_VALUE"""),31.0)</f>
        <v>31</v>
      </c>
      <c r="N412" s="10" t="str">
        <f>IFERROR(__xludf.DUMMYFUNCTION("""COMPUTED_VALUE"""),"Medical - Primary Care")</f>
        <v>Medical - Primary Care</v>
      </c>
      <c r="O412" s="10">
        <f>IFERROR(__xludf.DUMMYFUNCTION("""COMPUTED_VALUE"""),1.0)</f>
        <v>1</v>
      </c>
      <c r="P412" s="10" t="str">
        <f>IFERROR(__xludf.DUMMYFUNCTION("""COMPUTED_VALUE"""),"ACTIVE")</f>
        <v>ACTIVE</v>
      </c>
      <c r="Q412" s="11">
        <f>IFERROR(__xludf.DUMMYFUNCTION("""COMPUTED_VALUE"""),46049.0)</f>
        <v>46049</v>
      </c>
      <c r="R412" s="9" t="str">
        <f>IFERROR(__xludf.DUMMYFUNCTION("""COMPUTED_VALUE"""),"Verified online")</f>
        <v>Verified online</v>
      </c>
      <c r="S412" s="9" t="str">
        <f>IFERROR(__xludf.DUMMYFUNCTION("""COMPUTED_VALUE"""),"Free services for people living on streets, in shelters, in transitional or permanent supportive housing and for those at-risk of homelessness.
Insurance not required and co-pay never charged for services.  Do not have to be unhoused to receive service.
S"&amp;"ervices include primary care, dental care, vision and ophthalmology, podiatry, mental and behavioral health, women's care, pediatric medicine, case management, transportation.")</f>
        <v>Free services for people living on streets, in shelters, in transitional or permanent supportive housing and for those at-risk of homelessness.
Insurance not required and co-pay never charged for services.  Do not have to be unhoused to receive service.
Services include primary care, dental care, vision and ophthalmology, podiatry, mental and behavioral health, women's care, pediatric medicine, case management, transportation.</v>
      </c>
      <c r="T412" s="12" t="b">
        <f>IFERROR(__xludf.DUMMYFUNCTION("""COMPUTED_VALUE"""),FALSE)</f>
        <v>0</v>
      </c>
      <c r="U412" s="12" t="b">
        <f>IFERROR(__xludf.DUMMYFUNCTION("""COMPUTED_VALUE"""),FALSE)</f>
        <v>0</v>
      </c>
      <c r="V412" s="13" t="str">
        <f>IFERROR(__xludf.DUMMYFUNCTION("""COMPUTED_VALUE"""),"https://www.homeless-healthcare.org/")</f>
        <v>https://www.homeless-healthcare.org/</v>
      </c>
      <c r="W412" s="14" t="str">
        <f>IFERROR(__xludf.DUMMYFUNCTION("""COMPUTED_VALUE"""),"https://www.google.com/maps/place/Caroline+Street+Clinic/@29.7481927,-95.3708166,17z/data=!3m1!4b1!4m6!3m5!1s0x8640bf15ddbac77d:0xb8db8925827229c0!8m2!3d29.7481881!4d-95.3682363!16s%2Fg%2F11gy7zfq5n?entry=ttu&amp;g_ep=EgoyMDI1MDYxNy4wIKXMDSoASAFQAw%3D%3D")</f>
        <v>https://www.google.com/maps/place/Caroline+Street+Clinic/@29.7481927,-95.3708166,17z/data=!3m1!4b1!4m6!3m5!1s0x8640bf15ddbac77d:0xb8db8925827229c0!8m2!3d29.7481881!4d-95.3682363!16s%2Fg%2F11gy7zfq5n?entry=ttu&amp;g_ep=EgoyMDI1MDYxNy4wIKXMDSoASAFQAw%3D%3D</v>
      </c>
      <c r="X412" s="10"/>
      <c r="Y412" s="9" t="str">
        <f>IFERROR(__xludf.DUMMYFUNCTION("""COMPUTED_VALUE"""),"Houston")</f>
        <v>Houston</v>
      </c>
      <c r="Z41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12" s="9" t="str">
        <f>IFERROR(__xludf.DUMMYFUNCTION("""COMPUTED_VALUE"""),"Healthcare For The Homeless")</f>
        <v>Healthcare For The Homeless</v>
      </c>
      <c r="AB412" s="9" t="str">
        <f>IFERROR(__xludf.DUMMYFUNCTION("""COMPUTED_VALUE"""),"Downtown Houston")</f>
        <v>Downtown Houston</v>
      </c>
    </row>
    <row r="413" ht="30.0" customHeight="1">
      <c r="A413" s="17">
        <v>412.0</v>
      </c>
      <c r="B413" s="8" t="str">
        <f>IFERROR(__xludf.DUMMYFUNCTION("""COMPUTED_VALUE"""),"[""99999""]")</f>
        <v>["99999"]</v>
      </c>
      <c r="C413" s="9" t="str">
        <f>IFERROR(__xludf.DUMMYFUNCTION("""COMPUTED_VALUE"""),"Healthcare for the Homeless Caroline Street Clinic")</f>
        <v>Healthcare for the Homeless Caroline Street Clinic</v>
      </c>
      <c r="D413" s="9" t="str">
        <f>IFERROR(__xludf.DUMMYFUNCTION("""COMPUTED_VALUE"""),"1934 Caroline Street")</f>
        <v>1934 Caroline Street</v>
      </c>
      <c r="E413" s="9"/>
      <c r="F413" s="9" t="str">
        <f>IFERROR(__xludf.DUMMYFUNCTION("""COMPUTED_VALUE"""),"Houston")</f>
        <v>Houston</v>
      </c>
      <c r="G413" s="9" t="str">
        <f>IFERROR(__xludf.DUMMYFUNCTION("""COMPUTED_VALUE"""),"TX")</f>
        <v>TX</v>
      </c>
      <c r="H413" s="9" t="str">
        <f>IFERROR(__xludf.DUMMYFUNCTION("""COMPUTED_VALUE"""),"77002")</f>
        <v>77002</v>
      </c>
      <c r="I413" s="9" t="str">
        <f>IFERROR(__xludf.DUMMYFUNCTION("""COMPUTED_VALUE"""),"713-286-6000")</f>
        <v>713-286-6000</v>
      </c>
      <c r="J413" s="9" t="str">
        <f>IFERROR(__xludf.DUMMYFUNCTION("""COMPUTED_VALUE"""),"29.748425, -95.3679518367347")</f>
        <v>29.748425, -95.3679518367347</v>
      </c>
      <c r="K413" s="9" t="str">
        <f>IFERROR(__xludf.DUMMYFUNCTION("""COMPUTED_VALUE"""),"{""regular"":[{""days"":[""Mo"",""Tu"",""We"",""Th""],""open"":""08:00"",""close"":""16:30""},{""days"":[""Fr""],""open"":""08:00"",""close"":""12:00""}]}")</f>
        <v>{"regular":[{"days":["Mo","Tu","We","Th"],"open":"08:00","close":"16:30"},{"days":["Fr"],"open":"08:00","close":"12:00"}]}</v>
      </c>
      <c r="L413" s="9"/>
      <c r="M413" s="10">
        <f>IFERROR(__xludf.DUMMYFUNCTION("""COMPUTED_VALUE"""),32.0)</f>
        <v>32</v>
      </c>
      <c r="N413" s="10" t="str">
        <f>IFERROR(__xludf.DUMMYFUNCTION("""COMPUTED_VALUE"""),"Medical - Dental &amp; Vision")</f>
        <v>Medical - Dental &amp; Vision</v>
      </c>
      <c r="O413" s="10">
        <f>IFERROR(__xludf.DUMMYFUNCTION("""COMPUTED_VALUE"""),1.0)</f>
        <v>1</v>
      </c>
      <c r="P413" s="10" t="str">
        <f>IFERROR(__xludf.DUMMYFUNCTION("""COMPUTED_VALUE"""),"ACTIVE")</f>
        <v>ACTIVE</v>
      </c>
      <c r="Q413" s="11">
        <f>IFERROR(__xludf.DUMMYFUNCTION("""COMPUTED_VALUE"""),46049.0)</f>
        <v>46049</v>
      </c>
      <c r="R413" s="9" t="str">
        <f>IFERROR(__xludf.DUMMYFUNCTION("""COMPUTED_VALUE"""),"Verified online")</f>
        <v>Verified online</v>
      </c>
      <c r="S413" s="9" t="str">
        <f>IFERROR(__xludf.DUMMYFUNCTION("""COMPUTED_VALUE"""),"Dental &amp; Vision
Free care for people living on streets, in shelters, in transitional or permanent supportive housing and for those at-risk of homelessness.
Insurance not required and co-pay never charged for services.  Do not have to be unhoused to receiv"&amp;"e service.
Dental services include exams, cleanings, fillings, extractions, restorations and oral hygiene education.
Vision and Ophthalmology services include screening, eye exams and an annual vision fair providing prescription eyeglasses.
")</f>
        <v>Dental &amp; Vision
Free care for people living on streets, in shelters, in transitional or permanent supportive housing and for those at-risk of homelessness.
Insurance not required and co-pay never charged for services.  Do not have to be unhoused to receive service.
Dental services include exams, cleanings, fillings, extractions, restorations and oral hygiene education.
Vision and Ophthalmology services include screening, eye exams and an annual vision fair providing prescription eyeglasses.
</v>
      </c>
      <c r="T413" s="12" t="b">
        <f>IFERROR(__xludf.DUMMYFUNCTION("""COMPUTED_VALUE"""),TRUE)</f>
        <v>1</v>
      </c>
      <c r="U413" s="12" t="b">
        <f>IFERROR(__xludf.DUMMYFUNCTION("""COMPUTED_VALUE"""),FALSE)</f>
        <v>0</v>
      </c>
      <c r="V413" s="13" t="str">
        <f>IFERROR(__xludf.DUMMYFUNCTION("""COMPUTED_VALUE"""),"https://www.homeless-healthcare.org/")</f>
        <v>https://www.homeless-healthcare.org/</v>
      </c>
      <c r="W413" s="14" t="str">
        <f>IFERROR(__xludf.DUMMYFUNCTION("""COMPUTED_VALUE"""),"https://www.google.com/maps/place/Caroline+Street+Clinic/@29.7481927,-95.3708166,17z/data=!3m1!4b1!4m6!3m5!1s0x8640bf15ddbac77d:0xb8db8925827229c0!8m2!3d29.7481881!4d-95.3682363!16s%2Fg%2F11gy7zfq5n?entry=ttu&amp;g_ep=EgoyMDI1MDYxNy4wIKXMDSoASAFQAw%3D%3D")</f>
        <v>https://www.google.com/maps/place/Caroline+Street+Clinic/@29.7481927,-95.3708166,17z/data=!3m1!4b1!4m6!3m5!1s0x8640bf15ddbac77d:0xb8db8925827229c0!8m2!3d29.7481881!4d-95.3682363!16s%2Fg%2F11gy7zfq5n?entry=ttu&amp;g_ep=EgoyMDI1MDYxNy4wIKXMDSoASAFQAw%3D%3D</v>
      </c>
      <c r="X413" s="10"/>
      <c r="Y413" s="9" t="str">
        <f>IFERROR(__xludf.DUMMYFUNCTION("""COMPUTED_VALUE"""),"Houston")</f>
        <v>Houston</v>
      </c>
      <c r="Z413"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13" s="9" t="str">
        <f>IFERROR(__xludf.DUMMYFUNCTION("""COMPUTED_VALUE"""),"Healthcare For The Homeless")</f>
        <v>Healthcare For The Homeless</v>
      </c>
      <c r="AB413" s="9" t="str">
        <f>IFERROR(__xludf.DUMMYFUNCTION("""COMPUTED_VALUE"""),"Downtown Houston")</f>
        <v>Downtown Houston</v>
      </c>
    </row>
    <row r="414" ht="30.0" customHeight="1">
      <c r="A414" s="17">
        <v>413.0</v>
      </c>
      <c r="B414" s="8" t="str">
        <f>IFERROR(__xludf.DUMMYFUNCTION("""COMPUTED_VALUE"""),"[""99999""]")</f>
        <v>["99999"]</v>
      </c>
      <c r="C414" s="9" t="str">
        <f>IFERROR(__xludf.DUMMYFUNCTION("""COMPUTED_VALUE"""),"Healthcare for the Homeless Caroline Street Clinic")</f>
        <v>Healthcare for the Homeless Caroline Street Clinic</v>
      </c>
      <c r="D414" s="9" t="str">
        <f>IFERROR(__xludf.DUMMYFUNCTION("""COMPUTED_VALUE"""),"1934 Caroline Street")</f>
        <v>1934 Caroline Street</v>
      </c>
      <c r="E414" s="9"/>
      <c r="F414" s="9" t="str">
        <f>IFERROR(__xludf.DUMMYFUNCTION("""COMPUTED_VALUE"""),"Houston")</f>
        <v>Houston</v>
      </c>
      <c r="G414" s="9" t="str">
        <f>IFERROR(__xludf.DUMMYFUNCTION("""COMPUTED_VALUE"""),"TX")</f>
        <v>TX</v>
      </c>
      <c r="H414" s="9" t="str">
        <f>IFERROR(__xludf.DUMMYFUNCTION("""COMPUTED_VALUE"""),"77002")</f>
        <v>77002</v>
      </c>
      <c r="I414" s="9" t="str">
        <f>IFERROR(__xludf.DUMMYFUNCTION("""COMPUTED_VALUE"""),"713-286-6000")</f>
        <v>713-286-6000</v>
      </c>
      <c r="J414" s="9" t="str">
        <f>IFERROR(__xludf.DUMMYFUNCTION("""COMPUTED_VALUE"""),"29.748425, -95.3679518367347")</f>
        <v>29.748425, -95.3679518367347</v>
      </c>
      <c r="K414" s="9" t="str">
        <f>IFERROR(__xludf.DUMMYFUNCTION("""COMPUTED_VALUE"""),"{""regular"":[{""days"":[""Mo"",""Tu"",""We"",""Th""],""open"":""08:00"",""close"":""16:30""},{""days"":[""Fr""],""open"":""08:00"",""close"":""12:00""}]}")</f>
        <v>{"regular":[{"days":["Mo","Tu","We","Th"],"open":"08:00","close":"16:30"},{"days":["Fr"],"open":"08:00","close":"12:00"}]}</v>
      </c>
      <c r="L414" s="9"/>
      <c r="M414" s="10">
        <f>IFERROR(__xludf.DUMMYFUNCTION("""COMPUTED_VALUE"""),33.0)</f>
        <v>33</v>
      </c>
      <c r="N414" s="10" t="str">
        <f>IFERROR(__xludf.DUMMYFUNCTION("""COMPUTED_VALUE"""),"Medical - Behavioral Health")</f>
        <v>Medical - Behavioral Health</v>
      </c>
      <c r="O414" s="10">
        <f>IFERROR(__xludf.DUMMYFUNCTION("""COMPUTED_VALUE"""),1.0)</f>
        <v>1</v>
      </c>
      <c r="P414" s="10" t="str">
        <f>IFERROR(__xludf.DUMMYFUNCTION("""COMPUTED_VALUE"""),"ACTIVE")</f>
        <v>ACTIVE</v>
      </c>
      <c r="Q414" s="11">
        <f>IFERROR(__xludf.DUMMYFUNCTION("""COMPUTED_VALUE"""),46049.0)</f>
        <v>46049</v>
      </c>
      <c r="R414" s="9" t="str">
        <f>IFERROR(__xludf.DUMMYFUNCTION("""COMPUTED_VALUE"""),"Verified online")</f>
        <v>Verified online</v>
      </c>
      <c r="S414" s="9" t="str">
        <f>IFERROR(__xludf.DUMMYFUNCTION("""COMPUTED_VALUE"""),"Free counseling for people living on streets, in shelters, in transitional or permanent supportive housing and for those at-risk of homelessness.
Insurance not required and co-pay never charged for services.  Do not have to be unhoused to receive service."&amp;"
")</f>
        <v>Free counseling for people living on streets, in shelters, in transitional or permanent supportive housing and for those at-risk of homelessness.
Insurance not required and co-pay never charged for services.  Do not have to be unhoused to receive service.
</v>
      </c>
      <c r="T414" s="12" t="b">
        <f>IFERROR(__xludf.DUMMYFUNCTION("""COMPUTED_VALUE"""),FALSE)</f>
        <v>0</v>
      </c>
      <c r="U414" s="12" t="b">
        <f>IFERROR(__xludf.DUMMYFUNCTION("""COMPUTED_VALUE"""),FALSE)</f>
        <v>0</v>
      </c>
      <c r="V414" s="13" t="str">
        <f>IFERROR(__xludf.DUMMYFUNCTION("""COMPUTED_VALUE"""),"https://www.homeless-healthcare.org/")</f>
        <v>https://www.homeless-healthcare.org/</v>
      </c>
      <c r="W414" s="14" t="str">
        <f>IFERROR(__xludf.DUMMYFUNCTION("""COMPUTED_VALUE"""),"https://www.google.com/maps/place/Caroline+Street+Clinic/@29.7481927,-95.3708166,17z/data=!3m1!4b1!4m6!3m5!1s0x8640bf15ddbac77d:0xb8db8925827229c0!8m2!3d29.7481881!4d-95.3682363!16s%2Fg%2F11gy7zfq5n?entry=ttu&amp;g_ep=EgoyMDI1MDYxNy4wIKXMDSoASAFQAw%3D%3D")</f>
        <v>https://www.google.com/maps/place/Caroline+Street+Clinic/@29.7481927,-95.3708166,17z/data=!3m1!4b1!4m6!3m5!1s0x8640bf15ddbac77d:0xb8db8925827229c0!8m2!3d29.7481881!4d-95.3682363!16s%2Fg%2F11gy7zfq5n?entry=ttu&amp;g_ep=EgoyMDI1MDYxNy4wIKXMDSoASAFQAw%3D%3D</v>
      </c>
      <c r="X414" s="10"/>
      <c r="Y414" s="9" t="str">
        <f>IFERROR(__xludf.DUMMYFUNCTION("""COMPUTED_VALUE"""),"Houston")</f>
        <v>Houston</v>
      </c>
      <c r="Z414"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14" s="9" t="str">
        <f>IFERROR(__xludf.DUMMYFUNCTION("""COMPUTED_VALUE"""),"Healthcare For The Homeless")</f>
        <v>Healthcare For The Homeless</v>
      </c>
      <c r="AB414" s="9" t="str">
        <f>IFERROR(__xludf.DUMMYFUNCTION("""COMPUTED_VALUE"""),"Downtown Houston")</f>
        <v>Downtown Houston</v>
      </c>
    </row>
    <row r="415" ht="30.0" customHeight="1">
      <c r="A415" s="17">
        <v>414.0</v>
      </c>
      <c r="B415" s="8" t="str">
        <f>IFERROR(__xludf.DUMMYFUNCTION("""COMPUTED_VALUE"""),"[""99999""]")</f>
        <v>["99999"]</v>
      </c>
      <c r="C415" s="9" t="str">
        <f>IFERROR(__xludf.DUMMYFUNCTION("""COMPUTED_VALUE"""),"Healthcare for the Homeless Cathedral Clinic at The Beacon")</f>
        <v>Healthcare for the Homeless Cathedral Clinic at The Beacon</v>
      </c>
      <c r="D415" s="9" t="str">
        <f>IFERROR(__xludf.DUMMYFUNCTION("""COMPUTED_VALUE"""),"1212 Prairie Street")</f>
        <v>1212 Prairie Street</v>
      </c>
      <c r="E415" s="9"/>
      <c r="F415" s="9" t="str">
        <f>IFERROR(__xludf.DUMMYFUNCTION("""COMPUTED_VALUE"""),"Houston")</f>
        <v>Houston</v>
      </c>
      <c r="G415" s="9" t="str">
        <f>IFERROR(__xludf.DUMMYFUNCTION("""COMPUTED_VALUE"""),"TX")</f>
        <v>TX</v>
      </c>
      <c r="H415" s="9" t="str">
        <f>IFERROR(__xludf.DUMMYFUNCTION("""COMPUTED_VALUE"""),"77002")</f>
        <v>77002</v>
      </c>
      <c r="I415" s="9" t="str">
        <f>IFERROR(__xludf.DUMMYFUNCTION("""COMPUTED_VALUE"""),"713-286-6000")</f>
        <v>713-286-6000</v>
      </c>
      <c r="J415" s="9" t="str">
        <f>IFERROR(__xludf.DUMMYFUNCTION("""COMPUTED_VALUE"""),"29.7595176122449, -95.360054755102")</f>
        <v>29.7595176122449, -95.360054755102</v>
      </c>
      <c r="K415" s="9" t="str">
        <f>IFERROR(__xludf.DUMMYFUNCTION("""COMPUTED_VALUE"""),"{""regular"":[{""days"":[""Mo"",""Tu"",""We"",""Th"",""Fr""],""open"":""07:30"",""close"":""12:00""}]}")</f>
        <v>{"regular":[{"days":["Mo","Tu","We","Th","Fr"],"open":"07:30","close":"12:00"}]}</v>
      </c>
      <c r="L415" s="9"/>
      <c r="M415" s="10">
        <f>IFERROR(__xludf.DUMMYFUNCTION("""COMPUTED_VALUE"""),31.0)</f>
        <v>31</v>
      </c>
      <c r="N415" s="10" t="str">
        <f>IFERROR(__xludf.DUMMYFUNCTION("""COMPUTED_VALUE"""),"Medical - Primary Care")</f>
        <v>Medical - Primary Care</v>
      </c>
      <c r="O415" s="10">
        <f>IFERROR(__xludf.DUMMYFUNCTION("""COMPUTED_VALUE"""),1.0)</f>
        <v>1</v>
      </c>
      <c r="P415" s="10" t="str">
        <f>IFERROR(__xludf.DUMMYFUNCTION("""COMPUTED_VALUE"""),"ACTIVE")</f>
        <v>ACTIVE</v>
      </c>
      <c r="Q415" s="11">
        <f>IFERROR(__xludf.DUMMYFUNCTION("""COMPUTED_VALUE"""),46049.0)</f>
        <v>46049</v>
      </c>
      <c r="R415" s="9" t="str">
        <f>IFERROR(__xludf.DUMMYFUNCTION("""COMPUTED_VALUE"""),"Verified online")</f>
        <v>Verified online</v>
      </c>
      <c r="S415" s="9" t="str">
        <f>IFERROR(__xludf.DUMMYFUNCTION("""COMPUTED_VALUE"""),"Free services for people living on streets, in shelters, in transitional or permanent supportive housing and for those at-risk of homelessness.
Insurance not required and co-pay never charged for services.  Do not have to be unhoused to receive service.
S"&amp;"ervices include primary care, dental care, vision and ophthalmology, podiatry, mental and behavioral health, women's care, pediatric medicine, case management, transportation.")</f>
        <v>Free services for people living on streets, in shelters, in transitional or permanent supportive housing and for those at-risk of homelessness.
Insurance not required and co-pay never charged for services.  Do not have to be unhoused to receive service.
Services include primary care, dental care, vision and ophthalmology, podiatry, mental and behavioral health, women's care, pediatric medicine, case management, transportation.</v>
      </c>
      <c r="T415" s="12" t="b">
        <f>IFERROR(__xludf.DUMMYFUNCTION("""COMPUTED_VALUE"""),FALSE)</f>
        <v>0</v>
      </c>
      <c r="U415" s="12" t="b">
        <f>IFERROR(__xludf.DUMMYFUNCTION("""COMPUTED_VALUE"""),FALSE)</f>
        <v>0</v>
      </c>
      <c r="V415" s="13" t="str">
        <f>IFERROR(__xludf.DUMMYFUNCTION("""COMPUTED_VALUE"""),"https://www.homeless-healthcare.org/")</f>
        <v>https://www.homeless-healthcare.org/</v>
      </c>
      <c r="W415" s="14" t="str">
        <f>IFERROR(__xludf.DUMMYFUNCTION("""COMPUTED_VALUE"""),"https://www.google.com/maps/place/CATHEDRAL+CLINIC/@29.7592201,-95.3623399,17z/data=!3m1!4b1!4m6!3m5!1s0x8640bf250743c239:0x5dd2bb009e0a7442!8m2!3d29.7592155!4d-95.3597596!16s%2Fg%2F11kbykj46f?entry=ttu&amp;g_ep=EgoyMDI1MDYxNy4wIKXMDSoASAFQAw%3D%3D")</f>
        <v>https://www.google.com/maps/place/CATHEDRAL+CLINIC/@29.7592201,-95.3623399,17z/data=!3m1!4b1!4m6!3m5!1s0x8640bf250743c239:0x5dd2bb009e0a7442!8m2!3d29.7592155!4d-95.3597596!16s%2Fg%2F11kbykj46f?entry=ttu&amp;g_ep=EgoyMDI1MDYxNy4wIKXMDSoASAFQAw%3D%3D</v>
      </c>
      <c r="X415" s="10"/>
      <c r="Y415" s="9" t="str">
        <f>IFERROR(__xludf.DUMMYFUNCTION("""COMPUTED_VALUE"""),"Houston")</f>
        <v>Houston</v>
      </c>
      <c r="Z415"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15" s="9" t="str">
        <f>IFERROR(__xludf.DUMMYFUNCTION("""COMPUTED_VALUE"""),"Healthcare For The Homeless")</f>
        <v>Healthcare For The Homeless</v>
      </c>
      <c r="AB415" s="9" t="str">
        <f>IFERROR(__xludf.DUMMYFUNCTION("""COMPUTED_VALUE"""),"Downtown Houston")</f>
        <v>Downtown Houston</v>
      </c>
    </row>
    <row r="416" ht="30.0" customHeight="1">
      <c r="A416" s="17">
        <v>415.0</v>
      </c>
      <c r="B416" s="8" t="str">
        <f>IFERROR(__xludf.DUMMYFUNCTION("""COMPUTED_VALUE"""),"[""99999""]")</f>
        <v>["99999"]</v>
      </c>
      <c r="C416" s="9" t="str">
        <f>IFERROR(__xludf.DUMMYFUNCTION("""COMPUTED_VALUE"""),"Healthcare for the Homeless Cathedral Clinic at The Beacon")</f>
        <v>Healthcare for the Homeless Cathedral Clinic at The Beacon</v>
      </c>
      <c r="D416" s="9" t="str">
        <f>IFERROR(__xludf.DUMMYFUNCTION("""COMPUTED_VALUE"""),"1212 Prairie Street")</f>
        <v>1212 Prairie Street</v>
      </c>
      <c r="E416" s="9"/>
      <c r="F416" s="10" t="str">
        <f>IFERROR(__xludf.DUMMYFUNCTION("""COMPUTED_VALUE"""),"Houston")</f>
        <v>Houston</v>
      </c>
      <c r="G416" s="9" t="str">
        <f>IFERROR(__xludf.DUMMYFUNCTION("""COMPUTED_VALUE"""),"TX")</f>
        <v>TX</v>
      </c>
      <c r="H416" s="9" t="str">
        <f>IFERROR(__xludf.DUMMYFUNCTION("""COMPUTED_VALUE"""),"77002")</f>
        <v>77002</v>
      </c>
      <c r="I416" s="9" t="str">
        <f>IFERROR(__xludf.DUMMYFUNCTION("""COMPUTED_VALUE"""),"713-286-6000")</f>
        <v>713-286-6000</v>
      </c>
      <c r="J416" s="9" t="str">
        <f>IFERROR(__xludf.DUMMYFUNCTION("""COMPUTED_VALUE"""),"29.7595176122449, -95.360054755102")</f>
        <v>29.7595176122449, -95.360054755102</v>
      </c>
      <c r="K416" s="9" t="str">
        <f>IFERROR(__xludf.DUMMYFUNCTION("""COMPUTED_VALUE"""),"{""regular"":[{""days"":[""Mo"",""Tu"",""We"",""Th"",""Fr""],""open"":""07:30"",""close"":""12:00""}]}")</f>
        <v>{"regular":[{"days":["Mo","Tu","We","Th","Fr"],"open":"07:30","close":"12:00"}]}</v>
      </c>
      <c r="L416" s="9"/>
      <c r="M416" s="10">
        <f>IFERROR(__xludf.DUMMYFUNCTION("""COMPUTED_VALUE"""),32.0)</f>
        <v>32</v>
      </c>
      <c r="N416" s="10" t="str">
        <f>IFERROR(__xludf.DUMMYFUNCTION("""COMPUTED_VALUE"""),"Medical - Dental &amp; Vision")</f>
        <v>Medical - Dental &amp; Vision</v>
      </c>
      <c r="O416" s="10">
        <f>IFERROR(__xludf.DUMMYFUNCTION("""COMPUTED_VALUE"""),1.0)</f>
        <v>1</v>
      </c>
      <c r="P416" s="10" t="str">
        <f>IFERROR(__xludf.DUMMYFUNCTION("""COMPUTED_VALUE"""),"ACTIVE")</f>
        <v>ACTIVE</v>
      </c>
      <c r="Q416" s="11">
        <f>IFERROR(__xludf.DUMMYFUNCTION("""COMPUTED_VALUE"""),46049.0)</f>
        <v>46049</v>
      </c>
      <c r="R416" s="9" t="str">
        <f>IFERROR(__xludf.DUMMYFUNCTION("""COMPUTED_VALUE"""),"Verified online")</f>
        <v>Verified online</v>
      </c>
      <c r="S416" s="9" t="str">
        <f>IFERROR(__xludf.DUMMYFUNCTION("""COMPUTED_VALUE"""),"Dental &amp; Vision
Free care for people living on streets, in shelters, in transitional or permanent supportive housing and for those at-risk of homelessness.
Insurance not required and co-pay never charged for services.  Do not have to be unhoused to receiv"&amp;"e service.
Dental services include exams, cleanings, fillings, extractions, restorations and oral hygiene education.
Vision and Ophthalmology services include screening, eye exams and an annual vision fair providing prescription eyeglasses.
")</f>
        <v>Dental &amp; Vision
Free care for people living on streets, in shelters, in transitional or permanent supportive housing and for those at-risk of homelessness.
Insurance not required and co-pay never charged for services.  Do not have to be unhoused to receive service.
Dental services include exams, cleanings, fillings, extractions, restorations and oral hygiene education.
Vision and Ophthalmology services include screening, eye exams and an annual vision fair providing prescription eyeglasses.
</v>
      </c>
      <c r="T416" s="12" t="b">
        <f>IFERROR(__xludf.DUMMYFUNCTION("""COMPUTED_VALUE"""),TRUE)</f>
        <v>1</v>
      </c>
      <c r="U416" s="12" t="b">
        <f>IFERROR(__xludf.DUMMYFUNCTION("""COMPUTED_VALUE"""),FALSE)</f>
        <v>0</v>
      </c>
      <c r="V416" s="13" t="str">
        <f>IFERROR(__xludf.DUMMYFUNCTION("""COMPUTED_VALUE"""),"https://www.homeless-healthcare.org/")</f>
        <v>https://www.homeless-healthcare.org/</v>
      </c>
      <c r="W416" s="14" t="str">
        <f>IFERROR(__xludf.DUMMYFUNCTION("""COMPUTED_VALUE"""),"https://www.google.com/maps/place/CATHEDRAL+CLINIC/@29.7592201,-95.3623399,17z/data=!3m1!4b1!4m6!3m5!1s0x8640bf250743c239:0x5dd2bb009e0a7442!8m2!3d29.7592155!4d-95.3597596!16s%2Fg%2F11kbykj46f?entry=ttu&amp;g_ep=EgoyMDI1MDYxNy4wIKXMDSoASAFQAw%3D%3D")</f>
        <v>https://www.google.com/maps/place/CATHEDRAL+CLINIC/@29.7592201,-95.3623399,17z/data=!3m1!4b1!4m6!3m5!1s0x8640bf250743c239:0x5dd2bb009e0a7442!8m2!3d29.7592155!4d-95.3597596!16s%2Fg%2F11kbykj46f?entry=ttu&amp;g_ep=EgoyMDI1MDYxNy4wIKXMDSoASAFQAw%3D%3D</v>
      </c>
      <c r="X416" s="10"/>
      <c r="Y416" s="9" t="str">
        <f>IFERROR(__xludf.DUMMYFUNCTION("""COMPUTED_VALUE"""),"Houston")</f>
        <v>Houston</v>
      </c>
      <c r="Z416"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16" s="9" t="str">
        <f>IFERROR(__xludf.DUMMYFUNCTION("""COMPUTED_VALUE"""),"Healthcare For The Homeless")</f>
        <v>Healthcare For The Homeless</v>
      </c>
      <c r="AB416" s="9" t="str">
        <f>IFERROR(__xludf.DUMMYFUNCTION("""COMPUTED_VALUE"""),"Downtown Houston")</f>
        <v>Downtown Houston</v>
      </c>
    </row>
    <row r="417" ht="30.0" customHeight="1">
      <c r="A417" s="17">
        <v>416.0</v>
      </c>
      <c r="B417" s="8" t="str">
        <f>IFERROR(__xludf.DUMMYFUNCTION("""COMPUTED_VALUE"""),"[""99999""]")</f>
        <v>["99999"]</v>
      </c>
      <c r="C417" s="9" t="str">
        <f>IFERROR(__xludf.DUMMYFUNCTION("""COMPUTED_VALUE"""),"Healthcare for the Homeless Cathedral Clinic at The Beacon")</f>
        <v>Healthcare for the Homeless Cathedral Clinic at The Beacon</v>
      </c>
      <c r="D417" s="9" t="str">
        <f>IFERROR(__xludf.DUMMYFUNCTION("""COMPUTED_VALUE"""),"1212 Prairie Street")</f>
        <v>1212 Prairie Street</v>
      </c>
      <c r="E417" s="9"/>
      <c r="F417" s="10" t="str">
        <f>IFERROR(__xludf.DUMMYFUNCTION("""COMPUTED_VALUE"""),"Houston")</f>
        <v>Houston</v>
      </c>
      <c r="G417" s="9" t="str">
        <f>IFERROR(__xludf.DUMMYFUNCTION("""COMPUTED_VALUE"""),"TX")</f>
        <v>TX</v>
      </c>
      <c r="H417" s="9" t="str">
        <f>IFERROR(__xludf.DUMMYFUNCTION("""COMPUTED_VALUE"""),"77002")</f>
        <v>77002</v>
      </c>
      <c r="I417" s="9" t="str">
        <f>IFERROR(__xludf.DUMMYFUNCTION("""COMPUTED_VALUE"""),"713-286-6000")</f>
        <v>713-286-6000</v>
      </c>
      <c r="J417" s="9" t="str">
        <f>IFERROR(__xludf.DUMMYFUNCTION("""COMPUTED_VALUE"""),"29.7595176122449, -95.360054755102")</f>
        <v>29.7595176122449, -95.360054755102</v>
      </c>
      <c r="K417" s="9" t="str">
        <f>IFERROR(__xludf.DUMMYFUNCTION("""COMPUTED_VALUE"""),"{""regular"":[{""days"":[""Mo"",""Tu"",""We"",""Th"",""Fr""],""open"":""07:30"",""close"":""12:00""}]}")</f>
        <v>{"regular":[{"days":["Mo","Tu","We","Th","Fr"],"open":"07:30","close":"12:00"}]}</v>
      </c>
      <c r="L417" s="9"/>
      <c r="M417" s="10">
        <f>IFERROR(__xludf.DUMMYFUNCTION("""COMPUTED_VALUE"""),33.0)</f>
        <v>33</v>
      </c>
      <c r="N417" s="10" t="str">
        <f>IFERROR(__xludf.DUMMYFUNCTION("""COMPUTED_VALUE"""),"Medical - Behavioral Health")</f>
        <v>Medical - Behavioral Health</v>
      </c>
      <c r="O417" s="10">
        <f>IFERROR(__xludf.DUMMYFUNCTION("""COMPUTED_VALUE"""),1.0)</f>
        <v>1</v>
      </c>
      <c r="P417" s="10" t="str">
        <f>IFERROR(__xludf.DUMMYFUNCTION("""COMPUTED_VALUE"""),"ACTIVE")</f>
        <v>ACTIVE</v>
      </c>
      <c r="Q417" s="11">
        <f>IFERROR(__xludf.DUMMYFUNCTION("""COMPUTED_VALUE"""),46049.0)</f>
        <v>46049</v>
      </c>
      <c r="R417" s="9" t="str">
        <f>IFERROR(__xludf.DUMMYFUNCTION("""COMPUTED_VALUE"""),"Verified online")</f>
        <v>Verified online</v>
      </c>
      <c r="S417" s="9" t="str">
        <f>IFERROR(__xludf.DUMMYFUNCTION("""COMPUTED_VALUE"""),"Free counseling for people living on streets, in shelters, in transitional or permanent supportive housing and for those at-risk of homelessness.
Insurance not required and co-pay never charged for services.  Do not have to be unhoused to receive service."&amp;"
")</f>
        <v>Free counseling for people living on streets, in shelters, in transitional or permanent supportive housing and for those at-risk of homelessness.
Insurance not required and co-pay never charged for services.  Do not have to be unhoused to receive service.
</v>
      </c>
      <c r="T417" s="12" t="b">
        <f>IFERROR(__xludf.DUMMYFUNCTION("""COMPUTED_VALUE"""),FALSE)</f>
        <v>0</v>
      </c>
      <c r="U417" s="12" t="b">
        <f>IFERROR(__xludf.DUMMYFUNCTION("""COMPUTED_VALUE"""),FALSE)</f>
        <v>0</v>
      </c>
      <c r="V417" s="13" t="str">
        <f>IFERROR(__xludf.DUMMYFUNCTION("""COMPUTED_VALUE"""),"https://www.homeless-healthcare.org/")</f>
        <v>https://www.homeless-healthcare.org/</v>
      </c>
      <c r="W417" s="14" t="str">
        <f>IFERROR(__xludf.DUMMYFUNCTION("""COMPUTED_VALUE"""),"https://www.google.com/maps/place/CATHEDRAL+CLINIC/@29.7592201,-95.3623399,17z/data=!3m1!4b1!4m6!3m5!1s0x8640bf250743c239:0x5dd2bb009e0a7442!8m2!3d29.7592155!4d-95.3597596!16s%2Fg%2F11kbykj46f?entry=ttu&amp;g_ep=EgoyMDI1MDYxNy4wIKXMDSoASAFQAw%3D%3D")</f>
        <v>https://www.google.com/maps/place/CATHEDRAL+CLINIC/@29.7592201,-95.3623399,17z/data=!3m1!4b1!4m6!3m5!1s0x8640bf250743c239:0x5dd2bb009e0a7442!8m2!3d29.7592155!4d-95.3597596!16s%2Fg%2F11kbykj46f?entry=ttu&amp;g_ep=EgoyMDI1MDYxNy4wIKXMDSoASAFQAw%3D%3D</v>
      </c>
      <c r="X417" s="10"/>
      <c r="Y417" s="9" t="str">
        <f>IFERROR(__xludf.DUMMYFUNCTION("""COMPUTED_VALUE"""),"Houston")</f>
        <v>Houston</v>
      </c>
      <c r="Z417"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17" s="9" t="str">
        <f>IFERROR(__xludf.DUMMYFUNCTION("""COMPUTED_VALUE"""),"Healthcare For The Homeless")</f>
        <v>Healthcare For The Homeless</v>
      </c>
      <c r="AB417" s="9" t="str">
        <f>IFERROR(__xludf.DUMMYFUNCTION("""COMPUTED_VALUE"""),"Downtown Houston")</f>
        <v>Downtown Houston</v>
      </c>
    </row>
    <row r="418" ht="30.0" customHeight="1">
      <c r="A418" s="17">
        <v>417.0</v>
      </c>
      <c r="B418" s="8" t="str">
        <f>IFERROR(__xludf.DUMMYFUNCTION("""COMPUTED_VALUE"""),"[""99999""]")</f>
        <v>["99999"]</v>
      </c>
      <c r="C418" s="9" t="str">
        <f>IFERROR(__xludf.DUMMYFUNCTION("""COMPUTED_VALUE"""),"Healthcare for the Homeless Reed Family Clinic")</f>
        <v>Healthcare for the Homeless Reed Family Clinic</v>
      </c>
      <c r="D418" s="9" t="str">
        <f>IFERROR(__xludf.DUMMYFUNCTION("""COMPUTED_VALUE"""),"2605 Reed Road")</f>
        <v>2605 Reed Road</v>
      </c>
      <c r="E418" s="9"/>
      <c r="F418" s="9" t="str">
        <f>IFERROR(__xludf.DUMMYFUNCTION("""COMPUTED_VALUE"""),"Houston")</f>
        <v>Houston</v>
      </c>
      <c r="G418" s="9" t="str">
        <f>IFERROR(__xludf.DUMMYFUNCTION("""COMPUTED_VALUE"""),"TX")</f>
        <v>TX</v>
      </c>
      <c r="H418" s="9" t="str">
        <f>IFERROR(__xludf.DUMMYFUNCTION("""COMPUTED_VALUE"""),"77051")</f>
        <v>77051</v>
      </c>
      <c r="I418" s="9" t="str">
        <f>IFERROR(__xludf.DUMMYFUNCTION("""COMPUTED_VALUE"""),"713-286-6000")</f>
        <v>713-286-6000</v>
      </c>
      <c r="J418" s="9" t="str">
        <f>IFERROR(__xludf.DUMMYFUNCTION("""COMPUTED_VALUE"""),"29.6575551735336, -95.3863521185914")</f>
        <v>29.6575551735336, -95.3863521185914</v>
      </c>
      <c r="K418" s="9" t="str">
        <f>IFERROR(__xludf.DUMMYFUNCTION("""COMPUTED_VALUE"""),"{""regular"":[{""days"":[""Mo"",""Tu"",""We"",""Th""],""open"":""08:00"",""close"":""16:30""}]}")</f>
        <v>{"regular":[{"days":["Mo","Tu","We","Th"],"open":"08:00","close":"16:30"}]}</v>
      </c>
      <c r="L418" s="9"/>
      <c r="M418" s="10">
        <f>IFERROR(__xludf.DUMMYFUNCTION("""COMPUTED_VALUE"""),31.0)</f>
        <v>31</v>
      </c>
      <c r="N418" s="10" t="str">
        <f>IFERROR(__xludf.DUMMYFUNCTION("""COMPUTED_VALUE"""),"Medical - Primary Care")</f>
        <v>Medical - Primary Care</v>
      </c>
      <c r="O418" s="10">
        <f>IFERROR(__xludf.DUMMYFUNCTION("""COMPUTED_VALUE"""),1.0)</f>
        <v>1</v>
      </c>
      <c r="P418" s="10" t="str">
        <f>IFERROR(__xludf.DUMMYFUNCTION("""COMPUTED_VALUE"""),"ACTIVE")</f>
        <v>ACTIVE</v>
      </c>
      <c r="Q418" s="11">
        <f>IFERROR(__xludf.DUMMYFUNCTION("""COMPUTED_VALUE"""),46049.0)</f>
        <v>46049</v>
      </c>
      <c r="R418" s="9" t="str">
        <f>IFERROR(__xludf.DUMMYFUNCTION("""COMPUTED_VALUE"""),"Verified online")</f>
        <v>Verified online</v>
      </c>
      <c r="S418" s="9" t="str">
        <f>IFERROR(__xludf.DUMMYFUNCTION("""COMPUTED_VALUE"""),"Free services for people living on streets, in shelters, in transitional or permanent supportive housing and for those at-risk of homelessness.
Insurance not required and co-pay never charged for services.  Do not have to be unhoused to receive service.
S"&amp;"ervices include primary care, dental care, vision and ophthalmology, podiatry, mental and behavioral health, women's care, pediatric medicine, case management, transportation.")</f>
        <v>Free services for people living on streets, in shelters, in transitional or permanent supportive housing and for those at-risk of homelessness.
Insurance not required and co-pay never charged for services.  Do not have to be unhoused to receive service.
Services include primary care, dental care, vision and ophthalmology, podiatry, mental and behavioral health, women's care, pediatric medicine, case management, transportation.</v>
      </c>
      <c r="T418" s="12" t="b">
        <f>IFERROR(__xludf.DUMMYFUNCTION("""COMPUTED_VALUE"""),FALSE)</f>
        <v>0</v>
      </c>
      <c r="U418" s="12" t="b">
        <f>IFERROR(__xludf.DUMMYFUNCTION("""COMPUTED_VALUE"""),FALSE)</f>
        <v>0</v>
      </c>
      <c r="V418" s="13" t="str">
        <f>IFERROR(__xludf.DUMMYFUNCTION("""COMPUTED_VALUE"""),"https://www.homeless-healthcare.org/")</f>
        <v>https://www.homeless-healthcare.org/</v>
      </c>
      <c r="W418" s="14" t="str">
        <f>IFERROR(__xludf.DUMMYFUNCTION("""COMPUTED_VALUE"""),"https://www.google.com/maps/place/Reed+Family+Clinic/@29.6592208,-95.3927318,17z/data=!3m1!4b1!4m6!3m5!1s0x8640954a4ae55555:0x1bbd2f0f37994cae!8m2!3d29.6592162!4d-95.3901515!16s%2Fg%2F11ttbhyt4b?entry=ttu&amp;g_ep=EgoyMDI1MDYxNy4wIKXMDSoASAFQAw%3D%3D")</f>
        <v>https://www.google.com/maps/place/Reed+Family+Clinic/@29.6592208,-95.3927318,17z/data=!3m1!4b1!4m6!3m5!1s0x8640954a4ae55555:0x1bbd2f0f37994cae!8m2!3d29.6592162!4d-95.3901515!16s%2Fg%2F11ttbhyt4b?entry=ttu&amp;g_ep=EgoyMDI1MDYxNy4wIKXMDSoASAFQAw%3D%3D</v>
      </c>
      <c r="X418" s="10"/>
      <c r="Y418" s="9" t="str">
        <f>IFERROR(__xludf.DUMMYFUNCTION("""COMPUTED_VALUE"""),"Houston")</f>
        <v>Houston</v>
      </c>
      <c r="Z418" s="9" t="str">
        <f>IFERROR(__xludf.DUMMYFUNCTION("""COMPUTED_VALUE"""),"Central Southwest, South Park, South Side, Sunnyside")</f>
        <v>Central Southwest, South Park, South Side, Sunnyside</v>
      </c>
      <c r="AA418" s="9" t="str">
        <f>IFERROR(__xludf.DUMMYFUNCTION("""COMPUTED_VALUE"""),"Healthcare For The Homeless")</f>
        <v>Healthcare For The Homeless</v>
      </c>
      <c r="AB418" s="9" t="str">
        <f>IFERROR(__xludf.DUMMYFUNCTION("""COMPUTED_VALUE"""),"South Side")</f>
        <v>South Side</v>
      </c>
    </row>
    <row r="419" ht="30.0" customHeight="1">
      <c r="A419" s="17">
        <v>418.0</v>
      </c>
      <c r="B419" s="8" t="str">
        <f>IFERROR(__xludf.DUMMYFUNCTION("""COMPUTED_VALUE"""),"[""99999""]")</f>
        <v>["99999"]</v>
      </c>
      <c r="C419" s="9" t="str">
        <f>IFERROR(__xludf.DUMMYFUNCTION("""COMPUTED_VALUE"""),"Healthcare for the Homeless Reed Family Clinic")</f>
        <v>Healthcare for the Homeless Reed Family Clinic</v>
      </c>
      <c r="D419" s="9" t="str">
        <f>IFERROR(__xludf.DUMMYFUNCTION("""COMPUTED_VALUE"""),"2605 Reed Road")</f>
        <v>2605 Reed Road</v>
      </c>
      <c r="E419" s="9"/>
      <c r="F419" s="9" t="str">
        <f>IFERROR(__xludf.DUMMYFUNCTION("""COMPUTED_VALUE"""),"Houston")</f>
        <v>Houston</v>
      </c>
      <c r="G419" s="9" t="str">
        <f>IFERROR(__xludf.DUMMYFUNCTION("""COMPUTED_VALUE"""),"TX")</f>
        <v>TX</v>
      </c>
      <c r="H419" s="9" t="str">
        <f>IFERROR(__xludf.DUMMYFUNCTION("""COMPUTED_VALUE"""),"77051")</f>
        <v>77051</v>
      </c>
      <c r="I419" s="9" t="str">
        <f>IFERROR(__xludf.DUMMYFUNCTION("""COMPUTED_VALUE"""),"713-286-6000")</f>
        <v>713-286-6000</v>
      </c>
      <c r="J419" s="9" t="str">
        <f>IFERROR(__xludf.DUMMYFUNCTION("""COMPUTED_VALUE"""),"29.6575551735336, -95.3863521185914")</f>
        <v>29.6575551735336, -95.3863521185914</v>
      </c>
      <c r="K419" s="9" t="str">
        <f>IFERROR(__xludf.DUMMYFUNCTION("""COMPUTED_VALUE"""),"{""regular"":[{""days"":[""Mo"",""Tu"",""We"",""Th""],""open"":""08:00"",""close"":""16:30""}]}")</f>
        <v>{"regular":[{"days":["Mo","Tu","We","Th"],"open":"08:00","close":"16:30"}]}</v>
      </c>
      <c r="L419" s="9"/>
      <c r="M419" s="10">
        <f>IFERROR(__xludf.DUMMYFUNCTION("""COMPUTED_VALUE"""),32.0)</f>
        <v>32</v>
      </c>
      <c r="N419" s="10" t="str">
        <f>IFERROR(__xludf.DUMMYFUNCTION("""COMPUTED_VALUE"""),"Medical - Dental &amp; Vision")</f>
        <v>Medical - Dental &amp; Vision</v>
      </c>
      <c r="O419" s="10">
        <f>IFERROR(__xludf.DUMMYFUNCTION("""COMPUTED_VALUE"""),1.0)</f>
        <v>1</v>
      </c>
      <c r="P419" s="10" t="str">
        <f>IFERROR(__xludf.DUMMYFUNCTION("""COMPUTED_VALUE"""),"ACTIVE")</f>
        <v>ACTIVE</v>
      </c>
      <c r="Q419" s="11">
        <f>IFERROR(__xludf.DUMMYFUNCTION("""COMPUTED_VALUE"""),46049.0)</f>
        <v>46049</v>
      </c>
      <c r="R419" s="9" t="str">
        <f>IFERROR(__xludf.DUMMYFUNCTION("""COMPUTED_VALUE"""),"Verified online")</f>
        <v>Verified online</v>
      </c>
      <c r="S419" s="9" t="str">
        <f>IFERROR(__xludf.DUMMYFUNCTION("""COMPUTED_VALUE"""),"Dental &amp; Vision
Free care for people living on streets, in shelters, in transitional or permanent supportive housing and for those at-risk of homelessness.
Insurance not required and co-pay never charged for services.  Do not have to be unhoused to receiv"&amp;"e service.
Dental services include exams, cleanings, fillings, extractions, restorations and oral hygiene education.
Vision and Ophthalmology services include screening, eye exams and an annual vision fair providing prescription eyeglasses.
")</f>
        <v>Dental &amp; Vision
Free care for people living on streets, in shelters, in transitional or permanent supportive housing and for those at-risk of homelessness.
Insurance not required and co-pay never charged for services.  Do not have to be unhoused to receive service.
Dental services include exams, cleanings, fillings, extractions, restorations and oral hygiene education.
Vision and Ophthalmology services include screening, eye exams and an annual vision fair providing prescription eyeglasses.
</v>
      </c>
      <c r="T419" s="12" t="b">
        <f>IFERROR(__xludf.DUMMYFUNCTION("""COMPUTED_VALUE"""),TRUE)</f>
        <v>1</v>
      </c>
      <c r="U419" s="12" t="b">
        <f>IFERROR(__xludf.DUMMYFUNCTION("""COMPUTED_VALUE"""),FALSE)</f>
        <v>0</v>
      </c>
      <c r="V419" s="13" t="str">
        <f>IFERROR(__xludf.DUMMYFUNCTION("""COMPUTED_VALUE"""),"https://www.homeless-healthcare.org/")</f>
        <v>https://www.homeless-healthcare.org/</v>
      </c>
      <c r="W419" s="14" t="str">
        <f>IFERROR(__xludf.DUMMYFUNCTION("""COMPUTED_VALUE"""),"https://www.google.com/maps/place/Reed+Family+Clinic/@29.6592208,-95.3927318,17z/data=!3m1!4b1!4m6!3m5!1s0x8640954a4ae55555:0x1bbd2f0f37994cae!8m2!3d29.6592162!4d-95.3901515!16s%2Fg%2F11ttbhyt4b?entry=ttu&amp;g_ep=EgoyMDI1MDYxNy4wIKXMDSoASAFQAw%3D%3D")</f>
        <v>https://www.google.com/maps/place/Reed+Family+Clinic/@29.6592208,-95.3927318,17z/data=!3m1!4b1!4m6!3m5!1s0x8640954a4ae55555:0x1bbd2f0f37994cae!8m2!3d29.6592162!4d-95.3901515!16s%2Fg%2F11ttbhyt4b?entry=ttu&amp;g_ep=EgoyMDI1MDYxNy4wIKXMDSoASAFQAw%3D%3D</v>
      </c>
      <c r="X419" s="10"/>
      <c r="Y419" s="9" t="str">
        <f>IFERROR(__xludf.DUMMYFUNCTION("""COMPUTED_VALUE"""),"Houston")</f>
        <v>Houston</v>
      </c>
      <c r="Z419" s="9" t="str">
        <f>IFERROR(__xludf.DUMMYFUNCTION("""COMPUTED_VALUE"""),"Central Southwest, South Park, South Side, Sunnyside")</f>
        <v>Central Southwest, South Park, South Side, Sunnyside</v>
      </c>
      <c r="AA419" s="9" t="str">
        <f>IFERROR(__xludf.DUMMYFUNCTION("""COMPUTED_VALUE"""),"Healthcare For The Homeless")</f>
        <v>Healthcare For The Homeless</v>
      </c>
      <c r="AB419" s="9" t="str">
        <f>IFERROR(__xludf.DUMMYFUNCTION("""COMPUTED_VALUE"""),"South Side")</f>
        <v>South Side</v>
      </c>
    </row>
    <row r="420" ht="30.0" customHeight="1">
      <c r="A420" s="17">
        <v>419.0</v>
      </c>
      <c r="B420" s="8" t="str">
        <f>IFERROR(__xludf.DUMMYFUNCTION("""COMPUTED_VALUE"""),"[""99999""]")</f>
        <v>["99999"]</v>
      </c>
      <c r="C420" s="9" t="str">
        <f>IFERROR(__xludf.DUMMYFUNCTION("""COMPUTED_VALUE"""),"Healthcare for the Homeless Reed Family Clinic")</f>
        <v>Healthcare for the Homeless Reed Family Clinic</v>
      </c>
      <c r="D420" s="9" t="str">
        <f>IFERROR(__xludf.DUMMYFUNCTION("""COMPUTED_VALUE"""),"2605 Reed Road")</f>
        <v>2605 Reed Road</v>
      </c>
      <c r="E420" s="9"/>
      <c r="F420" s="9" t="str">
        <f>IFERROR(__xludf.DUMMYFUNCTION("""COMPUTED_VALUE"""),"Houston")</f>
        <v>Houston</v>
      </c>
      <c r="G420" s="9" t="str">
        <f>IFERROR(__xludf.DUMMYFUNCTION("""COMPUTED_VALUE"""),"TX")</f>
        <v>TX</v>
      </c>
      <c r="H420" s="9" t="str">
        <f>IFERROR(__xludf.DUMMYFUNCTION("""COMPUTED_VALUE"""),"77051")</f>
        <v>77051</v>
      </c>
      <c r="I420" s="9" t="str">
        <f>IFERROR(__xludf.DUMMYFUNCTION("""COMPUTED_VALUE"""),"713-286-6000")</f>
        <v>713-286-6000</v>
      </c>
      <c r="J420" s="9" t="str">
        <f>IFERROR(__xludf.DUMMYFUNCTION("""COMPUTED_VALUE"""),"29.6575551735336, -95.3863521185914")</f>
        <v>29.6575551735336, -95.3863521185914</v>
      </c>
      <c r="K420" s="9" t="str">
        <f>IFERROR(__xludf.DUMMYFUNCTION("""COMPUTED_VALUE"""),"{""regular"":[{""days"":[""Mo"",""Tu"",""We"",""Th""],""open"":""08:00"",""close"":""16:30""}]}")</f>
        <v>{"regular":[{"days":["Mo","Tu","We","Th"],"open":"08:00","close":"16:30"}]}</v>
      </c>
      <c r="L420" s="9"/>
      <c r="M420" s="10">
        <f>IFERROR(__xludf.DUMMYFUNCTION("""COMPUTED_VALUE"""),33.0)</f>
        <v>33</v>
      </c>
      <c r="N420" s="10" t="str">
        <f>IFERROR(__xludf.DUMMYFUNCTION("""COMPUTED_VALUE"""),"Medical - Behavioral Health")</f>
        <v>Medical - Behavioral Health</v>
      </c>
      <c r="O420" s="10">
        <f>IFERROR(__xludf.DUMMYFUNCTION("""COMPUTED_VALUE"""),1.0)</f>
        <v>1</v>
      </c>
      <c r="P420" s="10" t="str">
        <f>IFERROR(__xludf.DUMMYFUNCTION("""COMPUTED_VALUE"""),"ACTIVE")</f>
        <v>ACTIVE</v>
      </c>
      <c r="Q420" s="11">
        <f>IFERROR(__xludf.DUMMYFUNCTION("""COMPUTED_VALUE"""),46049.0)</f>
        <v>46049</v>
      </c>
      <c r="R420" s="9" t="str">
        <f>IFERROR(__xludf.DUMMYFUNCTION("""COMPUTED_VALUE"""),"Verified online")</f>
        <v>Verified online</v>
      </c>
      <c r="S420" s="9" t="str">
        <f>IFERROR(__xludf.DUMMYFUNCTION("""COMPUTED_VALUE"""),"Free counseling for people living on streets, in shelters, in transitional or permanent supportive housing and for those at-risk of homelessness.
Insurance not required and co-pay never charged for services.  Do not have to be unhoused to receive service."&amp;"
")</f>
        <v>Free counseling for people living on streets, in shelters, in transitional or permanent supportive housing and for those at-risk of homelessness.
Insurance not required and co-pay never charged for services.  Do not have to be unhoused to receive service.
</v>
      </c>
      <c r="T420" s="12" t="b">
        <f>IFERROR(__xludf.DUMMYFUNCTION("""COMPUTED_VALUE"""),FALSE)</f>
        <v>0</v>
      </c>
      <c r="U420" s="12" t="b">
        <f>IFERROR(__xludf.DUMMYFUNCTION("""COMPUTED_VALUE"""),FALSE)</f>
        <v>0</v>
      </c>
      <c r="V420" s="13" t="str">
        <f>IFERROR(__xludf.DUMMYFUNCTION("""COMPUTED_VALUE"""),"https://www.homeless-healthcare.org/")</f>
        <v>https://www.homeless-healthcare.org/</v>
      </c>
      <c r="W420" s="14" t="str">
        <f>IFERROR(__xludf.DUMMYFUNCTION("""COMPUTED_VALUE"""),"https://www.google.com/maps/place/Reed+Family+Clinic/@29.6592208,-95.3927318,17z/data=!3m1!4b1!4m6!3m5!1s0x8640954a4ae55555:0x1bbd2f0f37994cae!8m2!3d29.6592162!4d-95.3901515!16s%2Fg%2F11ttbhyt4b?entry=ttu&amp;g_ep=EgoyMDI1MDYxNy4wIKXMDSoASAFQAw%3D%3D")</f>
        <v>https://www.google.com/maps/place/Reed+Family+Clinic/@29.6592208,-95.3927318,17z/data=!3m1!4b1!4m6!3m5!1s0x8640954a4ae55555:0x1bbd2f0f37994cae!8m2!3d29.6592162!4d-95.3901515!16s%2Fg%2F11ttbhyt4b?entry=ttu&amp;g_ep=EgoyMDI1MDYxNy4wIKXMDSoASAFQAw%3D%3D</v>
      </c>
      <c r="X420" s="10"/>
      <c r="Y420" s="9" t="str">
        <f>IFERROR(__xludf.DUMMYFUNCTION("""COMPUTED_VALUE"""),"Houston")</f>
        <v>Houston</v>
      </c>
      <c r="Z420" s="9" t="str">
        <f>IFERROR(__xludf.DUMMYFUNCTION("""COMPUTED_VALUE"""),"Central Southwest, South Park, South Side, Sunnyside")</f>
        <v>Central Southwest, South Park, South Side, Sunnyside</v>
      </c>
      <c r="AA420" s="9" t="str">
        <f>IFERROR(__xludf.DUMMYFUNCTION("""COMPUTED_VALUE"""),"Healthcare For The Homeless")</f>
        <v>Healthcare For The Homeless</v>
      </c>
      <c r="AB420" s="9" t="str">
        <f>IFERROR(__xludf.DUMMYFUNCTION("""COMPUTED_VALUE"""),"South Side")</f>
        <v>South Side</v>
      </c>
    </row>
    <row r="421" ht="30.0" customHeight="1">
      <c r="A421" s="17">
        <v>420.0</v>
      </c>
      <c r="B421" s="8" t="str">
        <f>IFERROR(__xludf.DUMMYFUNCTION("""COMPUTED_VALUE"""),"[""99999""]")</f>
        <v>["99999"]</v>
      </c>
      <c r="C421" s="9" t="str">
        <f>IFERROR(__xludf.DUMMYFUNCTION("""COMPUTED_VALUE"""),"Healthwell Foundation")</f>
        <v>Healthwell Foundation</v>
      </c>
      <c r="D421" s="9" t="str">
        <f>IFERROR(__xludf.DUMMYFUNCTION("""COMPUTED_VALUE"""),"20440 Century Blvd")</f>
        <v>20440 Century Blvd</v>
      </c>
      <c r="E421" s="9" t="str">
        <f>IFERROR(__xludf.DUMMYFUNCTION("""COMPUTED_VALUE"""),"Suite 250")</f>
        <v>Suite 250</v>
      </c>
      <c r="F421" s="9" t="str">
        <f>IFERROR(__xludf.DUMMYFUNCTION("""COMPUTED_VALUE"""),"Germantown")</f>
        <v>Germantown</v>
      </c>
      <c r="G421" s="9" t="str">
        <f>IFERROR(__xludf.DUMMYFUNCTION("""COMPUTED_VALUE"""),"MD")</f>
        <v>MD</v>
      </c>
      <c r="H421" s="9" t="str">
        <f>IFERROR(__xludf.DUMMYFUNCTION("""COMPUTED_VALUE"""),"20874")</f>
        <v>20874</v>
      </c>
      <c r="I421" s="9" t="str">
        <f>IFERROR(__xludf.DUMMYFUNCTION("""COMPUTED_VALUE"""),"800-675-8416")</f>
        <v>800-675-8416</v>
      </c>
      <c r="J421" s="9" t="str">
        <f>IFERROR(__xludf.DUMMYFUNCTION("""COMPUTED_VALUE"""),"39.19373102212976, -77.26818311580274")</f>
        <v>39.19373102212976, -77.26818311580274</v>
      </c>
      <c r="K421" s="9" t="str">
        <f>IFERROR(__xludf.DUMMYFUNCTION("""COMPUTED_VALUE"""),"{""regular"":[{""days"":[""Mo"",""Tu"",""We"",""Th"",""Fr""],""open"":""09:00"",""close"":""17:00""}]}")</f>
        <v>{"regular":[{"days":["Mo","Tu","We","Th","Fr"],"open":"09:00","close":"17:00"}]}</v>
      </c>
      <c r="L421" s="9"/>
      <c r="M421" s="10">
        <f>IFERROR(__xludf.DUMMYFUNCTION("""COMPUTED_VALUE"""),36.0)</f>
        <v>36</v>
      </c>
      <c r="N421" s="10" t="str">
        <f>IFERROR(__xludf.DUMMYFUNCTION("""COMPUTED_VALUE"""),"Medical - Bill Payment")</f>
        <v>Medical - Bill Payment</v>
      </c>
      <c r="O421" s="10">
        <f>IFERROR(__xludf.DUMMYFUNCTION("""COMPUTED_VALUE"""),1.0)</f>
        <v>1</v>
      </c>
      <c r="P421" s="10" t="str">
        <f>IFERROR(__xludf.DUMMYFUNCTION("""COMPUTED_VALUE"""),"ACTIVE")</f>
        <v>ACTIVE</v>
      </c>
      <c r="Q421" s="11"/>
      <c r="R421" s="9" t="str">
        <f>IFERROR(__xludf.DUMMYFUNCTION("""COMPUTED_VALUE"""),"Verified online")</f>
        <v>Verified online</v>
      </c>
      <c r="S421" s="9" t="str">
        <f>IFERROR(__xludf.DUMMYFUNCTION("""COMPUTED_VALUE"""),"Provides direct financial aid to insured patients to cover copays, premiums, deductibles and out of pocket expenses for essential treatments and medications.
Eligibility requirements include specific diseases, treatment types and income guidelines.
Apply "&amp;"online
A charitable patient assistance foundation.")</f>
        <v>Provides direct financial aid to insured patients to cover copays, premiums, deductibles and out of pocket expenses for essential treatments and medications.
Eligibility requirements include specific diseases, treatment types and income guidelines.
Apply online
A charitable patient assistance foundation.</v>
      </c>
      <c r="T421" s="12" t="b">
        <f>IFERROR(__xludf.DUMMYFUNCTION("""COMPUTED_VALUE"""),FALSE)</f>
        <v>0</v>
      </c>
      <c r="U421" s="12" t="b">
        <f>IFERROR(__xludf.DUMMYFUNCTION("""COMPUTED_VALUE"""),FALSE)</f>
        <v>0</v>
      </c>
      <c r="V421" s="13" t="str">
        <f>IFERROR(__xludf.DUMMYFUNCTION("""COMPUTED_VALUE"""),"https://www.healthwellfoundation.org")</f>
        <v>https://www.healthwellfoundation.org</v>
      </c>
      <c r="W421" s="14" t="str">
        <f>IFERROR(__xludf.DUMMYFUNCTION("""COMPUTED_VALUE"""),"https://www.google.com/maps/place/HealthWell+Foundation/@39.1932987,-77.270919,16z/data=!3m1!4b1!4m6!3m5!1s0x89b62c0c7fb732eb:0xc689b99656b87990!8m2!3d39.1932987!4d-77.2683387!16s%2Fg%2F11cry0x3c4?entry=ttu&amp;g_ep=EgoyMDI2MDEyMC4wIKXMDSoKLDEwMDc5MjA2OUgBUAM"&amp;"%3D")</f>
        <v>https://www.google.com/maps/place/HealthWell+Foundation/@39.1932987,-77.270919,16z/data=!3m1!4b1!4m6!3m5!1s0x89b62c0c7fb732eb:0xc689b99656b87990!8m2!3d39.1932987!4d-77.2683387!16s%2Fg%2F11cry0x3c4?entry=ttu&amp;g_ep=EgoyMDI2MDEyMC4wIKXMDSoKLDEwMDc5MjA2OUgBUAM%3D</v>
      </c>
      <c r="X421" s="10"/>
      <c r="Y421" s="9" t="str">
        <f>IFERROR(__xludf.DUMMYFUNCTION("""COMPUTED_VALUE"""),"Germantown")</f>
        <v>Germantown</v>
      </c>
      <c r="Z421" s="9" t="str">
        <f>IFERROR(__xludf.DUMMYFUNCTION("""COMPUTED_VALUE"""),"Germantown")</f>
        <v>Germantown</v>
      </c>
      <c r="AA421" s="9" t="str">
        <f>IFERROR(__xludf.DUMMYFUNCTION("""COMPUTED_VALUE"""),"Healthwell Foundation")</f>
        <v>Healthwell Foundation</v>
      </c>
      <c r="AB421" s="9" t="str">
        <f>IFERROR(__xludf.DUMMYFUNCTION("""COMPUTED_VALUE"""),"Germantown")</f>
        <v>Germantown</v>
      </c>
    </row>
    <row r="422" ht="30.0" customHeight="1">
      <c r="A422" s="17">
        <v>421.0</v>
      </c>
      <c r="B42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422" s="9" t="str">
        <f>IFERROR(__xludf.DUMMYFUNCTION("""COMPUTED_VALUE"""),"Heights Interfaith Ministries")</f>
        <v>Heights Interfaith Ministries</v>
      </c>
      <c r="D422" s="9" t="str">
        <f>IFERROR(__xludf.DUMMYFUNCTION("""COMPUTED_VALUE"""),"3523 Beauchamp Street")</f>
        <v>3523 Beauchamp Street</v>
      </c>
      <c r="E422" s="9"/>
      <c r="F422" s="9" t="str">
        <f>IFERROR(__xludf.DUMMYFUNCTION("""COMPUTED_VALUE"""),"Houston")</f>
        <v>Houston</v>
      </c>
      <c r="G422" s="9" t="str">
        <f>IFERROR(__xludf.DUMMYFUNCTION("""COMPUTED_VALUE"""),"TX")</f>
        <v>TX</v>
      </c>
      <c r="H422" s="9" t="str">
        <f>IFERROR(__xludf.DUMMYFUNCTION("""COMPUTED_VALUE"""),"77009")</f>
        <v>77009</v>
      </c>
      <c r="I422" s="9" t="str">
        <f>IFERROR(__xludf.DUMMYFUNCTION("""COMPUTED_VALUE"""),"713-861-6155")</f>
        <v>713-861-6155</v>
      </c>
      <c r="J422" s="9" t="str">
        <f>IFERROR(__xludf.DUMMYFUNCTION("""COMPUTED_VALUE"""),"29.7895478367347, -95.3742684489796")</f>
        <v>29.7895478367347, -95.3742684489796</v>
      </c>
      <c r="K422" s="9" t="str">
        <f>IFERROR(__xludf.DUMMYFUNCTION("""COMPUTED_VALUE"""),"{""regular"":[{""days"":[""Th""],""open"":""16:00"",""close"":""18:00""},{""days"":[""Sa""],""open"":""10:00"",""close"":""12:00""}]}")</f>
        <v>{"regular":[{"days":["Th"],"open":"16:00","close":"18:00"},{"days":["Sa"],"open":"10:00","close":"12:00"}]}</v>
      </c>
      <c r="L422" s="9"/>
      <c r="M422" s="10">
        <f>IFERROR(__xludf.DUMMYFUNCTION("""COMPUTED_VALUE"""),13.0)</f>
        <v>13</v>
      </c>
      <c r="N422" s="10" t="str">
        <f>IFERROR(__xludf.DUMMYFUNCTION("""COMPUTED_VALUE"""),"Food")</f>
        <v>Food</v>
      </c>
      <c r="O422" s="10">
        <f>IFERROR(__xludf.DUMMYFUNCTION("""COMPUTED_VALUE"""),1.0)</f>
        <v>1</v>
      </c>
      <c r="P422" s="10" t="str">
        <f>IFERROR(__xludf.DUMMYFUNCTION("""COMPUTED_VALUE"""),"ACTIVE")</f>
        <v>ACTIVE</v>
      </c>
      <c r="Q422" s="11">
        <f>IFERROR(__xludf.DUMMYFUNCTION("""COMPUTED_VALUE"""),45813.0)</f>
        <v>45813</v>
      </c>
      <c r="R422" s="9" t="str">
        <f>IFERROR(__xludf.DUMMYFUNCTION("""COMPUTED_VALUE"""),"Verified online")</f>
        <v>Verified online</v>
      </c>
      <c r="S422" s="9" t="str">
        <f>IFERROR(__xludf.DUMMYFUNCTION("""COMPUTED_VALUE"""),"Photo ID and a bill with Houston address.
Receive food once every 30 days or once a week if unhoused.
Also provide diapers and baby formula.")</f>
        <v>Photo ID and a bill with Houston address.
Receive food once every 30 days or once a week if unhoused.
Also provide diapers and baby formula.</v>
      </c>
      <c r="T422" s="12" t="b">
        <f>IFERROR(__xludf.DUMMYFUNCTION("""COMPUTED_VALUE"""),FALSE)</f>
        <v>0</v>
      </c>
      <c r="U422" s="12" t="b">
        <f>IFERROR(__xludf.DUMMYFUNCTION("""COMPUTED_VALUE"""),FALSE)</f>
        <v>0</v>
      </c>
      <c r="V422" s="13" t="str">
        <f>IFERROR(__xludf.DUMMYFUNCTION("""COMPUTED_VALUE"""),"https://himfoodpantry.org/")</f>
        <v>https://himfoodpantry.org/</v>
      </c>
      <c r="W422" s="14" t="str">
        <f>IFERROR(__xludf.DUMMYFUNCTION("""COMPUTED_VALUE"""),"https://www.google.com/maps/place/Heights+Interfaith+Ministries+Food+Pantry/@29.7896836,-95.3794885,17z/data=!4m15!1m8!3m7!1s0x8640b8b8cb9f7867:0x333471333229d64f!2s3523+Beauchamp+St,+Houston,+TX+77009!3b1!8m2!3d29.789679!4d-95.3746122!16s%2Fg%2F1hjhd84fr"&amp;"!3m5!1s0x8640b8b8ca573b5d:0x68ef4538f2ee034f!8m2!3d29.7897141!4d-95.3745733!16s%2Fg%2F124yc2256?entry=ttu&amp;g_ep=EgoyMDI1MDYwMy4wIKXMDSoASAFQAw%3D%3D")</f>
        <v>https://www.google.com/maps/place/Heights+Interfaith+Ministries+Food+Pantry/@29.7896836,-95.3794885,17z/data=!4m15!1m8!3m7!1s0x8640b8b8cb9f7867:0x333471333229d64f!2s3523+Beauchamp+St,+Houston,+TX+77009!3b1!8m2!3d29.789679!4d-95.3746122!16s%2Fg%2F1hjhd84fr!3m5!1s0x8640b8b8ca573b5d:0x68ef4538f2ee034f!8m2!3d29.7897141!4d-95.3745733!16s%2Fg%2F124yc2256?entry=ttu&amp;g_ep=EgoyMDI1MDYwMy4wIKXMDSoASAFQAw%3D%3D</v>
      </c>
      <c r="X422" s="10"/>
      <c r="Y422" s="9" t="str">
        <f>IFERROR(__xludf.DUMMYFUNCTION("""COMPUTED_VALUE"""),"Houston")</f>
        <v>Houston</v>
      </c>
      <c r="Z422" s="9" t="str">
        <f>IFERROR(__xludf.DUMMYFUNCTION("""COMPUTED_VALUE"""),"Lindale Park, Near Northside, Northside, Woodland Heights")</f>
        <v>Lindale Park, Near Northside, Northside, Woodland Heights</v>
      </c>
      <c r="AA422" s="9" t="str">
        <f>IFERROR(__xludf.DUMMYFUNCTION("""COMPUTED_VALUE"""),"Heights Interfaith Ministries")</f>
        <v>Heights Interfaith Ministries</v>
      </c>
      <c r="AB422" s="9" t="str">
        <f>IFERROR(__xludf.DUMMYFUNCTION("""COMPUTED_VALUE"""),"Northside")</f>
        <v>Northside</v>
      </c>
    </row>
    <row r="423" ht="30.0" customHeight="1">
      <c r="A423" s="17">
        <v>422.0</v>
      </c>
      <c r="B42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423" s="9" t="str">
        <f>IFERROR(__xludf.DUMMYFUNCTION("""COMPUTED_VALUE"""),"Hiram Clarke Multi-Service Center")</f>
        <v>Hiram Clarke Multi-Service Center</v>
      </c>
      <c r="D423" s="9" t="str">
        <f>IFERROR(__xludf.DUMMYFUNCTION("""COMPUTED_VALUE"""),"3810 W Fuqua Street")</f>
        <v>3810 W Fuqua Street</v>
      </c>
      <c r="E423" s="9"/>
      <c r="F423" s="9" t="str">
        <f>IFERROR(__xludf.DUMMYFUNCTION("""COMPUTED_VALUE"""),"Houston")</f>
        <v>Houston</v>
      </c>
      <c r="G423" s="9" t="str">
        <f>IFERROR(__xludf.DUMMYFUNCTION("""COMPUTED_VALUE"""),"TX")</f>
        <v>TX</v>
      </c>
      <c r="H423" s="9" t="str">
        <f>IFERROR(__xludf.DUMMYFUNCTION("""COMPUTED_VALUE"""),"77045")</f>
        <v>77045</v>
      </c>
      <c r="I423" s="9" t="str">
        <f>IFERROR(__xludf.DUMMYFUNCTION("""COMPUTED_VALUE"""),"832-393-5427")</f>
        <v>832-393-5427</v>
      </c>
      <c r="J423" s="9" t="str">
        <f>IFERROR(__xludf.DUMMYFUNCTION("""COMPUTED_VALUE"""),"29.614519181117675, -95.43359089180484")</f>
        <v>29.614519181117675, -95.43359089180484</v>
      </c>
      <c r="K423" s="9" t="str">
        <f>IFERROR(__xludf.DUMMYFUNCTION("""COMPUTED_VALUE"""),"{""regular"":[{""days"":[""Mo"",""Tu"",""We"",""Th"",""Fr""],""open"":""08:30"",""close"":""15:30""}]}")</f>
        <v>{"regular":[{"days":["Mo","Tu","We","Th","Fr"],"open":"08:30","close":"15:30"}]}</v>
      </c>
      <c r="L423" s="9"/>
      <c r="M423" s="10">
        <f>IFERROR(__xludf.DUMMYFUNCTION("""COMPUTED_VALUE"""),35.0)</f>
        <v>35</v>
      </c>
      <c r="N423" s="10" t="str">
        <f>IFERROR(__xludf.DUMMYFUNCTION("""COMPUTED_VALUE"""),"Medical - Program Enrollment")</f>
        <v>Medical - Program Enrollment</v>
      </c>
      <c r="O423" s="10">
        <f>IFERROR(__xludf.DUMMYFUNCTION("""COMPUTED_VALUE"""),1.0)</f>
        <v>1</v>
      </c>
      <c r="P423" s="10" t="str">
        <f>IFERROR(__xludf.DUMMYFUNCTION("""COMPUTED_VALUE"""),"ACTIVE")</f>
        <v>ACTIVE</v>
      </c>
      <c r="Q423" s="11">
        <f>IFERROR(__xludf.DUMMYFUNCTION("""COMPUTED_VALUE"""),46057.0)</f>
        <v>46057</v>
      </c>
      <c r="R423" s="9" t="str">
        <f>IFERROR(__xludf.DUMMYFUNCTION("""COMPUTED_VALUE"""),"Verified online")</f>
        <v>Verified online</v>
      </c>
      <c r="S423" s="9" t="str">
        <f>IFERROR(__xludf.DUMMYFUNCTION("""COMPUTED_VALUE"""),"Help applying for health and other benefits")</f>
        <v>Help applying for health and other benefits</v>
      </c>
      <c r="T423" s="12" t="b">
        <f>IFERROR(__xludf.DUMMYFUNCTION("""COMPUTED_VALUE"""),FALSE)</f>
        <v>0</v>
      </c>
      <c r="U423" s="12" t="b">
        <f>IFERROR(__xludf.DUMMYFUNCTION("""COMPUTED_VALUE"""),FALSE)</f>
        <v>0</v>
      </c>
      <c r="V423" s="13" t="str">
        <f>IFERROR(__xludf.DUMMYFUNCTION("""COMPUTED_VALUE"""),"https://www.houstonhealth.org/services/multi-service-centers/hiram-clarke-multi-service-center")</f>
        <v>https://www.houstonhealth.org/services/multi-service-centers/hiram-clarke-multi-service-center</v>
      </c>
      <c r="W423" s="14" t="str">
        <f>IFERROR(__xludf.DUMMYFUNCTION("""COMPUTED_VALUE"""),"https://www.google.com/maps/place/Hiram+Clarke+Multi-Service+Center/@29.6141554,-95.4361658,16z/data=!3m1!4b1!4m6!3m5!1s0x8640eb0a25265bb7:0x3a7e70b8b4f8e2ca!8m2!3d29.6141508!4d-95.4335909!16s%2Fg%2F11b75gm51g?entry=ttu&amp;g_ep=EgoyMDI2MDIwMS4wIKXMDSoKLDEwMD"&amp;"c5MjA2OUgBUAM%3D")</f>
        <v>https://www.google.com/maps/place/Hiram+Clarke+Multi-Service+Center/@29.6141554,-95.4361658,16z/data=!3m1!4b1!4m6!3m5!1s0x8640eb0a25265bb7:0x3a7e70b8b4f8e2ca!8m2!3d29.6141508!4d-95.4335909!16s%2Fg%2F11b75gm51g?entry=ttu&amp;g_ep=EgoyMDI2MDIwMS4wIKXMDSoKLDEwMDc5MjA2OUgBUAM%3D</v>
      </c>
      <c r="X423" s="10"/>
      <c r="Y423" s="9" t="str">
        <f>IFERROR(__xludf.DUMMYFUNCTION("""COMPUTED_VALUE"""),"Houston")</f>
        <v>Houston</v>
      </c>
      <c r="Z423" s="9" t="str">
        <f>IFERROR(__xludf.DUMMYFUNCTION("""COMPUTED_VALUE"""),"Brentwood, Central Southwest, Hiram Clarke")</f>
        <v>Brentwood, Central Southwest, Hiram Clarke</v>
      </c>
      <c r="AA423" s="9" t="str">
        <f>IFERROR(__xludf.DUMMYFUNCTION("""COMPUTED_VALUE"""),"City of Houston")</f>
        <v>City of Houston</v>
      </c>
      <c r="AB423" s="9" t="str">
        <f>IFERROR(__xludf.DUMMYFUNCTION("""COMPUTED_VALUE"""),"Hiram Clarke")</f>
        <v>Hiram Clarke</v>
      </c>
    </row>
    <row r="424" ht="30.0" customHeight="1">
      <c r="A424" s="17">
        <v>423.0</v>
      </c>
      <c r="B424" s="8" t="str">
        <f>IFERROR(__xludf.DUMMYFUNCTION("""COMPUTED_VALUE"""),"[""77459"", ""77477"", ""77489"", ""77545""]")</f>
        <v>["77459", "77477", "77489", "77545"]</v>
      </c>
      <c r="C424" s="9" t="str">
        <f>IFERROR(__xludf.DUMMYFUNCTION("""COMPUTED_VALUE"""),"Holy Family (SVdP D2) Missouri City")</f>
        <v>Holy Family (SVdP D2) Missouri City</v>
      </c>
      <c r="D424" s="9" t="str">
        <f>IFERROR(__xludf.DUMMYFUNCTION("""COMPUTED_VALUE"""),"1510 5th Street")</f>
        <v>1510 5th Street</v>
      </c>
      <c r="E424" s="9"/>
      <c r="F424" s="9" t="str">
        <f>IFERROR(__xludf.DUMMYFUNCTION("""COMPUTED_VALUE"""),"Missouri City")</f>
        <v>Missouri City</v>
      </c>
      <c r="G424" s="9" t="str">
        <f>IFERROR(__xludf.DUMMYFUNCTION("""COMPUTED_VALUE"""),"TX")</f>
        <v>TX</v>
      </c>
      <c r="H424" s="9" t="str">
        <f>IFERROR(__xludf.DUMMYFUNCTION("""COMPUTED_VALUE"""),"77489")</f>
        <v>77489</v>
      </c>
      <c r="I424" s="9" t="str">
        <f>IFERROR(__xludf.DUMMYFUNCTION("""COMPUTED_VALUE"""),"281-499-6246")</f>
        <v>281-499-6246</v>
      </c>
      <c r="J424" s="9" t="str">
        <f>IFERROR(__xludf.DUMMYFUNCTION("""COMPUTED_VALUE"""),"29.61813955, -95.5354184680796")</f>
        <v>29.61813955, -95.5354184680796</v>
      </c>
      <c r="K424" s="9" t="str">
        <f>IFERROR(__xludf.DUMMYFUNCTION("""COMPUTED_VALUE"""),"{""regular"":[{""days"":[""Th""],""open"":""10:00"",""close"":""12:00""}]}")</f>
        <v>{"regular":[{"days":["Th"],"open":"10:00","close":"12:00"}]}</v>
      </c>
      <c r="L424" s="9"/>
      <c r="M424" s="10">
        <f>IFERROR(__xludf.DUMMYFUNCTION("""COMPUTED_VALUE"""),11.0)</f>
        <v>11</v>
      </c>
      <c r="N424" s="10" t="str">
        <f>IFERROR(__xludf.DUMMYFUNCTION("""COMPUTED_VALUE"""),"Rent")</f>
        <v>Rent</v>
      </c>
      <c r="O424" s="10">
        <f>IFERROR(__xludf.DUMMYFUNCTION("""COMPUTED_VALUE"""),1.0)</f>
        <v>1</v>
      </c>
      <c r="P424" s="10" t="str">
        <f>IFERROR(__xludf.DUMMYFUNCTION("""COMPUTED_VALUE"""),"ACTIVE")</f>
        <v>ACTIVE</v>
      </c>
      <c r="Q424" s="11">
        <f>IFERROR(__xludf.DUMMYFUNCTION("""COMPUTED_VALUE"""),45758.0)</f>
        <v>45758</v>
      </c>
      <c r="R424" s="9"/>
      <c r="S424" s="9" t="str">
        <f>IFERROR(__xludf.DUMMYFUNCTION("""COMPUTED_VALUE"""),"By appointment only and when funding is available.
")</f>
        <v>By appointment only and when funding is available.
</v>
      </c>
      <c r="T424" s="12" t="b">
        <f>IFERROR(__xludf.DUMMYFUNCTION("""COMPUTED_VALUE"""),FALSE)</f>
        <v>0</v>
      </c>
      <c r="U424" s="12" t="b">
        <f>IFERROR(__xludf.DUMMYFUNCTION("""COMPUTED_VALUE"""),FALSE)</f>
        <v>0</v>
      </c>
      <c r="V424" s="13" t="str">
        <f>IFERROR(__xludf.DUMMYFUNCTION("""COMPUTED_VALUE"""),"https://holyfamilychurch.us/about/ministries/st-vincent-de-paul/")</f>
        <v>https://holyfamilychurch.us/about/ministries/st-vincent-de-paul/</v>
      </c>
      <c r="W424" s="14" t="str">
        <f>IFERROR(__xludf.DUMMYFUNCTION("""COMPUTED_VALUE"""),"https://maps.google.com/?q=Holy%20Family%20(SVdP%20D2)%20Missouri%20City%201510%205th%20St%20Missouri%20City%20TX%2077489")</f>
        <v>https://maps.google.com/?q=Holy%20Family%20(SVdP%20D2)%20Missouri%20City%201510%205th%20St%20Missouri%20City%20TX%2077489</v>
      </c>
      <c r="X424" s="10"/>
      <c r="Y424" s="9" t="str">
        <f>IFERROR(__xludf.DUMMYFUNCTION("""COMPUTED_VALUE"""),"Missouri City")</f>
        <v>Missouri City</v>
      </c>
      <c r="Z424" s="9" t="str">
        <f>IFERROR(__xludf.DUMMYFUNCTION("""COMPUTED_VALUE"""),"Missouri City, Olde Missouri City Market Place, Quail Green South, Quail Valley, Sta-mo Annex")</f>
        <v>Missouri City, Olde Missouri City Market Place, Quail Green South, Quail Valley, Sta-mo Annex</v>
      </c>
      <c r="AA424" s="9" t="str">
        <f>IFERROR(__xludf.DUMMYFUNCTION("""COMPUTED_VALUE"""),"Society of St Vincent de Paul")</f>
        <v>Society of St Vincent de Paul</v>
      </c>
      <c r="AB424" s="9" t="str">
        <f>IFERROR(__xludf.DUMMYFUNCTION("""COMPUTED_VALUE"""),"Missouri City")</f>
        <v>Missouri City</v>
      </c>
    </row>
    <row r="425" ht="30.0" customHeight="1">
      <c r="A425" s="17">
        <v>424.0</v>
      </c>
      <c r="B425" s="8" t="str">
        <f>IFERROR(__xludf.DUMMYFUNCTION("""COMPUTED_VALUE"""),"[""77459"", ""77477"", ""77489"", ""77545""]")</f>
        <v>["77459", "77477", "77489", "77545"]</v>
      </c>
      <c r="C425" s="9" t="str">
        <f>IFERROR(__xludf.DUMMYFUNCTION("""COMPUTED_VALUE"""),"Holy Family (SVdP D2) Missouri City")</f>
        <v>Holy Family (SVdP D2) Missouri City</v>
      </c>
      <c r="D425" s="9" t="str">
        <f>IFERROR(__xludf.DUMMYFUNCTION("""COMPUTED_VALUE"""),"1510 5th Street")</f>
        <v>1510 5th Street</v>
      </c>
      <c r="E425" s="9"/>
      <c r="F425" s="9" t="str">
        <f>IFERROR(__xludf.DUMMYFUNCTION("""COMPUTED_VALUE"""),"Missouri City")</f>
        <v>Missouri City</v>
      </c>
      <c r="G425" s="9" t="str">
        <f>IFERROR(__xludf.DUMMYFUNCTION("""COMPUTED_VALUE"""),"TX")</f>
        <v>TX</v>
      </c>
      <c r="H425" s="9" t="str">
        <f>IFERROR(__xludf.DUMMYFUNCTION("""COMPUTED_VALUE"""),"77489")</f>
        <v>77489</v>
      </c>
      <c r="I425" s="9" t="str">
        <f>IFERROR(__xludf.DUMMYFUNCTION("""COMPUTED_VALUE"""),"281-499-6246")</f>
        <v>281-499-6246</v>
      </c>
      <c r="J425" s="9" t="str">
        <f>IFERROR(__xludf.DUMMYFUNCTION("""COMPUTED_VALUE"""),"29.61813955, -95.5354184680796")</f>
        <v>29.61813955, -95.5354184680796</v>
      </c>
      <c r="K425" s="9" t="str">
        <f>IFERROR(__xludf.DUMMYFUNCTION("""COMPUTED_VALUE"""),"{""regular"":[{""days"":[""Th""],""open"":""10:00"",""close"":""12:00""}]}")</f>
        <v>{"regular":[{"days":["Th"],"open":"10:00","close":"12:00"}]}</v>
      </c>
      <c r="L425" s="9"/>
      <c r="M425" s="10">
        <f>IFERROR(__xludf.DUMMYFUNCTION("""COMPUTED_VALUE"""),12.0)</f>
        <v>12</v>
      </c>
      <c r="N425" s="10" t="str">
        <f>IFERROR(__xludf.DUMMYFUNCTION("""COMPUTED_VALUE"""),"Utilities")</f>
        <v>Utilities</v>
      </c>
      <c r="O425" s="10">
        <f>IFERROR(__xludf.DUMMYFUNCTION("""COMPUTED_VALUE"""),1.0)</f>
        <v>1</v>
      </c>
      <c r="P425" s="10" t="str">
        <f>IFERROR(__xludf.DUMMYFUNCTION("""COMPUTED_VALUE"""),"ACTIVE")</f>
        <v>ACTIVE</v>
      </c>
      <c r="Q425" s="11">
        <f>IFERROR(__xludf.DUMMYFUNCTION("""COMPUTED_VALUE"""),45758.0)</f>
        <v>45758</v>
      </c>
      <c r="R425" s="9"/>
      <c r="S425" s="9"/>
      <c r="T425" s="12" t="b">
        <f>IFERROR(__xludf.DUMMYFUNCTION("""COMPUTED_VALUE"""),FALSE)</f>
        <v>0</v>
      </c>
      <c r="U425" s="12" t="b">
        <f>IFERROR(__xludf.DUMMYFUNCTION("""COMPUTED_VALUE"""),FALSE)</f>
        <v>0</v>
      </c>
      <c r="V425" s="13" t="str">
        <f>IFERROR(__xludf.DUMMYFUNCTION("""COMPUTED_VALUE"""),"https://holyfamilychurch.us/about/ministries/st-vincent-de-paul/")</f>
        <v>https://holyfamilychurch.us/about/ministries/st-vincent-de-paul/</v>
      </c>
      <c r="W425" s="14" t="str">
        <f>IFERROR(__xludf.DUMMYFUNCTION("""COMPUTED_VALUE"""),"https://maps.google.com/?q=Holy%20Family%20(SVdP%20D2)%20Missouri%20City%201510%205th%20St%20Missouri%20City%20TX%2077489")</f>
        <v>https://maps.google.com/?q=Holy%20Family%20(SVdP%20D2)%20Missouri%20City%201510%205th%20St%20Missouri%20City%20TX%2077489</v>
      </c>
      <c r="X425" s="10"/>
      <c r="Y425" s="9" t="str">
        <f>IFERROR(__xludf.DUMMYFUNCTION("""COMPUTED_VALUE"""),"Missouri City")</f>
        <v>Missouri City</v>
      </c>
      <c r="Z425" s="9" t="str">
        <f>IFERROR(__xludf.DUMMYFUNCTION("""COMPUTED_VALUE"""),"Missouri City, Olde Missouri City Market Place, Quail Green South, Quail Valley, Sta-mo Annex")</f>
        <v>Missouri City, Olde Missouri City Market Place, Quail Green South, Quail Valley, Sta-mo Annex</v>
      </c>
      <c r="AA425" s="9" t="str">
        <f>IFERROR(__xludf.DUMMYFUNCTION("""COMPUTED_VALUE"""),"Society of St Vincent de Paul")</f>
        <v>Society of St Vincent de Paul</v>
      </c>
      <c r="AB425" s="9" t="str">
        <f>IFERROR(__xludf.DUMMYFUNCTION("""COMPUTED_VALUE"""),"Missouri City")</f>
        <v>Missouri City</v>
      </c>
    </row>
    <row r="426" ht="30.0" customHeight="1">
      <c r="A426" s="17">
        <v>425.0</v>
      </c>
      <c r="B426" s="8" t="str">
        <f>IFERROR(__xludf.DUMMYFUNCTION("""COMPUTED_VALUE"""),"[""77459"", ""77477"", ""77489"", ""77545""]")</f>
        <v>["77459", "77477", "77489", "77545"]</v>
      </c>
      <c r="C426" s="9" t="str">
        <f>IFERROR(__xludf.DUMMYFUNCTION("""COMPUTED_VALUE"""),"Holy Family (SVdP D2) Missouri City")</f>
        <v>Holy Family (SVdP D2) Missouri City</v>
      </c>
      <c r="D426" s="9" t="str">
        <f>IFERROR(__xludf.DUMMYFUNCTION("""COMPUTED_VALUE"""),"1510 5th Street")</f>
        <v>1510 5th Street</v>
      </c>
      <c r="E426" s="9"/>
      <c r="F426" s="9" t="str">
        <f>IFERROR(__xludf.DUMMYFUNCTION("""COMPUTED_VALUE"""),"Missouri City")</f>
        <v>Missouri City</v>
      </c>
      <c r="G426" s="9" t="str">
        <f>IFERROR(__xludf.DUMMYFUNCTION("""COMPUTED_VALUE"""),"TX")</f>
        <v>TX</v>
      </c>
      <c r="H426" s="9" t="str">
        <f>IFERROR(__xludf.DUMMYFUNCTION("""COMPUTED_VALUE"""),"77489")</f>
        <v>77489</v>
      </c>
      <c r="I426" s="9" t="str">
        <f>IFERROR(__xludf.DUMMYFUNCTION("""COMPUTED_VALUE"""),"281-499-6246")</f>
        <v>281-499-6246</v>
      </c>
      <c r="J426" s="9" t="str">
        <f>IFERROR(__xludf.DUMMYFUNCTION("""COMPUTED_VALUE"""),"29.61813955, -95.5354184680796")</f>
        <v>29.61813955, -95.5354184680796</v>
      </c>
      <c r="K426" s="9" t="str">
        <f>IFERROR(__xludf.DUMMYFUNCTION("""COMPUTED_VALUE"""),"{""regular"":[{""days"":[""Tu""],""open"":""10:00"",""close"":""13:00""}],""special"":[{""pattern"":""4th Sa"",""open"":""10:00"",""close"":""12:00""}]}")</f>
        <v>{"regular":[{"days":["Tu"],"open":"10:00","close":"13:00"}],"special":[{"pattern":"4th Sa","open":"10:00","close":"12:00"}]}</v>
      </c>
      <c r="L426" s="9"/>
      <c r="M426" s="10">
        <f>IFERROR(__xludf.DUMMYFUNCTION("""COMPUTED_VALUE"""),13.0)</f>
        <v>13</v>
      </c>
      <c r="N426" s="10" t="str">
        <f>IFERROR(__xludf.DUMMYFUNCTION("""COMPUTED_VALUE"""),"Food")</f>
        <v>Food</v>
      </c>
      <c r="O426" s="10">
        <f>IFERROR(__xludf.DUMMYFUNCTION("""COMPUTED_VALUE"""),1.0)</f>
        <v>1</v>
      </c>
      <c r="P426" s="10" t="str">
        <f>IFERROR(__xludf.DUMMYFUNCTION("""COMPUTED_VALUE"""),"ACTIVE")</f>
        <v>ACTIVE</v>
      </c>
      <c r="Q426" s="11">
        <f>IFERROR(__xludf.DUMMYFUNCTION("""COMPUTED_VALUE"""),45758.0)</f>
        <v>45758</v>
      </c>
      <c r="R426" s="9"/>
      <c r="S426" s="9"/>
      <c r="T426" s="12" t="b">
        <f>IFERROR(__xludf.DUMMYFUNCTION("""COMPUTED_VALUE"""),FALSE)</f>
        <v>0</v>
      </c>
      <c r="U426" s="12" t="b">
        <f>IFERROR(__xludf.DUMMYFUNCTION("""COMPUTED_VALUE"""),FALSE)</f>
        <v>0</v>
      </c>
      <c r="V426" s="13" t="str">
        <f>IFERROR(__xludf.DUMMYFUNCTION("""COMPUTED_VALUE"""),"https://holyfamilychurch.us/about/ministries/st-vincent-de-paul/")</f>
        <v>https://holyfamilychurch.us/about/ministries/st-vincent-de-paul/</v>
      </c>
      <c r="W426" s="14" t="str">
        <f>IFERROR(__xludf.DUMMYFUNCTION("""COMPUTED_VALUE"""),"https://maps.google.com/?q=Holy%20Family%20(SVdP%20D2)%20Missouri%20City%201510%205th%20St%20Missouri%20City%20TX%2077489")</f>
        <v>https://maps.google.com/?q=Holy%20Family%20(SVdP%20D2)%20Missouri%20City%201510%205th%20St%20Missouri%20City%20TX%2077489</v>
      </c>
      <c r="X426" s="10"/>
      <c r="Y426" s="9" t="str">
        <f>IFERROR(__xludf.DUMMYFUNCTION("""COMPUTED_VALUE"""),"Missouri City")</f>
        <v>Missouri City</v>
      </c>
      <c r="Z426" s="9" t="str">
        <f>IFERROR(__xludf.DUMMYFUNCTION("""COMPUTED_VALUE"""),"Missouri City, Olde Missouri City Market Place, Quail Green South, Quail Valley, Sta-mo Annex")</f>
        <v>Missouri City, Olde Missouri City Market Place, Quail Green South, Quail Valley, Sta-mo Annex</v>
      </c>
      <c r="AA426" s="9" t="str">
        <f>IFERROR(__xludf.DUMMYFUNCTION("""COMPUTED_VALUE"""),"Society of St Vincent de Paul")</f>
        <v>Society of St Vincent de Paul</v>
      </c>
      <c r="AB426" s="9" t="str">
        <f>IFERROR(__xludf.DUMMYFUNCTION("""COMPUTED_VALUE"""),"Missouri City")</f>
        <v>Missouri City</v>
      </c>
    </row>
    <row r="427" ht="30.0" customHeight="1">
      <c r="A427" s="17">
        <v>426.0</v>
      </c>
      <c r="B427" s="8" t="str">
        <f>IFERROR(__xludf.DUMMYFUNCTION("""COMPUTED_VALUE"""),"[""77550"", ""77551"", ""77552"", ""77553"", ""77554"", ""77555""]")</f>
        <v>["77550", "77551", "77552", "77553", "77554", "77555"]</v>
      </c>
      <c r="C427" s="9" t="str">
        <f>IFERROR(__xludf.DUMMYFUNCTION("""COMPUTED_VALUE"""),"Holy Family (SVdP D7) Galveston")</f>
        <v>Holy Family (SVdP D7) Galveston</v>
      </c>
      <c r="D427" s="9" t="str">
        <f>IFERROR(__xludf.DUMMYFUNCTION("""COMPUTED_VALUE"""),"1525 25th Street")</f>
        <v>1525 25th Street</v>
      </c>
      <c r="E427" s="9"/>
      <c r="F427" s="9" t="str">
        <f>IFERROR(__xludf.DUMMYFUNCTION("""COMPUTED_VALUE"""),"Galveston")</f>
        <v>Galveston</v>
      </c>
      <c r="G427" s="9" t="str">
        <f>IFERROR(__xludf.DUMMYFUNCTION("""COMPUTED_VALUE"""),"TX")</f>
        <v>TX</v>
      </c>
      <c r="H427" s="9" t="str">
        <f>IFERROR(__xludf.DUMMYFUNCTION("""COMPUTED_VALUE"""),"77550")</f>
        <v>77550</v>
      </c>
      <c r="I427" s="9" t="str">
        <f>IFERROR(__xludf.DUMMYFUNCTION("""COMPUTED_VALUE"""),"409-356-5135")</f>
        <v>409-356-5135</v>
      </c>
      <c r="J427" s="9" t="str">
        <f>IFERROR(__xludf.DUMMYFUNCTION("""COMPUTED_VALUE"""),"29.29407482695225, -94.79364067423829")</f>
        <v>29.29407482695225, -94.79364067423829</v>
      </c>
      <c r="K427" s="9" t="str">
        <f>IFERROR(__xludf.DUMMYFUNCTION("""COMPUTED_VALUE"""),"{""regular"":[{""days"":[""Mo"",""Tu"",""We"",""Th""],""open"":""10:00"",""close"":""13:30""}]}")</f>
        <v>{"regular":[{"days":["Mo","Tu","We","Th"],"open":"10:00","close":"13:30"}]}</v>
      </c>
      <c r="L427" s="9"/>
      <c r="M427" s="10">
        <f>IFERROR(__xludf.DUMMYFUNCTION("""COMPUTED_VALUE"""),11.0)</f>
        <v>11</v>
      </c>
      <c r="N427" s="10" t="str">
        <f>IFERROR(__xludf.DUMMYFUNCTION("""COMPUTED_VALUE"""),"Rent")</f>
        <v>Rent</v>
      </c>
      <c r="O427" s="10">
        <f>IFERROR(__xludf.DUMMYFUNCTION("""COMPUTED_VALUE"""),1.0)</f>
        <v>1</v>
      </c>
      <c r="P427" s="10" t="str">
        <f>IFERROR(__xludf.DUMMYFUNCTION("""COMPUTED_VALUE"""),"ACTIVE")</f>
        <v>ACTIVE</v>
      </c>
      <c r="Q427" s="11"/>
      <c r="R427" s="9"/>
      <c r="S427" s="9"/>
      <c r="T427" s="12" t="b">
        <f>IFERROR(__xludf.DUMMYFUNCTION("""COMPUTED_VALUE"""),FALSE)</f>
        <v>0</v>
      </c>
      <c r="U427" s="12" t="b">
        <f>IFERROR(__xludf.DUMMYFUNCTION("""COMPUTED_VALUE"""),FALSE)</f>
        <v>0</v>
      </c>
      <c r="V427" s="13" t="str">
        <f>IFERROR(__xludf.DUMMYFUNCTION("""COMPUTED_VALUE"""),"https://holyfamilygb.com/hfp-groups/society-of-st-vincent-de-paul/")</f>
        <v>https://holyfamilygb.com/hfp-groups/society-of-st-vincent-de-paul/</v>
      </c>
      <c r="W427" s="14" t="str">
        <f>IFERROR(__xludf.DUMMYFUNCTION("""COMPUTED_VALUE"""),"https://maps.google.com/?q=Holy%20Family%20(SVdP%20D7)%20Galveston%201525%2025th%20St%20Galveston%20TX%2077550")</f>
        <v>https://maps.google.com/?q=Holy%20Family%20(SVdP%20D7)%20Galveston%201525%2025th%20St%20Galveston%20TX%2077550</v>
      </c>
      <c r="X427" s="10"/>
      <c r="Y427" s="9" t="str">
        <f>IFERROR(__xludf.DUMMYFUNCTION("""COMPUTED_VALUE"""),"Galveston")</f>
        <v>Galveston</v>
      </c>
      <c r="Z427" s="9" t="str">
        <f>IFERROR(__xludf.DUMMYFUNCTION("""COMPUTED_VALUE"""),"Galveston")</f>
        <v>Galveston</v>
      </c>
      <c r="AA427" s="9" t="str">
        <f>IFERROR(__xludf.DUMMYFUNCTION("""COMPUTED_VALUE"""),"Society of St Vincent de Paul")</f>
        <v>Society of St Vincent de Paul</v>
      </c>
      <c r="AB427" s="9" t="str">
        <f>IFERROR(__xludf.DUMMYFUNCTION("""COMPUTED_VALUE"""),"Galveston")</f>
        <v>Galveston</v>
      </c>
    </row>
    <row r="428" ht="30.0" customHeight="1">
      <c r="A428" s="17">
        <v>427.0</v>
      </c>
      <c r="B428" s="8" t="str">
        <f>IFERROR(__xludf.DUMMYFUNCTION("""COMPUTED_VALUE"""),"[""77550"", ""77551"", ""77552"", ""77553"", ""77554"", ""77555""]")</f>
        <v>["77550", "77551", "77552", "77553", "77554", "77555"]</v>
      </c>
      <c r="C428" s="9" t="str">
        <f>IFERROR(__xludf.DUMMYFUNCTION("""COMPUTED_VALUE"""),"Holy Family (SVdP D7) Galveston")</f>
        <v>Holy Family (SVdP D7) Galveston</v>
      </c>
      <c r="D428" s="9" t="str">
        <f>IFERROR(__xludf.DUMMYFUNCTION("""COMPUTED_VALUE"""),"1525 25th Street")</f>
        <v>1525 25th Street</v>
      </c>
      <c r="E428" s="9"/>
      <c r="F428" s="9" t="str">
        <f>IFERROR(__xludf.DUMMYFUNCTION("""COMPUTED_VALUE"""),"Galveston")</f>
        <v>Galveston</v>
      </c>
      <c r="G428" s="9" t="str">
        <f>IFERROR(__xludf.DUMMYFUNCTION("""COMPUTED_VALUE"""),"TX")</f>
        <v>TX</v>
      </c>
      <c r="H428" s="9" t="str">
        <f>IFERROR(__xludf.DUMMYFUNCTION("""COMPUTED_VALUE"""),"77550")</f>
        <v>77550</v>
      </c>
      <c r="I428" s="9" t="str">
        <f>IFERROR(__xludf.DUMMYFUNCTION("""COMPUTED_VALUE"""),"409-356-5135")</f>
        <v>409-356-5135</v>
      </c>
      <c r="J428" s="9" t="str">
        <f>IFERROR(__xludf.DUMMYFUNCTION("""COMPUTED_VALUE"""),"29.29407482695225, -94.79364067423829")</f>
        <v>29.29407482695225, -94.79364067423829</v>
      </c>
      <c r="K428" s="9" t="str">
        <f>IFERROR(__xludf.DUMMYFUNCTION("""COMPUTED_VALUE"""),"{""regular"":[{""days"":[""Mo"",""Tu"",""We"",""Th""],""open"":""10:00"",""close"":""13:30""}]}")</f>
        <v>{"regular":[{"days":["Mo","Tu","We","Th"],"open":"10:00","close":"13:30"}]}</v>
      </c>
      <c r="L428" s="9"/>
      <c r="M428" s="10">
        <f>IFERROR(__xludf.DUMMYFUNCTION("""COMPUTED_VALUE"""),12.0)</f>
        <v>12</v>
      </c>
      <c r="N428" s="10" t="str">
        <f>IFERROR(__xludf.DUMMYFUNCTION("""COMPUTED_VALUE"""),"Utilities")</f>
        <v>Utilities</v>
      </c>
      <c r="O428" s="10">
        <f>IFERROR(__xludf.DUMMYFUNCTION("""COMPUTED_VALUE"""),1.0)</f>
        <v>1</v>
      </c>
      <c r="P428" s="10" t="str">
        <f>IFERROR(__xludf.DUMMYFUNCTION("""COMPUTED_VALUE"""),"ACTIVE")</f>
        <v>ACTIVE</v>
      </c>
      <c r="Q428" s="11"/>
      <c r="R428" s="9"/>
      <c r="S428" s="9"/>
      <c r="T428" s="12" t="b">
        <f>IFERROR(__xludf.DUMMYFUNCTION("""COMPUTED_VALUE"""),FALSE)</f>
        <v>0</v>
      </c>
      <c r="U428" s="12" t="b">
        <f>IFERROR(__xludf.DUMMYFUNCTION("""COMPUTED_VALUE"""),FALSE)</f>
        <v>0</v>
      </c>
      <c r="V428" s="13" t="str">
        <f>IFERROR(__xludf.DUMMYFUNCTION("""COMPUTED_VALUE"""),"https://holyfamilygb.com/hfp-groups/society-of-st-vincent-de-paul/")</f>
        <v>https://holyfamilygb.com/hfp-groups/society-of-st-vincent-de-paul/</v>
      </c>
      <c r="W428" s="14" t="str">
        <f>IFERROR(__xludf.DUMMYFUNCTION("""COMPUTED_VALUE"""),"https://maps.google.com/?q=Holy%20Family%20(SVdP%20D7)%20Galveston%201525%2025th%20St%20Galveston%20TX%2077550")</f>
        <v>https://maps.google.com/?q=Holy%20Family%20(SVdP%20D7)%20Galveston%201525%2025th%20St%20Galveston%20TX%2077550</v>
      </c>
      <c r="X428" s="10"/>
      <c r="Y428" s="9" t="str">
        <f>IFERROR(__xludf.DUMMYFUNCTION("""COMPUTED_VALUE"""),"Galveston")</f>
        <v>Galveston</v>
      </c>
      <c r="Z428" s="9" t="str">
        <f>IFERROR(__xludf.DUMMYFUNCTION("""COMPUTED_VALUE"""),"Galveston")</f>
        <v>Galveston</v>
      </c>
      <c r="AA428" s="9" t="str">
        <f>IFERROR(__xludf.DUMMYFUNCTION("""COMPUTED_VALUE"""),"Society of St Vincent de Paul")</f>
        <v>Society of St Vincent de Paul</v>
      </c>
      <c r="AB428" s="9" t="str">
        <f>IFERROR(__xludf.DUMMYFUNCTION("""COMPUTED_VALUE"""),"Galveston")</f>
        <v>Galveston</v>
      </c>
    </row>
    <row r="429" ht="30.0" customHeight="1">
      <c r="A429" s="17">
        <v>428.0</v>
      </c>
      <c r="B429" s="8" t="str">
        <f>IFERROR(__xludf.DUMMYFUNCTION("""COMPUTED_VALUE"""),"[""77009""]")</f>
        <v>["77009"]</v>
      </c>
      <c r="C429" s="9" t="str">
        <f>IFERROR(__xludf.DUMMYFUNCTION("""COMPUTED_VALUE"""),"Holy Name")</f>
        <v>Holy Name</v>
      </c>
      <c r="D429" s="9" t="str">
        <f>IFERROR(__xludf.DUMMYFUNCTION("""COMPUTED_VALUE"""),"1920 Marion Street")</f>
        <v>1920 Marion Street</v>
      </c>
      <c r="E429" s="9"/>
      <c r="F429" s="9" t="str">
        <f>IFERROR(__xludf.DUMMYFUNCTION("""COMPUTED_VALUE"""),"Houston")</f>
        <v>Houston</v>
      </c>
      <c r="G429" s="9" t="str">
        <f>IFERROR(__xludf.DUMMYFUNCTION("""COMPUTED_VALUE"""),"TX")</f>
        <v>TX</v>
      </c>
      <c r="H429" s="9" t="str">
        <f>IFERROR(__xludf.DUMMYFUNCTION("""COMPUTED_VALUE"""),"77009")</f>
        <v>77009</v>
      </c>
      <c r="I429" s="9" t="str">
        <f>IFERROR(__xludf.DUMMYFUNCTION("""COMPUTED_VALUE"""),"713-222-1255")</f>
        <v>713-222-1255</v>
      </c>
      <c r="J429" s="9" t="str">
        <f>IFERROR(__xludf.DUMMYFUNCTION("""COMPUTED_VALUE"""),"29.7785114081633, -95.3559996326531")</f>
        <v>29.7785114081633, -95.3559996326531</v>
      </c>
      <c r="K429" s="9" t="str">
        <f>IFERROR(__xludf.DUMMYFUNCTION("""COMPUTED_VALUE"""),"{""regular"":[{""days"":[""Th""],""open"":""09:00"",""close"":""12:00""}]}")</f>
        <v>{"regular":[{"days":["Th"],"open":"09:00","close":"12:00"}]}</v>
      </c>
      <c r="L429" s="9"/>
      <c r="M429" s="10">
        <f>IFERROR(__xludf.DUMMYFUNCTION("""COMPUTED_VALUE"""),13.0)</f>
        <v>13</v>
      </c>
      <c r="N429" s="10" t="str">
        <f>IFERROR(__xludf.DUMMYFUNCTION("""COMPUTED_VALUE"""),"Food")</f>
        <v>Food</v>
      </c>
      <c r="O429" s="10">
        <f>IFERROR(__xludf.DUMMYFUNCTION("""COMPUTED_VALUE"""),1.0)</f>
        <v>1</v>
      </c>
      <c r="P429" s="10" t="str">
        <f>IFERROR(__xludf.DUMMYFUNCTION("""COMPUTED_VALUE"""),"ACTIVE")</f>
        <v>ACTIVE</v>
      </c>
      <c r="Q429" s="11"/>
      <c r="R429" s="9"/>
      <c r="S429" s="9"/>
      <c r="T429" s="12" t="b">
        <f>IFERROR(__xludf.DUMMYFUNCTION("""COMPUTED_VALUE"""),FALSE)</f>
        <v>0</v>
      </c>
      <c r="U429" s="12" t="b">
        <f>IFERROR(__xludf.DUMMYFUNCTION("""COMPUTED_VALUE"""),FALSE)</f>
        <v>0</v>
      </c>
      <c r="V429" s="13" t="str">
        <f>IFERROR(__xludf.DUMMYFUNCTION("""COMPUTED_VALUE"""),"https://www.holynamecatholichouston.org/")</f>
        <v>https://www.holynamecatholichouston.org/</v>
      </c>
      <c r="W429" s="14" t="str">
        <f>IFERROR(__xludf.DUMMYFUNCTION("""COMPUTED_VALUE"""),"https://maps.google.com/?q=Holy%20Name%201920%20Marion%20St%20Houston%20TX%2077009")</f>
        <v>https://maps.google.com/?q=Holy%20Name%201920%20Marion%20St%20Houston%20TX%2077009</v>
      </c>
      <c r="X429" s="10"/>
      <c r="Y429" s="9" t="str">
        <f>IFERROR(__xludf.DUMMYFUNCTION("""COMPUTED_VALUE"""),"Houston")</f>
        <v>Houston</v>
      </c>
      <c r="Z429" s="9" t="str">
        <f>IFERROR(__xludf.DUMMYFUNCTION("""COMPUTED_VALUE"""),"Lindale Park, Near Northside, Northside, Woodland Heights")</f>
        <v>Lindale Park, Near Northside, Northside, Woodland Heights</v>
      </c>
      <c r="AA429" s="9" t="str">
        <f>IFERROR(__xludf.DUMMYFUNCTION("""COMPUTED_VALUE"""),"Holy Name")</f>
        <v>Holy Name</v>
      </c>
      <c r="AB429" s="9" t="str">
        <f>IFERROR(__xludf.DUMMYFUNCTION("""COMPUTED_VALUE"""),"Northside")</f>
        <v>Northside</v>
      </c>
    </row>
    <row r="430" ht="30.0" customHeight="1">
      <c r="A430" s="17">
        <v>429.0</v>
      </c>
      <c r="B430" s="8" t="str">
        <f>IFERROR(__xludf.DUMMYFUNCTION("""COMPUTED_VALUE"""),"[""77002"", ""77004"", ""77021"", ""77033"", ""77054""]")</f>
        <v>["77002", "77004", "77021", "77033", "77054"]</v>
      </c>
      <c r="C430" s="9" t="str">
        <f>IFERROR(__xludf.DUMMYFUNCTION("""COMPUTED_VALUE"""),"Holy Rosary (SVdP D5)")</f>
        <v>Holy Rosary (SVdP D5)</v>
      </c>
      <c r="D430" s="9" t="str">
        <f>IFERROR(__xludf.DUMMYFUNCTION("""COMPUTED_VALUE"""),"3617 Milam Street")</f>
        <v>3617 Milam Street</v>
      </c>
      <c r="E430" s="9"/>
      <c r="F430" s="9" t="str">
        <f>IFERROR(__xludf.DUMMYFUNCTION("""COMPUTED_VALUE"""),"Houston")</f>
        <v>Houston</v>
      </c>
      <c r="G430" s="9" t="str">
        <f>IFERROR(__xludf.DUMMYFUNCTION("""COMPUTED_VALUE"""),"TX")</f>
        <v>TX</v>
      </c>
      <c r="H430" s="9" t="str">
        <f>IFERROR(__xludf.DUMMYFUNCTION("""COMPUTED_VALUE"""),"77002")</f>
        <v>77002</v>
      </c>
      <c r="I430" s="9" t="str">
        <f>IFERROR(__xludf.DUMMYFUNCTION("""COMPUTED_VALUE"""),"281-310-1925")</f>
        <v>281-310-1925</v>
      </c>
      <c r="J430" s="9" t="str">
        <f>IFERROR(__xludf.DUMMYFUNCTION("""COMPUTED_VALUE"""),"29.739544, -95.38062")</f>
        <v>29.739544, -95.38062</v>
      </c>
      <c r="K430" s="9" t="str">
        <f>IFERROR(__xludf.DUMMYFUNCTION("""COMPUTED_VALUE"""),"{""regular"":[{""days"":[""We"",""Th"",""Fr""],""open"":""09:00"",""close"":""12:00""}]}")</f>
        <v>{"regular":[{"days":["We","Th","Fr"],"open":"09:00","close":"12:00"}]}</v>
      </c>
      <c r="L430" s="9" t="str">
        <f>IFERROR(__xludf.DUMMYFUNCTION("""COMPUTED_VALUE"""),"Appointment required")</f>
        <v>Appointment required</v>
      </c>
      <c r="M430" s="10">
        <f>IFERROR(__xludf.DUMMYFUNCTION("""COMPUTED_VALUE"""),11.0)</f>
        <v>11</v>
      </c>
      <c r="N430" s="10" t="str">
        <f>IFERROR(__xludf.DUMMYFUNCTION("""COMPUTED_VALUE"""),"Rent")</f>
        <v>Rent</v>
      </c>
      <c r="O430" s="10">
        <f>IFERROR(__xludf.DUMMYFUNCTION("""COMPUTED_VALUE"""),1.0)</f>
        <v>1</v>
      </c>
      <c r="P430" s="10" t="str">
        <f>IFERROR(__xludf.DUMMYFUNCTION("""COMPUTED_VALUE"""),"ACTIVE")</f>
        <v>ACTIVE</v>
      </c>
      <c r="Q430" s="11">
        <f>IFERROR(__xludf.DUMMYFUNCTION("""COMPUTED_VALUE"""),46049.0)</f>
        <v>46049</v>
      </c>
      <c r="R430" s="9" t="str">
        <f>IFERROR(__xludf.DUMMYFUNCTION("""COMPUTED_VALUE"""),"Confirmed by Bill Pribyl")</f>
        <v>Confirmed by Bill Pribyl</v>
      </c>
      <c r="S430" s="9"/>
      <c r="T430" s="12" t="b">
        <f>IFERROR(__xludf.DUMMYFUNCTION("""COMPUTED_VALUE"""),FALSE)</f>
        <v>0</v>
      </c>
      <c r="U430" s="12" t="b">
        <f>IFERROR(__xludf.DUMMYFUNCTION("""COMPUTED_VALUE"""),FALSE)</f>
        <v>0</v>
      </c>
      <c r="V430" s="13" t="str">
        <f>IFERROR(__xludf.DUMMYFUNCTION("""COMPUTED_VALUE"""),"https://holyrosarycatholic.org/")</f>
        <v>https://holyrosarycatholic.org/</v>
      </c>
      <c r="W430" s="14" t="str">
        <f>IFERROR(__xludf.DUMMYFUNCTION("""COMPUTED_VALUE"""),"https://maps.google.com/?q=Holy%20Rosary%20(SVdP%20D5)%203617%20Milam%20St%20Houston%20TX%2077002")</f>
        <v>https://maps.google.com/?q=Holy%20Rosary%20(SVdP%20D5)%203617%20Milam%20St%20Houston%20TX%2077002</v>
      </c>
      <c r="X430" s="10"/>
      <c r="Y430" s="9" t="str">
        <f>IFERROR(__xludf.DUMMYFUNCTION("""COMPUTED_VALUE"""),"Houston")</f>
        <v>Houston</v>
      </c>
      <c r="Z430"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30" s="9" t="str">
        <f>IFERROR(__xludf.DUMMYFUNCTION("""COMPUTED_VALUE"""),"Society of St Vincent de Paul")</f>
        <v>Society of St Vincent de Paul</v>
      </c>
      <c r="AB430" s="9" t="str">
        <f>IFERROR(__xludf.DUMMYFUNCTION("""COMPUTED_VALUE"""),"South Central Houston")</f>
        <v>South Central Houston</v>
      </c>
    </row>
    <row r="431" ht="30.0" customHeight="1">
      <c r="A431" s="17">
        <v>430.0</v>
      </c>
      <c r="B431" s="8" t="str">
        <f>IFERROR(__xludf.DUMMYFUNCTION("""COMPUTED_VALUE"""),"[""77002"", ""77004"", ""77021"", ""77033"", ""77054""]")</f>
        <v>["77002", "77004", "77021", "77033", "77054"]</v>
      </c>
      <c r="C431" s="9" t="str">
        <f>IFERROR(__xludf.DUMMYFUNCTION("""COMPUTED_VALUE"""),"Holy Rosary (SVdP D5)")</f>
        <v>Holy Rosary (SVdP D5)</v>
      </c>
      <c r="D431" s="9" t="str">
        <f>IFERROR(__xludf.DUMMYFUNCTION("""COMPUTED_VALUE"""),"3617 Milam Street")</f>
        <v>3617 Milam Street</v>
      </c>
      <c r="E431" s="9"/>
      <c r="F431" s="9" t="str">
        <f>IFERROR(__xludf.DUMMYFUNCTION("""COMPUTED_VALUE"""),"Houston")</f>
        <v>Houston</v>
      </c>
      <c r="G431" s="9" t="str">
        <f>IFERROR(__xludf.DUMMYFUNCTION("""COMPUTED_VALUE"""),"TX")</f>
        <v>TX</v>
      </c>
      <c r="H431" s="9" t="str">
        <f>IFERROR(__xludf.DUMMYFUNCTION("""COMPUTED_VALUE"""),"77002")</f>
        <v>77002</v>
      </c>
      <c r="I431" s="9" t="str">
        <f>IFERROR(__xludf.DUMMYFUNCTION("""COMPUTED_VALUE"""),"281-310-1925")</f>
        <v>281-310-1925</v>
      </c>
      <c r="J431" s="9" t="str">
        <f>IFERROR(__xludf.DUMMYFUNCTION("""COMPUTED_VALUE"""),"29.739544, -95.38062")</f>
        <v>29.739544, -95.38062</v>
      </c>
      <c r="K431" s="9" t="str">
        <f>IFERROR(__xludf.DUMMYFUNCTION("""COMPUTED_VALUE"""),"{""regular"":[{""days"":[""We"",""Th"",""Fr""],""open"":""09:00"",""close"":""12:00""}]}")</f>
        <v>{"regular":[{"days":["We","Th","Fr"],"open":"09:00","close":"12:00"}]}</v>
      </c>
      <c r="L431" s="9"/>
      <c r="M431" s="10">
        <f>IFERROR(__xludf.DUMMYFUNCTION("""COMPUTED_VALUE"""),12.0)</f>
        <v>12</v>
      </c>
      <c r="N431" s="10" t="str">
        <f>IFERROR(__xludf.DUMMYFUNCTION("""COMPUTED_VALUE"""),"Utilities")</f>
        <v>Utilities</v>
      </c>
      <c r="O431" s="10">
        <f>IFERROR(__xludf.DUMMYFUNCTION("""COMPUTED_VALUE"""),1.0)</f>
        <v>1</v>
      </c>
      <c r="P431" s="10" t="str">
        <f>IFERROR(__xludf.DUMMYFUNCTION("""COMPUTED_VALUE"""),"ACTIVE")</f>
        <v>ACTIVE</v>
      </c>
      <c r="Q431" s="11">
        <f>IFERROR(__xludf.DUMMYFUNCTION("""COMPUTED_VALUE"""),46049.0)</f>
        <v>46049</v>
      </c>
      <c r="R431" s="9" t="str">
        <f>IFERROR(__xludf.DUMMYFUNCTION("""COMPUTED_VALUE"""),"Confirmed by Bill Pribyl")</f>
        <v>Confirmed by Bill Pribyl</v>
      </c>
      <c r="S431" s="9"/>
      <c r="T431" s="12" t="b">
        <f>IFERROR(__xludf.DUMMYFUNCTION("""COMPUTED_VALUE"""),FALSE)</f>
        <v>0</v>
      </c>
      <c r="U431" s="12" t="b">
        <f>IFERROR(__xludf.DUMMYFUNCTION("""COMPUTED_VALUE"""),FALSE)</f>
        <v>0</v>
      </c>
      <c r="V431" s="13" t="str">
        <f>IFERROR(__xludf.DUMMYFUNCTION("""COMPUTED_VALUE"""),"https://holyrosarycatholic.org/")</f>
        <v>https://holyrosarycatholic.org/</v>
      </c>
      <c r="W431" s="14" t="str">
        <f>IFERROR(__xludf.DUMMYFUNCTION("""COMPUTED_VALUE"""),"https://maps.google.com/?q=Holy%20Rosary%20(SVdP%20D5)%203617%20Milam%20St%20Houston%20TX%2077002")</f>
        <v>https://maps.google.com/?q=Holy%20Rosary%20(SVdP%20D5)%203617%20Milam%20St%20Houston%20TX%2077002</v>
      </c>
      <c r="X431" s="10"/>
      <c r="Y431" s="9" t="str">
        <f>IFERROR(__xludf.DUMMYFUNCTION("""COMPUTED_VALUE"""),"Houston")</f>
        <v>Houston</v>
      </c>
      <c r="Z431"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31" s="9" t="str">
        <f>IFERROR(__xludf.DUMMYFUNCTION("""COMPUTED_VALUE"""),"Society of St Vincent de Paul")</f>
        <v>Society of St Vincent de Paul</v>
      </c>
      <c r="AB431" s="9" t="str">
        <f>IFERROR(__xludf.DUMMYFUNCTION("""COMPUTED_VALUE"""),"South Central Houston")</f>
        <v>South Central Houston</v>
      </c>
    </row>
    <row r="432" ht="30.0" customHeight="1">
      <c r="A432" s="17">
        <v>431.0</v>
      </c>
      <c r="B432" s="8" t="str">
        <f>IFERROR(__xludf.DUMMYFUNCTION("""COMPUTED_VALUE"""),"[""77451"", ""77469"", ""77471"", ""77474""]")</f>
        <v>["77451", "77469", "77471", "77474"]</v>
      </c>
      <c r="C432" s="9" t="str">
        <f>IFERROR(__xludf.DUMMYFUNCTION("""COMPUTED_VALUE"""),"Holy Rosary (SVdP) Rosenberg")</f>
        <v>Holy Rosary (SVdP) Rosenberg</v>
      </c>
      <c r="D432" s="9" t="str">
        <f>IFERROR(__xludf.DUMMYFUNCTION("""COMPUTED_VALUE"""),"1416 George Street")</f>
        <v>1416 George Street</v>
      </c>
      <c r="E432" s="9"/>
      <c r="F432" s="9" t="str">
        <f>IFERROR(__xludf.DUMMYFUNCTION("""COMPUTED_VALUE"""),"Rosenberg")</f>
        <v>Rosenberg</v>
      </c>
      <c r="G432" s="9" t="str">
        <f>IFERROR(__xludf.DUMMYFUNCTION("""COMPUTED_VALUE"""),"TX")</f>
        <v>TX</v>
      </c>
      <c r="H432" s="9" t="str">
        <f>IFERROR(__xludf.DUMMYFUNCTION("""COMPUTED_VALUE"""),"77471")</f>
        <v>77471</v>
      </c>
      <c r="I432" s="9" t="str">
        <f>IFERROR(__xludf.DUMMYFUNCTION("""COMPUTED_VALUE"""),"281-342-3089")</f>
        <v>281-342-3089</v>
      </c>
      <c r="J432" s="9" t="str">
        <f>IFERROR(__xludf.DUMMYFUNCTION("""COMPUTED_VALUE"""),"29.5533036666667, -95.8164933333333")</f>
        <v>29.5533036666667, -95.8164933333333</v>
      </c>
      <c r="K432" s="9"/>
      <c r="L432" s="9"/>
      <c r="M432" s="10">
        <f>IFERROR(__xludf.DUMMYFUNCTION("""COMPUTED_VALUE"""),11.0)</f>
        <v>11</v>
      </c>
      <c r="N432" s="10" t="str">
        <f>IFERROR(__xludf.DUMMYFUNCTION("""COMPUTED_VALUE"""),"Rent")</f>
        <v>Rent</v>
      </c>
      <c r="O432" s="10">
        <f>IFERROR(__xludf.DUMMYFUNCTION("""COMPUTED_VALUE"""),1.0)</f>
        <v>1</v>
      </c>
      <c r="P432" s="10" t="str">
        <f>IFERROR(__xludf.DUMMYFUNCTION("""COMPUTED_VALUE"""),"ACTIVE")</f>
        <v>ACTIVE</v>
      </c>
      <c r="Q432" s="11"/>
      <c r="R432" s="9"/>
      <c r="S432" s="9"/>
      <c r="T432" s="12" t="b">
        <f>IFERROR(__xludf.DUMMYFUNCTION("""COMPUTED_VALUE"""),FALSE)</f>
        <v>0</v>
      </c>
      <c r="U432" s="12" t="b">
        <f>IFERROR(__xludf.DUMMYFUNCTION("""COMPUTED_VALUE"""),FALSE)</f>
        <v>0</v>
      </c>
      <c r="V432" s="13" t="str">
        <f>IFERROR(__xludf.DUMMYFUNCTION("""COMPUTED_VALUE"""),"https://www.hrccr.com/")</f>
        <v>https://www.hrccr.com/</v>
      </c>
      <c r="W432" s="14" t="str">
        <f>IFERROR(__xludf.DUMMYFUNCTION("""COMPUTED_VALUE"""),"https://maps.google.com/?q=Holy%20Rosary%20(SVdP)%20Rosenberg%201416%20George%20St%20Rosenberg%20TX%2077471")</f>
        <v>https://maps.google.com/?q=Holy%20Rosary%20(SVdP)%20Rosenberg%201416%20George%20St%20Rosenberg%20TX%2077471</v>
      </c>
      <c r="X432" s="10"/>
      <c r="Y432" s="9" t="str">
        <f>IFERROR(__xludf.DUMMYFUNCTION("""COMPUTED_VALUE"""),"Rosenberg")</f>
        <v>Rosenberg</v>
      </c>
      <c r="Z432" s="9" t="str">
        <f>IFERROR(__xludf.DUMMYFUNCTION("""COMPUTED_VALUE"""),"Allendale Manor, Rosenberg, Timberlane Addition")</f>
        <v>Allendale Manor, Rosenberg, Timberlane Addition</v>
      </c>
      <c r="AA432" s="9" t="str">
        <f>IFERROR(__xludf.DUMMYFUNCTION("""COMPUTED_VALUE"""),"Society of St Vincent de Paul")</f>
        <v>Society of St Vincent de Paul</v>
      </c>
      <c r="AB432" s="9" t="str">
        <f>IFERROR(__xludf.DUMMYFUNCTION("""COMPUTED_VALUE"""),"Allendale Manor")</f>
        <v>Allendale Manor</v>
      </c>
    </row>
    <row r="433" ht="30.0" customHeight="1">
      <c r="A433" s="17">
        <v>432.0</v>
      </c>
      <c r="B433" s="8" t="str">
        <f>IFERROR(__xludf.DUMMYFUNCTION("""COMPUTED_VALUE"""),"[""77451"", ""77469"", ""77471"", ""77474""]")</f>
        <v>["77451", "77469", "77471", "77474"]</v>
      </c>
      <c r="C433" s="9" t="str">
        <f>IFERROR(__xludf.DUMMYFUNCTION("""COMPUTED_VALUE"""),"Holy Rosary (SVdP) Rosenberg")</f>
        <v>Holy Rosary (SVdP) Rosenberg</v>
      </c>
      <c r="D433" s="9" t="str">
        <f>IFERROR(__xludf.DUMMYFUNCTION("""COMPUTED_VALUE"""),"1416 George Street")</f>
        <v>1416 George Street</v>
      </c>
      <c r="E433" s="9"/>
      <c r="F433" s="9" t="str">
        <f>IFERROR(__xludf.DUMMYFUNCTION("""COMPUTED_VALUE"""),"Rosenberg")</f>
        <v>Rosenberg</v>
      </c>
      <c r="G433" s="9" t="str">
        <f>IFERROR(__xludf.DUMMYFUNCTION("""COMPUTED_VALUE"""),"TX")</f>
        <v>TX</v>
      </c>
      <c r="H433" s="9" t="str">
        <f>IFERROR(__xludf.DUMMYFUNCTION("""COMPUTED_VALUE"""),"77471")</f>
        <v>77471</v>
      </c>
      <c r="I433" s="9" t="str">
        <f>IFERROR(__xludf.DUMMYFUNCTION("""COMPUTED_VALUE"""),"281-342-3089")</f>
        <v>281-342-3089</v>
      </c>
      <c r="J433" s="9" t="str">
        <f>IFERROR(__xludf.DUMMYFUNCTION("""COMPUTED_VALUE"""),"29.5533036666667, -95.8164933333333")</f>
        <v>29.5533036666667, -95.8164933333333</v>
      </c>
      <c r="K433" s="9"/>
      <c r="L433" s="9"/>
      <c r="M433" s="10">
        <f>IFERROR(__xludf.DUMMYFUNCTION("""COMPUTED_VALUE"""),12.0)</f>
        <v>12</v>
      </c>
      <c r="N433" s="10" t="str">
        <f>IFERROR(__xludf.DUMMYFUNCTION("""COMPUTED_VALUE"""),"Utilities")</f>
        <v>Utilities</v>
      </c>
      <c r="O433" s="10">
        <f>IFERROR(__xludf.DUMMYFUNCTION("""COMPUTED_VALUE"""),1.0)</f>
        <v>1</v>
      </c>
      <c r="P433" s="10" t="str">
        <f>IFERROR(__xludf.DUMMYFUNCTION("""COMPUTED_VALUE"""),"ACTIVE")</f>
        <v>ACTIVE</v>
      </c>
      <c r="Q433" s="11"/>
      <c r="R433" s="9"/>
      <c r="S433" s="9"/>
      <c r="T433" s="12" t="b">
        <f>IFERROR(__xludf.DUMMYFUNCTION("""COMPUTED_VALUE"""),FALSE)</f>
        <v>0</v>
      </c>
      <c r="U433" s="12" t="b">
        <f>IFERROR(__xludf.DUMMYFUNCTION("""COMPUTED_VALUE"""),FALSE)</f>
        <v>0</v>
      </c>
      <c r="V433" s="13" t="str">
        <f>IFERROR(__xludf.DUMMYFUNCTION("""COMPUTED_VALUE"""),"https://www.hrccr.com/")</f>
        <v>https://www.hrccr.com/</v>
      </c>
      <c r="W433" s="14" t="str">
        <f>IFERROR(__xludf.DUMMYFUNCTION("""COMPUTED_VALUE"""),"https://maps.google.com/?q=Holy%20Rosary%20(SVdP)%20Rosenberg%201416%20George%20St%20Rosenberg%20TX%2077471")</f>
        <v>https://maps.google.com/?q=Holy%20Rosary%20(SVdP)%20Rosenberg%201416%20George%20St%20Rosenberg%20TX%2077471</v>
      </c>
      <c r="X433" s="10"/>
      <c r="Y433" s="9" t="str">
        <f>IFERROR(__xludf.DUMMYFUNCTION("""COMPUTED_VALUE"""),"Rosenberg")</f>
        <v>Rosenberg</v>
      </c>
      <c r="Z433" s="9" t="str">
        <f>IFERROR(__xludf.DUMMYFUNCTION("""COMPUTED_VALUE"""),"Allendale Manor, Rosenberg, Timberlane Addition")</f>
        <v>Allendale Manor, Rosenberg, Timberlane Addition</v>
      </c>
      <c r="AA433" s="9" t="str">
        <f>IFERROR(__xludf.DUMMYFUNCTION("""COMPUTED_VALUE"""),"Society of St Vincent de Paul")</f>
        <v>Society of St Vincent de Paul</v>
      </c>
      <c r="AB433" s="9" t="str">
        <f>IFERROR(__xludf.DUMMYFUNCTION("""COMPUTED_VALUE"""),"Allendale Manor")</f>
        <v>Allendale Manor</v>
      </c>
    </row>
    <row r="434" ht="30.0" customHeight="1">
      <c r="A434" s="17">
        <v>433.0</v>
      </c>
      <c r="B434" s="8" t="str">
        <f>IFERROR(__xludf.DUMMYFUNCTION("""COMPUTED_VALUE"""),"[""77451"", ""77469"", ""77471"", ""77474""]")</f>
        <v>["77451", "77469", "77471", "77474"]</v>
      </c>
      <c r="C434" s="9" t="str">
        <f>IFERROR(__xludf.DUMMYFUNCTION("""COMPUTED_VALUE"""),"Holy Rosary (SVdP) Rosenberg")</f>
        <v>Holy Rosary (SVdP) Rosenberg</v>
      </c>
      <c r="D434" s="9" t="str">
        <f>IFERROR(__xludf.DUMMYFUNCTION("""COMPUTED_VALUE"""),"1416 George Street")</f>
        <v>1416 George Street</v>
      </c>
      <c r="E434" s="9"/>
      <c r="F434" s="9" t="str">
        <f>IFERROR(__xludf.DUMMYFUNCTION("""COMPUTED_VALUE"""),"Rosenberg")</f>
        <v>Rosenberg</v>
      </c>
      <c r="G434" s="9" t="str">
        <f>IFERROR(__xludf.DUMMYFUNCTION("""COMPUTED_VALUE"""),"TX")</f>
        <v>TX</v>
      </c>
      <c r="H434" s="9" t="str">
        <f>IFERROR(__xludf.DUMMYFUNCTION("""COMPUTED_VALUE"""),"77471")</f>
        <v>77471</v>
      </c>
      <c r="I434" s="9" t="str">
        <f>IFERROR(__xludf.DUMMYFUNCTION("""COMPUTED_VALUE"""),"281-342-3089")</f>
        <v>281-342-3089</v>
      </c>
      <c r="J434" s="9" t="str">
        <f>IFERROR(__xludf.DUMMYFUNCTION("""COMPUTED_VALUE"""),"29.5533036666667, -95.8164933333333")</f>
        <v>29.5533036666667, -95.8164933333333</v>
      </c>
      <c r="K434" s="9"/>
      <c r="L434" s="9"/>
      <c r="M434" s="10">
        <f>IFERROR(__xludf.DUMMYFUNCTION("""COMPUTED_VALUE"""),13.0)</f>
        <v>13</v>
      </c>
      <c r="N434" s="10" t="str">
        <f>IFERROR(__xludf.DUMMYFUNCTION("""COMPUTED_VALUE"""),"Food")</f>
        <v>Food</v>
      </c>
      <c r="O434" s="10">
        <f>IFERROR(__xludf.DUMMYFUNCTION("""COMPUTED_VALUE"""),1.0)</f>
        <v>1</v>
      </c>
      <c r="P434" s="10" t="str">
        <f>IFERROR(__xludf.DUMMYFUNCTION("""COMPUTED_VALUE"""),"ACTIVE")</f>
        <v>ACTIVE</v>
      </c>
      <c r="Q434" s="11"/>
      <c r="R434" s="9"/>
      <c r="S434" s="9"/>
      <c r="T434" s="12" t="b">
        <f>IFERROR(__xludf.DUMMYFUNCTION("""COMPUTED_VALUE"""),FALSE)</f>
        <v>0</v>
      </c>
      <c r="U434" s="12" t="b">
        <f>IFERROR(__xludf.DUMMYFUNCTION("""COMPUTED_VALUE"""),FALSE)</f>
        <v>0</v>
      </c>
      <c r="V434" s="13" t="str">
        <f>IFERROR(__xludf.DUMMYFUNCTION("""COMPUTED_VALUE"""),"https://www.hrccr.com/")</f>
        <v>https://www.hrccr.com/</v>
      </c>
      <c r="W434" s="14" t="str">
        <f>IFERROR(__xludf.DUMMYFUNCTION("""COMPUTED_VALUE"""),"https://maps.google.com/?q=Holy%20Rosary%20(SVdP)%20Rosenberg%201416%20George%20St%20Rosenberg%20TX%2077471")</f>
        <v>https://maps.google.com/?q=Holy%20Rosary%20(SVdP)%20Rosenberg%201416%20George%20St%20Rosenberg%20TX%2077471</v>
      </c>
      <c r="X434" s="10"/>
      <c r="Y434" s="9" t="str">
        <f>IFERROR(__xludf.DUMMYFUNCTION("""COMPUTED_VALUE"""),"Rosenberg")</f>
        <v>Rosenberg</v>
      </c>
      <c r="Z434" s="9" t="str">
        <f>IFERROR(__xludf.DUMMYFUNCTION("""COMPUTED_VALUE"""),"Allendale Manor, Rosenberg, Timberlane Addition")</f>
        <v>Allendale Manor, Rosenberg, Timberlane Addition</v>
      </c>
      <c r="AA434" s="9" t="str">
        <f>IFERROR(__xludf.DUMMYFUNCTION("""COMPUTED_VALUE"""),"Society of St Vincent de Paul")</f>
        <v>Society of St Vincent de Paul</v>
      </c>
      <c r="AB434" s="9" t="str">
        <f>IFERROR(__xludf.DUMMYFUNCTION("""COMPUTED_VALUE"""),"Allendale Manor")</f>
        <v>Allendale Manor</v>
      </c>
    </row>
    <row r="435" ht="30.0" customHeight="1">
      <c r="A435" s="17">
        <v>434.0</v>
      </c>
      <c r="B435" s="8" t="str">
        <f>IFERROR(__xludf.DUMMYFUNCTION("""COMPUTED_VALUE"""),"[""77451"", ""77469"", ""77471"", ""77474""]")</f>
        <v>["77451", "77469", "77471", "77474"]</v>
      </c>
      <c r="C435" s="9" t="str">
        <f>IFERROR(__xludf.DUMMYFUNCTION("""COMPUTED_VALUE"""),"Holy Rosary (SVdP) Rosenberg")</f>
        <v>Holy Rosary (SVdP) Rosenberg</v>
      </c>
      <c r="D435" s="9" t="str">
        <f>IFERROR(__xludf.DUMMYFUNCTION("""COMPUTED_VALUE"""),"1416 George Street")</f>
        <v>1416 George Street</v>
      </c>
      <c r="E435" s="9"/>
      <c r="F435" s="9" t="str">
        <f>IFERROR(__xludf.DUMMYFUNCTION("""COMPUTED_VALUE"""),"Rosenberg")</f>
        <v>Rosenberg</v>
      </c>
      <c r="G435" s="9" t="str">
        <f>IFERROR(__xludf.DUMMYFUNCTION("""COMPUTED_VALUE"""),"TX")</f>
        <v>TX</v>
      </c>
      <c r="H435" s="9" t="str">
        <f>IFERROR(__xludf.DUMMYFUNCTION("""COMPUTED_VALUE"""),"77471")</f>
        <v>77471</v>
      </c>
      <c r="I435" s="9" t="str">
        <f>IFERROR(__xludf.DUMMYFUNCTION("""COMPUTED_VALUE"""),"281-342-3089")</f>
        <v>281-342-3089</v>
      </c>
      <c r="J435" s="9" t="str">
        <f>IFERROR(__xludf.DUMMYFUNCTION("""COMPUTED_VALUE"""),"29.5533036666667, -95.8164933333333")</f>
        <v>29.5533036666667, -95.8164933333333</v>
      </c>
      <c r="K435" s="9"/>
      <c r="L435" s="9"/>
      <c r="M435" s="10">
        <f>IFERROR(__xludf.DUMMYFUNCTION("""COMPUTED_VALUE"""),14.0)</f>
        <v>14</v>
      </c>
      <c r="N435" s="10" t="str">
        <f>IFERROR(__xludf.DUMMYFUNCTION("""COMPUTED_VALUE"""),"Clothing")</f>
        <v>Clothing</v>
      </c>
      <c r="O435" s="10">
        <f>IFERROR(__xludf.DUMMYFUNCTION("""COMPUTED_VALUE"""),1.0)</f>
        <v>1</v>
      </c>
      <c r="P435" s="10" t="str">
        <f>IFERROR(__xludf.DUMMYFUNCTION("""COMPUTED_VALUE"""),"ACTIVE")</f>
        <v>ACTIVE</v>
      </c>
      <c r="Q435" s="11"/>
      <c r="R435" s="9"/>
      <c r="S435" s="9"/>
      <c r="T435" s="12" t="b">
        <f>IFERROR(__xludf.DUMMYFUNCTION("""COMPUTED_VALUE"""),FALSE)</f>
        <v>0</v>
      </c>
      <c r="U435" s="12" t="b">
        <f>IFERROR(__xludf.DUMMYFUNCTION("""COMPUTED_VALUE"""),FALSE)</f>
        <v>0</v>
      </c>
      <c r="V435" s="13" t="str">
        <f>IFERROR(__xludf.DUMMYFUNCTION("""COMPUTED_VALUE"""),"https://www.hrccr.com/")</f>
        <v>https://www.hrccr.com/</v>
      </c>
      <c r="W435" s="14" t="str">
        <f>IFERROR(__xludf.DUMMYFUNCTION("""COMPUTED_VALUE"""),"https://maps.google.com/?q=Holy%20Rosary%20(SVdP)%20Rosenberg%201416%20George%20St%20Rosenberg%20TX%2077471")</f>
        <v>https://maps.google.com/?q=Holy%20Rosary%20(SVdP)%20Rosenberg%201416%20George%20St%20Rosenberg%20TX%2077471</v>
      </c>
      <c r="X435" s="10"/>
      <c r="Y435" s="9" t="str">
        <f>IFERROR(__xludf.DUMMYFUNCTION("""COMPUTED_VALUE"""),"Rosenberg")</f>
        <v>Rosenberg</v>
      </c>
      <c r="Z435" s="9" t="str">
        <f>IFERROR(__xludf.DUMMYFUNCTION("""COMPUTED_VALUE"""),"Allendale Manor, Rosenberg, Timberlane Addition")</f>
        <v>Allendale Manor, Rosenberg, Timberlane Addition</v>
      </c>
      <c r="AA435" s="9" t="str">
        <f>IFERROR(__xludf.DUMMYFUNCTION("""COMPUTED_VALUE"""),"Society of St Vincent de Paul")</f>
        <v>Society of St Vincent de Paul</v>
      </c>
      <c r="AB435" s="9" t="str">
        <f>IFERROR(__xludf.DUMMYFUNCTION("""COMPUTED_VALUE"""),"Allendale Manor")</f>
        <v>Allendale Manor</v>
      </c>
    </row>
    <row r="436" ht="30.0" customHeight="1">
      <c r="A436" s="17">
        <v>435.0</v>
      </c>
      <c r="B436" s="8" t="str">
        <f>IFERROR(__xludf.DUMMYFUNCTION("""COMPUTED_VALUE"""),"[""99999""]")</f>
        <v>["99999"]</v>
      </c>
      <c r="C436" s="9" t="str">
        <f>IFERROR(__xludf.DUMMYFUNCTION("""COMPUTED_VALUE"""),"Hope Center Houston")</f>
        <v>Hope Center Houston</v>
      </c>
      <c r="D436" s="9" t="str">
        <f>IFERROR(__xludf.DUMMYFUNCTION("""COMPUTED_VALUE"""),"821 Peakwood Drive")</f>
        <v>821 Peakwood Drive</v>
      </c>
      <c r="E436" s="9"/>
      <c r="F436" s="9" t="str">
        <f>IFERROR(__xludf.DUMMYFUNCTION("""COMPUTED_VALUE"""),"Houston")</f>
        <v>Houston</v>
      </c>
      <c r="G436" s="9" t="str">
        <f>IFERROR(__xludf.DUMMYFUNCTION("""COMPUTED_VALUE"""),"TX")</f>
        <v>TX</v>
      </c>
      <c r="H436" s="9" t="str">
        <f>IFERROR(__xludf.DUMMYFUNCTION("""COMPUTED_VALUE"""),"77090")</f>
        <v>77090</v>
      </c>
      <c r="I436" s="9" t="str">
        <f>IFERROR(__xludf.DUMMYFUNCTION("""COMPUTED_VALUE"""),"832-965-5511")</f>
        <v>832-965-5511</v>
      </c>
      <c r="J436" s="9" t="str">
        <f>IFERROR(__xludf.DUMMYFUNCTION("""COMPUTED_VALUE"""),"30.020626131202985, -95.44542203934162")</f>
        <v>30.020626131202985, -95.44542203934162</v>
      </c>
      <c r="K436" s="9" t="str">
        <f>IFERROR(__xludf.DUMMYFUNCTION("""COMPUTED_VALUE"""),"{""regular"":[{""days"":[""Mo"",""Tu"",""We"",""Th"",""Fr""],""open"":""09:00"",""close"":null}]}")</f>
        <v>{"regular":[{"days":["Mo","Tu","We","Th","Fr"],"open":"09:00","close":null}]}</v>
      </c>
      <c r="L436" s="9"/>
      <c r="M436" s="10">
        <f>IFERROR(__xludf.DUMMYFUNCTION("""COMPUTED_VALUE"""),22.0)</f>
        <v>22</v>
      </c>
      <c r="N436" s="10" t="str">
        <f>IFERROR(__xludf.DUMMYFUNCTION("""COMPUTED_VALUE"""),"Homeless - Day Centers")</f>
        <v>Homeless - Day Centers</v>
      </c>
      <c r="O436" s="10">
        <f>IFERROR(__xludf.DUMMYFUNCTION("""COMPUTED_VALUE"""),1.0)</f>
        <v>1</v>
      </c>
      <c r="P436" s="10" t="str">
        <f>IFERROR(__xludf.DUMMYFUNCTION("""COMPUTED_VALUE"""),"ACTIVE")</f>
        <v>ACTIVE</v>
      </c>
      <c r="Q436" s="11">
        <f>IFERROR(__xludf.DUMMYFUNCTION("""COMPUTED_VALUE"""),46049.0)</f>
        <v>46049</v>
      </c>
      <c r="R436" s="9" t="str">
        <f>IFERROR(__xludf.DUMMYFUNCTION("""COMPUTED_VALUE"""),"Verified online")</f>
        <v>Verified online</v>
      </c>
      <c r="S436" s="9" t="str">
        <f>IFERROR(__xludf.DUMMYFUNCTION("""COMPUTED_VALUE"""),"Coalition for the Homeless (CFTH) Partner/Rapid Rehousing
Hair grooming for both men and women.  Service days dependent on volunteer availability.
Food services every weekday starting at 9 a.m.
Medical and Dental care.  Dental service days dependent on vo"&amp;"lunteer availability.
Laundry, clothing, shower, computer access, job skills training, substance abuse counseling and life skills classes.
Case management")</f>
        <v>Coalition for the Homeless (CFTH) Partner/Rapid Rehousing
Hair grooming for both men and women.  Service days dependent on volunteer availability.
Food services every weekday starting at 9 a.m.
Medical and Dental care.  Dental service days dependent on volunteer availability.
Laundry, clothing, shower, computer access, job skills training, substance abuse counseling and life skills classes.
Case management</v>
      </c>
      <c r="T436" s="12" t="b">
        <f>IFERROR(__xludf.DUMMYFUNCTION("""COMPUTED_VALUE"""),FALSE)</f>
        <v>0</v>
      </c>
      <c r="U436" s="12" t="b">
        <f>IFERROR(__xludf.DUMMYFUNCTION("""COMPUTED_VALUE"""),FALSE)</f>
        <v>0</v>
      </c>
      <c r="V436" s="13" t="str">
        <f>IFERROR(__xludf.DUMMYFUNCTION("""COMPUTED_VALUE"""),"https://hopecenterhouston.org")</f>
        <v>https://hopecenterhouston.org</v>
      </c>
      <c r="W436" s="14" t="str">
        <f>IFERROR(__xludf.DUMMYFUNCTION("""COMPUTED_VALUE"""),"https://www.google.com/maps/place/Hope+Center+Houston/@30.020301,-95.4478682,16z/data=!3m1!4b1!4m6!3m5!1s0x8640cbeeb92e2717:0x6ab75b25672d0f50!8m2!3d30.0202964!4d-95.4452933!16s%2Fg%2F11fmsbvtfm?entry=ttu&amp;g_ep=EgoyMDI1MDgyNC4wIKXMDSoASAFQAw%3D%3D")</f>
        <v>https://www.google.com/maps/place/Hope+Center+Houston/@30.020301,-95.4478682,16z/data=!3m1!4b1!4m6!3m5!1s0x8640cbeeb92e2717:0x6ab75b25672d0f50!8m2!3d30.0202964!4d-95.4452933!16s%2Fg%2F11fmsbvtfm?entry=ttu&amp;g_ep=EgoyMDI1MDgyNC4wIKXMDSoASAFQAw%3D%3D</v>
      </c>
      <c r="X436" s="10"/>
      <c r="Y436" s="9" t="str">
        <f>IFERROR(__xludf.DUMMYFUNCTION("""COMPUTED_VALUE"""),"Houston")</f>
        <v>Houston</v>
      </c>
      <c r="Z436" s="9" t="str">
        <f>IFERROR(__xludf.DUMMYFUNCTION("""COMPUTED_VALUE"""),"Cypress Station, Ella Crossing, Westador")</f>
        <v>Cypress Station, Ella Crossing, Westador</v>
      </c>
      <c r="AA436" s="9" t="str">
        <f>IFERROR(__xludf.DUMMYFUNCTION("""COMPUTED_VALUE"""),"Hope Center Houston")</f>
        <v>Hope Center Houston</v>
      </c>
      <c r="AB436" s="9" t="str">
        <f>IFERROR(__xludf.DUMMYFUNCTION("""COMPUTED_VALUE"""),"Westador")</f>
        <v>Westador</v>
      </c>
    </row>
    <row r="437" ht="30.0" customHeight="1">
      <c r="A437" s="17">
        <v>436.0</v>
      </c>
      <c r="B437" s="8" t="str">
        <f>IFERROR(__xludf.DUMMYFUNCTION("""COMPUTED_VALUE"""),"[""99999""]")</f>
        <v>["99999"]</v>
      </c>
      <c r="C437" s="9" t="str">
        <f>IFERROR(__xludf.DUMMYFUNCTION("""COMPUTED_VALUE"""),"Hope Center Houston")</f>
        <v>Hope Center Houston</v>
      </c>
      <c r="D437" s="9" t="str">
        <f>IFERROR(__xludf.DUMMYFUNCTION("""COMPUTED_VALUE"""),"821 Peakwood Drive")</f>
        <v>821 Peakwood Drive</v>
      </c>
      <c r="E437" s="9"/>
      <c r="F437" s="9" t="str">
        <f>IFERROR(__xludf.DUMMYFUNCTION("""COMPUTED_VALUE"""),"Houston")</f>
        <v>Houston</v>
      </c>
      <c r="G437" s="9" t="str">
        <f>IFERROR(__xludf.DUMMYFUNCTION("""COMPUTED_VALUE"""),"TX")</f>
        <v>TX</v>
      </c>
      <c r="H437" s="9" t="str">
        <f>IFERROR(__xludf.DUMMYFUNCTION("""COMPUTED_VALUE"""),"77090")</f>
        <v>77090</v>
      </c>
      <c r="I437" s="9" t="str">
        <f>IFERROR(__xludf.DUMMYFUNCTION("""COMPUTED_VALUE"""),"832-965-5511")</f>
        <v>832-965-5511</v>
      </c>
      <c r="J437" s="9" t="str">
        <f>IFERROR(__xludf.DUMMYFUNCTION("""COMPUTED_VALUE"""),"30.020626131202985, -95.44542203934162")</f>
        <v>30.020626131202985, -95.44542203934162</v>
      </c>
      <c r="K437" s="9" t="str">
        <f>IFERROR(__xludf.DUMMYFUNCTION("""COMPUTED_VALUE"""),"{""regular"":[{""days"":[""Mo"",""Tu"",""We"",""Th"",""Fr""],""open"":""09:00"",""close"":null}]}")</f>
        <v>{"regular":[{"days":["Mo","Tu","We","Th","Fr"],"open":"09:00","close":null}]}</v>
      </c>
      <c r="L437" s="9"/>
      <c r="M437" s="10">
        <f>IFERROR(__xludf.DUMMYFUNCTION("""COMPUTED_VALUE"""),32.0)</f>
        <v>32</v>
      </c>
      <c r="N437" s="10" t="str">
        <f>IFERROR(__xludf.DUMMYFUNCTION("""COMPUTED_VALUE"""),"Medical - Dental &amp; Vision")</f>
        <v>Medical - Dental &amp; Vision</v>
      </c>
      <c r="O437" s="10">
        <f>IFERROR(__xludf.DUMMYFUNCTION("""COMPUTED_VALUE"""),1.0)</f>
        <v>1</v>
      </c>
      <c r="P437" s="10" t="str">
        <f>IFERROR(__xludf.DUMMYFUNCTION("""COMPUTED_VALUE"""),"ACTIVE")</f>
        <v>ACTIVE</v>
      </c>
      <c r="Q437" s="11">
        <f>IFERROR(__xludf.DUMMYFUNCTION("""COMPUTED_VALUE"""),46049.0)</f>
        <v>46049</v>
      </c>
      <c r="R437" s="9" t="str">
        <f>IFERROR(__xludf.DUMMYFUNCTION("""COMPUTED_VALUE"""),"Verified online")</f>
        <v>Verified online</v>
      </c>
      <c r="S437" s="9" t="str">
        <f>IFERROR(__xludf.DUMMYFUNCTION("""COMPUTED_VALUE"""),"Dental
Include basic dental exams, cleanings, extractions, pain relief treatment and oral hygiene education
Dental services are on site and are free but scheduled based on volunteer availability.
Laundry, clothing, shower, computer access, job skills trai"&amp;"ning, substance abuse counseling and life skills classes.
Case management")</f>
        <v>Dental
Include basic dental exams, cleanings, extractions, pain relief treatment and oral hygiene education
Dental services are on site and are free but scheduled based on volunteer availability.
Laundry, clothing, shower, computer access, job skills training, substance abuse counseling and life skills classes.
Case management</v>
      </c>
      <c r="T437" s="12" t="b">
        <f>IFERROR(__xludf.DUMMYFUNCTION("""COMPUTED_VALUE"""),TRUE)</f>
        <v>1</v>
      </c>
      <c r="U437" s="12" t="b">
        <f>IFERROR(__xludf.DUMMYFUNCTION("""COMPUTED_VALUE"""),FALSE)</f>
        <v>0</v>
      </c>
      <c r="V437" s="13" t="str">
        <f>IFERROR(__xludf.DUMMYFUNCTION("""COMPUTED_VALUE"""),"https://hopecenterhouston.org")</f>
        <v>https://hopecenterhouston.org</v>
      </c>
      <c r="W437" s="14" t="str">
        <f>IFERROR(__xludf.DUMMYFUNCTION("""COMPUTED_VALUE"""),"https://www.google.com/maps/place/Hope+Center+Houston/@30.020301,-95.4478682,16z/data=!3m1!4b1!4m6!3m5!1s0x8640cbeeb92e2717:0x6ab75b25672d0f50!8m2!3d30.0202964!4d-95.4452933!16s%2Fg%2F11fmsbvtfm?entry=ttu&amp;g_ep=EgoyMDI1MDgyNC4wIKXMDSoASAFQAw%3D%3D")</f>
        <v>https://www.google.com/maps/place/Hope+Center+Houston/@30.020301,-95.4478682,16z/data=!3m1!4b1!4m6!3m5!1s0x8640cbeeb92e2717:0x6ab75b25672d0f50!8m2!3d30.0202964!4d-95.4452933!16s%2Fg%2F11fmsbvtfm?entry=ttu&amp;g_ep=EgoyMDI1MDgyNC4wIKXMDSoASAFQAw%3D%3D</v>
      </c>
      <c r="X437" s="10"/>
      <c r="Y437" s="9" t="str">
        <f>IFERROR(__xludf.DUMMYFUNCTION("""COMPUTED_VALUE"""),"Houston")</f>
        <v>Houston</v>
      </c>
      <c r="Z437" s="9" t="str">
        <f>IFERROR(__xludf.DUMMYFUNCTION("""COMPUTED_VALUE"""),"Cypress Station, Ella Crossing, Westador")</f>
        <v>Cypress Station, Ella Crossing, Westador</v>
      </c>
      <c r="AA437" s="9" t="str">
        <f>IFERROR(__xludf.DUMMYFUNCTION("""COMPUTED_VALUE"""),"Hope Center Houston")</f>
        <v>Hope Center Houston</v>
      </c>
      <c r="AB437" s="9" t="str">
        <f>IFERROR(__xludf.DUMMYFUNCTION("""COMPUTED_VALUE"""),"Westador")</f>
        <v>Westador</v>
      </c>
    </row>
    <row r="438" ht="30.0" customHeight="1">
      <c r="A438" s="17">
        <v>437.0</v>
      </c>
      <c r="B438" s="8" t="str">
        <f>IFERROR(__xludf.DUMMYFUNCTION("""COMPUTED_VALUE"""),"[""99999""]")</f>
        <v>["99999"]</v>
      </c>
      <c r="C438" s="9" t="str">
        <f>IFERROR(__xludf.DUMMYFUNCTION("""COMPUTED_VALUE"""),"Hope Clinic")</f>
        <v>Hope Clinic</v>
      </c>
      <c r="D438" s="9" t="str">
        <f>IFERROR(__xludf.DUMMYFUNCTION("""COMPUTED_VALUE"""),"7001 Corporate Drive")</f>
        <v>7001 Corporate Drive</v>
      </c>
      <c r="E438" s="9" t="str">
        <f>IFERROR(__xludf.DUMMYFUNCTION("""COMPUTED_VALUE"""),"Suite 120")</f>
        <v>Suite 120</v>
      </c>
      <c r="F438" s="9" t="str">
        <f>IFERROR(__xludf.DUMMYFUNCTION("""COMPUTED_VALUE"""),"Houston")</f>
        <v>Houston</v>
      </c>
      <c r="G438" s="9" t="str">
        <f>IFERROR(__xludf.DUMMYFUNCTION("""COMPUTED_VALUE"""),"TX")</f>
        <v>TX</v>
      </c>
      <c r="H438" s="9" t="str">
        <f>IFERROR(__xludf.DUMMYFUNCTION("""COMPUTED_VALUE"""),"77036")</f>
        <v>77036</v>
      </c>
      <c r="I438" s="9" t="str">
        <f>IFERROR(__xludf.DUMMYFUNCTION("""COMPUTED_VALUE"""),"713-773-0803")</f>
        <v>713-773-0803</v>
      </c>
      <c r="J438" s="9" t="str">
        <f>IFERROR(__xludf.DUMMYFUNCTION("""COMPUTED_VALUE"""),"29.7035738460518, -95.5514724942076")</f>
        <v>29.7035738460518, -95.5514724942076</v>
      </c>
      <c r="K438" s="9"/>
      <c r="L438" s="9"/>
      <c r="M438" s="10">
        <f>IFERROR(__xludf.DUMMYFUNCTION("""COMPUTED_VALUE"""),31.0)</f>
        <v>31</v>
      </c>
      <c r="N438" s="10" t="str">
        <f>IFERROR(__xludf.DUMMYFUNCTION("""COMPUTED_VALUE"""),"Medical - Primary Care")</f>
        <v>Medical - Primary Care</v>
      </c>
      <c r="O438" s="10">
        <f>IFERROR(__xludf.DUMMYFUNCTION("""COMPUTED_VALUE"""),1.0)</f>
        <v>1</v>
      </c>
      <c r="P438" s="10" t="str">
        <f>IFERROR(__xludf.DUMMYFUNCTION("""COMPUTED_VALUE"""),"ACTIVE")</f>
        <v>ACTIVE</v>
      </c>
      <c r="Q438" s="11"/>
      <c r="R438" s="9"/>
      <c r="S438" s="9" t="str">
        <f>IFERROR(__xludf.DUMMYFUNCTION("""COMPUTED_VALUE"""),"Adult and pediatric care, immunizations, acute care, sports physicals, OB/GYN, lab services and pharmacy.
Services provided on a sliding fee program based on income and family size.")</f>
        <v>Adult and pediatric care, immunizations, acute care, sports physicals, OB/GYN, lab services and pharmacy.
Services provided on a sliding fee program based on income and family size.</v>
      </c>
      <c r="T438" s="12" t="b">
        <f>IFERROR(__xludf.DUMMYFUNCTION("""COMPUTED_VALUE"""),FALSE)</f>
        <v>0</v>
      </c>
      <c r="U438" s="12" t="b">
        <f>IFERROR(__xludf.DUMMYFUNCTION("""COMPUTED_VALUE"""),FALSE)</f>
        <v>0</v>
      </c>
      <c r="V438" s="13" t="str">
        <f>IFERROR(__xludf.DUMMYFUNCTION("""COMPUTED_VALUE"""),"https://www.hopechc.org")</f>
        <v>https://www.hopechc.org</v>
      </c>
      <c r="W438" s="14" t="str">
        <f>IFERROR(__xludf.DUMMYFUNCTION("""COMPUTED_VALUE"""),"https://www.google.com/maps/place/HOPE+Clinic+-+Beltway+Community+Health+Center/@29.7035525,-95.5512733,20z/data=!3m1!5s0x8640c2c58ca782cb:0x8aae34b9a9d73043!4m15!1m8!3m7!1s0x8640c2c58bec4cdd:0xaea5906366cf41d7!2s7001+Corporate+Dr+Ste+120,+Houston,+TX+770"&amp;"36!3b1!8m2!3d29.7035479!4d-95.5509514!16s%2Fg%2F11sz0nw470!3m5!1s0x8640c2c586648f23:0xdef51eca17fff8e0!8m2!3d29.7035756!4d-95.5511289!16s%2Fg%2F1td1dt0j?entry=ttu&amp;g_ep=EgoyMDI0MDkxNi4wIKXMDSoASAFQAw%3D%3D")</f>
        <v>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v>
      </c>
      <c r="X438" s="10"/>
      <c r="Y438" s="9" t="str">
        <f>IFERROR(__xludf.DUMMYFUNCTION("""COMPUTED_VALUE"""),"Houston")</f>
        <v>Houston</v>
      </c>
      <c r="Z438" s="9" t="str">
        <f>IFERROR(__xludf.DUMMYFUNCTION("""COMPUTED_VALUE"""),"Chinatown, Sharpstown, Westside")</f>
        <v>Chinatown, Sharpstown, Westside</v>
      </c>
      <c r="AA438" s="9" t="str">
        <f>IFERROR(__xludf.DUMMYFUNCTION("""COMPUTED_VALUE"""),"Hope Clinic")</f>
        <v>Hope Clinic</v>
      </c>
      <c r="AB438" s="9" t="str">
        <f>IFERROR(__xludf.DUMMYFUNCTION("""COMPUTED_VALUE"""),"Chinatown")</f>
        <v>Chinatown</v>
      </c>
    </row>
    <row r="439" ht="30.0" customHeight="1">
      <c r="A439" s="17">
        <v>438.0</v>
      </c>
      <c r="B439" s="8" t="str">
        <f>IFERROR(__xludf.DUMMYFUNCTION("""COMPUTED_VALUE"""),"[""99999""]")</f>
        <v>["99999"]</v>
      </c>
      <c r="C439" s="9" t="str">
        <f>IFERROR(__xludf.DUMMYFUNCTION("""COMPUTED_VALUE"""),"Hope Clinic")</f>
        <v>Hope Clinic</v>
      </c>
      <c r="D439" s="9" t="str">
        <f>IFERROR(__xludf.DUMMYFUNCTION("""COMPUTED_VALUE"""),"7001 Corporate Drive")</f>
        <v>7001 Corporate Drive</v>
      </c>
      <c r="E439" s="9" t="str">
        <f>IFERROR(__xludf.DUMMYFUNCTION("""COMPUTED_VALUE"""),"Suite 120")</f>
        <v>Suite 120</v>
      </c>
      <c r="F439" s="9" t="str">
        <f>IFERROR(__xludf.DUMMYFUNCTION("""COMPUTED_VALUE"""),"Houston")</f>
        <v>Houston</v>
      </c>
      <c r="G439" s="9" t="str">
        <f>IFERROR(__xludf.DUMMYFUNCTION("""COMPUTED_VALUE"""),"TX")</f>
        <v>TX</v>
      </c>
      <c r="H439" s="9" t="str">
        <f>IFERROR(__xludf.DUMMYFUNCTION("""COMPUTED_VALUE"""),"77036")</f>
        <v>77036</v>
      </c>
      <c r="I439" s="9" t="str">
        <f>IFERROR(__xludf.DUMMYFUNCTION("""COMPUTED_VALUE"""),"713-773-0803")</f>
        <v>713-773-0803</v>
      </c>
      <c r="J439" s="9" t="str">
        <f>IFERROR(__xludf.DUMMYFUNCTION("""COMPUTED_VALUE"""),"29.7035738460518, -95.5514724942076")</f>
        <v>29.7035738460518, -95.5514724942076</v>
      </c>
      <c r="K439" s="9"/>
      <c r="L439" s="9"/>
      <c r="M439" s="10">
        <f>IFERROR(__xludf.DUMMYFUNCTION("""COMPUTED_VALUE"""),32.0)</f>
        <v>32</v>
      </c>
      <c r="N439" s="10" t="str">
        <f>IFERROR(__xludf.DUMMYFUNCTION("""COMPUTED_VALUE"""),"Medical - Dental &amp; Vision")</f>
        <v>Medical - Dental &amp; Vision</v>
      </c>
      <c r="O439" s="10">
        <f>IFERROR(__xludf.DUMMYFUNCTION("""COMPUTED_VALUE"""),1.0)</f>
        <v>1</v>
      </c>
      <c r="P439" s="10" t="str">
        <f>IFERROR(__xludf.DUMMYFUNCTION("""COMPUTED_VALUE"""),"ACTIVE")</f>
        <v>ACTIVE</v>
      </c>
      <c r="Q439" s="11"/>
      <c r="R439" s="9"/>
      <c r="S439" s="9" t="str">
        <f>IFERROR(__xludf.DUMMYFUNCTION("""COMPUTED_VALUE"""),"Dental &amp; Vision
Dental services include cleanings, fillings, extractions and oral health education.
Vision care includes eye exams, eyeglasses, contact lenses, treatment of uveitis and infections, foreign body removal and preventive care.
Services provide"&amp;"d on a sliding fee program based on income and family size.")</f>
        <v>Dental &amp; Vision
Dental services include cleanings, fillings, extractions and oral health education.
Vision care includes eye exams, eyeglasses, contact lenses, treatment of uveitis and infections, foreign body removal and preventive care.
Services provided on a sliding fee program based on income and family size.</v>
      </c>
      <c r="T439" s="12" t="b">
        <f>IFERROR(__xludf.DUMMYFUNCTION("""COMPUTED_VALUE"""),TRUE)</f>
        <v>1</v>
      </c>
      <c r="U439" s="12" t="b">
        <f>IFERROR(__xludf.DUMMYFUNCTION("""COMPUTED_VALUE"""),FALSE)</f>
        <v>0</v>
      </c>
      <c r="V439" s="13" t="str">
        <f>IFERROR(__xludf.DUMMYFUNCTION("""COMPUTED_VALUE"""),"https://www.hopechc.org")</f>
        <v>https://www.hopechc.org</v>
      </c>
      <c r="W439" s="14" t="str">
        <f>IFERROR(__xludf.DUMMYFUNCTION("""COMPUTED_VALUE"""),"https://www.google.com/maps/place/HOPE+Clinic+-+Beltway+Community+Health+Center/@29.7035525,-95.5512733,20z/data=!3m1!5s0x8640c2c58ca782cb:0x8aae34b9a9d73043!4m15!1m8!3m7!1s0x8640c2c58bec4cdd:0xaea5906366cf41d7!2s7001+Corporate+Dr+Ste+120,+Houston,+TX+770"&amp;"36!3b1!8m2!3d29.7035479!4d-95.5509514!16s%2Fg%2F11sz0nw470!3m5!1s0x8640c2c586648f23:0xdef51eca17fff8e0!8m2!3d29.7035756!4d-95.5511289!16s%2Fg%2F1td1dt0j?entry=ttu&amp;g_ep=EgoyMDI0MDkxNi4wIKXMDSoASAFQAw%3D%3D")</f>
        <v>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v>
      </c>
      <c r="X439" s="10"/>
      <c r="Y439" s="9" t="str">
        <f>IFERROR(__xludf.DUMMYFUNCTION("""COMPUTED_VALUE"""),"Houston")</f>
        <v>Houston</v>
      </c>
      <c r="Z439" s="9" t="str">
        <f>IFERROR(__xludf.DUMMYFUNCTION("""COMPUTED_VALUE"""),"Chinatown, Sharpstown, Westside")</f>
        <v>Chinatown, Sharpstown, Westside</v>
      </c>
      <c r="AA439" s="9" t="str">
        <f>IFERROR(__xludf.DUMMYFUNCTION("""COMPUTED_VALUE"""),"Hope Clinic")</f>
        <v>Hope Clinic</v>
      </c>
      <c r="AB439" s="9" t="str">
        <f>IFERROR(__xludf.DUMMYFUNCTION("""COMPUTED_VALUE"""),"Chinatown")</f>
        <v>Chinatown</v>
      </c>
    </row>
    <row r="440" ht="30.0" customHeight="1">
      <c r="A440" s="17">
        <v>439.0</v>
      </c>
      <c r="B440" s="8" t="str">
        <f>IFERROR(__xludf.DUMMYFUNCTION("""COMPUTED_VALUE"""),"[""99999""]")</f>
        <v>["99999"]</v>
      </c>
      <c r="C440" s="9" t="str">
        <f>IFERROR(__xludf.DUMMYFUNCTION("""COMPUTED_VALUE"""),"Hope Clinic")</f>
        <v>Hope Clinic</v>
      </c>
      <c r="D440" s="9" t="str">
        <f>IFERROR(__xludf.DUMMYFUNCTION("""COMPUTED_VALUE"""),"7001 Corporate Drive")</f>
        <v>7001 Corporate Drive</v>
      </c>
      <c r="E440" s="9" t="str">
        <f>IFERROR(__xludf.DUMMYFUNCTION("""COMPUTED_VALUE"""),"Suite 120")</f>
        <v>Suite 120</v>
      </c>
      <c r="F440" s="9" t="str">
        <f>IFERROR(__xludf.DUMMYFUNCTION("""COMPUTED_VALUE"""),"Houston")</f>
        <v>Houston</v>
      </c>
      <c r="G440" s="9" t="str">
        <f>IFERROR(__xludf.DUMMYFUNCTION("""COMPUTED_VALUE"""),"TX")</f>
        <v>TX</v>
      </c>
      <c r="H440" s="9" t="str">
        <f>IFERROR(__xludf.DUMMYFUNCTION("""COMPUTED_VALUE"""),"77036")</f>
        <v>77036</v>
      </c>
      <c r="I440" s="9" t="str">
        <f>IFERROR(__xludf.DUMMYFUNCTION("""COMPUTED_VALUE"""),"713-773-0803")</f>
        <v>713-773-0803</v>
      </c>
      <c r="J440" s="9" t="str">
        <f>IFERROR(__xludf.DUMMYFUNCTION("""COMPUTED_VALUE"""),"29.7035738460518, -95.5514724942076")</f>
        <v>29.7035738460518, -95.5514724942076</v>
      </c>
      <c r="K440" s="9"/>
      <c r="L440" s="9"/>
      <c r="M440" s="10">
        <f>IFERROR(__xludf.DUMMYFUNCTION("""COMPUTED_VALUE"""),33.0)</f>
        <v>33</v>
      </c>
      <c r="N440" s="10" t="str">
        <f>IFERROR(__xludf.DUMMYFUNCTION("""COMPUTED_VALUE"""),"Medical - Behavioral Health")</f>
        <v>Medical - Behavioral Health</v>
      </c>
      <c r="O440" s="10">
        <f>IFERROR(__xludf.DUMMYFUNCTION("""COMPUTED_VALUE"""),1.0)</f>
        <v>1</v>
      </c>
      <c r="P440" s="10" t="str">
        <f>IFERROR(__xludf.DUMMYFUNCTION("""COMPUTED_VALUE"""),"ACTIVE")</f>
        <v>ACTIVE</v>
      </c>
      <c r="Q440" s="11"/>
      <c r="R440" s="9"/>
      <c r="S440" s="9" t="str">
        <f>IFERROR(__xludf.DUMMYFUNCTION("""COMPUTED_VALUE"""),"Treatment and management by medication and counselling services.
Medication management, eating disorders and individual and family therapy.
Services provided on a sliding fee program based on income and family size.")</f>
        <v>Treatment and management by medication and counselling services.
Medication management, eating disorders and individual and family therapy.
Services provided on a sliding fee program based on income and family size.</v>
      </c>
      <c r="T440" s="12" t="b">
        <f>IFERROR(__xludf.DUMMYFUNCTION("""COMPUTED_VALUE"""),FALSE)</f>
        <v>0</v>
      </c>
      <c r="U440" s="12" t="b">
        <f>IFERROR(__xludf.DUMMYFUNCTION("""COMPUTED_VALUE"""),FALSE)</f>
        <v>0</v>
      </c>
      <c r="V440" s="13" t="str">
        <f>IFERROR(__xludf.DUMMYFUNCTION("""COMPUTED_VALUE"""),"https://www.hopechc.org")</f>
        <v>https://www.hopechc.org</v>
      </c>
      <c r="W440" s="14" t="str">
        <f>IFERROR(__xludf.DUMMYFUNCTION("""COMPUTED_VALUE"""),"https://www.google.com/maps/place/HOPE+Clinic+-+Beltway+Community+Health+Center/@29.7035525,-95.5512733,20z/data=!3m1!5s0x8640c2c58ca782cb:0x8aae34b9a9d73043!4m15!1m8!3m7!1s0x8640c2c58bec4cdd:0xaea5906366cf41d7!2s7001+Corporate+Dr+Ste+120,+Houston,+TX+770"&amp;"36!3b1!8m2!3d29.7035479!4d-95.5509514!16s%2Fg%2F11sz0nw470!3m5!1s0x8640c2c586648f23:0xdef51eca17fff8e0!8m2!3d29.7035756!4d-95.5511289!16s%2Fg%2F1td1dt0j?entry=ttu&amp;g_ep=EgoyMDI0MDkxNi4wIKXMDSoASAFQAw%3D%3D")</f>
        <v>https://www.google.com/maps/place/HOPE+Clinic+-+Beltway+Community+Health+Center/@29.7035525,-95.5512733,20z/data=!3m1!5s0x8640c2c58ca782cb:0x8aae34b9a9d73043!4m15!1m8!3m7!1s0x8640c2c58bec4cdd:0xaea5906366cf41d7!2s7001+Corporate+Dr+Ste+120,+Houston,+TX+77036!3b1!8m2!3d29.7035479!4d-95.5509514!16s%2Fg%2F11sz0nw470!3m5!1s0x8640c2c586648f23:0xdef51eca17fff8e0!8m2!3d29.7035756!4d-95.5511289!16s%2Fg%2F1td1dt0j?entry=ttu&amp;g_ep=EgoyMDI0MDkxNi4wIKXMDSoASAFQAw%3D%3D</v>
      </c>
      <c r="X440" s="10"/>
      <c r="Y440" s="9" t="str">
        <f>IFERROR(__xludf.DUMMYFUNCTION("""COMPUTED_VALUE"""),"Houston")</f>
        <v>Houston</v>
      </c>
      <c r="Z440" s="9" t="str">
        <f>IFERROR(__xludf.DUMMYFUNCTION("""COMPUTED_VALUE"""),"Chinatown, Sharpstown, Westside")</f>
        <v>Chinatown, Sharpstown, Westside</v>
      </c>
      <c r="AA440" s="9" t="str">
        <f>IFERROR(__xludf.DUMMYFUNCTION("""COMPUTED_VALUE"""),"Hope Clinic")</f>
        <v>Hope Clinic</v>
      </c>
      <c r="AB440" s="9" t="str">
        <f>IFERROR(__xludf.DUMMYFUNCTION("""COMPUTED_VALUE"""),"Chinatown")</f>
        <v>Chinatown</v>
      </c>
    </row>
    <row r="441" ht="30.0" customHeight="1">
      <c r="A441" s="17">
        <v>440.0</v>
      </c>
      <c r="B441" s="8" t="str">
        <f>IFERROR(__xludf.DUMMYFUNCTION("""COMPUTED_VALUE"""),"[""99999""]")</f>
        <v>["99999"]</v>
      </c>
      <c r="C441" s="9" t="str">
        <f>IFERROR(__xludf.DUMMYFUNCTION("""COMPUTED_VALUE"""),"Hope for the Warriors")</f>
        <v>Hope for the Warriors</v>
      </c>
      <c r="D441" s="9" t="str">
        <f>IFERROR(__xludf.DUMMYFUNCTION("""COMPUTED_VALUE"""),"2929 McKinney St")</f>
        <v>2929 McKinney St</v>
      </c>
      <c r="E441" s="9"/>
      <c r="F441" s="9" t="str">
        <f>IFERROR(__xludf.DUMMYFUNCTION("""COMPUTED_VALUE"""),"Houston")</f>
        <v>Houston</v>
      </c>
      <c r="G441" s="9" t="str">
        <f>IFERROR(__xludf.DUMMYFUNCTION("""COMPUTED_VALUE"""),"TX")</f>
        <v>TX</v>
      </c>
      <c r="H441" s="9" t="str">
        <f>IFERROR(__xludf.DUMMYFUNCTION("""COMPUTED_VALUE"""),"77003")</f>
        <v>77003</v>
      </c>
      <c r="I441" s="9"/>
      <c r="J441" s="9" t="str">
        <f>IFERROR(__xludf.DUMMYFUNCTION("""COMPUTED_VALUE"""),"29.747357684092666, -95.34822367680545")</f>
        <v>29.747357684092666, -95.34822367680545</v>
      </c>
      <c r="K441" s="9" t="str">
        <f>IFERROR(__xludf.DUMMYFUNCTION("""COMPUTED_VALUE"""),"{""regular"":[{""days"":[""Mo"",""Tu"",""We"",""Th"",""Fr""],""open"":""09:00"",""close"":""17:00""}]}")</f>
        <v>{"regular":[{"days":["Mo","Tu","We","Th","Fr"],"open":"09:00","close":"17:00"}]}</v>
      </c>
      <c r="L441" s="9" t="str">
        <f>IFERROR(__xludf.DUMMYFUNCTION("""COMPUTED_VALUE"""),"Apply online")</f>
        <v>Apply online</v>
      </c>
      <c r="M441" s="10">
        <f>IFERROR(__xludf.DUMMYFUNCTION("""COMPUTED_VALUE"""),56.0)</f>
        <v>56</v>
      </c>
      <c r="N441" s="10" t="str">
        <f>IFERROR(__xludf.DUMMYFUNCTION("""COMPUTED_VALUE"""),"Veterans")</f>
        <v>Veterans</v>
      </c>
      <c r="O441" s="10">
        <f>IFERROR(__xludf.DUMMYFUNCTION("""COMPUTED_VALUE"""),3.0)</f>
        <v>3</v>
      </c>
      <c r="P441" s="10" t="str">
        <f>IFERROR(__xludf.DUMMYFUNCTION("""COMPUTED_VALUE"""),"INACTIVE")</f>
        <v>INACTIVE</v>
      </c>
      <c r="Q441" s="11">
        <f>IFERROR(__xludf.DUMMYFUNCTION("""COMPUTED_VALUE"""),46070.0)</f>
        <v>46070</v>
      </c>
      <c r="R441" s="9" t="str">
        <f>IFERROR(__xludf.DUMMYFUNCTION("""COMPUTED_VALUE"""),"Verified online.  No response to email")</f>
        <v>Verified online.  No response to email</v>
      </c>
      <c r="S441" s="9" t="str">
        <f>IFERROR(__xludf.DUMMYFUNCTION("""COMPUTED_VALUE"""),"Financial Assistance with rent, mortgage and utilities.
Funded by the Texas Veterans Commission.  
UNCLEAR FROM WEBSITE WHAT THE REQUIREMENTS ARE OR HOW TO APPLY FOR ASSISTANCE.  SET TO INACTIVE UNTIL CLARIFICATION RECEIVED FROM ORGANIZATION.")</f>
        <v>Financial Assistance with rent, mortgage and utilities.
Funded by the Texas Veterans Commission.  
UNCLEAR FROM WEBSITE WHAT THE REQUIREMENTS ARE OR HOW TO APPLY FOR ASSISTANCE.  SET TO INACTIVE UNTIL CLARIFICATION RECEIVED FROM ORGANIZATION.</v>
      </c>
      <c r="T441" s="12" t="b">
        <f>IFERROR(__xludf.DUMMYFUNCTION("""COMPUTED_VALUE"""),FALSE)</f>
        <v>0</v>
      </c>
      <c r="U441" s="12" t="b">
        <f>IFERROR(__xludf.DUMMYFUNCTION("""COMPUTED_VALUE"""),FALSE)</f>
        <v>0</v>
      </c>
      <c r="V441" s="13" t="str">
        <f>IFERROR(__xludf.DUMMYFUNCTION("""COMPUTED_VALUE"""),"https://www.hopeforthewarriors.org/programs-and-services/connect-to-services/")</f>
        <v>https://www.hopeforthewarriors.org/programs-and-services/connect-to-services/</v>
      </c>
      <c r="W441" s="14" t="str">
        <f>IFERROR(__xludf.DUMMYFUNCTION("""COMPUTED_VALUE"""),"https://www.google.com/maps/place/2929+McKinney+St,+Houston,+TX+77003/@29.7471389,-95.3530624,17z/data=!3m1!4b1!4m6!3m5!1s0x8640bee1187d8e33:0x7670df80b23deb44!8m2!3d29.7471343!4d-95.3481915!16s%2Fg%2F11pw3k0tsn?entry=ttu&amp;g_ep=EgoyMDI2MDIxMS4wIKXMDSoASAFQ"&amp;"Aw%3D%3D")</f>
        <v>https://www.google.com/maps/place/2929+McKinney+St,+Houston,+TX+77003/@29.7471389,-95.3530624,17z/data=!3m1!4b1!4m6!3m5!1s0x8640bee1187d8e33:0x7670df80b23deb44!8m2!3d29.7471343!4d-95.3481915!16s%2Fg%2F11pw3k0tsn?entry=ttu&amp;g_ep=EgoyMDI2MDIxMS4wIKXMDSoASAFQAw%3D%3D</v>
      </c>
      <c r="X441" s="10"/>
      <c r="Y441" s="9" t="str">
        <f>IFERROR(__xludf.DUMMYFUNCTION("""COMPUTED_VALUE"""),"Houston")</f>
        <v>Houston</v>
      </c>
      <c r="Z441" s="9" t="str">
        <f>IFERROR(__xludf.DUMMYFUNCTION("""COMPUTED_VALUE"""),"East Downtown, Downtown Houston, Second Ward, South Central Houston, South Side")</f>
        <v>East Downtown, Downtown Houston, Second Ward, South Central Houston, South Side</v>
      </c>
      <c r="AA441" s="9" t="str">
        <f>IFERROR(__xludf.DUMMYFUNCTION("""COMPUTED_VALUE"""),"Hope for the Warriors")</f>
        <v>Hope for the Warriors</v>
      </c>
      <c r="AB441" s="9" t="str">
        <f>IFERROR(__xludf.DUMMYFUNCTION("""COMPUTED_VALUE"""),"Downtown Houston")</f>
        <v>Downtown Houston</v>
      </c>
    </row>
    <row r="442" ht="30.0" customHeight="1">
      <c r="A442" s="17">
        <v>441.0</v>
      </c>
      <c r="B442" s="8" t="str">
        <f>IFERROR(__xludf.DUMMYFUNCTION("""COMPUTED_VALUE"""),"[""99999""]")</f>
        <v>["99999"]</v>
      </c>
      <c r="C442" s="9" t="str">
        <f>IFERROR(__xludf.DUMMYFUNCTION("""COMPUTED_VALUE"""),"Hospitality Apartments")</f>
        <v>Hospitality Apartments</v>
      </c>
      <c r="D442" s="9" t="str">
        <f>IFERROR(__xludf.DUMMYFUNCTION("""COMPUTED_VALUE"""),"7300 Bertner Avenue")</f>
        <v>7300 Bertner Avenue</v>
      </c>
      <c r="E442" s="9"/>
      <c r="F442" s="9" t="str">
        <f>IFERROR(__xludf.DUMMYFUNCTION("""COMPUTED_VALUE"""),"Houston")</f>
        <v>Houston</v>
      </c>
      <c r="G442" s="9" t="str">
        <f>IFERROR(__xludf.DUMMYFUNCTION("""COMPUTED_VALUE"""),"TX")</f>
        <v>TX</v>
      </c>
      <c r="H442" s="9" t="str">
        <f>IFERROR(__xludf.DUMMYFUNCTION("""COMPUTED_VALUE"""),"77030")</f>
        <v>77030</v>
      </c>
      <c r="I442" s="9" t="str">
        <f>IFERROR(__xludf.DUMMYFUNCTION("""COMPUTED_VALUE"""),"713-790-9120")</f>
        <v>713-790-9120</v>
      </c>
      <c r="J442" s="9" t="str">
        <f>IFERROR(__xludf.DUMMYFUNCTION("""COMPUTED_VALUE"""),"29.697862445872833, -95.39905656617317")</f>
        <v>29.697862445872833, -95.39905656617317</v>
      </c>
      <c r="K442" s="9" t="str">
        <f>IFERROR(__xludf.DUMMYFUNCTION("""COMPUTED_VALUE"""),"{""regular"":[{""days"":[""Mo"",""Tu"",""We"",""Th"",""Fr""],""open"":""09:00"",""close"":""17:00""}]}")</f>
        <v>{"regular":[{"days":["Mo","Tu","We","Th","Fr"],"open":"09:00","close":"17:00"}]}</v>
      </c>
      <c r="L442" s="9" t="str">
        <f>IFERROR(__xludf.DUMMYFUNCTION("""COMPUTED_VALUE"""),"Call to be placed on the waiting list.")</f>
        <v>Call to be placed on the waiting list.</v>
      </c>
      <c r="M442" s="10">
        <f>IFERROR(__xludf.DUMMYFUNCTION("""COMPUTED_VALUE"""),37.0)</f>
        <v>37</v>
      </c>
      <c r="N442" s="10" t="str">
        <f>IFERROR(__xludf.DUMMYFUNCTION("""COMPUTED_VALUE"""),"Medical - Housing")</f>
        <v>Medical - Housing</v>
      </c>
      <c r="O442" s="10">
        <f>IFERROR(__xludf.DUMMYFUNCTION("""COMPUTED_VALUE"""),1.0)</f>
        <v>1</v>
      </c>
      <c r="P442" s="10" t="str">
        <f>IFERROR(__xludf.DUMMYFUNCTION("""COMPUTED_VALUE"""),"ACTIVE")</f>
        <v>ACTIVE</v>
      </c>
      <c r="Q442" s="11">
        <f>IFERROR(__xludf.DUMMYFUNCTION("""COMPUTED_VALUE"""),46036.0)</f>
        <v>46036</v>
      </c>
      <c r="R442" s="9" t="str">
        <f>IFERROR(__xludf.DUMMYFUNCTION("""COMPUTED_VALUE"""),"Verified online")</f>
        <v>Verified online</v>
      </c>
      <c r="S442" s="9" t="str">
        <f>IFERROR(__xludf.DUMMYFUNCTION("""COMPUTED_VALUE"""),"Rent-free temporary housing for patients receiving medical treatment at the Texas Medical Center and their caregivers.
There is a waiting list that runs two to three months.
Medical housing")</f>
        <v>Rent-free temporary housing for patients receiving medical treatment at the Texas Medical Center and their caregivers.
There is a waiting list that runs two to three months.
Medical housing</v>
      </c>
      <c r="T442" s="12" t="b">
        <f>IFERROR(__xludf.DUMMYFUNCTION("""COMPUTED_VALUE"""),FALSE)</f>
        <v>0</v>
      </c>
      <c r="U442" s="12" t="b">
        <f>IFERROR(__xludf.DUMMYFUNCTION("""COMPUTED_VALUE"""),FALSE)</f>
        <v>0</v>
      </c>
      <c r="V442" s="13" t="str">
        <f>IFERROR(__xludf.DUMMYFUNCTION("""COMPUTED_VALUE"""),"https://www.hospitalityapartments.org/guests/request")</f>
        <v>https://www.hospitalityapartments.org/guests/request</v>
      </c>
      <c r="W442" s="14" t="str">
        <f>IFERROR(__xludf.DUMMYFUNCTION("""COMPUTED_VALUE"""),"https://www.google.com/maps/place/Hospitality+Apartments/@29.6974711,-95.4039597,16z/data=!3m1!4b1!4m6!3m5!1s0x8640c00bf709ff5b:0xf165d7005246adb6!8m2!3d29.6974712!4d-95.3990834!16s%2Fg%2F1vp6_kjw?entry=ttu&amp;g_ep=EgoyMDI2MDExMS4wIKXMDSoKLDEwMDc5MjA2OUgBUAM"&amp;"%3D")</f>
        <v>https://www.google.com/maps/place/Hospitality+Apartments/@29.6974711,-95.4039597,16z/data=!3m1!4b1!4m6!3m5!1s0x8640c00bf709ff5b:0xf165d7005246adb6!8m2!3d29.6974712!4d-95.3990834!16s%2Fg%2F1vp6_kjw?entry=ttu&amp;g_ep=EgoyMDI2MDExMS4wIKXMDSoKLDEwMDc5MjA2OUgBUAM%3D</v>
      </c>
      <c r="X442" s="10"/>
      <c r="Y442" s="9" t="str">
        <f>IFERROR(__xludf.DUMMYFUNCTION("""COMPUTED_VALUE"""),"Houston")</f>
        <v>Houston</v>
      </c>
      <c r="Z442" s="9" t="str">
        <f>IFERROR(__xludf.DUMMYFUNCTION("""COMPUTED_VALUE"""),"Central Southwest, Houston Museum District, South Central Houston, Southgate, Texas Medical Center")</f>
        <v>Central Southwest, Houston Museum District, South Central Houston, Southgate, Texas Medical Center</v>
      </c>
      <c r="AA442" s="9" t="str">
        <f>IFERROR(__xludf.DUMMYFUNCTION("""COMPUTED_VALUE"""),"Hospitality Apartments")</f>
        <v>Hospitality Apartments</v>
      </c>
      <c r="AB442" s="9" t="str">
        <f>IFERROR(__xludf.DUMMYFUNCTION("""COMPUTED_VALUE"""),"Texas Medical Center")</f>
        <v>Texas Medical Center</v>
      </c>
    </row>
    <row r="443" ht="30.0" customHeight="1">
      <c r="A443" s="17">
        <v>442.0</v>
      </c>
      <c r="B443" s="8" t="str">
        <f>IFERROR(__xludf.DUMMYFUNCTION("""COMPUTED_VALUE"""),"[""77036"", ""77042"", ""77072"", ""77082"", ""77099""]")</f>
        <v>["77036", "77042", "77072", "77082", "77099"]</v>
      </c>
      <c r="C443" s="9" t="str">
        <f>IFERROR(__xludf.DUMMYFUNCTION("""COMPUTED_VALUE"""),"House of Amos")</f>
        <v>House of Amos</v>
      </c>
      <c r="D443" s="9" t="str">
        <f>IFERROR(__xludf.DUMMYFUNCTION("""COMPUTED_VALUE"""),"11169 Beechnut Street")</f>
        <v>11169 Beechnut Street</v>
      </c>
      <c r="E443" s="9" t="str">
        <f>IFERROR(__xludf.DUMMYFUNCTION("""COMPUTED_VALUE"""),"Suite G")</f>
        <v>Suite G</v>
      </c>
      <c r="F443" s="9" t="str">
        <f>IFERROR(__xludf.DUMMYFUNCTION("""COMPUTED_VALUE"""),"Houston")</f>
        <v>Houston</v>
      </c>
      <c r="G443" s="9" t="str">
        <f>IFERROR(__xludf.DUMMYFUNCTION("""COMPUTED_VALUE"""),"TX")</f>
        <v>TX</v>
      </c>
      <c r="H443" s="9" t="str">
        <f>IFERROR(__xludf.DUMMYFUNCTION("""COMPUTED_VALUE"""),"77072")</f>
        <v>77072</v>
      </c>
      <c r="I443" s="9" t="str">
        <f>IFERROR(__xludf.DUMMYFUNCTION("""COMPUTED_VALUE"""),"832-977-1208")</f>
        <v>832-977-1208</v>
      </c>
      <c r="J443" s="9" t="str">
        <f>IFERROR(__xludf.DUMMYFUNCTION("""COMPUTED_VALUE"""),"29.6879664857647, -95.5740879653597")</f>
        <v>29.6879664857647, -95.5740879653597</v>
      </c>
      <c r="K443" s="9"/>
      <c r="L443" s="9" t="str">
        <f>IFERROR(__xludf.DUMMYFUNCTION("""COMPUTED_VALUE"""),"Apply online")</f>
        <v>Apply online</v>
      </c>
      <c r="M443" s="10">
        <f>IFERROR(__xludf.DUMMYFUNCTION("""COMPUTED_VALUE"""),11.0)</f>
        <v>11</v>
      </c>
      <c r="N443" s="10" t="str">
        <f>IFERROR(__xludf.DUMMYFUNCTION("""COMPUTED_VALUE"""),"Rent")</f>
        <v>Rent</v>
      </c>
      <c r="O443" s="10">
        <f>IFERROR(__xludf.DUMMYFUNCTION("""COMPUTED_VALUE"""),1.0)</f>
        <v>1</v>
      </c>
      <c r="P443" s="10" t="str">
        <f>IFERROR(__xludf.DUMMYFUNCTION("""COMPUTED_VALUE"""),"ACTIVE")</f>
        <v>ACTIVE</v>
      </c>
      <c r="Q443" s="11">
        <f>IFERROR(__xludf.DUMMYFUNCTION("""COMPUTED_VALUE"""),46052.0)</f>
        <v>46052</v>
      </c>
      <c r="R443" s="9" t="str">
        <f>IFERROR(__xludf.DUMMYFUNCTION("""COMPUTED_VALUE"""),"Verified online")</f>
        <v>Verified online</v>
      </c>
      <c r="S443" s="9" t="str">
        <f>IFERROR(__xludf.DUMMYFUNCTION("""COMPUTED_VALUE"""),"Sudden and significant loss of income, i.e. recent loss of job or cut in hours. Long term unemployment or fixed income is not considered sudden and significant loss of income.
Must have children under the age of 15 living at home. Their names must be on t"&amp;"he lease.
Amount owed does not exceed $1,000. No partial payment, i.e. if total owed cannot be greater than $1,000 even if the difference is going to be made up elsewhere.
Funds budgeted on a monthly basis. Call to make sure funds are available.
Complete "&amp;"online application.
Copy of the lease agreement with all residents on the lease.
Proof of children's ages.
Detailed rental account ledger with at least six months of activity if you have lived there for longer than six months and all activity if less than"&amp;" six months.
Proof of sudden and significant loss of income.
Photo ID.
Financial assistance is once per 12 month period.")</f>
        <v>Sudden and significant loss of income, i.e. recent loss of job or cut in hours. Long term unemployment or fixed income is not considered sudden and significant loss of income.
Must have children under the age of 15 living at home. Their names must be on the lease.
Amount owed does not exceed $1,000. No partial payment, i.e. if total owed cannot be greater than $1,000 even if the difference is going to be made up elsewhere.
Funds budgeted on a monthly basis. Call to make sure funds are available.
Complete online application.
Copy of the lease agreement with all residents on the lease.
Proof of children's ages.
Detailed rental account ledger with at least six months of activity if you have lived there for longer than six months and all activity if less than six months.
Proof of sudden and significant loss of income.
Photo ID.
Financial assistance is once per 12 month period.</v>
      </c>
      <c r="T443" s="12" t="b">
        <f>IFERROR(__xludf.DUMMYFUNCTION("""COMPUTED_VALUE"""),FALSE)</f>
        <v>0</v>
      </c>
      <c r="U443" s="12" t="b">
        <f>IFERROR(__xludf.DUMMYFUNCTION("""COMPUTED_VALUE"""),FALSE)</f>
        <v>0</v>
      </c>
      <c r="V443" s="13" t="str">
        <f>IFERROR(__xludf.DUMMYFUNCTION("""COMPUTED_VALUE"""),"https://www.houseofamos.org/")</f>
        <v>https://www.houseofamos.org/</v>
      </c>
      <c r="W443" s="14" t="str">
        <f>IFERROR(__xludf.DUMMYFUNCTION("""COMPUTED_VALUE"""),"https://maps.google.com/?q=House%20of%20Amos%2011169%20Beechnut%20St%2C%20Suite%20G%20Houston%20TX%2077072")</f>
        <v>https://maps.google.com/?q=House%20of%20Amos%2011169%20Beechnut%20St%2C%20Suite%20G%20Houston%20TX%2077072</v>
      </c>
      <c r="X443" s="10"/>
      <c r="Y443" s="9" t="str">
        <f>IFERROR(__xludf.DUMMYFUNCTION("""COMPUTED_VALUE"""),"Houston")</f>
        <v>Houston</v>
      </c>
      <c r="Z443" s="9" t="str">
        <f>IFERROR(__xludf.DUMMYFUNCTION("""COMPUTED_VALUE"""),"Alief")</f>
        <v>Alief</v>
      </c>
      <c r="AA443" s="9" t="str">
        <f>IFERROR(__xludf.DUMMYFUNCTION("""COMPUTED_VALUE"""),"House of Amos")</f>
        <v>House of Amos</v>
      </c>
      <c r="AB443" s="9" t="str">
        <f>IFERROR(__xludf.DUMMYFUNCTION("""COMPUTED_VALUE"""),"Alief")</f>
        <v>Alief</v>
      </c>
    </row>
    <row r="444" ht="30.0" customHeight="1">
      <c r="A444" s="17">
        <v>443.0</v>
      </c>
      <c r="B444" s="8" t="str">
        <f>IFERROR(__xludf.DUMMYFUNCTION("""COMPUTED_VALUE"""),"[""77036"", ""77042"", ""77072"", ""77082"", ""77099""]")</f>
        <v>["77036", "77042", "77072", "77082", "77099"]</v>
      </c>
      <c r="C444" s="9" t="str">
        <f>IFERROR(__xludf.DUMMYFUNCTION("""COMPUTED_VALUE"""),"House of Amos")</f>
        <v>House of Amos</v>
      </c>
      <c r="D444" s="9" t="str">
        <f>IFERROR(__xludf.DUMMYFUNCTION("""COMPUTED_VALUE"""),"11169 Beechnut Street")</f>
        <v>11169 Beechnut Street</v>
      </c>
      <c r="E444" s="9" t="str">
        <f>IFERROR(__xludf.DUMMYFUNCTION("""COMPUTED_VALUE"""),"Suite G")</f>
        <v>Suite G</v>
      </c>
      <c r="F444" s="9" t="str">
        <f>IFERROR(__xludf.DUMMYFUNCTION("""COMPUTED_VALUE"""),"Houston")</f>
        <v>Houston</v>
      </c>
      <c r="G444" s="9" t="str">
        <f>IFERROR(__xludf.DUMMYFUNCTION("""COMPUTED_VALUE"""),"TX")</f>
        <v>TX</v>
      </c>
      <c r="H444" s="9" t="str">
        <f>IFERROR(__xludf.DUMMYFUNCTION("""COMPUTED_VALUE"""),"77072")</f>
        <v>77072</v>
      </c>
      <c r="I444" s="9" t="str">
        <f>IFERROR(__xludf.DUMMYFUNCTION("""COMPUTED_VALUE"""),"832-977-1208")</f>
        <v>832-977-1208</v>
      </c>
      <c r="J444" s="9" t="str">
        <f>IFERROR(__xludf.DUMMYFUNCTION("""COMPUTED_VALUE"""),"29.6879664857647, -95.5740879653597")</f>
        <v>29.6879664857647, -95.5740879653597</v>
      </c>
      <c r="K444" s="9"/>
      <c r="L444" s="9" t="str">
        <f>IFERROR(__xludf.DUMMYFUNCTION("""COMPUTED_VALUE"""),"Apply online")</f>
        <v>Apply online</v>
      </c>
      <c r="M444" s="10">
        <f>IFERROR(__xludf.DUMMYFUNCTION("""COMPUTED_VALUE"""),12.0)</f>
        <v>12</v>
      </c>
      <c r="N444" s="10" t="str">
        <f>IFERROR(__xludf.DUMMYFUNCTION("""COMPUTED_VALUE"""),"Utilities")</f>
        <v>Utilities</v>
      </c>
      <c r="O444" s="10">
        <f>IFERROR(__xludf.DUMMYFUNCTION("""COMPUTED_VALUE"""),1.0)</f>
        <v>1</v>
      </c>
      <c r="P444" s="10" t="str">
        <f>IFERROR(__xludf.DUMMYFUNCTION("""COMPUTED_VALUE"""),"ACTIVE")</f>
        <v>ACTIVE</v>
      </c>
      <c r="Q444" s="11">
        <f>IFERROR(__xludf.DUMMYFUNCTION("""COMPUTED_VALUE"""),46052.0)</f>
        <v>46052</v>
      </c>
      <c r="R444" s="9" t="str">
        <f>IFERROR(__xludf.DUMMYFUNCTION("""COMPUTED_VALUE"""),"Verified online")</f>
        <v>Verified online</v>
      </c>
      <c r="S444" s="9" t="str">
        <f>IFERROR(__xludf.DUMMYFUNCTION("""COMPUTED_VALUE"""),"Sudden and significant loss of income, i.e. recent loss of job or cut in hours. Long term unemployment or fixed income is not considered sudden and significant loss of income.
Must have children under the age of 15 living at home. Their names must be on t"&amp;"he lease.
Amount owed does not exceed $1,000. No partial payment, i.e. if total owed cannot be greater than $1,000 even if the difference is going to be made up elsewhere.
Funds budgeted on a monthly basis. Call to make sure funds are available.
Complete "&amp;"online application.
Current copy of utility bill.
Proof of children's ages.
Proof of sudden and significant loss of income.
Photo ID.
Financial assistance is once per 12 month period.")</f>
        <v>Sudden and significant loss of income, i.e. recent loss of job or cut in hours. Long term unemployment or fixed income is not considered sudden and significant loss of income.
Must have children under the age of 15 living at home. Their names must be on the lease.
Amount owed does not exceed $1,000. No partial payment, i.e. if total owed cannot be greater than $1,000 even if the difference is going to be made up elsewhere.
Funds budgeted on a monthly basis. Call to make sure funds are available.
Complete online application.
Current copy of utility bill.
Proof of children's ages.
Proof of sudden and significant loss of income.
Photo ID.
Financial assistance is once per 12 month period.</v>
      </c>
      <c r="T444" s="12" t="b">
        <f>IFERROR(__xludf.DUMMYFUNCTION("""COMPUTED_VALUE"""),FALSE)</f>
        <v>0</v>
      </c>
      <c r="U444" s="12" t="b">
        <f>IFERROR(__xludf.DUMMYFUNCTION("""COMPUTED_VALUE"""),FALSE)</f>
        <v>0</v>
      </c>
      <c r="V444" s="13" t="str">
        <f>IFERROR(__xludf.DUMMYFUNCTION("""COMPUTED_VALUE"""),"https://www.houseofamos.org/")</f>
        <v>https://www.houseofamos.org/</v>
      </c>
      <c r="W444" s="14" t="str">
        <f>IFERROR(__xludf.DUMMYFUNCTION("""COMPUTED_VALUE"""),"https://maps.google.com/?q=House%20of%20Amos%2011169%20Beechnut%20St%2C%20Suite%20G%20Houston%20TX%2077072")</f>
        <v>https://maps.google.com/?q=House%20of%20Amos%2011169%20Beechnut%20St%2C%20Suite%20G%20Houston%20TX%2077072</v>
      </c>
      <c r="X444" s="10"/>
      <c r="Y444" s="9" t="str">
        <f>IFERROR(__xludf.DUMMYFUNCTION("""COMPUTED_VALUE"""),"Houston")</f>
        <v>Houston</v>
      </c>
      <c r="Z444" s="9" t="str">
        <f>IFERROR(__xludf.DUMMYFUNCTION("""COMPUTED_VALUE"""),"Alief")</f>
        <v>Alief</v>
      </c>
      <c r="AA444" s="9" t="str">
        <f>IFERROR(__xludf.DUMMYFUNCTION("""COMPUTED_VALUE"""),"House of Amos")</f>
        <v>House of Amos</v>
      </c>
      <c r="AB444" s="9" t="str">
        <f>IFERROR(__xludf.DUMMYFUNCTION("""COMPUTED_VALUE"""),"Alief")</f>
        <v>Alief</v>
      </c>
    </row>
    <row r="445" ht="30.0" customHeight="1">
      <c r="A445" s="17">
        <v>444.0</v>
      </c>
      <c r="B445" s="8" t="str">
        <f>IFERROR(__xludf.DUMMYFUNCTION("""COMPUTED_VALUE"""),"[""99999""]")</f>
        <v>["99999"]</v>
      </c>
      <c r="C445" s="9" t="str">
        <f>IFERROR(__xludf.DUMMYFUNCTION("""COMPUTED_VALUE"""),"House of Amos")</f>
        <v>House of Amos</v>
      </c>
      <c r="D445" s="9" t="str">
        <f>IFERROR(__xludf.DUMMYFUNCTION("""COMPUTED_VALUE"""),"11169 Beechnut Street")</f>
        <v>11169 Beechnut Street</v>
      </c>
      <c r="E445" s="9" t="str">
        <f>IFERROR(__xludf.DUMMYFUNCTION("""COMPUTED_VALUE"""),"Suite G")</f>
        <v>Suite G</v>
      </c>
      <c r="F445" s="9" t="str">
        <f>IFERROR(__xludf.DUMMYFUNCTION("""COMPUTED_VALUE"""),"Houston")</f>
        <v>Houston</v>
      </c>
      <c r="G445" s="9" t="str">
        <f>IFERROR(__xludf.DUMMYFUNCTION("""COMPUTED_VALUE"""),"TX")</f>
        <v>TX</v>
      </c>
      <c r="H445" s="9" t="str">
        <f>IFERROR(__xludf.DUMMYFUNCTION("""COMPUTED_VALUE"""),"77072")</f>
        <v>77072</v>
      </c>
      <c r="I445" s="9" t="str">
        <f>IFERROR(__xludf.DUMMYFUNCTION("""COMPUTED_VALUE"""),"832-977-1208")</f>
        <v>832-977-1208</v>
      </c>
      <c r="J445" s="9" t="str">
        <f>IFERROR(__xludf.DUMMYFUNCTION("""COMPUTED_VALUE"""),"29.6879664857647, -95.5740879653597")</f>
        <v>29.6879664857647, -95.5740879653597</v>
      </c>
      <c r="K445" s="9" t="str">
        <f>IFERROR(__xludf.DUMMYFUNCTION("""COMPUTED_VALUE"""),"{""regular"":[{""days"":[""Mo"",""Tu"",""We""],""open"":""09:00"",""close"":""11:45""},{""days"":[""Sa""],""open"":""10:00"",""close"":""11:45""}]}")</f>
        <v>{"regular":[{"days":["Mo","Tu","We"],"open":"09:00","close":"11:45"},{"days":["Sa"],"open":"10:00","close":"11:45"}]}</v>
      </c>
      <c r="L445" s="9"/>
      <c r="M445" s="10">
        <f>IFERROR(__xludf.DUMMYFUNCTION("""COMPUTED_VALUE"""),13.0)</f>
        <v>13</v>
      </c>
      <c r="N445" s="10" t="str">
        <f>IFERROR(__xludf.DUMMYFUNCTION("""COMPUTED_VALUE"""),"Food")</f>
        <v>Food</v>
      </c>
      <c r="O445" s="10">
        <f>IFERROR(__xludf.DUMMYFUNCTION("""COMPUTED_VALUE"""),1.0)</f>
        <v>1</v>
      </c>
      <c r="P445" s="10" t="str">
        <f>IFERROR(__xludf.DUMMYFUNCTION("""COMPUTED_VALUE"""),"ACTIVE")</f>
        <v>ACTIVE</v>
      </c>
      <c r="Q445" s="11">
        <f>IFERROR(__xludf.DUMMYFUNCTION("""COMPUTED_VALUE"""),46052.0)</f>
        <v>46052</v>
      </c>
      <c r="R445" s="9" t="str">
        <f>IFERROR(__xludf.DUMMYFUNCTION("""COMPUTED_VALUE"""),"Verified online")</f>
        <v>Verified online</v>
      </c>
      <c r="S445" s="9" t="str">
        <f>IFERROR(__xludf.DUMMYFUNCTION("""COMPUTED_VALUE"""),"Walk-In
Food distribution once every 60 days per household.
Copy of lease agreement with names of all members of household. If family of one, current utility bill is acceptable.
Stop serving clients 15 minutes before closing time.
Includes toiletries/hygi"&amp;"ene kit..")</f>
        <v>Walk-In
Food distribution once every 60 days per household.
Copy of lease agreement with names of all members of household. If family of one, current utility bill is acceptable.
Stop serving clients 15 minutes before closing time.
Includes toiletries/hygiene kit..</v>
      </c>
      <c r="T445" s="12" t="b">
        <f>IFERROR(__xludf.DUMMYFUNCTION("""COMPUTED_VALUE"""),FALSE)</f>
        <v>0</v>
      </c>
      <c r="U445" s="12" t="b">
        <f>IFERROR(__xludf.DUMMYFUNCTION("""COMPUTED_VALUE"""),FALSE)</f>
        <v>0</v>
      </c>
      <c r="V445" s="13" t="str">
        <f>IFERROR(__xludf.DUMMYFUNCTION("""COMPUTED_VALUE"""),"https://www.houseofamos.org/")</f>
        <v>https://www.houseofamos.org/</v>
      </c>
      <c r="W445" s="14" t="str">
        <f>IFERROR(__xludf.DUMMYFUNCTION("""COMPUTED_VALUE"""),"https://maps.google.com/?q=House%20of%20Amos%2011169%20Beechnut%20St%2C%20Suite%20G%20Houston%20TX%2077072")</f>
        <v>https://maps.google.com/?q=House%20of%20Amos%2011169%20Beechnut%20St%2C%20Suite%20G%20Houston%20TX%2077072</v>
      </c>
      <c r="X445" s="10"/>
      <c r="Y445" s="9" t="str">
        <f>IFERROR(__xludf.DUMMYFUNCTION("""COMPUTED_VALUE"""),"Houston")</f>
        <v>Houston</v>
      </c>
      <c r="Z445" s="9" t="str">
        <f>IFERROR(__xludf.DUMMYFUNCTION("""COMPUTED_VALUE"""),"Alief")</f>
        <v>Alief</v>
      </c>
      <c r="AA445" s="9" t="str">
        <f>IFERROR(__xludf.DUMMYFUNCTION("""COMPUTED_VALUE"""),"House of Amos")</f>
        <v>House of Amos</v>
      </c>
      <c r="AB445" s="9" t="str">
        <f>IFERROR(__xludf.DUMMYFUNCTION("""COMPUTED_VALUE"""),"Alief")</f>
        <v>Alief</v>
      </c>
    </row>
    <row r="446" ht="30.0" customHeight="1">
      <c r="A446" s="17">
        <v>445.0</v>
      </c>
      <c r="B446" s="8" t="str">
        <f>IFERROR(__xludf.DUMMYFUNCTION("""COMPUTED_VALUE"""),"[""99999""]")</f>
        <v>["99999"]</v>
      </c>
      <c r="C446" s="9" t="str">
        <f>IFERROR(__xludf.DUMMYFUNCTION("""COMPUTED_VALUE"""),"House of Amos")</f>
        <v>House of Amos</v>
      </c>
      <c r="D446" s="9" t="str">
        <f>IFERROR(__xludf.DUMMYFUNCTION("""COMPUTED_VALUE"""),"11169 Beechnut Street")</f>
        <v>11169 Beechnut Street</v>
      </c>
      <c r="E446" s="9" t="str">
        <f>IFERROR(__xludf.DUMMYFUNCTION("""COMPUTED_VALUE"""),"Suite G")</f>
        <v>Suite G</v>
      </c>
      <c r="F446" s="9" t="str">
        <f>IFERROR(__xludf.DUMMYFUNCTION("""COMPUTED_VALUE"""),"Houston")</f>
        <v>Houston</v>
      </c>
      <c r="G446" s="9" t="str">
        <f>IFERROR(__xludf.DUMMYFUNCTION("""COMPUTED_VALUE"""),"TX")</f>
        <v>TX</v>
      </c>
      <c r="H446" s="9" t="str">
        <f>IFERROR(__xludf.DUMMYFUNCTION("""COMPUTED_VALUE"""),"77072")</f>
        <v>77072</v>
      </c>
      <c r="I446" s="9" t="str">
        <f>IFERROR(__xludf.DUMMYFUNCTION("""COMPUTED_VALUE"""),"832-977-1208")</f>
        <v>832-977-1208</v>
      </c>
      <c r="J446" s="9" t="str">
        <f>IFERROR(__xludf.DUMMYFUNCTION("""COMPUTED_VALUE"""),"29.6879664857647, -95.5740879653597")</f>
        <v>29.6879664857647, -95.5740879653597</v>
      </c>
      <c r="K446" s="9"/>
      <c r="L446" s="9"/>
      <c r="M446" s="10">
        <f>IFERROR(__xludf.DUMMYFUNCTION("""COMPUTED_VALUE"""),51.0)</f>
        <v>51</v>
      </c>
      <c r="N446" s="10" t="str">
        <f>IFERROR(__xludf.DUMMYFUNCTION("""COMPUTED_VALUE"""),"Education - Adults")</f>
        <v>Education - Adults</v>
      </c>
      <c r="O446" s="10">
        <f>IFERROR(__xludf.DUMMYFUNCTION("""COMPUTED_VALUE"""),3.0)</f>
        <v>3</v>
      </c>
      <c r="P446" s="10" t="str">
        <f>IFERROR(__xludf.DUMMYFUNCTION("""COMPUTED_VALUE"""),"INACTIVE")</f>
        <v>INACTIVE</v>
      </c>
      <c r="Q446" s="11">
        <f>IFERROR(__xludf.DUMMYFUNCTION("""COMPUTED_VALUE"""),45670.0)</f>
        <v>45670</v>
      </c>
      <c r="R446" s="9" t="str">
        <f>IFERROR(__xludf.DUMMYFUNCTION("""COMPUTED_VALUE"""),"Will reopen as soon as they find a teacher.")</f>
        <v>Will reopen as soon as they find a teacher.</v>
      </c>
      <c r="S446" s="9" t="str">
        <f>IFERROR(__xludf.DUMMYFUNCTION("""COMPUTED_VALUE"""),"ESL at a cost of $50 per year.")</f>
        <v>ESL at a cost of $50 per year.</v>
      </c>
      <c r="T446" s="12" t="b">
        <f>IFERROR(__xludf.DUMMYFUNCTION("""COMPUTED_VALUE"""),FALSE)</f>
        <v>0</v>
      </c>
      <c r="U446" s="12" t="b">
        <f>IFERROR(__xludf.DUMMYFUNCTION("""COMPUTED_VALUE"""),FALSE)</f>
        <v>0</v>
      </c>
      <c r="V446" s="13" t="str">
        <f>IFERROR(__xludf.DUMMYFUNCTION("""COMPUTED_VALUE"""),"https://www.houseofamos.org/")</f>
        <v>https://www.houseofamos.org/</v>
      </c>
      <c r="W446" s="14" t="str">
        <f>IFERROR(__xludf.DUMMYFUNCTION("""COMPUTED_VALUE"""),"https://maps.google.com/?q=House%20of%20Amos%2011169%20Beechnut%20St%2C%20Suite%20G%20Houston%20TX%2077072")</f>
        <v>https://maps.google.com/?q=House%20of%20Amos%2011169%20Beechnut%20St%2C%20Suite%20G%20Houston%20TX%2077072</v>
      </c>
      <c r="X446" s="10"/>
      <c r="Y446" s="9" t="str">
        <f>IFERROR(__xludf.DUMMYFUNCTION("""COMPUTED_VALUE"""),"Houston")</f>
        <v>Houston</v>
      </c>
      <c r="Z446" s="9" t="str">
        <f>IFERROR(__xludf.DUMMYFUNCTION("""COMPUTED_VALUE"""),"Alief")</f>
        <v>Alief</v>
      </c>
      <c r="AA446" s="9" t="str">
        <f>IFERROR(__xludf.DUMMYFUNCTION("""COMPUTED_VALUE"""),"House of Amos")</f>
        <v>House of Amos</v>
      </c>
      <c r="AB446" s="9" t="str">
        <f>IFERROR(__xludf.DUMMYFUNCTION("""COMPUTED_VALUE"""),"Alief")</f>
        <v>Alief</v>
      </c>
    </row>
    <row r="447" ht="30.0" customHeight="1">
      <c r="A447" s="17">
        <v>446.0</v>
      </c>
      <c r="B447" s="8" t="str">
        <f>IFERROR(__xludf.DUMMYFUNCTION("""COMPUTED_VALUE"""),"[""77445""]")</f>
        <v>["77445"]</v>
      </c>
      <c r="C447" s="9" t="str">
        <f>IFERROR(__xludf.DUMMYFUNCTION("""COMPUTED_VALUE"""),"House of Help")</f>
        <v>House of Help</v>
      </c>
      <c r="D447" s="9" t="str">
        <f>IFERROR(__xludf.DUMMYFUNCTION("""COMPUTED_VALUE"""),"716 1st Street")</f>
        <v>716 1st Street</v>
      </c>
      <c r="E447" s="9"/>
      <c r="F447" s="9" t="str">
        <f>IFERROR(__xludf.DUMMYFUNCTION("""COMPUTED_VALUE"""),"Hempstead")</f>
        <v>Hempstead</v>
      </c>
      <c r="G447" s="9" t="str">
        <f>IFERROR(__xludf.DUMMYFUNCTION("""COMPUTED_VALUE"""),"TX")</f>
        <v>TX</v>
      </c>
      <c r="H447" s="9" t="str">
        <f>IFERROR(__xludf.DUMMYFUNCTION("""COMPUTED_VALUE"""),"77445")</f>
        <v>77445</v>
      </c>
      <c r="I447" s="9" t="str">
        <f>IFERROR(__xludf.DUMMYFUNCTION("""COMPUTED_VALUE"""),"979-826-4445")</f>
        <v>979-826-4445</v>
      </c>
      <c r="J447" s="9" t="str">
        <f>IFERROR(__xludf.DUMMYFUNCTION("""COMPUTED_VALUE"""),"30.09823749124015, -96.06748840134394")</f>
        <v>30.09823749124015, -96.06748840134394</v>
      </c>
      <c r="K447" s="9" t="str">
        <f>IFERROR(__xludf.DUMMYFUNCTION("""COMPUTED_VALUE"""),"{""regular"":[{""days"":[""Tu"",""We"",""Th"",""Fr"",""Sa""],""open"":""10:00"",""close"":""15:00""}]}")</f>
        <v>{"regular":[{"days":["Tu","We","Th","Fr","Sa"],"open":"10:00","close":"15:00"}]}</v>
      </c>
      <c r="L447" s="9" t="str">
        <f>IFERROR(__xludf.DUMMYFUNCTION("""COMPUTED_VALUE"""),"Apply online")</f>
        <v>Apply online</v>
      </c>
      <c r="M447" s="10">
        <f>IFERROR(__xludf.DUMMYFUNCTION("""COMPUTED_VALUE"""),13.0)</f>
        <v>13</v>
      </c>
      <c r="N447" s="10" t="str">
        <f>IFERROR(__xludf.DUMMYFUNCTION("""COMPUTED_VALUE"""),"Food")</f>
        <v>Food</v>
      </c>
      <c r="O447" s="10">
        <f>IFERROR(__xludf.DUMMYFUNCTION("""COMPUTED_VALUE"""),1.0)</f>
        <v>1</v>
      </c>
      <c r="P447" s="10" t="str">
        <f>IFERROR(__xludf.DUMMYFUNCTION("""COMPUTED_VALUE"""),"ACTIVE")</f>
        <v>ACTIVE</v>
      </c>
      <c r="Q447" s="11">
        <f>IFERROR(__xludf.DUMMYFUNCTION("""COMPUTED_VALUE"""),45875.0)</f>
        <v>45875</v>
      </c>
      <c r="R447" s="9" t="str">
        <f>IFERROR(__xludf.DUMMYFUNCTION("""COMPUTED_VALUE"""),"Verified online")</f>
        <v>Verified online</v>
      </c>
      <c r="S447" s="9" t="str">
        <f>IFERROR(__xludf.DUMMYFUNCTION("""COMPUTED_VALUE"""),"ID, Proof of Residence, SNAP Letter, Paystubs or Unemployment Eligibility Letter.
Need to sign up online.  There are daily limits.")</f>
        <v>ID, Proof of Residence, SNAP Letter, Paystubs or Unemployment Eligibility Letter.
Need to sign up online.  There are daily limits.</v>
      </c>
      <c r="T447" s="12" t="b">
        <f>IFERROR(__xludf.DUMMYFUNCTION("""COMPUTED_VALUE"""),FALSE)</f>
        <v>0</v>
      </c>
      <c r="U447" s="12" t="b">
        <f>IFERROR(__xludf.DUMMYFUNCTION("""COMPUTED_VALUE"""),FALSE)</f>
        <v>0</v>
      </c>
      <c r="V447" s="13" t="str">
        <f>IFERROR(__xludf.DUMMYFUNCTION("""COMPUTED_VALUE"""),"https://hohhempstead.org/")</f>
        <v>https://hohhempstead.org/</v>
      </c>
      <c r="W447" s="14" t="str">
        <f>IFERROR(__xludf.DUMMYFUNCTION("""COMPUTED_VALUE"""),"https://www.google.com/maps/place/House+Of+Help+Thrift+Shop+%26+Food+Pantry/@30.0978198,-96.0701706,16z/data=!3m1!4b1!4m6!3m5!1s0x8646b5f61dbfa0b5:0x129e9e0b57382dbd!8m2!3d30.0978152!4d-96.0675957!16s%2Fg%2F12616hh5f?entry=ttu&amp;g_ep=EgoyMDI1MDgwNC4wIKXMDSo"&amp;"ASAFQAw%3D%3D")</f>
        <v>https://www.google.com/maps/place/House+Of+Help+Thrift+Shop+%26+Food+Pantry/@30.0978198,-96.0701706,16z/data=!3m1!4b1!4m6!3m5!1s0x8646b5f61dbfa0b5:0x129e9e0b57382dbd!8m2!3d30.0978152!4d-96.0675957!16s%2Fg%2F12616hh5f?entry=ttu&amp;g_ep=EgoyMDI1MDgwNC4wIKXMDSoASAFQAw%3D%3D</v>
      </c>
      <c r="X447" s="10"/>
      <c r="Y447" s="9" t="str">
        <f>IFERROR(__xludf.DUMMYFUNCTION("""COMPUTED_VALUE"""),"Hempstead")</f>
        <v>Hempstead</v>
      </c>
      <c r="Z447" s="9" t="str">
        <f>IFERROR(__xludf.DUMMYFUNCTION("""COMPUTED_VALUE"""),"Hempstead, Northside")</f>
        <v>Hempstead, Northside</v>
      </c>
      <c r="AA447" s="9" t="str">
        <f>IFERROR(__xludf.DUMMYFUNCTION("""COMPUTED_VALUE"""),"House of Help")</f>
        <v>House of Help</v>
      </c>
      <c r="AB447" s="9" t="str">
        <f>IFERROR(__xludf.DUMMYFUNCTION("""COMPUTED_VALUE"""),"Hempstead")</f>
        <v>Hempstead</v>
      </c>
    </row>
    <row r="448" ht="30.0" customHeight="1">
      <c r="A448" s="17">
        <v>447.0</v>
      </c>
      <c r="B44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448" s="9" t="str">
        <f>IFERROR(__xludf.DUMMYFUNCTION("""COMPUTED_VALUE"""),"Housing and Community Development")</f>
        <v>Housing and Community Development</v>
      </c>
      <c r="D448" s="9" t="str">
        <f>IFERROR(__xludf.DUMMYFUNCTION("""COMPUTED_VALUE"""),"2100 Travis Street")</f>
        <v>2100 Travis Street</v>
      </c>
      <c r="E448" s="9" t="str">
        <f>IFERROR(__xludf.DUMMYFUNCTION("""COMPUTED_VALUE"""),"9th Floor")</f>
        <v>9th Floor</v>
      </c>
      <c r="F448" s="9" t="str">
        <f>IFERROR(__xludf.DUMMYFUNCTION("""COMPUTED_VALUE"""),"Houston")</f>
        <v>Houston</v>
      </c>
      <c r="G448" s="9" t="str">
        <f>IFERROR(__xludf.DUMMYFUNCTION("""COMPUTED_VALUE"""),"TX")</f>
        <v>TX</v>
      </c>
      <c r="H448" s="9" t="str">
        <f>IFERROR(__xludf.DUMMYFUNCTION("""COMPUTED_VALUE"""),"77002")</f>
        <v>77002</v>
      </c>
      <c r="I448" s="9" t="str">
        <f>IFERROR(__xludf.DUMMYFUNCTION("""COMPUTED_VALUE"""),"832-394-6200")</f>
        <v>832-394-6200</v>
      </c>
      <c r="J448" s="9" t="str">
        <f>IFERROR(__xludf.DUMMYFUNCTION("""COMPUTED_VALUE"""),"29.749554855877776, -95.37272831584828")</f>
        <v>29.749554855877776, -95.37272831584828</v>
      </c>
      <c r="K448" s="9" t="str">
        <f>IFERROR(__xludf.DUMMYFUNCTION("""COMPUTED_VALUE"""),"{""regular"":[{""days"":[""Mo"",""Tu"",""We"",""Th"",""Fr""],""open"":""09:00"",""close"":""17:00""}]}")</f>
        <v>{"regular":[{"days":["Mo","Tu","We","Th","Fr"],"open":"09:00","close":"17:00"}]}</v>
      </c>
      <c r="L448" s="9" t="str">
        <f>IFERROR(__xludf.DUMMYFUNCTION("""COMPUTED_VALUE"""),"All funding exhausted.  No indication when and if funding becomes available again.")</f>
        <v>All funding exhausted.  No indication when and if funding becomes available again.</v>
      </c>
      <c r="M448" s="10">
        <f>IFERROR(__xludf.DUMMYFUNCTION("""COMPUTED_VALUE"""),65.0)</f>
        <v>65</v>
      </c>
      <c r="N448" s="10" t="str">
        <f>IFERROR(__xludf.DUMMYFUNCTION("""COMPUTED_VALUE"""),"Other")</f>
        <v>Other</v>
      </c>
      <c r="O448" s="10">
        <f>IFERROR(__xludf.DUMMYFUNCTION("""COMPUTED_VALUE"""),3.0)</f>
        <v>3</v>
      </c>
      <c r="P448" s="10" t="str">
        <f>IFERROR(__xludf.DUMMYFUNCTION("""COMPUTED_VALUE"""),"INACTIVE")</f>
        <v>INACTIVE</v>
      </c>
      <c r="Q448" s="11">
        <f>IFERROR(__xludf.DUMMYFUNCTION("""COMPUTED_VALUE"""),46057.0)</f>
        <v>46057</v>
      </c>
      <c r="R448" s="9" t="str">
        <f>IFERROR(__xludf.DUMMYFUNCTION("""COMPUTED_VALUE"""),"Verified online")</f>
        <v>Verified online</v>
      </c>
      <c r="S448" s="9" t="str">
        <f>IFERROR(__xludf.DUMMYFUNCTION("""COMPUTED_VALUE"""),"Home Repair
Eligibility requirements include own your home located in Houston but outside the floodway, it is your primary home, property taxes are current and income is at or below 80% of Area Median Income.
Check floodway and Area Median Income on websi"&amp;"te.
Consideration to seniors over the age of 62, families with children under 18 years old and people with disabilities.")</f>
        <v>Home Repair
Eligibility requirements include own your home located in Houston but outside the floodway, it is your primary home, property taxes are current and income is at or below 80% of Area Median Income.
Check floodway and Area Median Income on website.
Consideration to seniors over the age of 62, families with children under 18 years old and people with disabilities.</v>
      </c>
      <c r="T448" s="12" t="b">
        <f>IFERROR(__xludf.DUMMYFUNCTION("""COMPUTED_VALUE"""),FALSE)</f>
        <v>0</v>
      </c>
      <c r="U448" s="12" t="b">
        <f>IFERROR(__xludf.DUMMYFUNCTION("""COMPUTED_VALUE"""),FALSE)</f>
        <v>0</v>
      </c>
      <c r="V448" s="13" t="str">
        <f>IFERROR(__xludf.DUMMYFUNCTION("""COMPUTED_VALUE"""),"https://www.houstontx.gov/housing/home-repair.html#docs")</f>
        <v>https://www.houstontx.gov/housing/home-repair.html#docs</v>
      </c>
      <c r="W448" s="14" t="str">
        <f>IFERROR(__xludf.DUMMYFUNCTION("""COMPUTED_VALUE"""),"https://www.google.com/maps/place/City+of+Houston+Housing+and+Community+Development+Department/@29.7491917,-95.3776636,16z/data=!3m2!4b1!5s0x8640bf1553ff700d:0x5b1c65c6eb045e0!4m6!3m5!1s0x8640bfe464235301:0xc2345c26b1bc829!8m2!3d29.7491871!4d-95.3727927!1"&amp;"6s%2Fg%2F11fm68gpwr?entry=ttu&amp;g_ep=EgoyMDI2MDIwMS4wIKXMDSoKLDEwMDc5MjA2OUgBUAM%3D")</f>
        <v>https://www.google.com/maps/place/City+of+Houston+Housing+and+Community+Development+Department/@29.7491917,-95.3776636,16z/data=!3m2!4b1!5s0x8640bf1553ff700d:0x5b1c65c6eb045e0!4m6!3m5!1s0x8640bfe464235301:0xc2345c26b1bc829!8m2!3d29.7491871!4d-95.3727927!16s%2Fg%2F11fm68gpwr?entry=ttu&amp;g_ep=EgoyMDI2MDIwMS4wIKXMDSoKLDEwMDc5MjA2OUgBUAM%3D</v>
      </c>
      <c r="X448" s="10"/>
      <c r="Y448" s="9" t="str">
        <f>IFERROR(__xludf.DUMMYFUNCTION("""COMPUTED_VALUE"""),"Houston")</f>
        <v>Houston</v>
      </c>
      <c r="Z448"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48" s="9" t="str">
        <f>IFERROR(__xludf.DUMMYFUNCTION("""COMPUTED_VALUE"""),"City of Houston")</f>
        <v>City of Houston</v>
      </c>
      <c r="AB448" s="9" t="str">
        <f>IFERROR(__xludf.DUMMYFUNCTION("""COMPUTED_VALUE"""),"Downtown Houston")</f>
        <v>Downtown Houston</v>
      </c>
    </row>
    <row r="449" ht="30.0" customHeight="1">
      <c r="A449" s="17">
        <v>448.0</v>
      </c>
      <c r="B449" s="8" t="str">
        <f>IFERROR(__xludf.DUMMYFUNCTION("""COMPUTED_VALUE"""),"[""99999""]")</f>
        <v>["99999"]</v>
      </c>
      <c r="C449" s="9" t="str">
        <f>IFERROR(__xludf.DUMMYFUNCTION("""COMPUTED_VALUE"""),"Houston Area Women's Center")</f>
        <v>Houston Area Women's Center</v>
      </c>
      <c r="D449" s="9" t="str">
        <f>IFERROR(__xludf.DUMMYFUNCTION("""COMPUTED_VALUE"""),"3077 El Camino Street")</f>
        <v>3077 El Camino Street</v>
      </c>
      <c r="E449" s="9"/>
      <c r="F449" s="9" t="str">
        <f>IFERROR(__xludf.DUMMYFUNCTION("""COMPUTED_VALUE"""),"Houston")</f>
        <v>Houston</v>
      </c>
      <c r="G449" s="9" t="str">
        <f>IFERROR(__xludf.DUMMYFUNCTION("""COMPUTED_VALUE"""),"TX")</f>
        <v>TX</v>
      </c>
      <c r="H449" s="9" t="str">
        <f>IFERROR(__xludf.DUMMYFUNCTION("""COMPUTED_VALUE"""),"77054")</f>
        <v>77054</v>
      </c>
      <c r="I449" s="9" t="str">
        <f>IFERROR(__xludf.DUMMYFUNCTION("""COMPUTED_VALUE"""),"713-528-2121 (Domestic)
713-528-7273 (Sexual)")</f>
        <v>713-528-2121 (Domestic)
713-528-7273 (Sexual)</v>
      </c>
      <c r="J449" s="9" t="str">
        <f>IFERROR(__xludf.DUMMYFUNCTION("""COMPUTED_VALUE"""),"29.6866485891899, -95.3830850981797")</f>
        <v>29.6866485891899, -95.3830850981797</v>
      </c>
      <c r="K449" s="9" t="str">
        <f>IFERROR(__xludf.DUMMYFUNCTION("""COMPUTED_VALUE"""),"{""regular"":[{""days"":[""Mo"",""Tu"",""We"",""Th"",""Fr"",""Sa"",""Su""],""open"":""00:00"",""close"":""23:59""}]}")</f>
        <v>{"regular":[{"days":["Mo","Tu","We","Th","Fr","Sa","Su"],"open":"00:00","close":"23:59"}]}</v>
      </c>
      <c r="L449" s="9"/>
      <c r="M449" s="10">
        <f>IFERROR(__xludf.DUMMYFUNCTION("""COMPUTED_VALUE"""),41.0)</f>
        <v>41</v>
      </c>
      <c r="N449" s="10" t="str">
        <f>IFERROR(__xludf.DUMMYFUNCTION("""COMPUTED_VALUE"""),"Domestic Abuse - Shelters")</f>
        <v>Domestic Abuse - Shelters</v>
      </c>
      <c r="O449" s="10">
        <f>IFERROR(__xludf.DUMMYFUNCTION("""COMPUTED_VALUE"""),1.0)</f>
        <v>1</v>
      </c>
      <c r="P449" s="10" t="str">
        <f>IFERROR(__xludf.DUMMYFUNCTION("""COMPUTED_VALUE"""),"ACTIVE")</f>
        <v>ACTIVE</v>
      </c>
      <c r="Q449" s="11"/>
      <c r="R449" s="9"/>
      <c r="S449" s="9" t="str">
        <f>IFERROR(__xludf.DUMMYFUNCTION("""COMPUTED_VALUE"""),"Coalition for the Homeless (CFTH) Partner/Rapid Rehousing
Hospital Advocacy &amp; Support
Safety Planning
Rape Crisis Support
Legal Advocacy
Children's Services
Career Development")</f>
        <v>Coalition for the Homeless (CFTH) Partner/Rapid Rehousing
Hospital Advocacy &amp; Support
Safety Planning
Rape Crisis Support
Legal Advocacy
Children's Services
Career Development</v>
      </c>
      <c r="T449" s="12" t="b">
        <f>IFERROR(__xludf.DUMMYFUNCTION("""COMPUTED_VALUE"""),FALSE)</f>
        <v>0</v>
      </c>
      <c r="U449" s="12" t="b">
        <f>IFERROR(__xludf.DUMMYFUNCTION("""COMPUTED_VALUE"""),FALSE)</f>
        <v>0</v>
      </c>
      <c r="V449" s="13" t="str">
        <f>IFERROR(__xludf.DUMMYFUNCTION("""COMPUTED_VALUE"""),"https://hawc.org/what-we-do/")</f>
        <v>https://hawc.org/what-we-do/</v>
      </c>
      <c r="W449" s="10"/>
      <c r="X449" s="10"/>
      <c r="Y449" s="9" t="str">
        <f>IFERROR(__xludf.DUMMYFUNCTION("""COMPUTED_VALUE"""),"Houston")</f>
        <v>Houston</v>
      </c>
      <c r="Z449" s="9" t="str">
        <f>IFERROR(__xludf.DUMMYFUNCTION("""COMPUTED_VALUE"""),"Astrodome Area, Medical Center South, NRG Park area, South Main")</f>
        <v>Astrodome Area, Medical Center South, NRG Park area, South Main</v>
      </c>
      <c r="AA449" s="9" t="str">
        <f>IFERROR(__xludf.DUMMYFUNCTION("""COMPUTED_VALUE"""),"Houston Area Women's Center")</f>
        <v>Houston Area Women's Center</v>
      </c>
      <c r="AB449" s="9" t="str">
        <f>IFERROR(__xludf.DUMMYFUNCTION("""COMPUTED_VALUE"""),"Astrodome Area")</f>
        <v>Astrodome Area</v>
      </c>
    </row>
    <row r="450" ht="30.0" customHeight="1">
      <c r="A450" s="17">
        <v>449.0</v>
      </c>
      <c r="B450" s="8" t="str">
        <f>IFERROR(__xludf.DUMMYFUNCTION("""COMPUTED_VALUE"""),"[""99999""]")</f>
        <v>["99999"]</v>
      </c>
      <c r="C450" s="9" t="str">
        <f>IFERROR(__xludf.DUMMYFUNCTION("""COMPUTED_VALUE"""),"Houston Bar Association Veterans Legal Initiative")</f>
        <v>Houston Bar Association Veterans Legal Initiative</v>
      </c>
      <c r="D450" s="9" t="str">
        <f>IFERROR(__xludf.DUMMYFUNCTION("""COMPUTED_VALUE"""),"2002 Holcolmbe Blvd")</f>
        <v>2002 Holcolmbe Blvd</v>
      </c>
      <c r="E450" s="9" t="str">
        <f>IFERROR(__xludf.DUMMYFUNCTION("""COMPUTED_VALUE"""),"Suite 108A")</f>
        <v>Suite 108A</v>
      </c>
      <c r="F450" s="9" t="str">
        <f>IFERROR(__xludf.DUMMYFUNCTION("""COMPUTED_VALUE"""),"Houston")</f>
        <v>Houston</v>
      </c>
      <c r="G450" s="9" t="str">
        <f>IFERROR(__xludf.DUMMYFUNCTION("""COMPUTED_VALUE"""),"TX")</f>
        <v>TX</v>
      </c>
      <c r="H450" s="9" t="str">
        <f>IFERROR(__xludf.DUMMYFUNCTION("""COMPUTED_VALUE"""),"77030")</f>
        <v>77030</v>
      </c>
      <c r="I450" s="9" t="str">
        <f>IFERROR(__xludf.DUMMYFUNCTION("""COMPUTED_VALUE"""),"713-228-0735")</f>
        <v>713-228-0735</v>
      </c>
      <c r="J450" s="9" t="str">
        <f>IFERROR(__xludf.DUMMYFUNCTION("""COMPUTED_VALUE"""),"29.701045779053903, -95.38870605257519")</f>
        <v>29.701045779053903, -95.38870605257519</v>
      </c>
      <c r="K450" s="9" t="str">
        <f>IFERROR(__xludf.DUMMYFUNCTION("""COMPUTED_VALUE"""),"{""regular"":[{""days"":[""Mo"",""Tu"",""We"",""Th"",""Fr""],""open"":""08:00"",""close"":""12:00""}]}")</f>
        <v>{"regular":[{"days":["Mo","Tu","We","Th","Fr"],"open":"08:00","close":"12:00"}]}</v>
      </c>
      <c r="L450" s="9" t="str">
        <f>IFERROR(__xludf.DUMMYFUNCTION("""COMPUTED_VALUE"""),"No appointment needed for free clinic")</f>
        <v>No appointment needed for free clinic</v>
      </c>
      <c r="M450" s="10">
        <f>IFERROR(__xludf.DUMMYFUNCTION("""COMPUTED_VALUE"""),56.0)</f>
        <v>56</v>
      </c>
      <c r="N450" s="10" t="str">
        <f>IFERROR(__xludf.DUMMYFUNCTION("""COMPUTED_VALUE"""),"Veterans")</f>
        <v>Veterans</v>
      </c>
      <c r="O450" s="10">
        <f>IFERROR(__xludf.DUMMYFUNCTION("""COMPUTED_VALUE"""),1.0)</f>
        <v>1</v>
      </c>
      <c r="P450" s="10" t="str">
        <f>IFERROR(__xludf.DUMMYFUNCTION("""COMPUTED_VALUE"""),"ACTIVE")</f>
        <v>ACTIVE</v>
      </c>
      <c r="Q450" s="11">
        <f>IFERROR(__xludf.DUMMYFUNCTION("""COMPUTED_VALUE"""),46066.0)</f>
        <v>46066</v>
      </c>
      <c r="R450" s="9" t="str">
        <f>IFERROR(__xludf.DUMMYFUNCTION("""COMPUTED_VALUE"""),"Verified online")</f>
        <v>Verified online</v>
      </c>
      <c r="S450" s="9" t="str">
        <f>IFERROR(__xludf.DUMMYFUNCTION("""COMPUTED_VALUE"""),"Veterans
Free Clinic at the Michael E. DeBakey VA Medical Center for veterans.
No appointment needed.
Including Family Law, Wills &amp; Probate, Consumer Law, Real Estate &amp; Property, Tax Law, Disability and Veterans Affairs and other legal issues.")</f>
        <v>Veterans
Free Clinic at the Michael E. DeBakey VA Medical Center for veterans.
No appointment needed.
Including Family Law, Wills &amp; Probate, Consumer Law, Real Estate &amp; Property, Tax Law, Disability and Veterans Affairs and other legal issues.</v>
      </c>
      <c r="T450" s="12" t="b">
        <f>IFERROR(__xludf.DUMMYFUNCTION("""COMPUTED_VALUE"""),FALSE)</f>
        <v>0</v>
      </c>
      <c r="U450" s="12" t="b">
        <f>IFERROR(__xludf.DUMMYFUNCTION("""COMPUTED_VALUE"""),FALSE)</f>
        <v>0</v>
      </c>
      <c r="V450" s="13" t="str">
        <f>IFERROR(__xludf.DUMMYFUNCTION("""COMPUTED_VALUE"""),"https://www.hba.org/?pg=Veterans-Legal-Initiative")</f>
        <v>https://www.hba.org/?pg=Veterans-Legal-Initiative</v>
      </c>
      <c r="W450" s="14" t="str">
        <f>IFERROR(__xludf.DUMMYFUNCTION("""COMPUTED_VALUE"""),"https://www.google.com/maps/place/2002+Holcombe+Blvd,+Houston,+TX+77030/@29.7006264,-95.3913561,16z/data=!3m1!4b1!4m6!3m5!1s0x8640bff5abf01f45:0xdf739e8e76d24278!8m2!3d29.7006218!4d-95.3887758!16s%2Fg%2F11c1glnxs3?entry=ttu&amp;g_ep=EgoyMDI2MDIxMS4wIKXMDSoASA"&amp;"FQAw%3D%3D")</f>
        <v>https://www.google.com/maps/place/2002+Holcombe+Blvd,+Houston,+TX+77030/@29.7006264,-95.3913561,16z/data=!3m1!4b1!4m6!3m5!1s0x8640bff5abf01f45:0xdf739e8e76d24278!8m2!3d29.7006218!4d-95.3887758!16s%2Fg%2F11c1glnxs3?entry=ttu&amp;g_ep=EgoyMDI2MDIxMS4wIKXMDSoASAFQAw%3D%3D</v>
      </c>
      <c r="X450" s="10"/>
      <c r="Y450" s="9" t="str">
        <f>IFERROR(__xludf.DUMMYFUNCTION("""COMPUTED_VALUE"""),"Houston")</f>
        <v>Houston</v>
      </c>
      <c r="Z450" s="9" t="str">
        <f>IFERROR(__xludf.DUMMYFUNCTION("""COMPUTED_VALUE"""),"Central Southwest, Houston Museum District, South Central Houston, Southgate, Texas Medical Center")</f>
        <v>Central Southwest, Houston Museum District, South Central Houston, Southgate, Texas Medical Center</v>
      </c>
      <c r="AA450" s="9" t="str">
        <f>IFERROR(__xludf.DUMMYFUNCTION("""COMPUTED_VALUE"""),"Houston Bar Association Veterans Legal Initiative")</f>
        <v>Houston Bar Association Veterans Legal Initiative</v>
      </c>
      <c r="AB450" s="9" t="str">
        <f>IFERROR(__xludf.DUMMYFUNCTION("""COMPUTED_VALUE"""),"Texas Medical Center")</f>
        <v>Texas Medical Center</v>
      </c>
    </row>
    <row r="451" ht="30.0" customHeight="1">
      <c r="A451" s="17">
        <v>450.0</v>
      </c>
      <c r="B451" s="8" t="str">
        <f>IFERROR(__xludf.DUMMYFUNCTION("""COMPUTED_VALUE"""),"[""99999""]")</f>
        <v>["99999"]</v>
      </c>
      <c r="C451" s="9" t="str">
        <f>IFERROR(__xludf.DUMMYFUNCTION("""COMPUTED_VALUE"""),"Houston Children's Charity")</f>
        <v>Houston Children's Charity</v>
      </c>
      <c r="D451" s="9" t="str">
        <f>IFERROR(__xludf.DUMMYFUNCTION("""COMPUTED_VALUE"""),"5151 Mitchelldale Street")</f>
        <v>5151 Mitchelldale Street</v>
      </c>
      <c r="E451" s="9" t="str">
        <f>IFERROR(__xludf.DUMMYFUNCTION("""COMPUTED_VALUE"""),"Suite A4")</f>
        <v>Suite A4</v>
      </c>
      <c r="F451" s="9" t="str">
        <f>IFERROR(__xludf.DUMMYFUNCTION("""COMPUTED_VALUE"""),"Houston")</f>
        <v>Houston</v>
      </c>
      <c r="G451" s="9" t="str">
        <f>IFERROR(__xludf.DUMMYFUNCTION("""COMPUTED_VALUE"""),"TX")</f>
        <v>TX</v>
      </c>
      <c r="H451" s="9" t="str">
        <f>IFERROR(__xludf.DUMMYFUNCTION("""COMPUTED_VALUE"""),"77092")</f>
        <v>77092</v>
      </c>
      <c r="I451" s="9" t="str">
        <f>IFERROR(__xludf.DUMMYFUNCTION("""COMPUTED_VALUE"""),"713-524-2878")</f>
        <v>713-524-2878</v>
      </c>
      <c r="J451" s="9" t="str">
        <f>IFERROR(__xludf.DUMMYFUNCTION("""COMPUTED_VALUE"""),"29.752228267922707, -95.45727898119307")</f>
        <v>29.752228267922707, -95.45727898119307</v>
      </c>
      <c r="K451" s="9" t="str">
        <f>IFERROR(__xludf.DUMMYFUNCTION("""COMPUTED_VALUE"""),"{""regular"":[{""days"":[""Tu""],""open"":""09:00"",""close"":""16:00""}]}")</f>
        <v>{"regular":[{"days":["Tu"],"open":"09:00","close":"16:00"}]}</v>
      </c>
      <c r="L451" s="9"/>
      <c r="M451" s="10">
        <f>IFERROR(__xludf.DUMMYFUNCTION("""COMPUTED_VALUE"""),14.0)</f>
        <v>14</v>
      </c>
      <c r="N451" s="10" t="str">
        <f>IFERROR(__xludf.DUMMYFUNCTION("""COMPUTED_VALUE"""),"Clothing")</f>
        <v>Clothing</v>
      </c>
      <c r="O451" s="10">
        <f>IFERROR(__xludf.DUMMYFUNCTION("""COMPUTED_VALUE"""),1.0)</f>
        <v>1</v>
      </c>
      <c r="P451" s="10" t="str">
        <f>IFERROR(__xludf.DUMMYFUNCTION("""COMPUTED_VALUE"""),"ACTIVE")</f>
        <v>ACTIVE</v>
      </c>
      <c r="Q451" s="11">
        <f>IFERROR(__xludf.DUMMYFUNCTION("""COMPUTED_VALUE"""),46019.0)</f>
        <v>46019</v>
      </c>
      <c r="R451" s="9" t="str">
        <f>IFERROR(__xludf.DUMMYFUNCTION("""COMPUTED_VALUE"""),"Verified online")</f>
        <v>Verified online</v>
      </c>
      <c r="S451" s="9" t="str">
        <f>IFERROR(__xludf.DUMMYFUNCTION("""COMPUTED_VALUE"""),"The HCC Closet provides gently used and new clothing, shoes and accessories for childrens and families at no cost.")</f>
        <v>The HCC Closet provides gently used and new clothing, shoes and accessories for childrens and families at no cost.</v>
      </c>
      <c r="T451" s="12" t="b">
        <f>IFERROR(__xludf.DUMMYFUNCTION("""COMPUTED_VALUE"""),FALSE)</f>
        <v>0</v>
      </c>
      <c r="U451" s="12" t="b">
        <f>IFERROR(__xludf.DUMMYFUNCTION("""COMPUTED_VALUE"""),FALSE)</f>
        <v>0</v>
      </c>
      <c r="V451" s="13" t="str">
        <f>IFERROR(__xludf.DUMMYFUNCTION("""COMPUTED_VALUE"""),"https://houstonchildrenscharity.org/programs/hcc-closet/")</f>
        <v>https://houstonchildrenscharity.org/programs/hcc-closet/</v>
      </c>
      <c r="W451" s="14" t="str">
        <f>IFERROR(__xludf.DUMMYFUNCTION("""COMPUTED_VALUE"""),"https://www.google.com/maps/place/Houston+Children's+Charity+Closet/@29.813218,-95.4684879,16z/data=!3m1!4b1!4m6!3m5!1s0x8640c70046913169:0x3900490624f818a1!8m2!3d29.8132134!4d-95.465913!16s%2Fg%2F11vwl7_jsh?entry=ttu&amp;g_ep=EgoyMDI1MTIwOS4wIKXMDSoKLDEwMDc5"&amp;"MjA2OUgBUAM%3D")</f>
        <v>https://www.google.com/maps/place/Houston+Children's+Charity+Closet/@29.813218,-95.4684879,16z/data=!3m1!4b1!4m6!3m5!1s0x8640c70046913169:0x3900490624f818a1!8m2!3d29.8132134!4d-95.465913!16s%2Fg%2F11vwl7_jsh?entry=ttu&amp;g_ep=EgoyMDI1MTIwOS4wIKXMDSoKLDEwMDc5MjA2OUgBUAM%3D</v>
      </c>
      <c r="X451" s="10"/>
      <c r="Y451" s="9" t="str">
        <f>IFERROR(__xludf.DUMMYFUNCTION("""COMPUTED_VALUE"""),"Houston")</f>
        <v>Houston</v>
      </c>
      <c r="Z451" s="9" t="str">
        <f>IFERROR(__xludf.DUMMYFUNCTION("""COMPUTED_VALUE"""),"Central Northwest, Fairbanks / Northwest Crossing, Lazybrook / Timbergrove, Oak Forest West, Westside")</f>
        <v>Central Northwest, Fairbanks / Northwest Crossing, Lazybrook / Timbergrove, Oak Forest West, Westside</v>
      </c>
      <c r="AA451" s="9" t="str">
        <f>IFERROR(__xludf.DUMMYFUNCTION("""COMPUTED_VALUE"""),"Houston Children's Charity")</f>
        <v>Houston Children's Charity</v>
      </c>
      <c r="AB451" s="9" t="str">
        <f>IFERROR(__xludf.DUMMYFUNCTION("""COMPUTED_VALUE"""),"Westside")</f>
        <v>Westside</v>
      </c>
    </row>
    <row r="452" ht="30.0" customHeight="1">
      <c r="A452" s="17">
        <v>451.0</v>
      </c>
      <c r="B452" s="8" t="str">
        <f>IFERROR(__xludf.DUMMYFUNCTION("""COMPUTED_VALUE"""),"[""99999""]")</f>
        <v>["99999"]</v>
      </c>
      <c r="C452" s="9" t="str">
        <f>IFERROR(__xludf.DUMMYFUNCTION("""COMPUTED_VALUE"""),"Houston Children's Charity")</f>
        <v>Houston Children's Charity</v>
      </c>
      <c r="D452" s="9" t="str">
        <f>IFERROR(__xludf.DUMMYFUNCTION("""COMPUTED_VALUE"""),"1600 West Loop South")</f>
        <v>1600 West Loop South</v>
      </c>
      <c r="E452" s="9" t="str">
        <f>IFERROR(__xludf.DUMMYFUNCTION("""COMPUTED_VALUE"""),"Suite 610")</f>
        <v>Suite 610</v>
      </c>
      <c r="F452" s="9" t="str">
        <f>IFERROR(__xludf.DUMMYFUNCTION("""COMPUTED_VALUE"""),"Houston")</f>
        <v>Houston</v>
      </c>
      <c r="G452" s="9" t="str">
        <f>IFERROR(__xludf.DUMMYFUNCTION("""COMPUTED_VALUE"""),"TX")</f>
        <v>TX</v>
      </c>
      <c r="H452" s="9" t="str">
        <f>IFERROR(__xludf.DUMMYFUNCTION("""COMPUTED_VALUE"""),"77027")</f>
        <v>77027</v>
      </c>
      <c r="I452" s="9" t="str">
        <f>IFERROR(__xludf.DUMMYFUNCTION("""COMPUTED_VALUE"""),"713-524-2878")</f>
        <v>713-524-2878</v>
      </c>
      <c r="J452" s="9" t="str">
        <f>IFERROR(__xludf.DUMMYFUNCTION("""COMPUTED_VALUE"""),"29.81363690564813, -95.46597736367714")</f>
        <v>29.81363690564813, -95.46597736367714</v>
      </c>
      <c r="K452" s="9" t="str">
        <f>IFERROR(__xludf.DUMMYFUNCTION("""COMPUTED_VALUE"""),"{""regular"":[{""days"":[""Mo"",""Tu"",""We"",""Th"",""Fr""],""open"":""09:00"",""close"":""17:00""}]}")</f>
        <v>{"regular":[{"days":["Mo","Tu","We","Th","Fr"],"open":"09:00","close":"17:00"}]}</v>
      </c>
      <c r="L452" s="9"/>
      <c r="M452" s="10">
        <f>IFERROR(__xludf.DUMMYFUNCTION("""COMPUTED_VALUE"""),36.0)</f>
        <v>36</v>
      </c>
      <c r="N452" s="10" t="str">
        <f>IFERROR(__xludf.DUMMYFUNCTION("""COMPUTED_VALUE"""),"Medical - Bill Payment")</f>
        <v>Medical - Bill Payment</v>
      </c>
      <c r="O452" s="10">
        <f>IFERROR(__xludf.DUMMYFUNCTION("""COMPUTED_VALUE"""),2.0)</f>
        <v>2</v>
      </c>
      <c r="P452" s="10" t="str">
        <f>IFERROR(__xludf.DUMMYFUNCTION("""COMPUTED_VALUE"""),"LIMITED")</f>
        <v>LIMITED</v>
      </c>
      <c r="Q452" s="11">
        <f>IFERROR(__xludf.DUMMYFUNCTION("""COMPUTED_VALUE"""),46019.0)</f>
        <v>46019</v>
      </c>
      <c r="R452" s="9" t="str">
        <f>IFERROR(__xludf.DUMMYFUNCTION("""COMPUTED_VALUE"""),"Verified online")</f>
        <v>Verified online</v>
      </c>
      <c r="S452" s="9" t="str">
        <f>IFERROR(__xludf.DUMMYFUNCTION("""COMPUTED_VALUE"""),"Financial assistance for families with children receiving treatment at the Texas Children's Hospital.
Assistance may include paying for lodging, mortgage, car payments, meals and parking.")</f>
        <v>Financial assistance for families with children receiving treatment at the Texas Children's Hospital.
Assistance may include paying for lodging, mortgage, car payments, meals and parking.</v>
      </c>
      <c r="T452" s="12" t="b">
        <f>IFERROR(__xludf.DUMMYFUNCTION("""COMPUTED_VALUE"""),FALSE)</f>
        <v>0</v>
      </c>
      <c r="U452" s="12" t="b">
        <f>IFERROR(__xludf.DUMMYFUNCTION("""COMPUTED_VALUE"""),FALSE)</f>
        <v>0</v>
      </c>
      <c r="V452" s="13" t="str">
        <f>IFERROR(__xludf.DUMMYFUNCTION("""COMPUTED_VALUE"""),"https://houstonchildrenscharity.org/programs/texas-childrens-hospital-emergency-fund/")</f>
        <v>https://houstonchildrenscharity.org/programs/texas-childrens-hospital-emergency-fund/</v>
      </c>
      <c r="W452" s="14" t="str">
        <f>IFERROR(__xludf.DUMMYFUNCTION("""COMPUTED_VALUE"""),"https://www.google.com/maps/place/Houston+Children's+Charity/@29.7520932,-95.4598968,17z/data=!3m2!4b1!5s0x8640c140acd58ac7:0xb7723db0b664d1ee!4m6!3m5!1s0x8640c0cebce503a5:0x40339623af6dace8!8m2!3d29.7520886!4d-95.4573219!16s%2Fg%2F1v_0k3vy?entry=ttu&amp;g_ep"&amp;"=EgoyMDI1MTIwOS4wIKXMDSoKLDEwMDc5MjA2OUgBUAM%3D")</f>
        <v>https://www.google.com/maps/place/Houston+Children's+Charity/@29.7520932,-95.4598968,17z/data=!3m2!4b1!5s0x8640c140acd58ac7:0xb7723db0b664d1ee!4m6!3m5!1s0x8640c0cebce503a5:0x40339623af6dace8!8m2!3d29.7520886!4d-95.4573219!16s%2Fg%2F1v_0k3vy?entry=ttu&amp;g_ep=EgoyMDI1MTIwOS4wIKXMDSoKLDEwMDc5MjA2OUgBUAM%3D</v>
      </c>
      <c r="X452" s="10"/>
      <c r="Y452" s="9" t="str">
        <f>IFERROR(__xludf.DUMMYFUNCTION("""COMPUTED_VALUE"""),"Houston")</f>
        <v>Houston</v>
      </c>
      <c r="Z452" s="9" t="str">
        <f>IFERROR(__xludf.DUMMYFUNCTION("""COMPUTED_VALUE"""),"Afton Oaks, Greenway / Upper Kirby Area, Highland Village, River Oaks District, Westside")</f>
        <v>Afton Oaks, Greenway / Upper Kirby Area, Highland Village, River Oaks District, Westside</v>
      </c>
      <c r="AA452" s="9" t="str">
        <f>IFERROR(__xludf.DUMMYFUNCTION("""COMPUTED_VALUE"""),"Houston Children's Charity")</f>
        <v>Houston Children's Charity</v>
      </c>
      <c r="AB452" s="9" t="str">
        <f>IFERROR(__xludf.DUMMYFUNCTION("""COMPUTED_VALUE"""),"Afton Oaks")</f>
        <v>Afton Oaks</v>
      </c>
    </row>
    <row r="453" ht="30.0" customHeight="1">
      <c r="A453" s="17">
        <v>452.0</v>
      </c>
      <c r="B453" s="8" t="str">
        <f>IFERROR(__xludf.DUMMYFUNCTION("""COMPUTED_VALUE"""),"[""99999""]")</f>
        <v>["99999"]</v>
      </c>
      <c r="C453" s="9" t="str">
        <f>IFERROR(__xludf.DUMMYFUNCTION("""COMPUTED_VALUE"""),"Houston Children's Charity")</f>
        <v>Houston Children's Charity</v>
      </c>
      <c r="D453" s="9" t="str">
        <f>IFERROR(__xludf.DUMMYFUNCTION("""COMPUTED_VALUE"""),"1600 West Loop South")</f>
        <v>1600 West Loop South</v>
      </c>
      <c r="E453" s="9" t="str">
        <f>IFERROR(__xludf.DUMMYFUNCTION("""COMPUTED_VALUE"""),"Suite 610")</f>
        <v>Suite 610</v>
      </c>
      <c r="F453" s="9" t="str">
        <f>IFERROR(__xludf.DUMMYFUNCTION("""COMPUTED_VALUE"""),"Houston")</f>
        <v>Houston</v>
      </c>
      <c r="G453" s="9" t="str">
        <f>IFERROR(__xludf.DUMMYFUNCTION("""COMPUTED_VALUE"""),"TX")</f>
        <v>TX</v>
      </c>
      <c r="H453" s="9" t="str">
        <f>IFERROR(__xludf.DUMMYFUNCTION("""COMPUTED_VALUE"""),"77027")</f>
        <v>77027</v>
      </c>
      <c r="I453" s="9" t="str">
        <f>IFERROR(__xludf.DUMMYFUNCTION("""COMPUTED_VALUE"""),"713-524-2878")</f>
        <v>713-524-2878</v>
      </c>
      <c r="J453" s="9" t="str">
        <f>IFERROR(__xludf.DUMMYFUNCTION("""COMPUTED_VALUE"""),"29.752228267922707, -95.45727898119307")</f>
        <v>29.752228267922707, -95.45727898119307</v>
      </c>
      <c r="K453" s="9" t="str">
        <f>IFERROR(__xludf.DUMMYFUNCTION("""COMPUTED_VALUE"""),"{""regular"":[{""days"":[""Mo"",""Tu"",""We"",""Th"",""Fr""],""open"":""09:00"",""close"":""17:00""}]}")</f>
        <v>{"regular":[{"days":["Mo","Tu","We","Th","Fr"],"open":"09:00","close":"17:00"}]}</v>
      </c>
      <c r="L453" s="9" t="str">
        <f>IFERROR(__xludf.DUMMYFUNCTION("""COMPUTED_VALUE"""),"Apply online")</f>
        <v>Apply online</v>
      </c>
      <c r="M453" s="10">
        <f>IFERROR(__xludf.DUMMYFUNCTION("""COMPUTED_VALUE"""),53.0)</f>
        <v>53</v>
      </c>
      <c r="N453" s="10" t="str">
        <f>IFERROR(__xludf.DUMMYFUNCTION("""COMPUTED_VALUE"""),"Transportation")</f>
        <v>Transportation</v>
      </c>
      <c r="O453" s="10">
        <f>IFERROR(__xludf.DUMMYFUNCTION("""COMPUTED_VALUE"""),1.0)</f>
        <v>1</v>
      </c>
      <c r="P453" s="10" t="str">
        <f>IFERROR(__xludf.DUMMYFUNCTION("""COMPUTED_VALUE"""),"ACTIVE")</f>
        <v>ACTIVE</v>
      </c>
      <c r="Q453" s="11">
        <f>IFERROR(__xludf.DUMMYFUNCTION("""COMPUTED_VALUE"""),46019.0)</f>
        <v>46019</v>
      </c>
      <c r="R453" s="9" t="str">
        <f>IFERROR(__xludf.DUMMYFUNCTION("""COMPUTED_VALUE"""),"Verified online")</f>
        <v>Verified online</v>
      </c>
      <c r="S453" s="9" t="str">
        <f>IFERROR(__xludf.DUMMYFUNCTION("""COMPUTED_VALUE"""),"Through their Chariots for Children program give handicapped accessible vans to families with disabled, wheelchair-bound children")</f>
        <v>Through their Chariots for Children program give handicapped accessible vans to families with disabled, wheelchair-bound children</v>
      </c>
      <c r="T453" s="12" t="b">
        <f>IFERROR(__xludf.DUMMYFUNCTION("""COMPUTED_VALUE"""),FALSE)</f>
        <v>0</v>
      </c>
      <c r="U453" s="12" t="b">
        <f>IFERROR(__xludf.DUMMYFUNCTION("""COMPUTED_VALUE"""),FALSE)</f>
        <v>0</v>
      </c>
      <c r="V453" s="13" t="str">
        <f>IFERROR(__xludf.DUMMYFUNCTION("""COMPUTED_VALUE"""),"https://houstonchildrenscharity.org/programs/chariots-children/")</f>
        <v>https://houstonchildrenscharity.org/programs/chariots-children/</v>
      </c>
      <c r="W453" s="14" t="str">
        <f>IFERROR(__xludf.DUMMYFUNCTION("""COMPUTED_VALUE"""),"https://www.google.com/maps/place/Houston+Children's+Charity/@29.7520932,-95.4598968,17z/data=!3m2!4b1!5s0x8640c140acd58ac7:0xb7723db0b664d1ee!4m6!3m5!1s0x8640c0cebce503a5:0x40339623af6dace8!8m2!3d29.7520886!4d-95.4573219!16s%2Fg%2F1v_0k3vy?entry=ttu&amp;g_ep"&amp;"=EgoyMDI1MTIwOS4wIKXMDSoKLDEwMDc5MjA2OUgBUAM%3D")</f>
        <v>https://www.google.com/maps/place/Houston+Children's+Charity/@29.7520932,-95.4598968,17z/data=!3m2!4b1!5s0x8640c140acd58ac7:0xb7723db0b664d1ee!4m6!3m5!1s0x8640c0cebce503a5:0x40339623af6dace8!8m2!3d29.7520886!4d-95.4573219!16s%2Fg%2F1v_0k3vy?entry=ttu&amp;g_ep=EgoyMDI1MTIwOS4wIKXMDSoKLDEwMDc5MjA2OUgBUAM%3D</v>
      </c>
      <c r="X453" s="10"/>
      <c r="Y453" s="9" t="str">
        <f>IFERROR(__xludf.DUMMYFUNCTION("""COMPUTED_VALUE"""),"Houston")</f>
        <v>Houston</v>
      </c>
      <c r="Z453" s="9" t="str">
        <f>IFERROR(__xludf.DUMMYFUNCTION("""COMPUTED_VALUE"""),"Afton Oaks, Greenway / Upper Kirby Area, Highland Village, River Oaks District, Westside")</f>
        <v>Afton Oaks, Greenway / Upper Kirby Area, Highland Village, River Oaks District, Westside</v>
      </c>
      <c r="AA453" s="9" t="str">
        <f>IFERROR(__xludf.DUMMYFUNCTION("""COMPUTED_VALUE"""),"Houston Children's Charity")</f>
        <v>Houston Children's Charity</v>
      </c>
      <c r="AB453" s="9" t="str">
        <f>IFERROR(__xludf.DUMMYFUNCTION("""COMPUTED_VALUE"""),"Westside")</f>
        <v>Westside</v>
      </c>
    </row>
    <row r="454" ht="30.0" customHeight="1">
      <c r="A454" s="17">
        <v>453.0</v>
      </c>
      <c r="B454" s="8" t="str">
        <f>IFERROR(__xludf.DUMMYFUNCTION("""COMPUTED_VALUE"""),"[""99999""]")</f>
        <v>["99999"]</v>
      </c>
      <c r="C454" s="9" t="str">
        <f>IFERROR(__xludf.DUMMYFUNCTION("""COMPUTED_VALUE"""),"Houston Children's Charity")</f>
        <v>Houston Children's Charity</v>
      </c>
      <c r="D454" s="9" t="str">
        <f>IFERROR(__xludf.DUMMYFUNCTION("""COMPUTED_VALUE"""),"1600 West Loop South")</f>
        <v>1600 West Loop South</v>
      </c>
      <c r="E454" s="9" t="str">
        <f>IFERROR(__xludf.DUMMYFUNCTION("""COMPUTED_VALUE"""),"Suite 610")</f>
        <v>Suite 610</v>
      </c>
      <c r="F454" s="9" t="str">
        <f>IFERROR(__xludf.DUMMYFUNCTION("""COMPUTED_VALUE"""),"Houston")</f>
        <v>Houston</v>
      </c>
      <c r="G454" s="9" t="str">
        <f>IFERROR(__xludf.DUMMYFUNCTION("""COMPUTED_VALUE"""),"TX")</f>
        <v>TX</v>
      </c>
      <c r="H454" s="9" t="str">
        <f>IFERROR(__xludf.DUMMYFUNCTION("""COMPUTED_VALUE"""),"77027")</f>
        <v>77027</v>
      </c>
      <c r="I454" s="9" t="str">
        <f>IFERROR(__xludf.DUMMYFUNCTION("""COMPUTED_VALUE"""),"713-524-2878")</f>
        <v>713-524-2878</v>
      </c>
      <c r="J454" s="9" t="str">
        <f>IFERROR(__xludf.DUMMYFUNCTION("""COMPUTED_VALUE"""),"29.752228267922707, -95.45727898119307")</f>
        <v>29.752228267922707, -95.45727898119307</v>
      </c>
      <c r="K454" s="9" t="str">
        <f>IFERROR(__xludf.DUMMYFUNCTION("""COMPUTED_VALUE"""),"{""regular"":[{""days"":[""Mo"",""Tu"",""We"",""Th"",""Fr""],""open"":""09:00"",""close"":""17:00""}]}")</f>
        <v>{"regular":[{"days":["Mo","Tu","We","Th","Fr"],"open":"09:00","close":"17:00"}]}</v>
      </c>
      <c r="L454" s="9" t="str">
        <f>IFERROR(__xludf.DUMMYFUNCTION("""COMPUTED_VALUE"""),"Apply online")</f>
        <v>Apply online</v>
      </c>
      <c r="M454" s="10">
        <f>IFERROR(__xludf.DUMMYFUNCTION("""COMPUTED_VALUE"""),64.0)</f>
        <v>64</v>
      </c>
      <c r="N454" s="10" t="str">
        <f>IFERROR(__xludf.DUMMYFUNCTION("""COMPUTED_VALUE"""),"Christmas")</f>
        <v>Christmas</v>
      </c>
      <c r="O454" s="10">
        <f>IFERROR(__xludf.DUMMYFUNCTION("""COMPUTED_VALUE"""),1.0)</f>
        <v>1</v>
      </c>
      <c r="P454" s="10" t="str">
        <f>IFERROR(__xludf.DUMMYFUNCTION("""COMPUTED_VALUE"""),"ACTIVE")</f>
        <v>ACTIVE</v>
      </c>
      <c r="Q454" s="11">
        <f>IFERROR(__xludf.DUMMYFUNCTION("""COMPUTED_VALUE"""),46019.0)</f>
        <v>46019</v>
      </c>
      <c r="R454" s="9" t="str">
        <f>IFERROR(__xludf.DUMMYFUNCTION("""COMPUTED_VALUE"""),"Verified online")</f>
        <v>Verified online</v>
      </c>
      <c r="S454" s="9" t="str">
        <f>IFERROR(__xludf.DUMMYFUNCTION("""COMPUTED_VALUE"""),"Annual toy distribution for children at event held at George R Brown Convention Center.
Applications are taken online until all spots are filled, prior to the Holiday season.")</f>
        <v>Annual toy distribution for children at event held at George R Brown Convention Center.
Applications are taken online until all spots are filled, prior to the Holiday season.</v>
      </c>
      <c r="T454" s="12" t="b">
        <f>IFERROR(__xludf.DUMMYFUNCTION("""COMPUTED_VALUE"""),FALSE)</f>
        <v>0</v>
      </c>
      <c r="U454" s="12" t="b">
        <f>IFERROR(__xludf.DUMMYFUNCTION("""COMPUTED_VALUE"""),FALSE)</f>
        <v>0</v>
      </c>
      <c r="V454" s="13" t="str">
        <f>IFERROR(__xludf.DUMMYFUNCTION("""COMPUTED_VALUE"""),"https://houstonchildrenscharity.org/programs/annual-toy-distribution/")</f>
        <v>https://houstonchildrenscharity.org/programs/annual-toy-distribution/</v>
      </c>
      <c r="W454" s="14" t="str">
        <f>IFERROR(__xludf.DUMMYFUNCTION("""COMPUTED_VALUE"""),"https://www.google.com/maps/place/Houston+Children's+Charity/@29.7520932,-95.4598968,17z/data=!3m2!4b1!5s0x8640c140acd58ac7:0xb7723db0b664d1ee!4m6!3m5!1s0x8640c0cebce503a5:0x40339623af6dace8!8m2!3d29.7520886!4d-95.4573219!16s%2Fg%2F1v_0k3vy?entry=ttu&amp;g_ep"&amp;"=EgoyMDI1MTIwOS4wIKXMDSoKLDEwMDc5MjA2OUgBUAM%3D")</f>
        <v>https://www.google.com/maps/place/Houston+Children's+Charity/@29.7520932,-95.4598968,17z/data=!3m2!4b1!5s0x8640c140acd58ac7:0xb7723db0b664d1ee!4m6!3m5!1s0x8640c0cebce503a5:0x40339623af6dace8!8m2!3d29.7520886!4d-95.4573219!16s%2Fg%2F1v_0k3vy?entry=ttu&amp;g_ep=EgoyMDI1MTIwOS4wIKXMDSoKLDEwMDc5MjA2OUgBUAM%3D</v>
      </c>
      <c r="X454" s="10"/>
      <c r="Y454" s="9" t="str">
        <f>IFERROR(__xludf.DUMMYFUNCTION("""COMPUTED_VALUE"""),"Houston")</f>
        <v>Houston</v>
      </c>
      <c r="Z454" s="9" t="str">
        <f>IFERROR(__xludf.DUMMYFUNCTION("""COMPUTED_VALUE"""),"Afton Oaks, Greenway / Upper Kirby Area, Highland Village, River Oaks District, Westside")</f>
        <v>Afton Oaks, Greenway / Upper Kirby Area, Highland Village, River Oaks District, Westside</v>
      </c>
      <c r="AA454" s="9" t="str">
        <f>IFERROR(__xludf.DUMMYFUNCTION("""COMPUTED_VALUE"""),"Houston Children's Charity")</f>
        <v>Houston Children's Charity</v>
      </c>
      <c r="AB454" s="9" t="str">
        <f>IFERROR(__xludf.DUMMYFUNCTION("""COMPUTED_VALUE"""),"Westside")</f>
        <v>Westside</v>
      </c>
    </row>
    <row r="455" ht="30.0" customHeight="1">
      <c r="A455" s="17">
        <v>454.0</v>
      </c>
      <c r="B455" s="8" t="str">
        <f>IFERROR(__xludf.DUMMYFUNCTION("""COMPUTED_VALUE"""),"[""99999""]")</f>
        <v>["99999"]</v>
      </c>
      <c r="C455" s="9" t="str">
        <f>IFERROR(__xludf.DUMMYFUNCTION("""COMPUTED_VALUE"""),"Houston Children's Charity")</f>
        <v>Houston Children's Charity</v>
      </c>
      <c r="D455" s="9" t="str">
        <f>IFERROR(__xludf.DUMMYFUNCTION("""COMPUTED_VALUE"""),"1600 West Loop South")</f>
        <v>1600 West Loop South</v>
      </c>
      <c r="E455" s="9" t="str">
        <f>IFERROR(__xludf.DUMMYFUNCTION("""COMPUTED_VALUE"""),"Suite 610")</f>
        <v>Suite 610</v>
      </c>
      <c r="F455" s="9" t="str">
        <f>IFERROR(__xludf.DUMMYFUNCTION("""COMPUTED_VALUE"""),"Houston")</f>
        <v>Houston</v>
      </c>
      <c r="G455" s="9" t="str">
        <f>IFERROR(__xludf.DUMMYFUNCTION("""COMPUTED_VALUE"""),"TX")</f>
        <v>TX</v>
      </c>
      <c r="H455" s="9" t="str">
        <f>IFERROR(__xludf.DUMMYFUNCTION("""COMPUTED_VALUE"""),"77027")</f>
        <v>77027</v>
      </c>
      <c r="I455" s="9" t="str">
        <f>IFERROR(__xludf.DUMMYFUNCTION("""COMPUTED_VALUE"""),"713-524-2878")</f>
        <v>713-524-2878</v>
      </c>
      <c r="J455" s="9" t="str">
        <f>IFERROR(__xludf.DUMMYFUNCTION("""COMPUTED_VALUE"""),"29.752228267922707, -95.45727898119307")</f>
        <v>29.752228267922707, -95.45727898119307</v>
      </c>
      <c r="K455" s="9" t="str">
        <f>IFERROR(__xludf.DUMMYFUNCTION("""COMPUTED_VALUE"""),"{""regular"":[{""days"":[""Mo"",""Tu"",""We"",""Th"",""Fr""],""open"":""09:00"",""close"":""17:00""}]}")</f>
        <v>{"regular":[{"days":["Mo","Tu","We","Th","Fr"],"open":"09:00","close":"17:00"}]}</v>
      </c>
      <c r="L455" s="9" t="str">
        <f>IFERROR(__xludf.DUMMYFUNCTION("""COMPUTED_VALUE"""),"Apply online")</f>
        <v>Apply online</v>
      </c>
      <c r="M455" s="10">
        <f>IFERROR(__xludf.DUMMYFUNCTION("""COMPUTED_VALUE"""),65.0)</f>
        <v>65</v>
      </c>
      <c r="N455" s="10" t="str">
        <f>IFERROR(__xludf.DUMMYFUNCTION("""COMPUTED_VALUE"""),"Other")</f>
        <v>Other</v>
      </c>
      <c r="O455" s="10">
        <f>IFERROR(__xludf.DUMMYFUNCTION("""COMPUTED_VALUE"""),1.0)</f>
        <v>1</v>
      </c>
      <c r="P455" s="10" t="str">
        <f>IFERROR(__xludf.DUMMYFUNCTION("""COMPUTED_VALUE"""),"ACTIVE")</f>
        <v>ACTIVE</v>
      </c>
      <c r="Q455" s="11">
        <f>IFERROR(__xludf.DUMMYFUNCTION("""COMPUTED_VALUE"""),46019.0)</f>
        <v>46019</v>
      </c>
      <c r="R455" s="9" t="str">
        <f>IFERROR(__xludf.DUMMYFUNCTION("""COMPUTED_VALUE"""),"Verified online")</f>
        <v>Verified online</v>
      </c>
      <c r="S455" s="9" t="str">
        <f>IFERROR(__xludf.DUMMYFUNCTION("""COMPUTED_VALUE"""),"Furniture
Through a program called A Better Night's Sleep provides mattresses, bed frames, sheets pillows and blankets to children.")</f>
        <v>Furniture
Through a program called A Better Night's Sleep provides mattresses, bed frames, sheets pillows and blankets to children.</v>
      </c>
      <c r="T455" s="12" t="b">
        <f>IFERROR(__xludf.DUMMYFUNCTION("""COMPUTED_VALUE"""),TRUE)</f>
        <v>1</v>
      </c>
      <c r="U455" s="12" t="b">
        <f>IFERROR(__xludf.DUMMYFUNCTION("""COMPUTED_VALUE"""),FALSE)</f>
        <v>0</v>
      </c>
      <c r="V455" s="13" t="str">
        <f>IFERROR(__xludf.DUMMYFUNCTION("""COMPUTED_VALUE"""),"https://houstonchildrenscharity.org/programs/better-nights-sleep/")</f>
        <v>https://houstonchildrenscharity.org/programs/better-nights-sleep/</v>
      </c>
      <c r="W455" s="14" t="str">
        <f>IFERROR(__xludf.DUMMYFUNCTION("""COMPUTED_VALUE"""),"https://www.google.com/maps/place/Houston+Children's+Charity/@29.7520932,-95.4598968,17z/data=!3m2!4b1!5s0x8640c140acd58ac7:0xb7723db0b664d1ee!4m6!3m5!1s0x8640c0cebce503a5:0x40339623af6dace8!8m2!3d29.7520886!4d-95.4573219!16s%2Fg%2F1v_0k3vy?entry=ttu&amp;g_ep"&amp;"=EgoyMDI1MTIwOS4wIKXMDSoKLDEwMDc5MjA2OUgBUAM%3D")</f>
        <v>https://www.google.com/maps/place/Houston+Children's+Charity/@29.7520932,-95.4598968,17z/data=!3m2!4b1!5s0x8640c140acd58ac7:0xb7723db0b664d1ee!4m6!3m5!1s0x8640c0cebce503a5:0x40339623af6dace8!8m2!3d29.7520886!4d-95.4573219!16s%2Fg%2F1v_0k3vy?entry=ttu&amp;g_ep=EgoyMDI1MTIwOS4wIKXMDSoKLDEwMDc5MjA2OUgBUAM%3D</v>
      </c>
      <c r="X455" s="10"/>
      <c r="Y455" s="9" t="str">
        <f>IFERROR(__xludf.DUMMYFUNCTION("""COMPUTED_VALUE"""),"Houston")</f>
        <v>Houston</v>
      </c>
      <c r="Z455" s="9" t="str">
        <f>IFERROR(__xludf.DUMMYFUNCTION("""COMPUTED_VALUE"""),"Afton Oaks, Greenway / Upper Kirby Area, Highland Village, River Oaks District, Westside")</f>
        <v>Afton Oaks, Greenway / Upper Kirby Area, Highland Village, River Oaks District, Westside</v>
      </c>
      <c r="AA455" s="9" t="str">
        <f>IFERROR(__xludf.DUMMYFUNCTION("""COMPUTED_VALUE"""),"Houston Children's Charity")</f>
        <v>Houston Children's Charity</v>
      </c>
      <c r="AB455" s="9" t="str">
        <f>IFERROR(__xludf.DUMMYFUNCTION("""COMPUTED_VALUE"""),"Westside")</f>
        <v>Westside</v>
      </c>
    </row>
    <row r="456" ht="30.0" customHeight="1">
      <c r="A456" s="17">
        <v>455.0</v>
      </c>
      <c r="B456" s="8" t="str">
        <f>IFERROR(__xludf.DUMMYFUNCTION("""COMPUTED_VALUE"""),"[""99999""]")</f>
        <v>["99999"]</v>
      </c>
      <c r="C456" s="9" t="str">
        <f>IFERROR(__xludf.DUMMYFUNCTION("""COMPUTED_VALUE"""),"Houston Children's Charity")</f>
        <v>Houston Children's Charity</v>
      </c>
      <c r="D456" s="9" t="str">
        <f>IFERROR(__xludf.DUMMYFUNCTION("""COMPUTED_VALUE"""),"1600 West Loop South")</f>
        <v>1600 West Loop South</v>
      </c>
      <c r="E456" s="9" t="str">
        <f>IFERROR(__xludf.DUMMYFUNCTION("""COMPUTED_VALUE"""),"Suite 610")</f>
        <v>Suite 610</v>
      </c>
      <c r="F456" s="9" t="str">
        <f>IFERROR(__xludf.DUMMYFUNCTION("""COMPUTED_VALUE"""),"Houston")</f>
        <v>Houston</v>
      </c>
      <c r="G456" s="9" t="str">
        <f>IFERROR(__xludf.DUMMYFUNCTION("""COMPUTED_VALUE"""),"TX")</f>
        <v>TX</v>
      </c>
      <c r="H456" s="9" t="str">
        <f>IFERROR(__xludf.DUMMYFUNCTION("""COMPUTED_VALUE"""),"77027")</f>
        <v>77027</v>
      </c>
      <c r="I456" s="9" t="str">
        <f>IFERROR(__xludf.DUMMYFUNCTION("""COMPUTED_VALUE"""),"713-524-2878")</f>
        <v>713-524-2878</v>
      </c>
      <c r="J456" s="9" t="str">
        <f>IFERROR(__xludf.DUMMYFUNCTION("""COMPUTED_VALUE"""),"29.752228267922707, -95.45727898119307")</f>
        <v>29.752228267922707, -95.45727898119307</v>
      </c>
      <c r="K456" s="9" t="str">
        <f>IFERROR(__xludf.DUMMYFUNCTION("""COMPUTED_VALUE"""),"{""regular"":[{""days"":[""Mo"",""Tu"",""We"",""Th"",""Fr""],""open"":""09:00"",""close"":""17:00""}]}")</f>
        <v>{"regular":[{"days":["Mo","Tu","We","Th","Fr"],"open":"09:00","close":"17:00"}]}</v>
      </c>
      <c r="L456" s="9" t="str">
        <f>IFERROR(__xludf.DUMMYFUNCTION("""COMPUTED_VALUE"""),"Apply online")</f>
        <v>Apply online</v>
      </c>
      <c r="M456" s="10">
        <f>IFERROR(__xludf.DUMMYFUNCTION("""COMPUTED_VALUE"""),65.0)</f>
        <v>65</v>
      </c>
      <c r="N456" s="10" t="str">
        <f>IFERROR(__xludf.DUMMYFUNCTION("""COMPUTED_VALUE"""),"Other")</f>
        <v>Other</v>
      </c>
      <c r="O456" s="10">
        <f>IFERROR(__xludf.DUMMYFUNCTION("""COMPUTED_VALUE"""),1.0)</f>
        <v>1</v>
      </c>
      <c r="P456" s="10" t="str">
        <f>IFERROR(__xludf.DUMMYFUNCTION("""COMPUTED_VALUE"""),"ACTIVE")</f>
        <v>ACTIVE</v>
      </c>
      <c r="Q456" s="11">
        <f>IFERROR(__xludf.DUMMYFUNCTION("""COMPUTED_VALUE"""),46019.0)</f>
        <v>46019</v>
      </c>
      <c r="R456" s="9" t="str">
        <f>IFERROR(__xludf.DUMMYFUNCTION("""COMPUTED_VALUE"""),"Verified online")</f>
        <v>Verified online</v>
      </c>
      <c r="S456" s="9" t="str">
        <f>IFERROR(__xludf.DUMMYFUNCTION("""COMPUTED_VALUE"""),"Student Backpacks
Back2School program provides students with backpacks filled with school supplies. 
This is for specific school districts in five counties in the Houston area.
Applications are open for a certain time period before the start of the school"&amp;" year.")</f>
        <v>Student Backpacks
Back2School program provides students with backpacks filled with school supplies. 
This is for specific school districts in five counties in the Houston area.
Applications are open for a certain time period before the start of the school year.</v>
      </c>
      <c r="T456" s="12" t="b">
        <f>IFERROR(__xludf.DUMMYFUNCTION("""COMPUTED_VALUE"""),TRUE)</f>
        <v>1</v>
      </c>
      <c r="U456" s="12" t="b">
        <f>IFERROR(__xludf.DUMMYFUNCTION("""COMPUTED_VALUE"""),FALSE)</f>
        <v>0</v>
      </c>
      <c r="V456" s="13" t="str">
        <f>IFERROR(__xludf.DUMMYFUNCTION("""COMPUTED_VALUE"""),"https://houstonchildrenscharity.org/programs/back-2-school/")</f>
        <v>https://houstonchildrenscharity.org/programs/back-2-school/</v>
      </c>
      <c r="W456" s="14" t="str">
        <f>IFERROR(__xludf.DUMMYFUNCTION("""COMPUTED_VALUE"""),"https://www.google.com/maps/place/Houston+Children's+Charity/@29.7520932,-95.4598968,17z/data=!3m2!4b1!5s0x8640c140acd58ac7:0xb7723db0b664d1ee!4m6!3m5!1s0x8640c0cebce503a5:0x40339623af6dace8!8m2!3d29.7520886!4d-95.4573219!16s%2Fg%2F1v_0k3vy?entry=ttu&amp;g_ep"&amp;"=EgoyMDI1MTIwOS4wIKXMDSoKLDEwMDc5MjA2OUgBUAM%3D")</f>
        <v>https://www.google.com/maps/place/Houston+Children's+Charity/@29.7520932,-95.4598968,17z/data=!3m2!4b1!5s0x8640c140acd58ac7:0xb7723db0b664d1ee!4m6!3m5!1s0x8640c0cebce503a5:0x40339623af6dace8!8m2!3d29.7520886!4d-95.4573219!16s%2Fg%2F1v_0k3vy?entry=ttu&amp;g_ep=EgoyMDI1MTIwOS4wIKXMDSoKLDEwMDc5MjA2OUgBUAM%3D</v>
      </c>
      <c r="X456" s="10"/>
      <c r="Y456" s="9" t="str">
        <f>IFERROR(__xludf.DUMMYFUNCTION("""COMPUTED_VALUE"""),"Houston")</f>
        <v>Houston</v>
      </c>
      <c r="Z456" s="9" t="str">
        <f>IFERROR(__xludf.DUMMYFUNCTION("""COMPUTED_VALUE"""),"Afton Oaks, Greenway / Upper Kirby Area, Highland Village, River Oaks District, Westside")</f>
        <v>Afton Oaks, Greenway / Upper Kirby Area, Highland Village, River Oaks District, Westside</v>
      </c>
      <c r="AA456" s="9" t="str">
        <f>IFERROR(__xludf.DUMMYFUNCTION("""COMPUTED_VALUE"""),"Houston Children's Charity")</f>
        <v>Houston Children's Charity</v>
      </c>
      <c r="AB456" s="9" t="str">
        <f>IFERROR(__xludf.DUMMYFUNCTION("""COMPUTED_VALUE"""),"Westside")</f>
        <v>Westside</v>
      </c>
    </row>
    <row r="457" ht="30.0" customHeight="1">
      <c r="A457" s="17">
        <v>456.0</v>
      </c>
      <c r="B45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457" s="9" t="str">
        <f>IFERROR(__xludf.DUMMYFUNCTION("""COMPUTED_VALUE"""),"Houston Eviction Advocacy Center")</f>
        <v>Houston Eviction Advocacy Center</v>
      </c>
      <c r="D457" s="9"/>
      <c r="E457" s="9"/>
      <c r="F457" s="9" t="str">
        <f>IFERROR(__xludf.DUMMYFUNCTION("""COMPUTED_VALUE"""),"Houston")</f>
        <v>Houston</v>
      </c>
      <c r="G457" s="9" t="str">
        <f>IFERROR(__xludf.DUMMYFUNCTION("""COMPUTED_VALUE"""),"TX")</f>
        <v>TX</v>
      </c>
      <c r="H457" s="9" t="str">
        <f>IFERROR(__xludf.DUMMYFUNCTION("""COMPUTED_VALUE"""),"77002")</f>
        <v>77002</v>
      </c>
      <c r="I457" s="9" t="str">
        <f>IFERROR(__xludf.DUMMYFUNCTION("""COMPUTED_VALUE"""),"346-771-7260")</f>
        <v>346-771-7260</v>
      </c>
      <c r="J457" s="9" t="str">
        <f>IFERROR(__xludf.DUMMYFUNCTION("""COMPUTED_VALUE"""),"29.756845, -95.365652")</f>
        <v>29.756845, -95.365652</v>
      </c>
      <c r="K457" s="9" t="str">
        <f>IFERROR(__xludf.DUMMYFUNCTION("""COMPUTED_VALUE"""),"{""regular"":[{""days"":[""Mo"",""Tu"",""We"",""Th"",""Fr""],""open"":null,""close"":null}]}")</f>
        <v>{"regular":[{"days":["Mo","Tu","We","Th","Fr"],"open":null,"close":null}]}</v>
      </c>
      <c r="L457" s="9"/>
      <c r="M457" s="10">
        <f>IFERROR(__xludf.DUMMYFUNCTION("""COMPUTED_VALUE"""),54.0)</f>
        <v>54</v>
      </c>
      <c r="N457" s="10" t="str">
        <f>IFERROR(__xludf.DUMMYFUNCTION("""COMPUTED_VALUE"""),"Legal")</f>
        <v>Legal</v>
      </c>
      <c r="O457" s="10">
        <f>IFERROR(__xludf.DUMMYFUNCTION("""COMPUTED_VALUE"""),1.0)</f>
        <v>1</v>
      </c>
      <c r="P457" s="10" t="str">
        <f>IFERROR(__xludf.DUMMYFUNCTION("""COMPUTED_VALUE"""),"ACTIVE")</f>
        <v>ACTIVE</v>
      </c>
      <c r="Q457" s="11">
        <f>IFERROR(__xludf.DUMMYFUNCTION("""COMPUTED_VALUE"""),46040.0)</f>
        <v>46040</v>
      </c>
      <c r="R457" s="9" t="str">
        <f>IFERROR(__xludf.DUMMYFUNCTION("""COMPUTED_VALUE"""),"Matt Ryan referral")</f>
        <v>Matt Ryan referral</v>
      </c>
      <c r="S457" s="9" t="str">
        <f>IFERROR(__xludf.DUMMYFUNCTION("""COMPUTED_VALUE"""),"Free legal assistance to Harris County tenant facing eviction.
Services include legal representation, housing assistance, rent relief and clearinghouse of tenant and eviction information. 
Assistance is provided regardless of income, race, immigration sta"&amp;"tus or native language.")</f>
        <v>Free legal assistance to Harris County tenant facing eviction.
Services include legal representation, housing assistance, rent relief and clearinghouse of tenant and eviction information. 
Assistance is provided regardless of income, race, immigration status or native language.</v>
      </c>
      <c r="T457" s="12" t="b">
        <f>IFERROR(__xludf.DUMMYFUNCTION("""COMPUTED_VALUE"""),FALSE)</f>
        <v>0</v>
      </c>
      <c r="U457" s="12" t="b">
        <f>IFERROR(__xludf.DUMMYFUNCTION("""COMPUTED_VALUE"""),FALSE)</f>
        <v>0</v>
      </c>
      <c r="V457" s="13" t="str">
        <f>IFERROR(__xludf.DUMMYFUNCTION("""COMPUTED_VALUE"""),"https://www.houstoneac.org/our-mission-vision-statement-and-guiding-principles/")</f>
        <v>https://www.houstoneac.org/our-mission-vision-statement-and-guiding-principles/</v>
      </c>
      <c r="W457" s="10"/>
      <c r="X457" s="10"/>
      <c r="Y457" s="9" t="str">
        <f>IFERROR(__xludf.DUMMYFUNCTION("""COMPUTED_VALUE"""),"Houston")</f>
        <v>Houston</v>
      </c>
      <c r="Z457"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57" s="9" t="str">
        <f>IFERROR(__xludf.DUMMYFUNCTION("""COMPUTED_VALUE"""),"Houston Eviction Advocacy Center")</f>
        <v>Houston Eviction Advocacy Center</v>
      </c>
      <c r="AB457" s="9" t="str">
        <f>IFERROR(__xludf.DUMMYFUNCTION("""COMPUTED_VALUE"""),"Downtown Houston")</f>
        <v>Downtown Houston</v>
      </c>
    </row>
    <row r="458" ht="30.0" customHeight="1">
      <c r="A458" s="17">
        <v>457.0</v>
      </c>
      <c r="B458" s="8" t="str">
        <f>IFERROR(__xludf.DUMMYFUNCTION("""COMPUTED_VALUE"""),"[""99999""]")</f>
        <v>["99999"]</v>
      </c>
      <c r="C458" s="9" t="str">
        <f>IFERROR(__xludf.DUMMYFUNCTION("""COMPUTED_VALUE"""),"Houston Eye Associates Foundation")</f>
        <v>Houston Eye Associates Foundation</v>
      </c>
      <c r="D458" s="9" t="str">
        <f>IFERROR(__xludf.DUMMYFUNCTION("""COMPUTED_VALUE"""),"7155 Old Katy Road")</f>
        <v>7155 Old Katy Road</v>
      </c>
      <c r="E458" s="9" t="str">
        <f>IFERROR(__xludf.DUMMYFUNCTION("""COMPUTED_VALUE"""),"Suite S110")</f>
        <v>Suite S110</v>
      </c>
      <c r="F458" s="9" t="str">
        <f>IFERROR(__xludf.DUMMYFUNCTION("""COMPUTED_VALUE"""),"Houston")</f>
        <v>Houston</v>
      </c>
      <c r="G458" s="9" t="str">
        <f>IFERROR(__xludf.DUMMYFUNCTION("""COMPUTED_VALUE"""),"TX")</f>
        <v>TX</v>
      </c>
      <c r="H458" s="9" t="str">
        <f>IFERROR(__xludf.DUMMYFUNCTION("""COMPUTED_VALUE"""),"77024")</f>
        <v>77024</v>
      </c>
      <c r="I458" s="9" t="str">
        <f>IFERROR(__xludf.DUMMYFUNCTION("""COMPUTED_VALUE"""),"713-668-6828")</f>
        <v>713-668-6828</v>
      </c>
      <c r="J458" s="9" t="str">
        <f>IFERROR(__xludf.DUMMYFUNCTION("""COMPUTED_VALUE"""),"29.783018344845797, -95.44826114965123")</f>
        <v>29.783018344845797, -95.44826114965123</v>
      </c>
      <c r="K458" s="9" t="str">
        <f>IFERROR(__xludf.DUMMYFUNCTION("""COMPUTED_VALUE"""),"{""regular"":[{""days"":[""Mo"",""Tu"",""We"",""Th"",""Fr""],""open"":""08:00"",""close"":""18:00""}]}")</f>
        <v>{"regular":[{"days":["Mo","Tu","We","Th","Fr"],"open":"08:00","close":"18:00"}]}</v>
      </c>
      <c r="L458" s="9" t="str">
        <f>IFERROR(__xludf.DUMMYFUNCTION("""COMPUTED_VALUE"""),"Apply online")</f>
        <v>Apply online</v>
      </c>
      <c r="M458" s="10">
        <f>IFERROR(__xludf.DUMMYFUNCTION("""COMPUTED_VALUE"""),32.0)</f>
        <v>32</v>
      </c>
      <c r="N458" s="10" t="str">
        <f>IFERROR(__xludf.DUMMYFUNCTION("""COMPUTED_VALUE"""),"Medical - Dental &amp; Vision")</f>
        <v>Medical - Dental &amp; Vision</v>
      </c>
      <c r="O458" s="10">
        <f>IFERROR(__xludf.DUMMYFUNCTION("""COMPUTED_VALUE"""),1.0)</f>
        <v>1</v>
      </c>
      <c r="P458" s="10" t="str">
        <f>IFERROR(__xludf.DUMMYFUNCTION("""COMPUTED_VALUE"""),"ACTIVE")</f>
        <v>ACTIVE</v>
      </c>
      <c r="Q458" s="11">
        <f>IFERROR(__xludf.DUMMYFUNCTION("""COMPUTED_VALUE"""),46049.0)</f>
        <v>46049</v>
      </c>
      <c r="R458" s="9" t="str">
        <f>IFERROR(__xludf.DUMMYFUNCTION("""COMPUTED_VALUE"""),"Verified online")</f>
        <v>Verified online</v>
      </c>
      <c r="S458" s="9" t="str">
        <f>IFERROR(__xludf.DUMMYFUNCTION("""COMPUTED_VALUE"""),"Vision
Surgical treatments for cataracts, retina and cornea issues, glaucoma and uveitis.
Eye Care for Kids program identifies students who cannot afford eyeglasses.  The foundation arranges for a free eye exam and provides eyeglasses.
All services are av"&amp;"ailable free of charge to low-income Texas residents.")</f>
        <v>Vision
Surgical treatments for cataracts, retina and cornea issues, glaucoma and uveitis.
Eye Care for Kids program identifies students who cannot afford eyeglasses.  The foundation arranges for a free eye exam and provides eyeglasses.
All services are available free of charge to low-income Texas residents.</v>
      </c>
      <c r="T458" s="12" t="b">
        <f>IFERROR(__xludf.DUMMYFUNCTION("""COMPUTED_VALUE"""),TRUE)</f>
        <v>1</v>
      </c>
      <c r="U458" s="12" t="b">
        <f>IFERROR(__xludf.DUMMYFUNCTION("""COMPUTED_VALUE"""),FALSE)</f>
        <v>0</v>
      </c>
      <c r="V458" s="13" t="str">
        <f>IFERROR(__xludf.DUMMYFUNCTION("""COMPUTED_VALUE"""),"https://foundation.houstoneye.com/about-us/")</f>
        <v>https://foundation.houstoneye.com/about-us/</v>
      </c>
      <c r="W458" s="14" t="str">
        <f>IFERROR(__xludf.DUMMYFUNCTION("""COMPUTED_VALUE"""),"https://www.google.com/maps/place/Eye+Care+For+Kids+%2F+Houston+Eye+Associates+Foundation/@29.7828415,-95.453116,17z/data=!3m1!5s0x8640c6c50d3c0871:0x5fcece2938a04fae!4m16!1m9!3m8!1s0x8640c20a0c1990f1:0x34fe64fa192faf32!2sEye+Care+For+Kids+%2F+Houston+Eye"&amp;"+Associates+Foundation!8m2!3d29.7828416!4d-95.4482397!9m1!1b1!16s%2Fg%2F1tcz_xhk!3m5!1s0x8640c20a0c1990f1:0x34fe64fa192faf32!8m2!3d29.7828416!4d-95.4482397!16s%2Fg%2F1tcz_xhk?entry=ttu&amp;g_ep=EgoyMDI2MDEyNS4wIKXMDSoKLDEwMDc5MjA2OUgBUAM%3D")</f>
        <v>https://www.google.com/maps/place/Eye+Care+For+Kids+%2F+Houston+Eye+Associates+Foundation/@29.7828415,-95.453116,17z/data=!3m1!5s0x8640c6c50d3c0871:0x5fcece2938a04fae!4m16!1m9!3m8!1s0x8640c20a0c1990f1:0x34fe64fa192faf32!2sEye+Care+For+Kids+%2F+Houston+Eye+Associates+Foundation!8m2!3d29.7828416!4d-95.4482397!9m1!1b1!16s%2Fg%2F1tcz_xhk!3m5!1s0x8640c20a0c1990f1:0x34fe64fa192faf32!8m2!3d29.7828416!4d-95.4482397!16s%2Fg%2F1tcz_xhk?entry=ttu&amp;g_ep=EgoyMDI2MDEyNS4wIKXMDSoKLDEwMDc5MjA2OUgBUAM%3D</v>
      </c>
      <c r="X458" s="10"/>
      <c r="Y458" s="9" t="str">
        <f>IFERROR(__xludf.DUMMYFUNCTION("""COMPUTED_VALUE"""),"Houston")</f>
        <v>Houston</v>
      </c>
      <c r="Z458" s="9" t="str">
        <f>IFERROR(__xludf.DUMMYFUNCTION("""COMPUTED_VALUE"""),"Hedwig Village, Hunters Creek, Memorial City, Memorial Villages, Northwest Houston, Westside")</f>
        <v>Hedwig Village, Hunters Creek, Memorial City, Memorial Villages, Northwest Houston, Westside</v>
      </c>
      <c r="AA458" s="9" t="str">
        <f>IFERROR(__xludf.DUMMYFUNCTION("""COMPUTED_VALUE"""),"Houston Eye Associates Foundation")</f>
        <v>Houston Eye Associates Foundation</v>
      </c>
      <c r="AB458" s="9" t="str">
        <f>IFERROR(__xludf.DUMMYFUNCTION("""COMPUTED_VALUE"""),"Memorial Villages")</f>
        <v>Memorial Villages</v>
      </c>
    </row>
    <row r="459" ht="30.0" customHeight="1">
      <c r="A459" s="17">
        <v>458.0</v>
      </c>
      <c r="B459" s="8" t="str">
        <f>IFERROR(__xludf.DUMMYFUNCTION("""COMPUTED_VALUE"""),"[""99999""]")</f>
        <v>["99999"]</v>
      </c>
      <c r="C459" s="9" t="str">
        <f>IFERROR(__xludf.DUMMYFUNCTION("""COMPUTED_VALUE"""),"Houston First Baptist Church")</f>
        <v>Houston First Baptist Church</v>
      </c>
      <c r="D459" s="9" t="str">
        <f>IFERROR(__xludf.DUMMYFUNCTION("""COMPUTED_VALUE"""),"8009 Long Point Road")</f>
        <v>8009 Long Point Road</v>
      </c>
      <c r="E459" s="9"/>
      <c r="F459" s="9" t="str">
        <f>IFERROR(__xludf.DUMMYFUNCTION("""COMPUTED_VALUE"""),"Houston")</f>
        <v>Houston</v>
      </c>
      <c r="G459" s="9" t="str">
        <f>IFERROR(__xludf.DUMMYFUNCTION("""COMPUTED_VALUE"""),"TX")</f>
        <v>TX</v>
      </c>
      <c r="H459" s="9" t="str">
        <f>IFERROR(__xludf.DUMMYFUNCTION("""COMPUTED_VALUE"""),"77055")</f>
        <v>77055</v>
      </c>
      <c r="I459" s="9" t="str">
        <f>IFERROR(__xludf.DUMMYFUNCTION("""COMPUTED_VALUE"""),"713-957-5863")</f>
        <v>713-957-5863</v>
      </c>
      <c r="J459" s="9" t="str">
        <f>IFERROR(__xludf.DUMMYFUNCTION("""COMPUTED_VALUE"""),"29.802807877551, -95.4890740612245")</f>
        <v>29.802807877551, -95.4890740612245</v>
      </c>
      <c r="K459" s="9" t="str">
        <f>IFERROR(__xludf.DUMMYFUNCTION("""COMPUTED_VALUE"""),"{""regular"":[{""days"":[""Mo"",""Tu"",""We"",""Th""],""open"":""08:00"",""close"":""12:00""}]}")</f>
        <v>{"regular":[{"days":["Mo","Tu","We","Th"],"open":"08:00","close":"12:00"}]}</v>
      </c>
      <c r="L459" s="9" t="str">
        <f>IFERROR(__xludf.DUMMYFUNCTION("""COMPUTED_VALUE"""),"Appointment required")</f>
        <v>Appointment required</v>
      </c>
      <c r="M459" s="10">
        <f>IFERROR(__xludf.DUMMYFUNCTION("""COMPUTED_VALUE"""),11.0)</f>
        <v>11</v>
      </c>
      <c r="N459" s="10" t="str">
        <f>IFERROR(__xludf.DUMMYFUNCTION("""COMPUTED_VALUE"""),"Rent")</f>
        <v>Rent</v>
      </c>
      <c r="O459" s="10">
        <f>IFERROR(__xludf.DUMMYFUNCTION("""COMPUTED_VALUE"""),1.0)</f>
        <v>1</v>
      </c>
      <c r="P459" s="10" t="str">
        <f>IFERROR(__xludf.DUMMYFUNCTION("""COMPUTED_VALUE"""),"ACTIVE")</f>
        <v>ACTIVE</v>
      </c>
      <c r="Q459" s="11">
        <f>IFERROR(__xludf.DUMMYFUNCTION("""COMPUTED_VALUE"""),46078.0)</f>
        <v>46078</v>
      </c>
      <c r="R459" s="9" t="str">
        <f>IFERROR(__xludf.DUMMYFUNCTION("""COMPUTED_VALUE"""),"Verified by phone")</f>
        <v>Verified by phone</v>
      </c>
      <c r="S459" s="9" t="str">
        <f>IFERROR(__xludf.DUMMYFUNCTION("""COMPUTED_VALUE"""),"Appointments for first 25 callers for financial assistance who meet requirements.
Employment verification (pay stubs).
If laid-off, letter from employer
Two copies of lease.
Copy of Late Notice
IDs for all residents")</f>
        <v>Appointments for first 25 callers for financial assistance who meet requirements.
Employment verification (pay stubs).
If laid-off, letter from employer
Two copies of lease.
Copy of Late Notice
IDs for all residents</v>
      </c>
      <c r="T459" s="12" t="b">
        <f>IFERROR(__xludf.DUMMYFUNCTION("""COMPUTED_VALUE"""),FALSE)</f>
        <v>0</v>
      </c>
      <c r="U459" s="12" t="b">
        <f>IFERROR(__xludf.DUMMYFUNCTION("""COMPUTED_VALUE"""),FALSE)</f>
        <v>0</v>
      </c>
      <c r="V459" s="13" t="str">
        <f>IFERROR(__xludf.DUMMYFUNCTION("""COMPUTED_VALUE"""),"https://www.houstonsfirst.org/missions/faith-centers")</f>
        <v>https://www.houstonsfirst.org/missions/faith-centers</v>
      </c>
      <c r="W459" s="14" t="str">
        <f>IFERROR(__xludf.DUMMYFUNCTION("""COMPUTED_VALUE"""),"https://maps.google.com/?q=First%20Baptist%20(Long%20Point%20Baptist)%208009%20Long%20Point%20Road%20Houston%20TX%2077055")</f>
        <v>https://maps.google.com/?q=First%20Baptist%20(Long%20Point%20Baptist)%208009%20Long%20Point%20Road%20Houston%20TX%2077055</v>
      </c>
      <c r="X459" s="10"/>
      <c r="Y459" s="9" t="str">
        <f>IFERROR(__xludf.DUMMYFUNCTION("""COMPUTED_VALUE"""),"Houston")</f>
        <v>Houston</v>
      </c>
      <c r="Z459" s="9" t="str">
        <f>IFERROR(__xludf.DUMMYFUNCTION("""COMPUTED_VALUE"""),"Hilshire Village, Montrose, Northwest Houston, Spring Branch East, Washington Avenue Coalition / Memorial Park")</f>
        <v>Hilshire Village, Montrose, Northwest Houston, Spring Branch East, Washington Avenue Coalition / Memorial Park</v>
      </c>
      <c r="AA459" s="9" t="str">
        <f>IFERROR(__xludf.DUMMYFUNCTION("""COMPUTED_VALUE"""),"Houston First Baptist Church")</f>
        <v>Houston First Baptist Church</v>
      </c>
      <c r="AB459" s="9" t="str">
        <f>IFERROR(__xludf.DUMMYFUNCTION("""COMPUTED_VALUE"""),"Northwest Houston")</f>
        <v>Northwest Houston</v>
      </c>
    </row>
    <row r="460" ht="30.0" customHeight="1">
      <c r="A460" s="17">
        <v>459.0</v>
      </c>
      <c r="B460" s="8" t="str">
        <f>IFERROR(__xludf.DUMMYFUNCTION("""COMPUTED_VALUE"""),"[""99999""]")</f>
        <v>["99999"]</v>
      </c>
      <c r="C460" s="9" t="str">
        <f>IFERROR(__xludf.DUMMYFUNCTION("""COMPUTED_VALUE"""),"Houston First Baptist Church")</f>
        <v>Houston First Baptist Church</v>
      </c>
      <c r="D460" s="9" t="str">
        <f>IFERROR(__xludf.DUMMYFUNCTION("""COMPUTED_VALUE"""),"8009 Long Point Road")</f>
        <v>8009 Long Point Road</v>
      </c>
      <c r="E460" s="9"/>
      <c r="F460" s="9" t="str">
        <f>IFERROR(__xludf.DUMMYFUNCTION("""COMPUTED_VALUE"""),"Houston")</f>
        <v>Houston</v>
      </c>
      <c r="G460" s="9" t="str">
        <f>IFERROR(__xludf.DUMMYFUNCTION("""COMPUTED_VALUE"""),"TX")</f>
        <v>TX</v>
      </c>
      <c r="H460" s="9" t="str">
        <f>IFERROR(__xludf.DUMMYFUNCTION("""COMPUTED_VALUE"""),"77055")</f>
        <v>77055</v>
      </c>
      <c r="I460" s="9" t="str">
        <f>IFERROR(__xludf.DUMMYFUNCTION("""COMPUTED_VALUE"""),"713-957-5863")</f>
        <v>713-957-5863</v>
      </c>
      <c r="J460" s="9" t="str">
        <f>IFERROR(__xludf.DUMMYFUNCTION("""COMPUTED_VALUE"""),"29.802807877551, -95.4890740612245")</f>
        <v>29.802807877551, -95.4890740612245</v>
      </c>
      <c r="K460" s="9" t="str">
        <f>IFERROR(__xludf.DUMMYFUNCTION("""COMPUTED_VALUE"""),"{""regular"":[{""days"":[""Mo"",""Tu"",""We"",""Th""],""open"":""08:00"",""close"":""12:00""}]}")</f>
        <v>{"regular":[{"days":["Mo","Tu","We","Th"],"open":"08:00","close":"12:00"}]}</v>
      </c>
      <c r="L460" s="9" t="str">
        <f>IFERROR(__xludf.DUMMYFUNCTION("""COMPUTED_VALUE"""),"Appointment required")</f>
        <v>Appointment required</v>
      </c>
      <c r="M460" s="10">
        <f>IFERROR(__xludf.DUMMYFUNCTION("""COMPUTED_VALUE"""),12.0)</f>
        <v>12</v>
      </c>
      <c r="N460" s="10" t="str">
        <f>IFERROR(__xludf.DUMMYFUNCTION("""COMPUTED_VALUE"""),"Utilities")</f>
        <v>Utilities</v>
      </c>
      <c r="O460" s="10">
        <f>IFERROR(__xludf.DUMMYFUNCTION("""COMPUTED_VALUE"""),1.0)</f>
        <v>1</v>
      </c>
      <c r="P460" s="10" t="str">
        <f>IFERROR(__xludf.DUMMYFUNCTION("""COMPUTED_VALUE"""),"ACTIVE")</f>
        <v>ACTIVE</v>
      </c>
      <c r="Q460" s="11">
        <f>IFERROR(__xludf.DUMMYFUNCTION("""COMPUTED_VALUE"""),46078.0)</f>
        <v>46078</v>
      </c>
      <c r="R460" s="9" t="str">
        <f>IFERROR(__xludf.DUMMYFUNCTION("""COMPUTED_VALUE"""),"Verified by phone")</f>
        <v>Verified by phone</v>
      </c>
      <c r="S460" s="9" t="str">
        <f>IFERROR(__xludf.DUMMYFUNCTION("""COMPUTED_VALUE"""),"Appointments for first 25 callers for financial assistance who meet requirements.
Employment verification (pay stubs)
If laid-off, letter from employer
Two copies of lease.
Copy of Late Notice
IDs for all residents")</f>
        <v>Appointments for first 25 callers for financial assistance who meet requirements.
Employment verification (pay stubs)
If laid-off, letter from employer
Two copies of lease.
Copy of Late Notice
IDs for all residents</v>
      </c>
      <c r="T460" s="12" t="b">
        <f>IFERROR(__xludf.DUMMYFUNCTION("""COMPUTED_VALUE"""),FALSE)</f>
        <v>0</v>
      </c>
      <c r="U460" s="12" t="b">
        <f>IFERROR(__xludf.DUMMYFUNCTION("""COMPUTED_VALUE"""),FALSE)</f>
        <v>0</v>
      </c>
      <c r="V460" s="13" t="str">
        <f>IFERROR(__xludf.DUMMYFUNCTION("""COMPUTED_VALUE"""),"https://www.houstonsfirst.org/missions/faith-centers")</f>
        <v>https://www.houstonsfirst.org/missions/faith-centers</v>
      </c>
      <c r="W460" s="14" t="str">
        <f>IFERROR(__xludf.DUMMYFUNCTION("""COMPUTED_VALUE"""),"https://maps.google.com/?q=First%20Baptist%20(Long%20Point%20Baptist)%208009%20Long%20Point%20Road%20Houston%20TX%2077055")</f>
        <v>https://maps.google.com/?q=First%20Baptist%20(Long%20Point%20Baptist)%208009%20Long%20Point%20Road%20Houston%20TX%2077055</v>
      </c>
      <c r="X460" s="10"/>
      <c r="Y460" s="9" t="str">
        <f>IFERROR(__xludf.DUMMYFUNCTION("""COMPUTED_VALUE"""),"Houston")</f>
        <v>Houston</v>
      </c>
      <c r="Z460" s="9" t="str">
        <f>IFERROR(__xludf.DUMMYFUNCTION("""COMPUTED_VALUE"""),"Hilshire Village, Montrose, Northwest Houston, Spring Branch East, Washington Avenue Coalition / Memorial Park")</f>
        <v>Hilshire Village, Montrose, Northwest Houston, Spring Branch East, Washington Avenue Coalition / Memorial Park</v>
      </c>
      <c r="AA460" s="9" t="str">
        <f>IFERROR(__xludf.DUMMYFUNCTION("""COMPUTED_VALUE"""),"Houston First Baptist Church")</f>
        <v>Houston First Baptist Church</v>
      </c>
      <c r="AB460" s="9" t="str">
        <f>IFERROR(__xludf.DUMMYFUNCTION("""COMPUTED_VALUE"""),"Northwest Houston")</f>
        <v>Northwest Houston</v>
      </c>
    </row>
    <row r="461" ht="30.0" customHeight="1">
      <c r="A461" s="17">
        <v>460.0</v>
      </c>
      <c r="B461" s="8" t="str">
        <f>IFERROR(__xludf.DUMMYFUNCTION("""COMPUTED_VALUE"""),"[""99999""]")</f>
        <v>["99999"]</v>
      </c>
      <c r="C461" s="9" t="str">
        <f>IFERROR(__xludf.DUMMYFUNCTION("""COMPUTED_VALUE"""),"Houston First Baptist Church")</f>
        <v>Houston First Baptist Church</v>
      </c>
      <c r="D461" s="9" t="str">
        <f>IFERROR(__xludf.DUMMYFUNCTION("""COMPUTED_VALUE"""),"5860 Ranchester Drive")</f>
        <v>5860 Ranchester Drive</v>
      </c>
      <c r="E461" s="9" t="str">
        <f>IFERROR(__xludf.DUMMYFUNCTION("""COMPUTED_VALUE"""),"Suite 888")</f>
        <v>Suite 888</v>
      </c>
      <c r="F461" s="9" t="str">
        <f>IFERROR(__xludf.DUMMYFUNCTION("""COMPUTED_VALUE"""),"Houston")</f>
        <v>Houston</v>
      </c>
      <c r="G461" s="9" t="str">
        <f>IFERROR(__xludf.DUMMYFUNCTION("""COMPUTED_VALUE"""),"TX")</f>
        <v>TX</v>
      </c>
      <c r="H461" s="9" t="str">
        <f>IFERROR(__xludf.DUMMYFUNCTION("""COMPUTED_VALUE"""),"77036")</f>
        <v>77036</v>
      </c>
      <c r="I461" s="9" t="str">
        <f>IFERROR(__xludf.DUMMYFUNCTION("""COMPUTED_VALUE"""),"713-335-6459")</f>
        <v>713-335-6459</v>
      </c>
      <c r="J461" s="9" t="str">
        <f>IFERROR(__xludf.DUMMYFUNCTION("""COMPUTED_VALUE"""),"29.714902, -95.547943")</f>
        <v>29.714902, -95.547943</v>
      </c>
      <c r="K461" s="9" t="str">
        <f>IFERROR(__xludf.DUMMYFUNCTION("""COMPUTED_VALUE"""),"{""regular"":[{""days"":[""Tu"",""Th"",""Sa""],""open"":""10:00"",""close"":""13:00""}]}")</f>
        <v>{"regular":[{"days":["Tu","Th","Sa"],"open":"10:00","close":"13:00"}]}</v>
      </c>
      <c r="L461" s="9"/>
      <c r="M461" s="10">
        <f>IFERROR(__xludf.DUMMYFUNCTION("""COMPUTED_VALUE"""),13.0)</f>
        <v>13</v>
      </c>
      <c r="N461" s="10" t="str">
        <f>IFERROR(__xludf.DUMMYFUNCTION("""COMPUTED_VALUE"""),"Food")</f>
        <v>Food</v>
      </c>
      <c r="O461" s="10">
        <f>IFERROR(__xludf.DUMMYFUNCTION("""COMPUTED_VALUE"""),1.0)</f>
        <v>1</v>
      </c>
      <c r="P461" s="10" t="str">
        <f>IFERROR(__xludf.DUMMYFUNCTION("""COMPUTED_VALUE"""),"ACTIVE")</f>
        <v>ACTIVE</v>
      </c>
      <c r="Q461" s="11">
        <f>IFERROR(__xludf.DUMMYFUNCTION("""COMPUTED_VALUE"""),45974.0)</f>
        <v>45974</v>
      </c>
      <c r="R461" s="9" t="str">
        <f>IFERROR(__xludf.DUMMYFUNCTION("""COMPUTED_VALUE"""),"Verified online")</f>
        <v>Verified online</v>
      </c>
      <c r="S461" s="9" t="str">
        <f>IFERROR(__xludf.DUMMYFUNCTION("""COMPUTED_VALUE"""),"By appointment only.  Call and leave message.")</f>
        <v>By appointment only.  Call and leave message.</v>
      </c>
      <c r="T461" s="12" t="b">
        <f>IFERROR(__xludf.DUMMYFUNCTION("""COMPUTED_VALUE"""),FALSE)</f>
        <v>0</v>
      </c>
      <c r="U461" s="12" t="b">
        <f>IFERROR(__xludf.DUMMYFUNCTION("""COMPUTED_VALUE"""),FALSE)</f>
        <v>0</v>
      </c>
      <c r="V461" s="13" t="str">
        <f>IFERROR(__xludf.DUMMYFUNCTION("""COMPUTED_VALUE"""),"https://www.houstonsfirst.org/missions/faith-centers")</f>
        <v>https://www.houstonsfirst.org/missions/faith-centers</v>
      </c>
      <c r="W461" s="14" t="str">
        <f>IFERROR(__xludf.DUMMYFUNCTION("""COMPUTED_VALUE"""),"https://www.google.com/maps/place/Faith+Center+Harwin+Food+Pantry/@29.7148287,-95.5491823,18z/data=!3m1!4b1!4m6!3m5!1s0x8640c2d90ab77585:0x99e7b71c420b49cd!8m2!3d29.7148275!4d-95.5485386!16s%2Fg%2F11cs3p2k09?entry=ttu&amp;g_ep=EgoyMDI1MDcxNi4wIKXMDSoASAFQAw%3"&amp;"D%3D")</f>
        <v>https://www.google.com/maps/place/Faith+Center+Harwin+Food+Pantry/@29.7148287,-95.5491823,18z/data=!3m1!4b1!4m6!3m5!1s0x8640c2d90ab77585:0x99e7b71c420b49cd!8m2!3d29.7148275!4d-95.5485386!16s%2Fg%2F11cs3p2k09?entry=ttu&amp;g_ep=EgoyMDI1MDcxNi4wIKXMDSoASAFQAw%3D%3D</v>
      </c>
      <c r="X461" s="10"/>
      <c r="Y461" s="9" t="str">
        <f>IFERROR(__xludf.DUMMYFUNCTION("""COMPUTED_VALUE"""),"Houston")</f>
        <v>Houston</v>
      </c>
      <c r="Z461" s="9" t="str">
        <f>IFERROR(__xludf.DUMMYFUNCTION("""COMPUTED_VALUE"""),"Chinatown, Sharpstown, Westside")</f>
        <v>Chinatown, Sharpstown, Westside</v>
      </c>
      <c r="AA461" s="9" t="str">
        <f>IFERROR(__xludf.DUMMYFUNCTION("""COMPUTED_VALUE"""),"Houston First Baptist Church")</f>
        <v>Houston First Baptist Church</v>
      </c>
      <c r="AB461" s="9" t="str">
        <f>IFERROR(__xludf.DUMMYFUNCTION("""COMPUTED_VALUE"""),"Chinatown")</f>
        <v>Chinatown</v>
      </c>
    </row>
    <row r="462" ht="30.0" customHeight="1">
      <c r="A462" s="17">
        <v>461.0</v>
      </c>
      <c r="B462" s="8" t="str">
        <f>IFERROR(__xludf.DUMMYFUNCTION("""COMPUTED_VALUE"""),"[""99999""]")</f>
        <v>["99999"]</v>
      </c>
      <c r="C462" s="9" t="str">
        <f>IFERROR(__xludf.DUMMYFUNCTION("""COMPUTED_VALUE"""),"Houston First Baptist Church")</f>
        <v>Houston First Baptist Church</v>
      </c>
      <c r="D462" s="9" t="str">
        <f>IFERROR(__xludf.DUMMYFUNCTION("""COMPUTED_VALUE"""),"8244 Long Point Road")</f>
        <v>8244 Long Point Road</v>
      </c>
      <c r="E462" s="9"/>
      <c r="F462" s="9" t="str">
        <f>IFERROR(__xludf.DUMMYFUNCTION("""COMPUTED_VALUE"""),"Houston")</f>
        <v>Houston</v>
      </c>
      <c r="G462" s="9" t="str">
        <f>IFERROR(__xludf.DUMMYFUNCTION("""COMPUTED_VALUE"""),"TX")</f>
        <v>TX</v>
      </c>
      <c r="H462" s="9" t="str">
        <f>IFERROR(__xludf.DUMMYFUNCTION("""COMPUTED_VALUE"""),"77055")</f>
        <v>77055</v>
      </c>
      <c r="I462" s="9" t="str">
        <f>IFERROR(__xludf.DUMMYFUNCTION("""COMPUTED_VALUE"""),"713-554-8820")</f>
        <v>713-554-8820</v>
      </c>
      <c r="J462" s="9" t="str">
        <f>IFERROR(__xludf.DUMMYFUNCTION("""COMPUTED_VALUE"""),"29.8030461836735, -95.4925592857143")</f>
        <v>29.8030461836735, -95.4925592857143</v>
      </c>
      <c r="K462" s="9" t="str">
        <f>IFERROR(__xludf.DUMMYFUNCTION("""COMPUTED_VALUE"""),"{""regular"":[{""days"":[""Tu"",""Th"",""Sa""],""open"":""08:00"",""close"":""12:00""}]}")</f>
        <v>{"regular":[{"days":["Tu","Th","Sa"],"open":"08:00","close":"12:00"}]}</v>
      </c>
      <c r="L462" s="9"/>
      <c r="M462" s="10">
        <f>IFERROR(__xludf.DUMMYFUNCTION("""COMPUTED_VALUE"""),13.0)</f>
        <v>13</v>
      </c>
      <c r="N462" s="10" t="str">
        <f>IFERROR(__xludf.DUMMYFUNCTION("""COMPUTED_VALUE"""),"Food")</f>
        <v>Food</v>
      </c>
      <c r="O462" s="10">
        <f>IFERROR(__xludf.DUMMYFUNCTION("""COMPUTED_VALUE"""),1.0)</f>
        <v>1</v>
      </c>
      <c r="P462" s="10" t="str">
        <f>IFERROR(__xludf.DUMMYFUNCTION("""COMPUTED_VALUE"""),"ACTIVE")</f>
        <v>ACTIVE</v>
      </c>
      <c r="Q462" s="11">
        <f>IFERROR(__xludf.DUMMYFUNCTION("""COMPUTED_VALUE"""),45974.0)</f>
        <v>45974</v>
      </c>
      <c r="R462" s="9" t="str">
        <f>IFERROR(__xludf.DUMMYFUNCTION("""COMPUTED_VALUE"""),"Verified online")</f>
        <v>Verified online</v>
      </c>
      <c r="S462" s="9" t="str">
        <f>IFERROR(__xludf.DUMMYFUNCTION("""COMPUTED_VALUE"""),"Provide hygiene kits.
By appointment only.  Call and leave message.
Once every 60 days.
ID and proof of address required.")</f>
        <v>Provide hygiene kits.
By appointment only.  Call and leave message.
Once every 60 days.
ID and proof of address required.</v>
      </c>
      <c r="T462" s="12" t="b">
        <f>IFERROR(__xludf.DUMMYFUNCTION("""COMPUTED_VALUE"""),FALSE)</f>
        <v>0</v>
      </c>
      <c r="U462" s="12" t="b">
        <f>IFERROR(__xludf.DUMMYFUNCTION("""COMPUTED_VALUE"""),FALSE)</f>
        <v>0</v>
      </c>
      <c r="V462" s="13" t="str">
        <f>IFERROR(__xludf.DUMMYFUNCTION("""COMPUTED_VALUE"""),"https://www.houstonsfirst.org/missions/faith-centers")</f>
        <v>https://www.houstonsfirst.org/missions/faith-centers</v>
      </c>
      <c r="W462" s="14" t="str">
        <f>IFERROR(__xludf.DUMMYFUNCTION("""COMPUTED_VALUE"""),"https://www.google.com/maps/place/Faith+Center+-+Food+Pantry+%26+Clothes+Closet/@29.8035203,-95.4937519,20z/data=!4m15!1m8!3m7!1s0x8640c430b4a2fc5d:0xf59290e6a154af37!2s8244+Long+Point+Rd,+Houston,+TX+77055!3b1!8m2!3d29.8035157!4d-95.49343!16s%2Fg%2F11bw4"&amp;"1t5rs!3m5!1s0x8640c430b49a5093:0x9adc19126aaa5d66!8m2!3d29.8035925!4d-95.49345!16s%2Fg%2F11b6f6mhh8?entry=ttu&amp;g_ep=EgoyMDI1MDcxNi4wIKXMDSoASAFQAw%3D%3D")</f>
        <v>https://www.google.com/maps/place/Faith+Center+-+Food+Pantry+%26+Clothes+Closet/@29.8035203,-95.4937519,20z/data=!4m15!1m8!3m7!1s0x8640c430b4a2fc5d:0xf59290e6a154af37!2s8244+Long+Point+Rd,+Houston,+TX+77055!3b1!8m2!3d29.8035157!4d-95.49343!16s%2Fg%2F11bw41t5rs!3m5!1s0x8640c430b49a5093:0x9adc19126aaa5d66!8m2!3d29.8035925!4d-95.49345!16s%2Fg%2F11b6f6mhh8?entry=ttu&amp;g_ep=EgoyMDI1MDcxNi4wIKXMDSoASAFQAw%3D%3D</v>
      </c>
      <c r="X462" s="10"/>
      <c r="Y462" s="9" t="str">
        <f>IFERROR(__xludf.DUMMYFUNCTION("""COMPUTED_VALUE"""),"Houston")</f>
        <v>Houston</v>
      </c>
      <c r="Z462" s="9" t="str">
        <f>IFERROR(__xludf.DUMMYFUNCTION("""COMPUTED_VALUE"""),"Hilshire Village, Montrose, Northwest Houston, Spring Branch East, Washington Avenue Coalition / Memorial Park")</f>
        <v>Hilshire Village, Montrose, Northwest Houston, Spring Branch East, Washington Avenue Coalition / Memorial Park</v>
      </c>
      <c r="AA462" s="9" t="str">
        <f>IFERROR(__xludf.DUMMYFUNCTION("""COMPUTED_VALUE"""),"Houston First Baptist Church")</f>
        <v>Houston First Baptist Church</v>
      </c>
      <c r="AB462" s="9" t="str">
        <f>IFERROR(__xludf.DUMMYFUNCTION("""COMPUTED_VALUE"""),"Northwest Houston")</f>
        <v>Northwest Houston</v>
      </c>
    </row>
    <row r="463" ht="30.0" customHeight="1">
      <c r="A463" s="17">
        <v>462.0</v>
      </c>
      <c r="B463" s="8" t="str">
        <f>IFERROR(__xludf.DUMMYFUNCTION("""COMPUTED_VALUE"""),"[""99999""]")</f>
        <v>["99999"]</v>
      </c>
      <c r="C463" s="9" t="str">
        <f>IFERROR(__xludf.DUMMYFUNCTION("""COMPUTED_VALUE"""),"Houston First Baptist Church")</f>
        <v>Houston First Baptist Church</v>
      </c>
      <c r="D463" s="9" t="str">
        <f>IFERROR(__xludf.DUMMYFUNCTION("""COMPUTED_VALUE"""),"8244 Long Point Road")</f>
        <v>8244 Long Point Road</v>
      </c>
      <c r="E463" s="9"/>
      <c r="F463" s="9" t="str">
        <f>IFERROR(__xludf.DUMMYFUNCTION("""COMPUTED_VALUE"""),"Houston")</f>
        <v>Houston</v>
      </c>
      <c r="G463" s="9" t="str">
        <f>IFERROR(__xludf.DUMMYFUNCTION("""COMPUTED_VALUE"""),"TX")</f>
        <v>TX</v>
      </c>
      <c r="H463" s="9" t="str">
        <f>IFERROR(__xludf.DUMMYFUNCTION("""COMPUTED_VALUE"""),"77055")</f>
        <v>77055</v>
      </c>
      <c r="I463" s="9" t="str">
        <f>IFERROR(__xludf.DUMMYFUNCTION("""COMPUTED_VALUE"""),"713-554-8820")</f>
        <v>713-554-8820</v>
      </c>
      <c r="J463" s="9" t="str">
        <f>IFERROR(__xludf.DUMMYFUNCTION("""COMPUTED_VALUE"""),"29.8030461836735, -95.4925592857143")</f>
        <v>29.8030461836735, -95.4925592857143</v>
      </c>
      <c r="K463" s="9" t="str">
        <f>IFERROR(__xludf.DUMMYFUNCTION("""COMPUTED_VALUE"""),"{""regular"":[{""days"":[""Tu"",""Th"",""Sa""],""open"":""08:00"",""close"":""12:00""}]}")</f>
        <v>{"regular":[{"days":["Tu","Th","Sa"],"open":"08:00","close":"12:00"}]}</v>
      </c>
      <c r="L463" s="9"/>
      <c r="M463" s="10">
        <f>IFERROR(__xludf.DUMMYFUNCTION("""COMPUTED_VALUE"""),14.0)</f>
        <v>14</v>
      </c>
      <c r="N463" s="10" t="str">
        <f>IFERROR(__xludf.DUMMYFUNCTION("""COMPUTED_VALUE"""),"Clothing")</f>
        <v>Clothing</v>
      </c>
      <c r="O463" s="10">
        <f>IFERROR(__xludf.DUMMYFUNCTION("""COMPUTED_VALUE"""),1.0)</f>
        <v>1</v>
      </c>
      <c r="P463" s="10" t="str">
        <f>IFERROR(__xludf.DUMMYFUNCTION("""COMPUTED_VALUE"""),"ACTIVE")</f>
        <v>ACTIVE</v>
      </c>
      <c r="Q463" s="11">
        <f>IFERROR(__xludf.DUMMYFUNCTION("""COMPUTED_VALUE"""),45974.0)</f>
        <v>45974</v>
      </c>
      <c r="R463" s="9" t="str">
        <f>IFERROR(__xludf.DUMMYFUNCTION("""COMPUTED_VALUE"""),"Verified online")</f>
        <v>Verified online</v>
      </c>
      <c r="S463" s="9" t="str">
        <f>IFERROR(__xludf.DUMMYFUNCTION("""COMPUTED_VALUE"""),"By appointment only.  Call and leave message.
Once every 60 days.
ID and proof of address required.")</f>
        <v>By appointment only.  Call and leave message.
Once every 60 days.
ID and proof of address required.</v>
      </c>
      <c r="T463" s="12" t="b">
        <f>IFERROR(__xludf.DUMMYFUNCTION("""COMPUTED_VALUE"""),FALSE)</f>
        <v>0</v>
      </c>
      <c r="U463" s="12" t="b">
        <f>IFERROR(__xludf.DUMMYFUNCTION("""COMPUTED_VALUE"""),FALSE)</f>
        <v>0</v>
      </c>
      <c r="V463" s="13" t="str">
        <f>IFERROR(__xludf.DUMMYFUNCTION("""COMPUTED_VALUE"""),"https://www.houstonsfirst.org/missions/faith-centers")</f>
        <v>https://www.houstonsfirst.org/missions/faith-centers</v>
      </c>
      <c r="W463" s="14" t="str">
        <f>IFERROR(__xludf.DUMMYFUNCTION("""COMPUTED_VALUE"""),"https://www.google.com/maps/place/Faith+Center+-+Food+Pantry+%26+Clothes+Closet/@29.8035203,-95.4937519,20z/data=!4m15!1m8!3m7!1s0x8640c430b4a2fc5d:0xf59290e6a154af37!2s8244+Long+Point+Rd,+Houston,+TX+77055!3b1!8m2!3d29.8035157!4d-95.49343!16s%2Fg%2F11bw4"&amp;"1t5rs!3m5!1s0x8640c430b49a5093:0x9adc19126aaa5d66!8m2!3d29.8035925!4d-95.49345!16s%2Fg%2F11b6f6mhh8?entry=ttu&amp;g_ep=EgoyMDI1MDcxNi4wIKXMDSoASAFQAw%3D%3D")</f>
        <v>https://www.google.com/maps/place/Faith+Center+-+Food+Pantry+%26+Clothes+Closet/@29.8035203,-95.4937519,20z/data=!4m15!1m8!3m7!1s0x8640c430b4a2fc5d:0xf59290e6a154af37!2s8244+Long+Point+Rd,+Houston,+TX+77055!3b1!8m2!3d29.8035157!4d-95.49343!16s%2Fg%2F11bw41t5rs!3m5!1s0x8640c430b49a5093:0x9adc19126aaa5d66!8m2!3d29.8035925!4d-95.49345!16s%2Fg%2F11b6f6mhh8?entry=ttu&amp;g_ep=EgoyMDI1MDcxNi4wIKXMDSoASAFQAw%3D%3D</v>
      </c>
      <c r="X463" s="10"/>
      <c r="Y463" s="9" t="str">
        <f>IFERROR(__xludf.DUMMYFUNCTION("""COMPUTED_VALUE"""),"Houston")</f>
        <v>Houston</v>
      </c>
      <c r="Z463" s="9" t="str">
        <f>IFERROR(__xludf.DUMMYFUNCTION("""COMPUTED_VALUE"""),"Hilshire Village, Montrose, Northwest Houston, Spring Branch East, Washington Avenue Coalition / Memorial Park")</f>
        <v>Hilshire Village, Montrose, Northwest Houston, Spring Branch East, Washington Avenue Coalition / Memorial Park</v>
      </c>
      <c r="AA463" s="9" t="str">
        <f>IFERROR(__xludf.DUMMYFUNCTION("""COMPUTED_VALUE"""),"Houston First Baptist Church")</f>
        <v>Houston First Baptist Church</v>
      </c>
      <c r="AB463" s="9" t="str">
        <f>IFERROR(__xludf.DUMMYFUNCTION("""COMPUTED_VALUE"""),"Northwest Houston")</f>
        <v>Northwest Houston</v>
      </c>
    </row>
    <row r="464" ht="30.0" customHeight="1">
      <c r="A464" s="17">
        <v>463.0</v>
      </c>
      <c r="B464" s="8" t="str">
        <f>IFERROR(__xludf.DUMMYFUNCTION("""COMPUTED_VALUE"""),"[""99999""]")</f>
        <v>["99999"]</v>
      </c>
      <c r="C464" s="9" t="str">
        <f>IFERROR(__xludf.DUMMYFUNCTION("""COMPUTED_VALUE"""),"Houston First Baptist Church")</f>
        <v>Houston First Baptist Church</v>
      </c>
      <c r="D464" s="9" t="str">
        <f>IFERROR(__xludf.DUMMYFUNCTION("""COMPUTED_VALUE"""),"7401 Katy Freeway")</f>
        <v>7401 Katy Freeway</v>
      </c>
      <c r="E464" s="9"/>
      <c r="F464" s="9" t="str">
        <f>IFERROR(__xludf.DUMMYFUNCTION("""COMPUTED_VALUE"""),"Houston")</f>
        <v>Houston</v>
      </c>
      <c r="G464" s="9" t="str">
        <f>IFERROR(__xludf.DUMMYFUNCTION("""COMPUTED_VALUE"""),"TX")</f>
        <v>TX</v>
      </c>
      <c r="H464" s="9" t="str">
        <f>IFERROR(__xludf.DUMMYFUNCTION("""COMPUTED_VALUE"""),"77024")</f>
        <v>77024</v>
      </c>
      <c r="I464" s="9" t="str">
        <f>IFERROR(__xludf.DUMMYFUNCTION("""COMPUTED_VALUE"""),"713-681-8000")</f>
        <v>713-681-8000</v>
      </c>
      <c r="J464" s="9" t="str">
        <f>IFERROR(__xludf.DUMMYFUNCTION("""COMPUTED_VALUE"""),"29.802807877551, -95.4890740612245")</f>
        <v>29.802807877551, -95.4890740612245</v>
      </c>
      <c r="K464" s="9"/>
      <c r="L464" s="9" t="str">
        <f>IFERROR(__xludf.DUMMYFUNCTION("""COMPUTED_VALUE"""),"Apply online")</f>
        <v>Apply online</v>
      </c>
      <c r="M464" s="10">
        <f>IFERROR(__xludf.DUMMYFUNCTION("""COMPUTED_VALUE"""),65.0)</f>
        <v>65</v>
      </c>
      <c r="N464" s="10" t="str">
        <f>IFERROR(__xludf.DUMMYFUNCTION("""COMPUTED_VALUE"""),"Other")</f>
        <v>Other</v>
      </c>
      <c r="O464" s="10">
        <f>IFERROR(__xludf.DUMMYFUNCTION("""COMPUTED_VALUE"""),4.0)</f>
        <v>4</v>
      </c>
      <c r="P464" s="10" t="str">
        <f>IFERROR(__xludf.DUMMYFUNCTION("""COMPUTED_VALUE"""),"CLOSED")</f>
        <v>CLOSED</v>
      </c>
      <c r="Q464" s="11">
        <f>IFERROR(__xludf.DUMMYFUNCTION("""COMPUTED_VALUE"""),45974.0)</f>
        <v>45974</v>
      </c>
      <c r="R464" s="9" t="str">
        <f>IFERROR(__xludf.DUMMYFUNCTION("""COMPUTED_VALUE"""),"Verified online")</f>
        <v>Verified online</v>
      </c>
      <c r="S464" s="9" t="str">
        <f>IFERROR(__xludf.DUMMYFUNCTION("""COMPUTED_VALUE"""),"Car Care Ministry
For single parents and widows
Routine maintenance, labor only")</f>
        <v>Car Care Ministry
For single parents and widows
Routine maintenance, labor only</v>
      </c>
      <c r="T464" s="12" t="b">
        <f>IFERROR(__xludf.DUMMYFUNCTION("""COMPUTED_VALUE"""),FALSE)</f>
        <v>0</v>
      </c>
      <c r="U464" s="12" t="b">
        <f>IFERROR(__xludf.DUMMYFUNCTION("""COMPUTED_VALUE"""),FALSE)</f>
        <v>0</v>
      </c>
      <c r="V464" s="13" t="str">
        <f>IFERROR(__xludf.DUMMYFUNCTION("""COMPUTED_VALUE"""),"https://www.houstonsfirst.org/missions/faith-centers")</f>
        <v>https://www.houstonsfirst.org/missions/faith-centers</v>
      </c>
      <c r="W464" s="14" t="str">
        <f>IFERROR(__xludf.DUMMYFUNCTION("""COMPUTED_VALUE"""),"https://www.google.com/maps/place/Houston's+First+Baptist+Church+-+The+Loop/@29.7824525,-95.4648454,17z/data=!3m2!4b1!5s0x8640c6b9b35e2bc5:0xfda58267e716dd90!4m6!3m5!1s0x8640c6b997ede1b1:0xb1255f58581366ed!8m2!3d29.7824479!4d-95.4599745!16s%2Fg%2F1tmz79pf"&amp;"?entry=ttu&amp;g_ep=EgoyMDI1MDcxNi4wIKXMDSoASAFQAw%3D%3D")</f>
        <v>https://www.google.com/maps/place/Houston's+First+Baptist+Church+-+The+Loop/@29.7824525,-95.4648454,17z/data=!3m2!4b1!5s0x8640c6b9b35e2bc5:0xfda58267e716dd90!4m6!3m5!1s0x8640c6b997ede1b1:0xb1255f58581366ed!8m2!3d29.7824479!4d-95.4599745!16s%2Fg%2F1tmz79pf?entry=ttu&amp;g_ep=EgoyMDI1MDcxNi4wIKXMDSoASAFQAw%3D%3D</v>
      </c>
      <c r="X464" s="10"/>
      <c r="Y464" s="9" t="str">
        <f>IFERROR(__xludf.DUMMYFUNCTION("""COMPUTED_VALUE"""),"Houston")</f>
        <v>Houston</v>
      </c>
      <c r="Z464" s="9" t="str">
        <f>IFERROR(__xludf.DUMMYFUNCTION("""COMPUTED_VALUE"""),"Hedwig Village, Hunters Creek, Memorial City, Memorial Villages, Northwest Houston, Westside")</f>
        <v>Hedwig Village, Hunters Creek, Memorial City, Memorial Villages, Northwest Houston, Westside</v>
      </c>
      <c r="AA464" s="9" t="str">
        <f>IFERROR(__xludf.DUMMYFUNCTION("""COMPUTED_VALUE"""),"Houston First Baptist Church")</f>
        <v>Houston First Baptist Church</v>
      </c>
      <c r="AB464" s="9" t="str">
        <f>IFERROR(__xludf.DUMMYFUNCTION("""COMPUTED_VALUE"""),"Northwest Houston")</f>
        <v>Northwest Houston</v>
      </c>
    </row>
    <row r="465" ht="30.0" customHeight="1">
      <c r="A465" s="17">
        <v>464.0</v>
      </c>
      <c r="B465" s="8" t="str">
        <f>IFERROR(__xludf.DUMMYFUNCTION("""COMPUTED_VALUE"""),"[""99999""]")</f>
        <v>["99999"]</v>
      </c>
      <c r="C465" s="9" t="str">
        <f>IFERROR(__xludf.DUMMYFUNCTION("""COMPUTED_VALUE"""),"Houston Food Bank")</f>
        <v>Houston Food Bank</v>
      </c>
      <c r="D465" s="9" t="str">
        <f>IFERROR(__xludf.DUMMYFUNCTION("""COMPUTED_VALUE"""),"535 Portwall Street")</f>
        <v>535 Portwall Street</v>
      </c>
      <c r="E465" s="9"/>
      <c r="F465" s="9" t="str">
        <f>IFERROR(__xludf.DUMMYFUNCTION("""COMPUTED_VALUE"""),"Houston")</f>
        <v>Houston</v>
      </c>
      <c r="G465" s="9" t="str">
        <f>IFERROR(__xludf.DUMMYFUNCTION("""COMPUTED_VALUE"""),"TX")</f>
        <v>TX</v>
      </c>
      <c r="H465" s="9" t="str">
        <f>IFERROR(__xludf.DUMMYFUNCTION("""COMPUTED_VALUE"""),"77029")</f>
        <v>77029</v>
      </c>
      <c r="I465" s="9" t="str">
        <f>IFERROR(__xludf.DUMMYFUNCTION("""COMPUTED_VALUE"""),"713-223-3700")</f>
        <v>713-223-3700</v>
      </c>
      <c r="J465" s="9" t="str">
        <f>IFERROR(__xludf.DUMMYFUNCTION("""COMPUTED_VALUE"""),"29.7809711, -95.274738629654")</f>
        <v>29.7809711, -95.274738629654</v>
      </c>
      <c r="K465" s="9" t="str">
        <f>IFERROR(__xludf.DUMMYFUNCTION("""COMPUTED_VALUE"""),"{""regular"":[{""days"":[""Mo"",""Tu"",""We"",""Th"",""Fr""],""open"":null,""close"":null}]}")</f>
        <v>{"regular":[{"days":["Mo","Tu","We","Th","Fr"],"open":null,"close":null}]}</v>
      </c>
      <c r="L465" s="9"/>
      <c r="M465" s="10">
        <f>IFERROR(__xludf.DUMMYFUNCTION("""COMPUTED_VALUE"""),13.0)</f>
        <v>13</v>
      </c>
      <c r="N465" s="10" t="str">
        <f>IFERROR(__xludf.DUMMYFUNCTION("""COMPUTED_VALUE"""),"Food")</f>
        <v>Food</v>
      </c>
      <c r="O465" s="10">
        <f>IFERROR(__xludf.DUMMYFUNCTION("""COMPUTED_VALUE"""),1.0)</f>
        <v>1</v>
      </c>
      <c r="P465" s="10" t="str">
        <f>IFERROR(__xludf.DUMMYFUNCTION("""COMPUTED_VALUE"""),"ACTIVE")</f>
        <v>ACTIVE</v>
      </c>
      <c r="Q465" s="11"/>
      <c r="R465" s="9"/>
      <c r="S465" s="9" t="str">
        <f>IFERROR(__xludf.DUMMYFUNCTION("""COMPUTED_VALUE"""),"By appointment only.
SNAP assistance curbside.")</f>
        <v>By appointment only.
SNAP assistance curbside.</v>
      </c>
      <c r="T465" s="12" t="b">
        <f>IFERROR(__xludf.DUMMYFUNCTION("""COMPUTED_VALUE"""),FALSE)</f>
        <v>0</v>
      </c>
      <c r="U465" s="12" t="b">
        <f>IFERROR(__xludf.DUMMYFUNCTION("""COMPUTED_VALUE"""),FALSE)</f>
        <v>0</v>
      </c>
      <c r="V465" s="13" t="str">
        <f>IFERROR(__xludf.DUMMYFUNCTION("""COMPUTED_VALUE"""),"https://www.houstonfoodbank.org/#")</f>
        <v>https://www.houstonfoodbank.org/#</v>
      </c>
      <c r="W465" s="14" t="str">
        <f>IFERROR(__xludf.DUMMYFUNCTION("""COMPUTED_VALUE"""),"https://maps.google.com/?q=Houston%20Food%20Bank%20535%20Portwall%20St%20Houston%20TX%2077029")</f>
        <v>https://maps.google.com/?q=Houston%20Food%20Bank%20535%20Portwall%20St%20Houston%20TX%2077029</v>
      </c>
      <c r="X465" s="10"/>
      <c r="Y465" s="9" t="str">
        <f>IFERROR(__xludf.DUMMYFUNCTION("""COMPUTED_VALUE"""),"Houston")</f>
        <v>Houston</v>
      </c>
      <c r="Z465" s="9" t="str">
        <f>IFERROR(__xludf.DUMMYFUNCTION("""COMPUTED_VALUE"""),"Clinton Park, Pleasantville")</f>
        <v>Clinton Park, Pleasantville</v>
      </c>
      <c r="AA465" s="9" t="str">
        <f>IFERROR(__xludf.DUMMYFUNCTION("""COMPUTED_VALUE"""),"Houston Food Bank")</f>
        <v>Houston Food Bank</v>
      </c>
      <c r="AB465" s="9" t="str">
        <f>IFERROR(__xludf.DUMMYFUNCTION("""COMPUTED_VALUE"""),"Pleasantville")</f>
        <v>Pleasantville</v>
      </c>
    </row>
    <row r="466" ht="30.0" customHeight="1">
      <c r="A466" s="17">
        <v>465.0</v>
      </c>
      <c r="B466" s="8" t="str">
        <f>IFERROR(__xludf.DUMMYFUNCTION("""COMPUTED_VALUE"""),"[""99999""]")</f>
        <v>["99999"]</v>
      </c>
      <c r="C466" s="9" t="str">
        <f>IFERROR(__xludf.DUMMYFUNCTION("""COMPUTED_VALUE"""),"Houston Food Bank")</f>
        <v>Houston Food Bank</v>
      </c>
      <c r="D466" s="9" t="str">
        <f>IFERROR(__xludf.DUMMYFUNCTION("""COMPUTED_VALUE"""),"535 Portwall Street")</f>
        <v>535 Portwall Street</v>
      </c>
      <c r="E466" s="9"/>
      <c r="F466" s="9" t="str">
        <f>IFERROR(__xludf.DUMMYFUNCTION("""COMPUTED_VALUE"""),"Houston")</f>
        <v>Houston</v>
      </c>
      <c r="G466" s="9" t="str">
        <f>IFERROR(__xludf.DUMMYFUNCTION("""COMPUTED_VALUE"""),"TX")</f>
        <v>TX</v>
      </c>
      <c r="H466" s="9" t="str">
        <f>IFERROR(__xludf.DUMMYFUNCTION("""COMPUTED_VALUE"""),"77029")</f>
        <v>77029</v>
      </c>
      <c r="I466" s="9" t="str">
        <f>IFERROR(__xludf.DUMMYFUNCTION("""COMPUTED_VALUE"""),"713-223-3700")</f>
        <v>713-223-3700</v>
      </c>
      <c r="J466" s="9" t="str">
        <f>IFERROR(__xludf.DUMMYFUNCTION("""COMPUTED_VALUE"""),"29.7809711, -95.274738629654")</f>
        <v>29.7809711, -95.274738629654</v>
      </c>
      <c r="K466" s="9" t="str">
        <f>IFERROR(__xludf.DUMMYFUNCTION("""COMPUTED_VALUE"""),"{""regular"":[{""days"":[""Mo"",""Tu"",""We"",""Th"",""Fr""],""open"":null,""close"":null}]}")</f>
        <v>{"regular":[{"days":["Mo","Tu","We","Th","Fr"],"open":null,"close":null}]}</v>
      </c>
      <c r="L466" s="9"/>
      <c r="M466" s="10">
        <f>IFERROR(__xludf.DUMMYFUNCTION("""COMPUTED_VALUE"""),35.0)</f>
        <v>35</v>
      </c>
      <c r="N466" s="10" t="str">
        <f>IFERROR(__xludf.DUMMYFUNCTION("""COMPUTED_VALUE"""),"Medical - Program Enrollment")</f>
        <v>Medical - Program Enrollment</v>
      </c>
      <c r="O466" s="10">
        <f>IFERROR(__xludf.DUMMYFUNCTION("""COMPUTED_VALUE"""),1.0)</f>
        <v>1</v>
      </c>
      <c r="P466" s="10" t="str">
        <f>IFERROR(__xludf.DUMMYFUNCTION("""COMPUTED_VALUE"""),"ACTIVE")</f>
        <v>ACTIVE</v>
      </c>
      <c r="Q466" s="11"/>
      <c r="R466" s="9"/>
      <c r="S466" s="9" t="str">
        <f>IFERROR(__xludf.DUMMYFUNCTION("""COMPUTED_VALUE"""),"Assistance with applying for SNAP, TANF, CHIP and other social services.
TX Health &amp; Human Services Level 3 Community Partner. Help with enrollment, document uploads, benefit renewals and case management.")</f>
        <v>Assistance with applying for SNAP, TANF, CHIP and other social services.
TX Health &amp; Human Services Level 3 Community Partner. Help with enrollment, document uploads, benefit renewals and case management.</v>
      </c>
      <c r="T466" s="12" t="b">
        <f>IFERROR(__xludf.DUMMYFUNCTION("""COMPUTED_VALUE"""),FALSE)</f>
        <v>0</v>
      </c>
      <c r="U466" s="12" t="b">
        <f>IFERROR(__xludf.DUMMYFUNCTION("""COMPUTED_VALUE"""),FALSE)</f>
        <v>0</v>
      </c>
      <c r="V466" s="13" t="str">
        <f>IFERROR(__xludf.DUMMYFUNCTION("""COMPUTED_VALUE"""),"https://www.houstonfoodbank.org/#")</f>
        <v>https://www.houstonfoodbank.org/#</v>
      </c>
      <c r="W466" s="14" t="str">
        <f>IFERROR(__xludf.DUMMYFUNCTION("""COMPUTED_VALUE"""),"https://maps.google.com/?q=Houston%20Food%20Bank%20535%20Portwall%20St%20Houston%20TX%2077029")</f>
        <v>https://maps.google.com/?q=Houston%20Food%20Bank%20535%20Portwall%20St%20Houston%20TX%2077029</v>
      </c>
      <c r="X466" s="10"/>
      <c r="Y466" s="9" t="str">
        <f>IFERROR(__xludf.DUMMYFUNCTION("""COMPUTED_VALUE"""),"Houston")</f>
        <v>Houston</v>
      </c>
      <c r="Z466" s="9" t="str">
        <f>IFERROR(__xludf.DUMMYFUNCTION("""COMPUTED_VALUE"""),"Clinton Park, Pleasantville")</f>
        <v>Clinton Park, Pleasantville</v>
      </c>
      <c r="AA466" s="9" t="str">
        <f>IFERROR(__xludf.DUMMYFUNCTION("""COMPUTED_VALUE"""),"Houston Food Bank")</f>
        <v>Houston Food Bank</v>
      </c>
      <c r="AB466" s="9" t="str">
        <f>IFERROR(__xludf.DUMMYFUNCTION("""COMPUTED_VALUE"""),"Pleasantville")</f>
        <v>Pleasantville</v>
      </c>
    </row>
    <row r="467" ht="30.0" customHeight="1">
      <c r="A467" s="17">
        <v>466.0</v>
      </c>
      <c r="B467" s="8" t="str">
        <f>IFERROR(__xludf.DUMMYFUNCTION("""COMPUTED_VALUE"""),"[""99999""]")</f>
        <v>["99999"]</v>
      </c>
      <c r="C467" s="9" t="str">
        <f>IFERROR(__xludf.DUMMYFUNCTION("""COMPUTED_VALUE"""),"Houston Hope Lodge")</f>
        <v>Houston Hope Lodge</v>
      </c>
      <c r="D467" s="9" t="str">
        <f>IFERROR(__xludf.DUMMYFUNCTION("""COMPUTED_VALUE"""),"6801 Ardmore Street")</f>
        <v>6801 Ardmore Street</v>
      </c>
      <c r="E467" s="9"/>
      <c r="F467" s="9" t="str">
        <f>IFERROR(__xludf.DUMMYFUNCTION("""COMPUTED_VALUE"""),"Houston")</f>
        <v>Houston</v>
      </c>
      <c r="G467" s="9" t="str">
        <f>IFERROR(__xludf.DUMMYFUNCTION("""COMPUTED_VALUE"""),"TX")</f>
        <v>TX</v>
      </c>
      <c r="H467" s="9" t="str">
        <f>IFERROR(__xludf.DUMMYFUNCTION("""COMPUTED_VALUE"""),"77054")</f>
        <v>77054</v>
      </c>
      <c r="I467" s="9" t="str">
        <f>IFERROR(__xludf.DUMMYFUNCTION("""COMPUTED_VALUE"""),"713-848-8905")</f>
        <v>713-848-8905</v>
      </c>
      <c r="J467" s="9" t="str">
        <f>IFERROR(__xludf.DUMMYFUNCTION("""COMPUTED_VALUE"""),"29.706102132582185, -95.37572367613176")</f>
        <v>29.706102132582185, -95.37572367613176</v>
      </c>
      <c r="K467" s="9" t="str">
        <f>IFERROR(__xludf.DUMMYFUNCTION("""COMPUTED_VALUE"""),"{""regular"":[{""days"":[""Mo"",""Tu"",""We"",""Th"",""Fr"",""Sa"",""Su""],""open"":""00:00"",""close"":""23:59""}]}")</f>
        <v>{"regular":[{"days":["Mo","Tu","We","Th","Fr","Sa","Su"],"open":"00:00","close":"23:59"}]}</v>
      </c>
      <c r="L467" s="9"/>
      <c r="M467" s="10">
        <f>IFERROR(__xludf.DUMMYFUNCTION("""COMPUTED_VALUE"""),37.0)</f>
        <v>37</v>
      </c>
      <c r="N467" s="10" t="str">
        <f>IFERROR(__xludf.DUMMYFUNCTION("""COMPUTED_VALUE"""),"Medical - Housing")</f>
        <v>Medical - Housing</v>
      </c>
      <c r="O467" s="10">
        <f>IFERROR(__xludf.DUMMYFUNCTION("""COMPUTED_VALUE"""),1.0)</f>
        <v>1</v>
      </c>
      <c r="P467" s="10" t="str">
        <f>IFERROR(__xludf.DUMMYFUNCTION("""COMPUTED_VALUE"""),"ACTIVE")</f>
        <v>ACTIVE</v>
      </c>
      <c r="Q467" s="11">
        <f>IFERROR(__xludf.DUMMYFUNCTION("""COMPUTED_VALUE"""),46036.0)</f>
        <v>46036</v>
      </c>
      <c r="R467" s="9" t="str">
        <f>IFERROR(__xludf.DUMMYFUNCTION("""COMPUTED_VALUE"""),"Verified online")</f>
        <v>Verified online</v>
      </c>
      <c r="S467" s="9" t="str">
        <f>IFERROR(__xludf.DUMMYFUNCTION("""COMPUTED_VALUE"""),"Free lodging for cancer patients and caregivers.
Patients must be in active cancer treatment.
Lodging requests begin with referral from treatment facility which must be located near the Hope Lodge.
Guests are responsible for their meals but local communit"&amp;"y groups, religious organizations and friends of the Lodge prepare and provide dinners during the week.
Owned by the American Cancer Society.
Medical housing.")</f>
        <v>Free lodging for cancer patients and caregivers.
Patients must be in active cancer treatment.
Lodging requests begin with referral from treatment facility which must be located near the Hope Lodge.
Guests are responsible for their meals but local community groups, religious organizations and friends of the Lodge prepare and provide dinners during the week.
Owned by the American Cancer Society.
Medical housing.</v>
      </c>
      <c r="T467" s="12" t="b">
        <f>IFERROR(__xludf.DUMMYFUNCTION("""COMPUTED_VALUE"""),FALSE)</f>
        <v>0</v>
      </c>
      <c r="U467" s="12" t="b">
        <f>IFERROR(__xludf.DUMMYFUNCTION("""COMPUTED_VALUE"""),FALSE)</f>
        <v>0</v>
      </c>
      <c r="V467" s="13" t="str">
        <f>IFERROR(__xludf.DUMMYFUNCTION("""COMPUTED_VALUE"""),"https://www.cancer.org/support-programs-and-services/patient-lodging/hope-lodge/houston.html")</f>
        <v>https://www.cancer.org/support-programs-and-services/patient-lodging/hope-lodge/houston.html</v>
      </c>
      <c r="W467" s="10" t="str">
        <f>IFERROR(__xludf.DUMMYFUNCTION("""COMPUTED_VALUE"""),"https://www.google.com/maps/place/American+Cancer+Society+-+Richard+M.+Schulze+Family+Foundation+Hope+Lodge+–+Houston,+TX/@29.6998571,-95.379507,17z/data=!3m1!4b1!4m6!3m5!1s0x8640bfa83b8f26b7:0x791a03947dcb42ef!8m2!3d29.6998571!4d-95.3769267!16s%2Fg%2F11p"&amp;"qcynp5l?entry=ttu&amp;g_ep=EgoyMDI2MDExMS4wIKXMDSoKLDEwMDc5MjA2OUgBUAM%3D")</f>
        <v>https://www.google.com/maps/place/American+Cancer+Society+-+Richard+M.+Schulze+Family+Foundation+Hope+Lodge+–+Houston,+TX/@29.6998571,-95.379507,17z/data=!3m1!4b1!4m6!3m5!1s0x8640bfa83b8f26b7:0x791a03947dcb42ef!8m2!3d29.6998571!4d-95.3769267!16s%2Fg%2F11pqcynp5l?entry=ttu&amp;g_ep=EgoyMDI2MDExMS4wIKXMDSoKLDEwMDc5MjA2OUgBUAM%3D</v>
      </c>
      <c r="X467" s="10"/>
      <c r="Y467" s="9" t="str">
        <f>IFERROR(__xludf.DUMMYFUNCTION("""COMPUTED_VALUE"""),"Houston")</f>
        <v>Houston</v>
      </c>
      <c r="Z467" s="9" t="str">
        <f>IFERROR(__xludf.DUMMYFUNCTION("""COMPUTED_VALUE"""),"Astrodome Area, Medical Center South, NRG Park area, South Main")</f>
        <v>Astrodome Area, Medical Center South, NRG Park area, South Main</v>
      </c>
      <c r="AA467" s="9" t="str">
        <f>IFERROR(__xludf.DUMMYFUNCTION("""COMPUTED_VALUE"""),"Houston Hope Lodge")</f>
        <v>Houston Hope Lodge</v>
      </c>
      <c r="AB467" s="9" t="str">
        <f>IFERROR(__xludf.DUMMYFUNCTION("""COMPUTED_VALUE"""),"Medical Center South")</f>
        <v>Medical Center South</v>
      </c>
    </row>
    <row r="468" ht="30.0" customHeight="1">
      <c r="A468" s="17">
        <v>467.0</v>
      </c>
      <c r="B468" s="8" t="str">
        <f>IFERROR(__xludf.DUMMYFUNCTION("""COMPUTED_VALUE"""),"[""99999""]")</f>
        <v>["99999"]</v>
      </c>
      <c r="C468" s="9" t="str">
        <f>IFERROR(__xludf.DUMMYFUNCTION("""COMPUTED_VALUE"""),"Houston Humane Society")</f>
        <v>Houston Humane Society</v>
      </c>
      <c r="D468" s="9" t="str">
        <f>IFERROR(__xludf.DUMMYFUNCTION("""COMPUTED_VALUE"""),"14700 Almeda Road")</f>
        <v>14700 Almeda Road</v>
      </c>
      <c r="E468" s="9"/>
      <c r="F468" s="9" t="str">
        <f>IFERROR(__xludf.DUMMYFUNCTION("""COMPUTED_VALUE"""),"Houston")</f>
        <v>Houston</v>
      </c>
      <c r="G468" s="9" t="str">
        <f>IFERROR(__xludf.DUMMYFUNCTION("""COMPUTED_VALUE"""),"TX")</f>
        <v>TX</v>
      </c>
      <c r="H468" s="9" t="str">
        <f>IFERROR(__xludf.DUMMYFUNCTION("""COMPUTED_VALUE"""),"77053")</f>
        <v>77053</v>
      </c>
      <c r="I468" s="9" t="str">
        <f>IFERROR(__xludf.DUMMYFUNCTION("""COMPUTED_VALUE"""),"713-433-6421")</f>
        <v>713-433-6421</v>
      </c>
      <c r="J468" s="9" t="str">
        <f>IFERROR(__xludf.DUMMYFUNCTION("""COMPUTED_VALUE"""),"29.59240048678968, -95.4290024047893")</f>
        <v>29.59240048678968, -95.4290024047893</v>
      </c>
      <c r="K468" s="9" t="str">
        <f>IFERROR(__xludf.DUMMYFUNCTION("""COMPUTED_VALUE"""),"{""regular"":[{""days"":[""Mo"",""Tu"",""We"",""Th"",""Fr"",""Sa""],""open"":""09:00"",""close"":""16:00""}]}")</f>
        <v>{"regular":[{"days":["Mo","Tu","We","Th","Fr","Sa"],"open":"09:00","close":"16:00"}]}</v>
      </c>
      <c r="L468" s="9" t="str">
        <f>IFERROR(__xludf.DUMMYFUNCTION("""COMPUTED_VALUE"""),"Appointment required")</f>
        <v>Appointment required</v>
      </c>
      <c r="M468" s="10">
        <f>IFERROR(__xludf.DUMMYFUNCTION("""COMPUTED_VALUE"""),63.0)</f>
        <v>63</v>
      </c>
      <c r="N468" s="10" t="str">
        <f>IFERROR(__xludf.DUMMYFUNCTION("""COMPUTED_VALUE"""),"Animals")</f>
        <v>Animals</v>
      </c>
      <c r="O468" s="10">
        <f>IFERROR(__xludf.DUMMYFUNCTION("""COMPUTED_VALUE"""),1.0)</f>
        <v>1</v>
      </c>
      <c r="P468" s="10" t="str">
        <f>IFERROR(__xludf.DUMMYFUNCTION("""COMPUTED_VALUE"""),"ACTIVE")</f>
        <v>ACTIVE</v>
      </c>
      <c r="Q468" s="11">
        <f>IFERROR(__xludf.DUMMYFUNCTION("""COMPUTED_VALUE"""),45925.0)</f>
        <v>45925</v>
      </c>
      <c r="R468" s="9"/>
      <c r="S468" s="9" t="str">
        <f>IFERROR(__xludf.DUMMYFUNCTION("""COMPUTED_VALUE"""),"Wellness clinic offers low cost veterinary services including general care, dentistry, vaccinations, diagnostic testing, prevention and surgeries.
By appointment only and appointments have to be made online.")</f>
        <v>Wellness clinic offers low cost veterinary services including general care, dentistry, vaccinations, diagnostic testing, prevention and surgeries.
By appointment only and appointments have to be made online.</v>
      </c>
      <c r="T468" s="12" t="b">
        <f>IFERROR(__xludf.DUMMYFUNCTION("""COMPUTED_VALUE"""),FALSE)</f>
        <v>0</v>
      </c>
      <c r="U468" s="12" t="b">
        <f>IFERROR(__xludf.DUMMYFUNCTION("""COMPUTED_VALUE"""),FALSE)</f>
        <v>0</v>
      </c>
      <c r="V468" s="13" t="str">
        <f>IFERROR(__xludf.DUMMYFUNCTION("""COMPUTED_VALUE"""),"https://www.houstonhumane.org/clinic/about-our-clinic")</f>
        <v>https://www.houstonhumane.org/clinic/about-our-clinic</v>
      </c>
      <c r="W468" s="14" t="str">
        <f>IFERROR(__xludf.DUMMYFUNCTION("""COMPUTED_VALUE"""),"https://www.google.com/maps/place/Houston+Humane+Society/@29.5913746,-95.4391306,15z/data=!4m6!3m5!1s0x8640eb7b87f0944b:0x383740f24083c682!8m2!3d29.5913783!4d-95.4291105!16s%2Fg%2F1xtf1z1c?entry=ttu&amp;g_ep=EgoyMDI1MDkyMi4wIKXMDSoASAFQAw%3D%3D")</f>
        <v>https://www.google.com/maps/place/Houston+Humane+Society/@29.5913746,-95.4391306,15z/data=!4m6!3m5!1s0x8640eb7b87f0944b:0x383740f24083c682!8m2!3d29.5913783!4d-95.4291105!16s%2Fg%2F1xtf1z1c?entry=ttu&amp;g_ep=EgoyMDI1MDkyMi4wIKXMDSoASAFQAw%3D%3D</v>
      </c>
      <c r="X468" s="10"/>
      <c r="Y468" s="9" t="str">
        <f>IFERROR(__xludf.DUMMYFUNCTION("""COMPUTED_VALUE"""),"Houston")</f>
        <v>Houston</v>
      </c>
      <c r="Z468" s="9" t="str">
        <f>IFERROR(__xludf.DUMMYFUNCTION("""COMPUTED_VALUE"""),"Briar Villa, Fort Bend Houston, Orchard Grove")</f>
        <v>Briar Villa, Fort Bend Houston, Orchard Grove</v>
      </c>
      <c r="AA468" s="9" t="str">
        <f>IFERROR(__xludf.DUMMYFUNCTION("""COMPUTED_VALUE"""),"Houston Humane Society")</f>
        <v>Houston Humane Society</v>
      </c>
      <c r="AB468" s="9" t="str">
        <f>IFERROR(__xludf.DUMMYFUNCTION("""COMPUTED_VALUE"""),"Orchard Grove")</f>
        <v>Orchard Grove</v>
      </c>
    </row>
    <row r="469" ht="30.0" customHeight="1">
      <c r="A469" s="17">
        <v>468.0</v>
      </c>
      <c r="B46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469" s="9" t="str">
        <f>IFERROR(__xludf.DUMMYFUNCTION("""COMPUTED_VALUE"""),"Houston MetroLift")</f>
        <v>Houston MetroLift</v>
      </c>
      <c r="D469" s="9" t="str">
        <f>IFERROR(__xludf.DUMMYFUNCTION("""COMPUTED_VALUE"""),"1900 Main Street")</f>
        <v>1900 Main Street</v>
      </c>
      <c r="E469" s="9"/>
      <c r="F469" s="9" t="str">
        <f>IFERROR(__xludf.DUMMYFUNCTION("""COMPUTED_VALUE"""),"Houston")</f>
        <v>Houston</v>
      </c>
      <c r="G469" s="9" t="str">
        <f>IFERROR(__xludf.DUMMYFUNCTION("""COMPUTED_VALUE"""),"TX")</f>
        <v>TX</v>
      </c>
      <c r="H469" s="9" t="str">
        <f>IFERROR(__xludf.DUMMYFUNCTION("""COMPUTED_VALUE"""),"77002")</f>
        <v>77002</v>
      </c>
      <c r="I469" s="9" t="str">
        <f>IFERROR(__xludf.DUMMYFUNCTION("""COMPUTED_VALUE"""),"713-225-6716")</f>
        <v>713-225-6716</v>
      </c>
      <c r="J469" s="9" t="str">
        <f>IFERROR(__xludf.DUMMYFUNCTION("""COMPUTED_VALUE"""),"29.750607341256657, -95.37067163303459")</f>
        <v>29.750607341256657, -95.37067163303459</v>
      </c>
      <c r="K469" s="9" t="str">
        <f>IFERROR(__xludf.DUMMYFUNCTION("""COMPUTED_VALUE"""),"{""regular"":[{""days"":[""Mo"",""Tu"",""We"",""Th"",""Fr""],""open"":""08:00"",""close"":""17:00""}]}")</f>
        <v>{"regular":[{"days":["Mo","Tu","We","Th","Fr"],"open":"08:00","close":"17:00"}]}</v>
      </c>
      <c r="L469" s="9" t="str">
        <f>IFERROR(__xludf.DUMMYFUNCTION("""COMPUTED_VALUE"""),"Apply online")</f>
        <v>Apply online</v>
      </c>
      <c r="M469" s="10">
        <f>IFERROR(__xludf.DUMMYFUNCTION("""COMPUTED_VALUE"""),53.0)</f>
        <v>53</v>
      </c>
      <c r="N469" s="10" t="str">
        <f>IFERROR(__xludf.DUMMYFUNCTION("""COMPUTED_VALUE"""),"Transportation")</f>
        <v>Transportation</v>
      </c>
      <c r="O469" s="10">
        <f>IFERROR(__xludf.DUMMYFUNCTION("""COMPUTED_VALUE"""),1.0)</f>
        <v>1</v>
      </c>
      <c r="P469" s="10" t="str">
        <f>IFERROR(__xludf.DUMMYFUNCTION("""COMPUTED_VALUE"""),"ACTIVE")</f>
        <v>ACTIVE</v>
      </c>
      <c r="Q469" s="11">
        <f>IFERROR(__xludf.DUMMYFUNCTION("""COMPUTED_VALUE"""),46057.0)</f>
        <v>46057</v>
      </c>
      <c r="R469" s="9" t="str">
        <f>IFERROR(__xludf.DUMMYFUNCTION("""COMPUTED_VALUE"""),"Verified online")</f>
        <v>Verified online</v>
      </c>
      <c r="S469" s="9" t="str">
        <f>IFERROR(__xludf.DUMMYFUNCTION("""COMPUTED_VALUE"""),"Must meet eligibility requirements which include functional limitations, i.e. a disability that prevents your from walking or rolling to a bus stop without assistance or you require assistance to board, navigate, ride or disembark from Metro accessible se"&amp;"rvices.
A health professional will need to sign-off on the certification form,
In person interview.
Must reside within Metro's service area.
Valid, government issued photo ID.
Decision is typically within 21 days of the interview.")</f>
        <v>Must meet eligibility requirements which include functional limitations, i.e. a disability that prevents your from walking or rolling to a bus stop without assistance or you require assistance to board, navigate, ride or disembark from Metro accessible services.
A health professional will need to sign-off on the certification form,
In person interview.
Must reside within Metro's service area.
Valid, government issued photo ID.
Decision is typically within 21 days of the interview.</v>
      </c>
      <c r="T469" s="12" t="b">
        <f>IFERROR(__xludf.DUMMYFUNCTION("""COMPUTED_VALUE"""),FALSE)</f>
        <v>0</v>
      </c>
      <c r="U469" s="12" t="b">
        <f>IFERROR(__xludf.DUMMYFUNCTION("""COMPUTED_VALUE"""),FALSE)</f>
        <v>0</v>
      </c>
      <c r="V469" s="13" t="str">
        <f>IFERROR(__xludf.DUMMYFUNCTION("""COMPUTED_VALUE"""),"https://www.ridemetro.org/riding-metro/transit-services/metrolift-paratransit")</f>
        <v>https://www.ridemetro.org/riding-metro/transit-services/metrolift-paratransit</v>
      </c>
      <c r="W469" s="14" t="str">
        <f>IFERROR(__xludf.DUMMYFUNCTION("""COMPUTED_VALUE"""),"https://www.google.com/maps/place/Metropolitan+Transit+Authority+of+Harris+County+(METRO)/@29.7502068,-95.373268,16z/data=!3m1!4b1!4m6!3m5!1s0x8640bf3fd093bc6b:0x140c85ed0d209f79!8m2!3d29.7502022!4d-95.3706931!16s%2Fg%2F1tf_hsz3?entry=ttu&amp;g_ep=EgoyMDI2MDI"&amp;"wMS4wIKXMDSoKLDEwMDc5MjA2OUgBUAM%3D")</f>
        <v>https://www.google.com/maps/place/Metropolitan+Transit+Authority+of+Harris+County+(METRO)/@29.7502068,-95.373268,16z/data=!3m1!4b1!4m6!3m5!1s0x8640bf3fd093bc6b:0x140c85ed0d209f79!8m2!3d29.7502022!4d-95.3706931!16s%2Fg%2F1tf_hsz3?entry=ttu&amp;g_ep=EgoyMDI2MDIwMS4wIKXMDSoKLDEwMDc5MjA2OUgBUAM%3D</v>
      </c>
      <c r="X469" s="10"/>
      <c r="Y469" s="9" t="str">
        <f>IFERROR(__xludf.DUMMYFUNCTION("""COMPUTED_VALUE"""),"Houston")</f>
        <v>Houston</v>
      </c>
      <c r="Z469"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69" s="9" t="str">
        <f>IFERROR(__xludf.DUMMYFUNCTION("""COMPUTED_VALUE"""),"Houston MetroLift")</f>
        <v>Houston MetroLift</v>
      </c>
      <c r="AB469" s="9" t="str">
        <f>IFERROR(__xludf.DUMMYFUNCTION("""COMPUTED_VALUE"""),"Downtown Houston")</f>
        <v>Downtown Houston</v>
      </c>
    </row>
    <row r="470" ht="30.0" customHeight="1">
      <c r="A470" s="17">
        <v>469.0</v>
      </c>
      <c r="B470" s="8" t="str">
        <f>IFERROR(__xludf.DUMMYFUNCTION("""COMPUTED_VALUE"""),"[""99999""]")</f>
        <v>["99999"]</v>
      </c>
      <c r="C470" s="9" t="str">
        <f>IFERROR(__xludf.DUMMYFUNCTION("""COMPUTED_VALUE"""),"Houston Recovery Center")</f>
        <v>Houston Recovery Center</v>
      </c>
      <c r="D470" s="9" t="str">
        <f>IFERROR(__xludf.DUMMYFUNCTION("""COMPUTED_VALUE"""),"150 N Chenevert Street")</f>
        <v>150 N Chenevert Street</v>
      </c>
      <c r="E470" s="9" t="str">
        <f>IFERROR(__xludf.DUMMYFUNCTION("""COMPUTED_VALUE"""),"Suite 100")</f>
        <v>Suite 100</v>
      </c>
      <c r="F470" s="9" t="str">
        <f>IFERROR(__xludf.DUMMYFUNCTION("""COMPUTED_VALUE"""),"Houston")</f>
        <v>Houston</v>
      </c>
      <c r="G470" s="9" t="str">
        <f>IFERROR(__xludf.DUMMYFUNCTION("""COMPUTED_VALUE"""),"TX")</f>
        <v>TX</v>
      </c>
      <c r="H470" s="9" t="str">
        <f>IFERROR(__xludf.DUMMYFUNCTION("""COMPUTED_VALUE"""),"77002")</f>
        <v>77002</v>
      </c>
      <c r="I470" s="9" t="str">
        <f>IFERROR(__xludf.DUMMYFUNCTION("""COMPUTED_VALUE"""),"713-236-7800")</f>
        <v>713-236-7800</v>
      </c>
      <c r="J470" s="9" t="str">
        <f>IFERROR(__xludf.DUMMYFUNCTION("""COMPUTED_VALUE"""),"29.761567, -95.350932")</f>
        <v>29.761567, -95.350932</v>
      </c>
      <c r="K470" s="9" t="str">
        <f>IFERROR(__xludf.DUMMYFUNCTION("""COMPUTED_VALUE"""),"{""regular"":[{""days"":[""Mo"",""Tu"",""We"",""Th"",""Fr"",""Sa"",""Su""],""open"":""00:00"",""close"":""23:59""}]}")</f>
        <v>{"regular":[{"days":["Mo","Tu","We","Th","Fr","Sa","Su"],"open":"00:00","close":"23:59"}]}</v>
      </c>
      <c r="L470" s="9"/>
      <c r="M470" s="10">
        <f>IFERROR(__xludf.DUMMYFUNCTION("""COMPUTED_VALUE"""),34.0)</f>
        <v>34</v>
      </c>
      <c r="N470" s="10" t="str">
        <f>IFERROR(__xludf.DUMMYFUNCTION("""COMPUTED_VALUE"""),"Medical - Addiction Recovery")</f>
        <v>Medical - Addiction Recovery</v>
      </c>
      <c r="O470" s="10">
        <f>IFERROR(__xludf.DUMMYFUNCTION("""COMPUTED_VALUE"""),1.0)</f>
        <v>1</v>
      </c>
      <c r="P470" s="10" t="str">
        <f>IFERROR(__xludf.DUMMYFUNCTION("""COMPUTED_VALUE"""),"ACTIVE")</f>
        <v>ACTIVE</v>
      </c>
      <c r="Q470" s="11">
        <f>IFERROR(__xludf.DUMMYFUNCTION("""COMPUTED_VALUE"""),45795.0)</f>
        <v>45795</v>
      </c>
      <c r="R470" s="9" t="str">
        <f>IFERROR(__xludf.DUMMYFUNCTION("""COMPUTED_VALUE"""),"Verified online")</f>
        <v>Verified online</v>
      </c>
      <c r="S470" s="9" t="str">
        <f>IFERROR(__xludf.DUMMYFUNCTION("""COMPUTED_VALUE"""),"Medication Assisted Treatment
Substance Use Disorder
Scheduling Doctors Appointments
Assistance applying for food stamps, Harris Health, Medicaid, etc.")</f>
        <v>Medication Assisted Treatment
Substance Use Disorder
Scheduling Doctors Appointments
Assistance applying for food stamps, Harris Health, Medicaid, etc.</v>
      </c>
      <c r="T470" s="12" t="b">
        <f>IFERROR(__xludf.DUMMYFUNCTION("""COMPUTED_VALUE"""),FALSE)</f>
        <v>0</v>
      </c>
      <c r="U470" s="12" t="b">
        <f>IFERROR(__xludf.DUMMYFUNCTION("""COMPUTED_VALUE"""),FALSE)</f>
        <v>0</v>
      </c>
      <c r="V470" s="13" t="str">
        <f>IFERROR(__xludf.DUMMYFUNCTION("""COMPUTED_VALUE"""),"https://houstonrecoverycenter.org/houston-recovery-centers-community-healthcare-workers-chw-program/")</f>
        <v>https://houstonrecoverycenter.org/houston-recovery-centers-community-healthcare-workers-chw-program/</v>
      </c>
      <c r="W470" s="14" t="str">
        <f>IFERROR(__xludf.DUMMYFUNCTION("""COMPUTED_VALUE"""),"https://www.google.com/maps/place/Houston+Recovery+Center+LGC-+Sobering+Center/@29.7617845,-95.3533955,16z/data=!3m1!4b1!4m6!3m5!1s0x8640bed8194a6c21:0xbca6b2c6e94fd961!8m2!3d29.7617799!4d-95.3508206!16s%2Fg%2F12hp2pnc4?entry=ttu&amp;g_ep=EgoyMDI1MDUxMy4xIKXM"&amp;"DSoASAFQAw%3D%3D")</f>
        <v>https://www.google.com/maps/place/Houston+Recovery+Center+LGC-+Sobering+Center/@29.7617845,-95.3533955,16z/data=!3m1!4b1!4m6!3m5!1s0x8640bed8194a6c21:0xbca6b2c6e94fd961!8m2!3d29.7617799!4d-95.3508206!16s%2Fg%2F12hp2pnc4?entry=ttu&amp;g_ep=EgoyMDI1MDUxMy4xIKXMDSoASAFQAw%3D%3D</v>
      </c>
      <c r="X470" s="10"/>
      <c r="Y470" s="9" t="str">
        <f>IFERROR(__xludf.DUMMYFUNCTION("""COMPUTED_VALUE"""),"Houston")</f>
        <v>Houston</v>
      </c>
      <c r="Z470"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70" s="9" t="str">
        <f>IFERROR(__xludf.DUMMYFUNCTION("""COMPUTED_VALUE"""),"Houston Recovery Center")</f>
        <v>Houston Recovery Center</v>
      </c>
      <c r="AB470" s="9" t="str">
        <f>IFERROR(__xludf.DUMMYFUNCTION("""COMPUTED_VALUE"""),"Downtown Houston")</f>
        <v>Downtown Houston</v>
      </c>
    </row>
    <row r="471" ht="30.0" customHeight="1">
      <c r="A471" s="17">
        <v>470.0</v>
      </c>
      <c r="B471" s="8" t="str">
        <f>IFERROR(__xludf.DUMMYFUNCTION("""COMPUTED_VALUE"""),"[""99999""]")</f>
        <v>["99999"]</v>
      </c>
      <c r="C471" s="9" t="str">
        <f>IFERROR(__xludf.DUMMYFUNCTION("""COMPUTED_VALUE"""),"Houston ToolBank")</f>
        <v>Houston ToolBank</v>
      </c>
      <c r="D471" s="9" t="str">
        <f>IFERROR(__xludf.DUMMYFUNCTION("""COMPUTED_VALUE"""),"1215 Gazin Street")</f>
        <v>1215 Gazin Street</v>
      </c>
      <c r="E471" s="9"/>
      <c r="F471" s="9" t="str">
        <f>IFERROR(__xludf.DUMMYFUNCTION("""COMPUTED_VALUE"""),"Houston")</f>
        <v>Houston</v>
      </c>
      <c r="G471" s="9" t="str">
        <f>IFERROR(__xludf.DUMMYFUNCTION("""COMPUTED_VALUE"""),"TX")</f>
        <v>TX</v>
      </c>
      <c r="H471" s="9" t="str">
        <f>IFERROR(__xludf.DUMMYFUNCTION("""COMPUTED_VALUE"""),"77020")</f>
        <v>77020</v>
      </c>
      <c r="I471" s="9" t="str">
        <f>IFERROR(__xludf.DUMMYFUNCTION("""COMPUTED_VALUE"""),"713-674-0262")</f>
        <v>713-674-0262</v>
      </c>
      <c r="J471" s="9" t="str">
        <f>IFERROR(__xludf.DUMMYFUNCTION("""COMPUTED_VALUE"""),"29.767417239023374, -95.30413128655019")</f>
        <v>29.767417239023374, -95.30413128655019</v>
      </c>
      <c r="K471" s="9" t="str">
        <f>IFERROR(__xludf.DUMMYFUNCTION("""COMPUTED_VALUE"""),"{""regular"":[{""days"":[""Mo"",""Tu"",""We"",""Th"",""Fr""],""open"":""09:00"",""close"":""16:00""}]}")</f>
        <v>{"regular":[{"days":["Mo","Tu","We","Th","Fr"],"open":"09:00","close":"16:00"}]}</v>
      </c>
      <c r="L471" s="9"/>
      <c r="M471" s="10">
        <f>IFERROR(__xludf.DUMMYFUNCTION("""COMPUTED_VALUE"""),65.0)</f>
        <v>65</v>
      </c>
      <c r="N471" s="10" t="str">
        <f>IFERROR(__xludf.DUMMYFUNCTION("""COMPUTED_VALUE"""),"Other")</f>
        <v>Other</v>
      </c>
      <c r="O471" s="10">
        <f>IFERROR(__xludf.DUMMYFUNCTION("""COMPUTED_VALUE"""),1.0)</f>
        <v>1</v>
      </c>
      <c r="P471" s="10" t="str">
        <f>IFERROR(__xludf.DUMMYFUNCTION("""COMPUTED_VALUE"""),"ACTIVE")</f>
        <v>ACTIVE</v>
      </c>
      <c r="Q471" s="11">
        <f>IFERROR(__xludf.DUMMYFUNCTION("""COMPUTED_VALUE"""),46037.0)</f>
        <v>46037</v>
      </c>
      <c r="R471" s="9" t="str">
        <f>IFERROR(__xludf.DUMMYFUNCTION("""COMPUTED_VALUE"""),"Verified online")</f>
        <v>Verified online</v>
      </c>
      <c r="S471" s="9" t="str">
        <f>IFERROR(__xludf.DUMMYFUNCTION("""COMPUTED_VALUE"""),"Has an inventory of more than 300 tools and equipment that member non-profit organizations can borrow for a nominal fee.")</f>
        <v>Has an inventory of more than 300 tools and equipment that member non-profit organizations can borrow for a nominal fee.</v>
      </c>
      <c r="T471" s="12" t="b">
        <f>IFERROR(__xludf.DUMMYFUNCTION("""COMPUTED_VALUE"""),FALSE)</f>
        <v>0</v>
      </c>
      <c r="U471" s="12" t="b">
        <f>IFERROR(__xludf.DUMMYFUNCTION("""COMPUTED_VALUE"""),FALSE)</f>
        <v>0</v>
      </c>
      <c r="V471" s="13" t="str">
        <f>IFERROR(__xludf.DUMMYFUNCTION("""COMPUTED_VALUE"""),"https://www.houstontoolbank.org/borrow/")</f>
        <v>https://www.houstontoolbank.org/borrow/</v>
      </c>
      <c r="W471" s="14" t="str">
        <f>IFERROR(__xludf.DUMMYFUNCTION("""COMPUTED_VALUE"""),"https://www.google.com/maps/place/Houston+Community+ToolBank/@29.766933,-95.3065453,16z/data=!3m1!4b1!4m6!3m5!1s0x8640bc04619f4ca1:0x77d9885582f53fff!8m2!3d29.766933!4d-95.303965!16s%2Fg%2F11b7jgbdcj?entry=ttu&amp;g_ep=EgoyMDI2MDExMy4wIKXMDSoKLDEwMDc5MjA2OUgB"&amp;"UAM%3D")</f>
        <v>https://www.google.com/maps/place/Houston+Community+ToolBank/@29.766933,-95.3065453,16z/data=!3m1!4b1!4m6!3m5!1s0x8640bc04619f4ca1:0x77d9885582f53fff!8m2!3d29.766933!4d-95.303965!16s%2Fg%2F11b7jgbdcj?entry=ttu&amp;g_ep=EgoyMDI2MDExMy4wIKXMDSoKLDEwMDc5MjA2OUgBUAM%3D</v>
      </c>
      <c r="X471" s="10"/>
      <c r="Y471" s="9" t="str">
        <f>IFERROR(__xludf.DUMMYFUNCTION("""COMPUTED_VALUE"""),"Houston")</f>
        <v>Houston</v>
      </c>
      <c r="Z471" s="9" t="str">
        <f>IFERROR(__xludf.DUMMYFUNCTION("""COMPUTED_VALUE"""),"Denver Harbor / Port Houston, Fifth Ward, Northside")</f>
        <v>Denver Harbor / Port Houston, Fifth Ward, Northside</v>
      </c>
      <c r="AA471" s="9" t="str">
        <f>IFERROR(__xludf.DUMMYFUNCTION("""COMPUTED_VALUE"""),"Houston ToolBank")</f>
        <v>Houston ToolBank</v>
      </c>
      <c r="AB471" s="9" t="str">
        <f>IFERROR(__xludf.DUMMYFUNCTION("""COMPUTED_VALUE"""),"Denver Harbor / Port Houston")</f>
        <v>Denver Harbor / Port Houston</v>
      </c>
    </row>
    <row r="472" ht="30.0" customHeight="1">
      <c r="A472" s="17">
        <v>471.0</v>
      </c>
      <c r="B472" s="8" t="str">
        <f>IFERROR(__xludf.DUMMYFUNCTION("""COMPUTED_VALUE"""),"[""99999""]")</f>
        <v>["99999"]</v>
      </c>
      <c r="C472" s="9" t="str">
        <f>IFERROR(__xludf.DUMMYFUNCTION("""COMPUTED_VALUE"""),"Houston Volunteer Lawyers")</f>
        <v>Houston Volunteer Lawyers</v>
      </c>
      <c r="D472" s="9" t="str">
        <f>IFERROR(__xludf.DUMMYFUNCTION("""COMPUTED_VALUE"""),"1000 Louisiana Street")</f>
        <v>1000 Louisiana Street</v>
      </c>
      <c r="E472" s="9" t="str">
        <f>IFERROR(__xludf.DUMMYFUNCTION("""COMPUTED_VALUE"""),"Suite 3600")</f>
        <v>Suite 3600</v>
      </c>
      <c r="F472" s="9" t="str">
        <f>IFERROR(__xludf.DUMMYFUNCTION("""COMPUTED_VALUE"""),"Houston")</f>
        <v>Houston</v>
      </c>
      <c r="G472" s="9" t="str">
        <f>IFERROR(__xludf.DUMMYFUNCTION("""COMPUTED_VALUE"""),"TX")</f>
        <v>TX</v>
      </c>
      <c r="H472" s="9" t="str">
        <f>IFERROR(__xludf.DUMMYFUNCTION("""COMPUTED_VALUE"""),"77002")</f>
        <v>77002</v>
      </c>
      <c r="I472" s="9" t="str">
        <f>IFERROR(__xludf.DUMMYFUNCTION("""COMPUTED_VALUE"""),"713-228-0735")</f>
        <v>713-228-0735</v>
      </c>
      <c r="J472" s="9" t="str">
        <f>IFERROR(__xludf.DUMMYFUNCTION("""COMPUTED_VALUE"""),"29.7587162576688, -95.36825429501279")</f>
        <v>29.7587162576688, -95.36825429501279</v>
      </c>
      <c r="K472" s="9" t="str">
        <f>IFERROR(__xludf.DUMMYFUNCTION("""COMPUTED_VALUE"""),"{""regular"":[{""days"":[""Mo"",""Tu"",""We"",""Th"",""Fr""],""open"":""09:00"",""close"":""17:00""}]}")</f>
        <v>{"regular":[{"days":["Mo","Tu","We","Th","Fr"],"open":"09:00","close":"17:00"}]}</v>
      </c>
      <c r="L472" s="9" t="str">
        <f>IFERROR(__xludf.DUMMYFUNCTION("""COMPUTED_VALUE"""),"Register online")</f>
        <v>Register online</v>
      </c>
      <c r="M472" s="10">
        <f>IFERROR(__xludf.DUMMYFUNCTION("""COMPUTED_VALUE"""),54.0)</f>
        <v>54</v>
      </c>
      <c r="N472" s="10" t="str">
        <f>IFERROR(__xludf.DUMMYFUNCTION("""COMPUTED_VALUE"""),"Legal")</f>
        <v>Legal</v>
      </c>
      <c r="O472" s="10">
        <f>IFERROR(__xludf.DUMMYFUNCTION("""COMPUTED_VALUE"""),1.0)</f>
        <v>1</v>
      </c>
      <c r="P472" s="10" t="str">
        <f>IFERROR(__xludf.DUMMYFUNCTION("""COMPUTED_VALUE"""),"ACTIVE")</f>
        <v>ACTIVE</v>
      </c>
      <c r="Q472" s="11">
        <f>IFERROR(__xludf.DUMMYFUNCTION("""COMPUTED_VALUE"""),46023.0)</f>
        <v>46023</v>
      </c>
      <c r="R472" s="9"/>
      <c r="S472" s="9" t="str">
        <f>IFERROR(__xludf.DUMMYFUNCTION("""COMPUTED_VALUE"""),"Started by the Houston Bar Association, Houston Volunteer Lawyers provides free legal assistance to eligible low income area residents.
Complete an online application to determine eligibility.
Common practice areas include divorce, custody, eviction, fede"&amp;"ral taxes, debt collection, veterans, wills, probate and misdemeanor convictions.")</f>
        <v>Started by the Houston Bar Association, Houston Volunteer Lawyers provides free legal assistance to eligible low income area residents.
Complete an online application to determine eligibility.
Common practice areas include divorce, custody, eviction, federal taxes, debt collection, veterans, wills, probate and misdemeanor convictions.</v>
      </c>
      <c r="T472" s="12" t="b">
        <f>IFERROR(__xludf.DUMMYFUNCTION("""COMPUTED_VALUE"""),FALSE)</f>
        <v>0</v>
      </c>
      <c r="U472" s="12" t="b">
        <f>IFERROR(__xludf.DUMMYFUNCTION("""COMPUTED_VALUE"""),FALSE)</f>
        <v>0</v>
      </c>
      <c r="V472" s="13" t="str">
        <f>IFERROR(__xludf.DUMMYFUNCTION("""COMPUTED_VALUE"""),"https://www.makejusticehappen.org/programs/")</f>
        <v>https://www.makejusticehappen.org/programs/</v>
      </c>
      <c r="W472" s="14" t="str">
        <f>IFERROR(__xludf.DUMMYFUNCTION("""COMPUTED_VALUE"""),"https://www.google.com/maps/place/Houston+Volunteer+Lawyers/@29.758516,-95.3708292,17z/data=!3m2!4b1!5s0x8640bf3a2b949039:0xe6f16368b6e34694!4m6!3m5!1s0x8640bf3ade8cef81:0x5e8349c5d3cdf865!8m2!3d29.7585114!4d-95.3682543!16s%2Fg%2F1q5cdpts1?entry=ttu&amp;g_ep="&amp;"EgoyMDI1MTIwOS4wIKXMDSoKLDEwMDc5MjA2OUgBUAM%3D")</f>
        <v>https://www.google.com/maps/place/Houston+Volunteer+Lawyers/@29.758516,-95.3708292,17z/data=!3m2!4b1!5s0x8640bf3a2b949039:0xe6f16368b6e34694!4m6!3m5!1s0x8640bf3ade8cef81:0x5e8349c5d3cdf865!8m2!3d29.7585114!4d-95.3682543!16s%2Fg%2F1q5cdpts1?entry=ttu&amp;g_ep=EgoyMDI1MTIwOS4wIKXMDSoKLDEwMDc5MjA2OUgBUAM%3D</v>
      </c>
      <c r="X472" s="10"/>
      <c r="Y472" s="9" t="str">
        <f>IFERROR(__xludf.DUMMYFUNCTION("""COMPUTED_VALUE"""),"Houston")</f>
        <v>Houston</v>
      </c>
      <c r="Z47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472" s="9" t="str">
        <f>IFERROR(__xludf.DUMMYFUNCTION("""COMPUTED_VALUE"""),"Houston Volunteer Lawyers")</f>
        <v>Houston Volunteer Lawyers</v>
      </c>
      <c r="AB472" s="9" t="str">
        <f>IFERROR(__xludf.DUMMYFUNCTION("""COMPUTED_VALUE"""),"Downtown Houston")</f>
        <v>Downtown Houston</v>
      </c>
    </row>
    <row r="473" ht="30.0" customHeight="1">
      <c r="A473" s="17">
        <v>472.0</v>
      </c>
      <c r="B473" s="8" t="str">
        <f>IFERROR(__xludf.DUMMYFUNCTION("""COMPUTED_VALUE"""),"[""77044"", ""77302"", ""77306"", ""77336"", ""77338"", ""77339"", ""77345"", ""77346"", ""77347"", ""77357"", ""77365"", ""77372"", ""77396"", ""77532""]")</f>
        <v>["77044", "77302", "77306", "77336", "77338", "77339", "77345", "77346", "77347", "77357", "77365", "77372", "77396", "77532"]</v>
      </c>
      <c r="C473" s="9" t="str">
        <f>IFERROR(__xludf.DUMMYFUNCTION("""COMPUTED_VALUE"""),"Humble Area Assistance Ministries")</f>
        <v>Humble Area Assistance Ministries</v>
      </c>
      <c r="D473" s="9" t="str">
        <f>IFERROR(__xludf.DUMMYFUNCTION("""COMPUTED_VALUE"""),"1302 1st Street East")</f>
        <v>1302 1st Street East</v>
      </c>
      <c r="E473" s="9"/>
      <c r="F473" s="9" t="str">
        <f>IFERROR(__xludf.DUMMYFUNCTION("""COMPUTED_VALUE"""),"Humble")</f>
        <v>Humble</v>
      </c>
      <c r="G473" s="9" t="str">
        <f>IFERROR(__xludf.DUMMYFUNCTION("""COMPUTED_VALUE"""),"TX")</f>
        <v>TX</v>
      </c>
      <c r="H473" s="9" t="str">
        <f>IFERROR(__xludf.DUMMYFUNCTION("""COMPUTED_VALUE"""),"77338")</f>
        <v>77338</v>
      </c>
      <c r="I473" s="9" t="str">
        <f>IFERROR(__xludf.DUMMYFUNCTION("""COMPUTED_VALUE"""),"281-446-3663")</f>
        <v>281-446-3663</v>
      </c>
      <c r="J473" s="9" t="str">
        <f>IFERROR(__xludf.DUMMYFUNCTION("""COMPUTED_VALUE"""),"29.998568, -95.253811")</f>
        <v>29.998568, -95.253811</v>
      </c>
      <c r="K473" s="9"/>
      <c r="L473" s="9"/>
      <c r="M473" s="10">
        <f>IFERROR(__xludf.DUMMYFUNCTION("""COMPUTED_VALUE"""),11.0)</f>
        <v>11</v>
      </c>
      <c r="N473" s="10" t="str">
        <f>IFERROR(__xludf.DUMMYFUNCTION("""COMPUTED_VALUE"""),"Rent")</f>
        <v>Rent</v>
      </c>
      <c r="O473" s="10">
        <f>IFERROR(__xludf.DUMMYFUNCTION("""COMPUTED_VALUE"""),1.0)</f>
        <v>1</v>
      </c>
      <c r="P473" s="10" t="str">
        <f>IFERROR(__xludf.DUMMYFUNCTION("""COMPUTED_VALUE"""),"ACTIVE")</f>
        <v>ACTIVE</v>
      </c>
      <c r="Q473" s="11"/>
      <c r="R473" s="9" t="str">
        <f>IFERROR(__xludf.DUMMYFUNCTION("""COMPUTED_VALUE"""),"HAAM reviews randomly selected applications on the 10th of each month.")</f>
        <v>HAAM reviews randomly selected applications on the 10th of each month.</v>
      </c>
      <c r="S473" s="9" t="str">
        <f>IFERROR(__xludf.DUMMYFUNCTION("""COMPUTED_VALUE"""),"All new clients must register online and create an account.
Complete online Request for Assistance form.
Government issued photo ID for each adult in the household.
Two to four pay stubs showing gross income.
Any Award Letters.
Current lease agreement.
No"&amp;"tice to Vacate or Eviction.
Rent assistance provided once every 24 months.")</f>
        <v>All new clients must register online and create an account.
Complete online Request for Assistance form.
Government issued photo ID for each adult in the household.
Two to four pay stubs showing gross income.
Any Award Letters.
Current lease agreement.
Notice to Vacate or Eviction.
Rent assistance provided once every 24 months.</v>
      </c>
      <c r="T473" s="12" t="b">
        <f>IFERROR(__xludf.DUMMYFUNCTION("""COMPUTED_VALUE"""),FALSE)</f>
        <v>0</v>
      </c>
      <c r="U473" s="12" t="b">
        <f>IFERROR(__xludf.DUMMYFUNCTION("""COMPUTED_VALUE"""),FALSE)</f>
        <v>0</v>
      </c>
      <c r="V473" s="13" t="str">
        <f>IFERROR(__xludf.DUMMYFUNCTION("""COMPUTED_VALUE"""),"https://haamministries.org/")</f>
        <v>https://haamministries.org/</v>
      </c>
      <c r="W473" s="14" t="str">
        <f>IFERROR(__xludf.DUMMYFUNCTION("""COMPUTED_VALUE"""),"https://maps.google.com/?q=Humble%20Area%20Assistance%20Ministries%201302%201st%20St%20East%20Humble%20TX%2077338")</f>
        <v>https://maps.google.com/?q=Humble%20Area%20Assistance%20Ministries%201302%201st%20St%20East%20Humble%20TX%2077338</v>
      </c>
      <c r="X473" s="10"/>
      <c r="Y473" s="9" t="str">
        <f>IFERROR(__xludf.DUMMYFUNCTION("""COMPUTED_VALUE"""),"Humble")</f>
        <v>Humble</v>
      </c>
      <c r="Z473" s="9" t="str">
        <f>IFERROR(__xludf.DUMMYFUNCTION("""COMPUTED_VALUE"""),"Humble, Humble (Old Town), Northshire")</f>
        <v>Humble, Humble (Old Town), Northshire</v>
      </c>
      <c r="AA473" s="9" t="str">
        <f>IFERROR(__xludf.DUMMYFUNCTION("""COMPUTED_VALUE"""),"Humble Area Assistance Ministries")</f>
        <v>Humble Area Assistance Ministries</v>
      </c>
      <c r="AB473" s="9" t="str">
        <f>IFERROR(__xludf.DUMMYFUNCTION("""COMPUTED_VALUE"""),"Humble")</f>
        <v>Humble</v>
      </c>
    </row>
    <row r="474" ht="30.0" customHeight="1">
      <c r="A474" s="17">
        <v>473.0</v>
      </c>
      <c r="B474" s="8" t="str">
        <f>IFERROR(__xludf.DUMMYFUNCTION("""COMPUTED_VALUE"""),"[""77044"", ""77302"", ""77306"", ""77336"", ""77338"", ""77339"", ""77345"", ""77346"", ""77347"", ""77357"", ""77365"", ""77372"", ""77396"", ""77532""]")</f>
        <v>["77044", "77302", "77306", "77336", "77338", "77339", "77345", "77346", "77347", "77357", "77365", "77372", "77396", "77532"]</v>
      </c>
      <c r="C474" s="9" t="str">
        <f>IFERROR(__xludf.DUMMYFUNCTION("""COMPUTED_VALUE"""),"Humble Area Assistance Ministries")</f>
        <v>Humble Area Assistance Ministries</v>
      </c>
      <c r="D474" s="9" t="str">
        <f>IFERROR(__xludf.DUMMYFUNCTION("""COMPUTED_VALUE"""),"1302 1st Street East")</f>
        <v>1302 1st Street East</v>
      </c>
      <c r="E474" s="9"/>
      <c r="F474" s="9" t="str">
        <f>IFERROR(__xludf.DUMMYFUNCTION("""COMPUTED_VALUE"""),"Humble")</f>
        <v>Humble</v>
      </c>
      <c r="G474" s="9" t="str">
        <f>IFERROR(__xludf.DUMMYFUNCTION("""COMPUTED_VALUE"""),"TX")</f>
        <v>TX</v>
      </c>
      <c r="H474" s="9" t="str">
        <f>IFERROR(__xludf.DUMMYFUNCTION("""COMPUTED_VALUE"""),"77338")</f>
        <v>77338</v>
      </c>
      <c r="I474" s="9" t="str">
        <f>IFERROR(__xludf.DUMMYFUNCTION("""COMPUTED_VALUE"""),"281-446-3663")</f>
        <v>281-446-3663</v>
      </c>
      <c r="J474" s="9" t="str">
        <f>IFERROR(__xludf.DUMMYFUNCTION("""COMPUTED_VALUE"""),"29.998568, -95.253811")</f>
        <v>29.998568, -95.253811</v>
      </c>
      <c r="K474" s="9"/>
      <c r="L474" s="9"/>
      <c r="M474" s="10">
        <f>IFERROR(__xludf.DUMMYFUNCTION("""COMPUTED_VALUE"""),12.0)</f>
        <v>12</v>
      </c>
      <c r="N474" s="10" t="str">
        <f>IFERROR(__xludf.DUMMYFUNCTION("""COMPUTED_VALUE"""),"Utilities")</f>
        <v>Utilities</v>
      </c>
      <c r="O474" s="10">
        <f>IFERROR(__xludf.DUMMYFUNCTION("""COMPUTED_VALUE"""),1.0)</f>
        <v>1</v>
      </c>
      <c r="P474" s="10" t="str">
        <f>IFERROR(__xludf.DUMMYFUNCTION("""COMPUTED_VALUE"""),"ACTIVE")</f>
        <v>ACTIVE</v>
      </c>
      <c r="Q474" s="11"/>
      <c r="R474" s="9" t="str">
        <f>IFERROR(__xludf.DUMMYFUNCTION("""COMPUTED_VALUE"""),"HAAM reviews randomly selected applications on the 10th of each month.")</f>
        <v>HAAM reviews randomly selected applications on the 10th of each month.</v>
      </c>
      <c r="S474" s="9" t="str">
        <f>IFERROR(__xludf.DUMMYFUNCTION("""COMPUTED_VALUE"""),"All new clients must register online and create an account.
Complete online Request for Assistance form.
Other than the above two items, requirements for utilities assistance is not defined on their website.")</f>
        <v>All new clients must register online and create an account.
Complete online Request for Assistance form.
Other than the above two items, requirements for utilities assistance is not defined on their website.</v>
      </c>
      <c r="T474" s="12" t="b">
        <f>IFERROR(__xludf.DUMMYFUNCTION("""COMPUTED_VALUE"""),FALSE)</f>
        <v>0</v>
      </c>
      <c r="U474" s="12" t="b">
        <f>IFERROR(__xludf.DUMMYFUNCTION("""COMPUTED_VALUE"""),FALSE)</f>
        <v>0</v>
      </c>
      <c r="V474" s="13" t="str">
        <f>IFERROR(__xludf.DUMMYFUNCTION("""COMPUTED_VALUE"""),"https://haamministries.org/")</f>
        <v>https://haamministries.org/</v>
      </c>
      <c r="W474" s="14" t="str">
        <f>IFERROR(__xludf.DUMMYFUNCTION("""COMPUTED_VALUE"""),"https://maps.google.com/?q=Humble%20Area%20Assistance%20Ministries%201302%201st%20St%20East%20Humble%20TX%2077338")</f>
        <v>https://maps.google.com/?q=Humble%20Area%20Assistance%20Ministries%201302%201st%20St%20East%20Humble%20TX%2077338</v>
      </c>
      <c r="X474" s="10"/>
      <c r="Y474" s="9" t="str">
        <f>IFERROR(__xludf.DUMMYFUNCTION("""COMPUTED_VALUE"""),"Humble")</f>
        <v>Humble</v>
      </c>
      <c r="Z474" s="9" t="str">
        <f>IFERROR(__xludf.DUMMYFUNCTION("""COMPUTED_VALUE"""),"Humble, Humble (Old Town), Northshire")</f>
        <v>Humble, Humble (Old Town), Northshire</v>
      </c>
      <c r="AA474" s="9" t="str">
        <f>IFERROR(__xludf.DUMMYFUNCTION("""COMPUTED_VALUE"""),"Humble Area Assistance Ministries")</f>
        <v>Humble Area Assistance Ministries</v>
      </c>
      <c r="AB474" s="9" t="str">
        <f>IFERROR(__xludf.DUMMYFUNCTION("""COMPUTED_VALUE"""),"Humble")</f>
        <v>Humble</v>
      </c>
    </row>
    <row r="475" ht="30.0" customHeight="1">
      <c r="A475" s="17">
        <v>474.0</v>
      </c>
      <c r="B475" s="8" t="str">
        <f>IFERROR(__xludf.DUMMYFUNCTION("""COMPUTED_VALUE"""),"[""77044"", ""77302"", ""77306"", ""77336"", ""77338"", ""77339"", ""77345"", ""77346"", ""77347"", ""77357"", ""77365"", ""77372"", ""77396"", ""77532""]")</f>
        <v>["77044", "77302", "77306", "77336", "77338", "77339", "77345", "77346", "77347", "77357", "77365", "77372", "77396", "77532"]</v>
      </c>
      <c r="C475" s="9" t="str">
        <f>IFERROR(__xludf.DUMMYFUNCTION("""COMPUTED_VALUE"""),"Humble Area Assistance Ministries")</f>
        <v>Humble Area Assistance Ministries</v>
      </c>
      <c r="D475" s="9" t="str">
        <f>IFERROR(__xludf.DUMMYFUNCTION("""COMPUTED_VALUE"""),"1302 1st Street East")</f>
        <v>1302 1st Street East</v>
      </c>
      <c r="E475" s="9"/>
      <c r="F475" s="9" t="str">
        <f>IFERROR(__xludf.DUMMYFUNCTION("""COMPUTED_VALUE"""),"Humble")</f>
        <v>Humble</v>
      </c>
      <c r="G475" s="9" t="str">
        <f>IFERROR(__xludf.DUMMYFUNCTION("""COMPUTED_VALUE"""),"TX")</f>
        <v>TX</v>
      </c>
      <c r="H475" s="9" t="str">
        <f>IFERROR(__xludf.DUMMYFUNCTION("""COMPUTED_VALUE"""),"77338")</f>
        <v>77338</v>
      </c>
      <c r="I475" s="9" t="str">
        <f>IFERROR(__xludf.DUMMYFUNCTION("""COMPUTED_VALUE"""),"281-446-3663")</f>
        <v>281-446-3663</v>
      </c>
      <c r="J475" s="9" t="str">
        <f>IFERROR(__xludf.DUMMYFUNCTION("""COMPUTED_VALUE"""),"29.998568, -95.253811")</f>
        <v>29.998568, -95.253811</v>
      </c>
      <c r="K475" s="9"/>
      <c r="L475" s="9"/>
      <c r="M475" s="10">
        <f>IFERROR(__xludf.DUMMYFUNCTION("""COMPUTED_VALUE"""),13.0)</f>
        <v>13</v>
      </c>
      <c r="N475" s="10" t="str">
        <f>IFERROR(__xludf.DUMMYFUNCTION("""COMPUTED_VALUE"""),"Food")</f>
        <v>Food</v>
      </c>
      <c r="O475" s="10">
        <f>IFERROR(__xludf.DUMMYFUNCTION("""COMPUTED_VALUE"""),1.0)</f>
        <v>1</v>
      </c>
      <c r="P475" s="10" t="str">
        <f>IFERROR(__xludf.DUMMYFUNCTION("""COMPUTED_VALUE"""),"ACTIVE")</f>
        <v>ACTIVE</v>
      </c>
      <c r="Q475" s="11"/>
      <c r="R475" s="9"/>
      <c r="S475" s="9" t="str">
        <f>IFERROR(__xludf.DUMMYFUNCTION("""COMPUTED_VALUE"""),"All new clients must register online and create an account. 
Complete online Request for Assistance form.")</f>
        <v>All new clients must register online and create an account. 
Complete online Request for Assistance form.</v>
      </c>
      <c r="T475" s="12" t="b">
        <f>IFERROR(__xludf.DUMMYFUNCTION("""COMPUTED_VALUE"""),FALSE)</f>
        <v>0</v>
      </c>
      <c r="U475" s="12" t="b">
        <f>IFERROR(__xludf.DUMMYFUNCTION("""COMPUTED_VALUE"""),FALSE)</f>
        <v>0</v>
      </c>
      <c r="V475" s="13" t="str">
        <f>IFERROR(__xludf.DUMMYFUNCTION("""COMPUTED_VALUE"""),"https://haamministries.org/")</f>
        <v>https://haamministries.org/</v>
      </c>
      <c r="W475" s="14" t="str">
        <f>IFERROR(__xludf.DUMMYFUNCTION("""COMPUTED_VALUE"""),"https://maps.google.com/?q=Humble%20Area%20Assistance%20Ministries%201302%201st%20St%20East%20Humble%20TX%2077338")</f>
        <v>https://maps.google.com/?q=Humble%20Area%20Assistance%20Ministries%201302%201st%20St%20East%20Humble%20TX%2077338</v>
      </c>
      <c r="X475" s="10"/>
      <c r="Y475" s="9" t="str">
        <f>IFERROR(__xludf.DUMMYFUNCTION("""COMPUTED_VALUE"""),"Humble")</f>
        <v>Humble</v>
      </c>
      <c r="Z475" s="9" t="str">
        <f>IFERROR(__xludf.DUMMYFUNCTION("""COMPUTED_VALUE"""),"Humble, Humble (Old Town), Northshire")</f>
        <v>Humble, Humble (Old Town), Northshire</v>
      </c>
      <c r="AA475" s="9" t="str">
        <f>IFERROR(__xludf.DUMMYFUNCTION("""COMPUTED_VALUE"""),"Humble Area Assistance Ministries")</f>
        <v>Humble Area Assistance Ministries</v>
      </c>
      <c r="AB475" s="9" t="str">
        <f>IFERROR(__xludf.DUMMYFUNCTION("""COMPUTED_VALUE"""),"Humble")</f>
        <v>Humble</v>
      </c>
    </row>
    <row r="476" ht="30.0" customHeight="1">
      <c r="A476" s="17">
        <v>475.0</v>
      </c>
      <c r="B476" s="8" t="str">
        <f>IFERROR(__xludf.DUMMYFUNCTION("""COMPUTED_VALUE"""),"[""77044"", ""77302"", ""77306"", ""77336"", ""77338"", ""77339"", ""77345"", ""77346"", ""77347"", ""77357"", ""77365"", ""77372"", ""77396"", ""77532""]")</f>
        <v>["77044", "77302", "77306", "77336", "77338", "77339", "77345", "77346", "77347", "77357", "77365", "77372", "77396", "77532"]</v>
      </c>
      <c r="C476" s="9" t="str">
        <f>IFERROR(__xludf.DUMMYFUNCTION("""COMPUTED_VALUE"""),"Humble Area Assistance Ministries")</f>
        <v>Humble Area Assistance Ministries</v>
      </c>
      <c r="D476" s="9" t="str">
        <f>IFERROR(__xludf.DUMMYFUNCTION("""COMPUTED_VALUE"""),"1302 1st Street East")</f>
        <v>1302 1st Street East</v>
      </c>
      <c r="E476" s="9"/>
      <c r="F476" s="9" t="str">
        <f>IFERROR(__xludf.DUMMYFUNCTION("""COMPUTED_VALUE"""),"Humble")</f>
        <v>Humble</v>
      </c>
      <c r="G476" s="9" t="str">
        <f>IFERROR(__xludf.DUMMYFUNCTION("""COMPUTED_VALUE"""),"TX")</f>
        <v>TX</v>
      </c>
      <c r="H476" s="9" t="str">
        <f>IFERROR(__xludf.DUMMYFUNCTION("""COMPUTED_VALUE"""),"77338")</f>
        <v>77338</v>
      </c>
      <c r="I476" s="9" t="str">
        <f>IFERROR(__xludf.DUMMYFUNCTION("""COMPUTED_VALUE"""),"281-446-3663")</f>
        <v>281-446-3663</v>
      </c>
      <c r="J476" s="9" t="str">
        <f>IFERROR(__xludf.DUMMYFUNCTION("""COMPUTED_VALUE"""),"29.998568, -95.253811")</f>
        <v>29.998568, -95.253811</v>
      </c>
      <c r="K476" s="9"/>
      <c r="L476" s="9"/>
      <c r="M476" s="10">
        <f>IFERROR(__xludf.DUMMYFUNCTION("""COMPUTED_VALUE"""),51.0)</f>
        <v>51</v>
      </c>
      <c r="N476" s="10" t="str">
        <f>IFERROR(__xludf.DUMMYFUNCTION("""COMPUTED_VALUE"""),"Education - Adults")</f>
        <v>Education - Adults</v>
      </c>
      <c r="O476" s="10">
        <f>IFERROR(__xludf.DUMMYFUNCTION("""COMPUTED_VALUE"""),1.0)</f>
        <v>1</v>
      </c>
      <c r="P476" s="10" t="str">
        <f>IFERROR(__xludf.DUMMYFUNCTION("""COMPUTED_VALUE"""),"ACTIVE")</f>
        <v>ACTIVE</v>
      </c>
      <c r="Q476" s="11"/>
      <c r="R476" s="9"/>
      <c r="S476" s="9" t="str">
        <f>IFERROR(__xludf.DUMMYFUNCTION("""COMPUTED_VALUE"""),"GED and ESL.
Financial literacy.")</f>
        <v>GED and ESL.
Financial literacy.</v>
      </c>
      <c r="T476" s="12" t="b">
        <f>IFERROR(__xludf.DUMMYFUNCTION("""COMPUTED_VALUE"""),FALSE)</f>
        <v>0</v>
      </c>
      <c r="U476" s="12" t="b">
        <f>IFERROR(__xludf.DUMMYFUNCTION("""COMPUTED_VALUE"""),FALSE)</f>
        <v>0</v>
      </c>
      <c r="V476" s="13" t="str">
        <f>IFERROR(__xludf.DUMMYFUNCTION("""COMPUTED_VALUE"""),"https://haamministries.org/")</f>
        <v>https://haamministries.org/</v>
      </c>
      <c r="W476" s="14" t="str">
        <f>IFERROR(__xludf.DUMMYFUNCTION("""COMPUTED_VALUE"""),"https://maps.google.com/?q=Humble%20Area%20Assistance%20Ministries%201302%201st%20St%20East%20Humble%20TX%2077338")</f>
        <v>https://maps.google.com/?q=Humble%20Area%20Assistance%20Ministries%201302%201st%20St%20East%20Humble%20TX%2077338</v>
      </c>
      <c r="X476" s="10"/>
      <c r="Y476" s="9" t="str">
        <f>IFERROR(__xludf.DUMMYFUNCTION("""COMPUTED_VALUE"""),"Humble")</f>
        <v>Humble</v>
      </c>
      <c r="Z476" s="9" t="str">
        <f>IFERROR(__xludf.DUMMYFUNCTION("""COMPUTED_VALUE"""),"Humble, Humble (Old Town), Northshire")</f>
        <v>Humble, Humble (Old Town), Northshire</v>
      </c>
      <c r="AA476" s="9" t="str">
        <f>IFERROR(__xludf.DUMMYFUNCTION("""COMPUTED_VALUE"""),"Humble Area Assistance Ministries")</f>
        <v>Humble Area Assistance Ministries</v>
      </c>
      <c r="AB476" s="9" t="str">
        <f>IFERROR(__xludf.DUMMYFUNCTION("""COMPUTED_VALUE"""),"Humble")</f>
        <v>Humble</v>
      </c>
    </row>
    <row r="477" ht="30.0" customHeight="1">
      <c r="A477" s="17">
        <v>476.0</v>
      </c>
      <c r="B477" s="8" t="str">
        <f>IFERROR(__xludf.DUMMYFUNCTION("""COMPUTED_VALUE"""),"[""77044"", ""77302"", ""77306"", ""77336"", ""77338"", ""77339"", ""77345"", ""77346"", ""77347"", ""77357"", ""77365"", ""77372"", ""77396"", ""77532""]")</f>
        <v>["77044", "77302", "77306", "77336", "77338", "77339", "77345", "77346", "77347", "77357", "77365", "77372", "77396", "77532"]</v>
      </c>
      <c r="C477" s="9" t="str">
        <f>IFERROR(__xludf.DUMMYFUNCTION("""COMPUTED_VALUE"""),"Humble Area Assistance Ministries")</f>
        <v>Humble Area Assistance Ministries</v>
      </c>
      <c r="D477" s="9" t="str">
        <f>IFERROR(__xludf.DUMMYFUNCTION("""COMPUTED_VALUE"""),"1302 1st Street East")</f>
        <v>1302 1st Street East</v>
      </c>
      <c r="E477" s="9"/>
      <c r="F477" s="9" t="str">
        <f>IFERROR(__xludf.DUMMYFUNCTION("""COMPUTED_VALUE"""),"Humble")</f>
        <v>Humble</v>
      </c>
      <c r="G477" s="9" t="str">
        <f>IFERROR(__xludf.DUMMYFUNCTION("""COMPUTED_VALUE"""),"TX")</f>
        <v>TX</v>
      </c>
      <c r="H477" s="9" t="str">
        <f>IFERROR(__xludf.DUMMYFUNCTION("""COMPUTED_VALUE"""),"77338")</f>
        <v>77338</v>
      </c>
      <c r="I477" s="9" t="str">
        <f>IFERROR(__xludf.DUMMYFUNCTION("""COMPUTED_VALUE"""),"281-446-3663")</f>
        <v>281-446-3663</v>
      </c>
      <c r="J477" s="9" t="str">
        <f>IFERROR(__xludf.DUMMYFUNCTION("""COMPUTED_VALUE"""),"29.998568, -95.253811")</f>
        <v>29.998568, -95.253811</v>
      </c>
      <c r="K477" s="9"/>
      <c r="L477" s="9"/>
      <c r="M477" s="10">
        <f>IFERROR(__xludf.DUMMYFUNCTION("""COMPUTED_VALUE"""),52.0)</f>
        <v>52</v>
      </c>
      <c r="N477" s="10" t="str">
        <f>IFERROR(__xludf.DUMMYFUNCTION("""COMPUTED_VALUE"""),"Jobs")</f>
        <v>Jobs</v>
      </c>
      <c r="O477" s="10">
        <f>IFERROR(__xludf.DUMMYFUNCTION("""COMPUTED_VALUE"""),1.0)</f>
        <v>1</v>
      </c>
      <c r="P477" s="10" t="str">
        <f>IFERROR(__xludf.DUMMYFUNCTION("""COMPUTED_VALUE"""),"ACTIVE")</f>
        <v>ACTIVE</v>
      </c>
      <c r="Q477" s="11"/>
      <c r="R477" s="9"/>
      <c r="S477" s="9" t="str">
        <f>IFERROR(__xludf.DUMMYFUNCTION("""COMPUTED_VALUE"""),"Resume writing and interview coaching.
Job search assistance.
Interview skills.
Computer lab.
Job fairs and hiring events.")</f>
        <v>Resume writing and interview coaching.
Job search assistance.
Interview skills.
Computer lab.
Job fairs and hiring events.</v>
      </c>
      <c r="T477" s="12" t="b">
        <f>IFERROR(__xludf.DUMMYFUNCTION("""COMPUTED_VALUE"""),FALSE)</f>
        <v>0</v>
      </c>
      <c r="U477" s="12" t="b">
        <f>IFERROR(__xludf.DUMMYFUNCTION("""COMPUTED_VALUE"""),FALSE)</f>
        <v>0</v>
      </c>
      <c r="V477" s="13" t="str">
        <f>IFERROR(__xludf.DUMMYFUNCTION("""COMPUTED_VALUE"""),"https://haamministries.org/")</f>
        <v>https://haamministries.org/</v>
      </c>
      <c r="W477" s="14" t="str">
        <f>IFERROR(__xludf.DUMMYFUNCTION("""COMPUTED_VALUE"""),"https://maps.google.com/?q=Humble%20Area%20Assistance%20Ministries%201302%201st%20St%20East%20Humble%20TX%2077338")</f>
        <v>https://maps.google.com/?q=Humble%20Area%20Assistance%20Ministries%201302%201st%20St%20East%20Humble%20TX%2077338</v>
      </c>
      <c r="X477" s="10"/>
      <c r="Y477" s="9" t="str">
        <f>IFERROR(__xludf.DUMMYFUNCTION("""COMPUTED_VALUE"""),"Humble")</f>
        <v>Humble</v>
      </c>
      <c r="Z477" s="9" t="str">
        <f>IFERROR(__xludf.DUMMYFUNCTION("""COMPUTED_VALUE"""),"Humble, Humble (Old Town), Northshire")</f>
        <v>Humble, Humble (Old Town), Northshire</v>
      </c>
      <c r="AA477" s="9" t="str">
        <f>IFERROR(__xludf.DUMMYFUNCTION("""COMPUTED_VALUE"""),"Humble Area Assistance Ministries")</f>
        <v>Humble Area Assistance Ministries</v>
      </c>
      <c r="AB477" s="9" t="str">
        <f>IFERROR(__xludf.DUMMYFUNCTION("""COMPUTED_VALUE"""),"Humble")</f>
        <v>Humble</v>
      </c>
    </row>
    <row r="478" ht="30.0" customHeight="1">
      <c r="A478" s="17">
        <v>477.0</v>
      </c>
      <c r="B478" s="8" t="str">
        <f>IFERROR(__xludf.DUMMYFUNCTION("""COMPUTED_VALUE"""),"[""77044"", ""77302"", ""77306"", ""77336"", ""77338"", ""77339"", ""77345"", ""77346"", ""77347"", ""77357"", ""77365"", ""77372"", ""77396"", ""77532""]")</f>
        <v>["77044", "77302", "77306", "77336", "77338", "77339", "77345", "77346", "77347", "77357", "77365", "77372", "77396", "77532"]</v>
      </c>
      <c r="C478" s="9" t="str">
        <f>IFERROR(__xludf.DUMMYFUNCTION("""COMPUTED_VALUE"""),"Humble Area Assistance Ministries")</f>
        <v>Humble Area Assistance Ministries</v>
      </c>
      <c r="D478" s="9" t="str">
        <f>IFERROR(__xludf.DUMMYFUNCTION("""COMPUTED_VALUE"""),"1302 1st Street East")</f>
        <v>1302 1st Street East</v>
      </c>
      <c r="E478" s="9"/>
      <c r="F478" s="9" t="str">
        <f>IFERROR(__xludf.DUMMYFUNCTION("""COMPUTED_VALUE"""),"Humble")</f>
        <v>Humble</v>
      </c>
      <c r="G478" s="9" t="str">
        <f>IFERROR(__xludf.DUMMYFUNCTION("""COMPUTED_VALUE"""),"TX")</f>
        <v>TX</v>
      </c>
      <c r="H478" s="9" t="str">
        <f>IFERROR(__xludf.DUMMYFUNCTION("""COMPUTED_VALUE"""),"77338")</f>
        <v>77338</v>
      </c>
      <c r="I478" s="9" t="str">
        <f>IFERROR(__xludf.DUMMYFUNCTION("""COMPUTED_VALUE"""),"281-446-3663")</f>
        <v>281-446-3663</v>
      </c>
      <c r="J478" s="9" t="str">
        <f>IFERROR(__xludf.DUMMYFUNCTION("""COMPUTED_VALUE"""),"29.998568, -95.253811")</f>
        <v>29.998568, -95.253811</v>
      </c>
      <c r="K478" s="9"/>
      <c r="L478" s="9"/>
      <c r="M478" s="10">
        <f>IFERROR(__xludf.DUMMYFUNCTION("""COMPUTED_VALUE"""),61.0)</f>
        <v>61</v>
      </c>
      <c r="N478" s="10" t="str">
        <f>IFERROR(__xludf.DUMMYFUNCTION("""COMPUTED_VALUE"""),"Seniors")</f>
        <v>Seniors</v>
      </c>
      <c r="O478" s="10">
        <f>IFERROR(__xludf.DUMMYFUNCTION("""COMPUTED_VALUE"""),1.0)</f>
        <v>1</v>
      </c>
      <c r="P478" s="10" t="str">
        <f>IFERROR(__xludf.DUMMYFUNCTION("""COMPUTED_VALUE"""),"ACTIVE")</f>
        <v>ACTIVE</v>
      </c>
      <c r="Q478" s="11"/>
      <c r="R478" s="9"/>
      <c r="S478" s="9" t="str">
        <f>IFERROR(__xludf.DUMMYFUNCTION("""COMPUTED_VALUE"""),"Meals on Wheels.
Computer literacy class referrals.
Case management.")</f>
        <v>Meals on Wheels.
Computer literacy class referrals.
Case management.</v>
      </c>
      <c r="T478" s="12" t="b">
        <f>IFERROR(__xludf.DUMMYFUNCTION("""COMPUTED_VALUE"""),FALSE)</f>
        <v>0</v>
      </c>
      <c r="U478" s="12" t="b">
        <f>IFERROR(__xludf.DUMMYFUNCTION("""COMPUTED_VALUE"""),FALSE)</f>
        <v>0</v>
      </c>
      <c r="V478" s="13" t="str">
        <f>IFERROR(__xludf.DUMMYFUNCTION("""COMPUTED_VALUE"""),"https://haamministries.org/")</f>
        <v>https://haamministries.org/</v>
      </c>
      <c r="W478" s="14" t="str">
        <f>IFERROR(__xludf.DUMMYFUNCTION("""COMPUTED_VALUE"""),"https://maps.google.com/?q=Humble%20Area%20Assistance%20Ministries%201302%201st%20St%20East%20Humble%20TX%2077338")</f>
        <v>https://maps.google.com/?q=Humble%20Area%20Assistance%20Ministries%201302%201st%20St%20East%20Humble%20TX%2077338</v>
      </c>
      <c r="X478" s="10"/>
      <c r="Y478" s="9" t="str">
        <f>IFERROR(__xludf.DUMMYFUNCTION("""COMPUTED_VALUE"""),"Humble")</f>
        <v>Humble</v>
      </c>
      <c r="Z478" s="9" t="str">
        <f>IFERROR(__xludf.DUMMYFUNCTION("""COMPUTED_VALUE"""),"Humble, Humble (Old Town), Northshire")</f>
        <v>Humble, Humble (Old Town), Northshire</v>
      </c>
      <c r="AA478" s="9" t="str">
        <f>IFERROR(__xludf.DUMMYFUNCTION("""COMPUTED_VALUE"""),"Humble Area Assistance Ministries")</f>
        <v>Humble Area Assistance Ministries</v>
      </c>
      <c r="AB478" s="9" t="str">
        <f>IFERROR(__xludf.DUMMYFUNCTION("""COMPUTED_VALUE"""),"Humble")</f>
        <v>Humble</v>
      </c>
    </row>
    <row r="479" ht="30.0" customHeight="1">
      <c r="A479" s="17">
        <v>478.0</v>
      </c>
      <c r="B479" s="8" t="str">
        <f>IFERROR(__xludf.DUMMYFUNCTION("""COMPUTED_VALUE"""),"[""77044"", ""77302"", ""77306"", ""77336"", ""77338"", ""77339"", ""77345"", ""77346"", ""77347"", ""77357"", ""77365"", ""77372"", ""77396"", ""77532""]")</f>
        <v>["77044", "77302", "77306", "77336", "77338", "77339", "77345", "77346", "77347", "77357", "77365", "77372", "77396", "77532"]</v>
      </c>
      <c r="C479" s="9" t="str">
        <f>IFERROR(__xludf.DUMMYFUNCTION("""COMPUTED_VALUE"""),"Humble Area Assistance Ministries")</f>
        <v>Humble Area Assistance Ministries</v>
      </c>
      <c r="D479" s="9" t="str">
        <f>IFERROR(__xludf.DUMMYFUNCTION("""COMPUTED_VALUE"""),"1302 1st Street East")</f>
        <v>1302 1st Street East</v>
      </c>
      <c r="E479" s="9"/>
      <c r="F479" s="9" t="str">
        <f>IFERROR(__xludf.DUMMYFUNCTION("""COMPUTED_VALUE"""),"Humble")</f>
        <v>Humble</v>
      </c>
      <c r="G479" s="9" t="str">
        <f>IFERROR(__xludf.DUMMYFUNCTION("""COMPUTED_VALUE"""),"TX")</f>
        <v>TX</v>
      </c>
      <c r="H479" s="9" t="str">
        <f>IFERROR(__xludf.DUMMYFUNCTION("""COMPUTED_VALUE"""),"77338")</f>
        <v>77338</v>
      </c>
      <c r="I479" s="9" t="str">
        <f>IFERROR(__xludf.DUMMYFUNCTION("""COMPUTED_VALUE"""),"281-446-3663")</f>
        <v>281-446-3663</v>
      </c>
      <c r="J479" s="9" t="str">
        <f>IFERROR(__xludf.DUMMYFUNCTION("""COMPUTED_VALUE"""),"29.998568, -95.253811")</f>
        <v>29.998568, -95.253811</v>
      </c>
      <c r="K479" s="9"/>
      <c r="L479" s="9"/>
      <c r="M479" s="10">
        <f>IFERROR(__xludf.DUMMYFUNCTION("""COMPUTED_VALUE"""),64.0)</f>
        <v>64</v>
      </c>
      <c r="N479" s="10" t="str">
        <f>IFERROR(__xludf.DUMMYFUNCTION("""COMPUTED_VALUE"""),"Christmas")</f>
        <v>Christmas</v>
      </c>
      <c r="O479" s="10">
        <f>IFERROR(__xludf.DUMMYFUNCTION("""COMPUTED_VALUE"""),1.0)</f>
        <v>1</v>
      </c>
      <c r="P479" s="10" t="str">
        <f>IFERROR(__xludf.DUMMYFUNCTION("""COMPUTED_VALUE"""),"ACTIVE")</f>
        <v>ACTIVE</v>
      </c>
      <c r="Q479" s="11"/>
      <c r="R479" s="9"/>
      <c r="S479" s="9" t="str">
        <f>IFERROR(__xludf.DUMMYFUNCTION("""COMPUTED_VALUE"""),"Toys &amp; Food.")</f>
        <v>Toys &amp; Food.</v>
      </c>
      <c r="T479" s="12" t="b">
        <f>IFERROR(__xludf.DUMMYFUNCTION("""COMPUTED_VALUE"""),FALSE)</f>
        <v>0</v>
      </c>
      <c r="U479" s="12" t="b">
        <f>IFERROR(__xludf.DUMMYFUNCTION("""COMPUTED_VALUE"""),FALSE)</f>
        <v>0</v>
      </c>
      <c r="V479" s="13" t="str">
        <f>IFERROR(__xludf.DUMMYFUNCTION("""COMPUTED_VALUE"""),"https://haamministries.org/")</f>
        <v>https://haamministries.org/</v>
      </c>
      <c r="W479" s="14" t="str">
        <f>IFERROR(__xludf.DUMMYFUNCTION("""COMPUTED_VALUE"""),"https://maps.google.com/?q=Humble%20Area%20Assistance%20Ministries%201302%201st%20St%20East%20Humble%20TX%2077338")</f>
        <v>https://maps.google.com/?q=Humble%20Area%20Assistance%20Ministries%201302%201st%20St%20East%20Humble%20TX%2077338</v>
      </c>
      <c r="X479" s="10"/>
      <c r="Y479" s="9" t="str">
        <f>IFERROR(__xludf.DUMMYFUNCTION("""COMPUTED_VALUE"""),"Humble")</f>
        <v>Humble</v>
      </c>
      <c r="Z479" s="9" t="str">
        <f>IFERROR(__xludf.DUMMYFUNCTION("""COMPUTED_VALUE"""),"Humble, Humble (Old Town), Northshire")</f>
        <v>Humble, Humble (Old Town), Northshire</v>
      </c>
      <c r="AA479" s="9" t="str">
        <f>IFERROR(__xludf.DUMMYFUNCTION("""COMPUTED_VALUE"""),"Humble Area Assistance Ministries")</f>
        <v>Humble Area Assistance Ministries</v>
      </c>
      <c r="AB479" s="9" t="str">
        <f>IFERROR(__xludf.DUMMYFUNCTION("""COMPUTED_VALUE"""),"Humble")</f>
        <v>Humble</v>
      </c>
    </row>
    <row r="480" ht="30.0" customHeight="1">
      <c r="A480" s="17">
        <v>479.0</v>
      </c>
      <c r="B48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480" s="9" t="str">
        <f>IFERROR(__xludf.DUMMYFUNCTION("""COMPUTED_VALUE"""),"Humble Clinic")</f>
        <v>Humble Clinic</v>
      </c>
      <c r="D480" s="9" t="str">
        <f>IFERROR(__xludf.DUMMYFUNCTION("""COMPUTED_VALUE"""),"1730 Humble Place Drive")</f>
        <v>1730 Humble Place Drive</v>
      </c>
      <c r="E480" s="9"/>
      <c r="F480" s="9" t="str">
        <f>IFERROR(__xludf.DUMMYFUNCTION("""COMPUTED_VALUE"""),"Humble")</f>
        <v>Humble</v>
      </c>
      <c r="G480" s="9" t="str">
        <f>IFERROR(__xludf.DUMMYFUNCTION("""COMPUTED_VALUE"""),"TX")</f>
        <v>TX</v>
      </c>
      <c r="H480" s="9" t="str">
        <f>IFERROR(__xludf.DUMMYFUNCTION("""COMPUTED_VALUE"""),"77338")</f>
        <v>77338</v>
      </c>
      <c r="I480" s="9" t="str">
        <f>IFERROR(__xludf.DUMMYFUNCTION("""COMPUTED_VALUE"""),"832-927-7350")</f>
        <v>832-927-7350</v>
      </c>
      <c r="J480" s="9" t="str">
        <f>IFERROR(__xludf.DUMMYFUNCTION("""COMPUTED_VALUE"""),"29.995378547774102, -95.24830685177537")</f>
        <v>29.995378547774102, -95.24830685177537</v>
      </c>
      <c r="K480" s="9" t="str">
        <f>IFERROR(__xludf.DUMMYFUNCTION("""COMPUTED_VALUE"""),"{""regular"":[{""days"":[""Mo"",""Tu"",""We"",""Th"",""Fr""],""open"":""08:00"",""close"":""17:00""}]}")</f>
        <v>{"regular":[{"days":["Mo","Tu","We","Th","Fr"],"open":"08:00","close":"17:00"}]}</v>
      </c>
      <c r="L480" s="9" t="str">
        <f>IFERROR(__xludf.DUMMYFUNCTION("""COMPUTED_VALUE"""),"Appointment required")</f>
        <v>Appointment required</v>
      </c>
      <c r="M480" s="10">
        <f>IFERROR(__xludf.DUMMYFUNCTION("""COMPUTED_VALUE"""),31.0)</f>
        <v>31</v>
      </c>
      <c r="N480" s="10" t="str">
        <f>IFERROR(__xludf.DUMMYFUNCTION("""COMPUTED_VALUE"""),"Medical - Primary Care")</f>
        <v>Medical - Primary Care</v>
      </c>
      <c r="O480" s="10">
        <f>IFERROR(__xludf.DUMMYFUNCTION("""COMPUTED_VALUE"""),1.0)</f>
        <v>1</v>
      </c>
      <c r="P480" s="10" t="str">
        <f>IFERROR(__xludf.DUMMYFUNCTION("""COMPUTED_VALUE"""),"ACTIVE")</f>
        <v>ACTIVE</v>
      </c>
      <c r="Q480" s="11">
        <f>IFERROR(__xludf.DUMMYFUNCTION("""COMPUTED_VALUE"""),46050.0)</f>
        <v>46050</v>
      </c>
      <c r="R480" s="9" t="str">
        <f>IFERROR(__xludf.DUMMYFUNCTION("""COMPUTED_VALUE"""),"Verified online")</f>
        <v>Verified online</v>
      </c>
      <c r="S480" s="9" t="str">
        <f>IFERROR(__xludf.DUMMYFUNCTION("""COMPUTED_VALUE"""),"Low-cost preventive health services.
Co-pays are based on family income and household size.")</f>
        <v>Low-cost preventive health services.
Co-pays are based on family income and household size.</v>
      </c>
      <c r="T480" s="12" t="b">
        <f>IFERROR(__xludf.DUMMYFUNCTION("""COMPUTED_VALUE"""),FALSE)</f>
        <v>0</v>
      </c>
      <c r="U480" s="12" t="b">
        <f>IFERROR(__xludf.DUMMYFUNCTION("""COMPUTED_VALUE"""),FALSE)</f>
        <v>0</v>
      </c>
      <c r="V480" s="13" t="str">
        <f>IFERROR(__xludf.DUMMYFUNCTION("""COMPUTED_VALUE"""),"https://publichealth.harriscountytx.gov/Divisions-Offices/Divisions/Community-Health-Wellness-Division/Health-Services")</f>
        <v>https://publichealth.harriscountytx.gov/Divisions-Offices/Divisions/Community-Health-Wellness-Division/Health-Services</v>
      </c>
      <c r="W480" s="14" t="str">
        <f>IFERROR(__xludf.DUMMYFUNCTION("""COMPUTED_VALUE"""),"https://www.google.com/maps/place/Humble+Dental+Clinic/@29.9951463,-95.2508657,17z/data=!3m1!4b1!4m6!3m5!1s0x8640b242971686f3:0xfe7b8451c3c6c8cc!8m2!3d29.9951463!4d-95.2482854!16s%2Fg%2F11c452z1s4?entry=ttu&amp;g_ep=EgoyMDI2MDEyNS4wIKXMDSoKLDEwMDc5MjA2OUgBUAM"&amp;"%3D")</f>
        <v>https://www.google.com/maps/place/Humble+Dental+Clinic/@29.9951463,-95.2508657,17z/data=!3m1!4b1!4m6!3m5!1s0x8640b242971686f3:0xfe7b8451c3c6c8cc!8m2!3d29.9951463!4d-95.2482854!16s%2Fg%2F11c452z1s4?entry=ttu&amp;g_ep=EgoyMDI2MDEyNS4wIKXMDSoKLDEwMDc5MjA2OUgBUAM%3D</v>
      </c>
      <c r="X480" s="10"/>
      <c r="Y480" s="9" t="str">
        <f>IFERROR(__xludf.DUMMYFUNCTION("""COMPUTED_VALUE"""),"Humble")</f>
        <v>Humble</v>
      </c>
      <c r="Z480" s="9" t="str">
        <f>IFERROR(__xludf.DUMMYFUNCTION("""COMPUTED_VALUE"""),"Humble, Humble (Old Town), Northshire")</f>
        <v>Humble, Humble (Old Town), Northshire</v>
      </c>
      <c r="AA480" s="9" t="str">
        <f>IFERROR(__xludf.DUMMYFUNCTION("""COMPUTED_VALUE"""),"Harris County Public Health")</f>
        <v>Harris County Public Health</v>
      </c>
      <c r="AB480" s="9" t="str">
        <f>IFERROR(__xludf.DUMMYFUNCTION("""COMPUTED_VALUE"""),"Humble")</f>
        <v>Humble</v>
      </c>
    </row>
    <row r="481" ht="30.0" customHeight="1">
      <c r="A481" s="17">
        <v>480.0</v>
      </c>
      <c r="B48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481" s="9" t="str">
        <f>IFERROR(__xludf.DUMMYFUNCTION("""COMPUTED_VALUE"""),"Humble Clinic")</f>
        <v>Humble Clinic</v>
      </c>
      <c r="D481" s="9" t="str">
        <f>IFERROR(__xludf.DUMMYFUNCTION("""COMPUTED_VALUE"""),"1730 Humble Place Drive")</f>
        <v>1730 Humble Place Drive</v>
      </c>
      <c r="E481" s="9"/>
      <c r="F481" s="9" t="str">
        <f>IFERROR(__xludf.DUMMYFUNCTION("""COMPUTED_VALUE"""),"Humble")</f>
        <v>Humble</v>
      </c>
      <c r="G481" s="9" t="str">
        <f>IFERROR(__xludf.DUMMYFUNCTION("""COMPUTED_VALUE"""),"TX")</f>
        <v>TX</v>
      </c>
      <c r="H481" s="9" t="str">
        <f>IFERROR(__xludf.DUMMYFUNCTION("""COMPUTED_VALUE"""),"77338")</f>
        <v>77338</v>
      </c>
      <c r="I481" s="9" t="str">
        <f>IFERROR(__xludf.DUMMYFUNCTION("""COMPUTED_VALUE"""),"832-927-1300")</f>
        <v>832-927-1300</v>
      </c>
      <c r="J481" s="9" t="str">
        <f>IFERROR(__xludf.DUMMYFUNCTION("""COMPUTED_VALUE"""),"29.995378547774102, -95.24830685177537")</f>
        <v>29.995378547774102, -95.24830685177537</v>
      </c>
      <c r="K481" s="9" t="str">
        <f>IFERROR(__xludf.DUMMYFUNCTION("""COMPUTED_VALUE"""),"{""regular"":[{""days"":[""Mo"",""Tu"",""We"",""Th"",""Fr""],""open"":""08:00"",""close"":""17:00""}]}")</f>
        <v>{"regular":[{"days":["Mo","Tu","We","Th","Fr"],"open":"08:00","close":"17:00"}]}</v>
      </c>
      <c r="L481" s="9"/>
      <c r="M481" s="10">
        <f>IFERROR(__xludf.DUMMYFUNCTION("""COMPUTED_VALUE"""),32.0)</f>
        <v>32</v>
      </c>
      <c r="N481" s="10" t="str">
        <f>IFERROR(__xludf.DUMMYFUNCTION("""COMPUTED_VALUE"""),"Medical - Dental &amp; Vision")</f>
        <v>Medical - Dental &amp; Vision</v>
      </c>
      <c r="O481" s="10">
        <f>IFERROR(__xludf.DUMMYFUNCTION("""COMPUTED_VALUE"""),1.0)</f>
        <v>1</v>
      </c>
      <c r="P481" s="10" t="str">
        <f>IFERROR(__xludf.DUMMYFUNCTION("""COMPUTED_VALUE"""),"ACTIVE")</f>
        <v>ACTIVE</v>
      </c>
      <c r="Q481" s="11">
        <f>IFERROR(__xludf.DUMMYFUNCTION("""COMPUTED_VALUE"""),46040.0)</f>
        <v>46040</v>
      </c>
      <c r="R481" s="9" t="str">
        <f>IFERROR(__xludf.DUMMYFUNCTION("""COMPUTED_VALUE"""),"Verified online")</f>
        <v>Verified online</v>
      </c>
      <c r="S481" s="9" t="str">
        <f>IFERROR(__xludf.DUMMYFUNCTION("""COMPUTED_VALUE"""),"Dental
Free or low-cost dental services for children and adolescents (6 mo to 21 years).
Services include exams. x-rays, cleanings, sealants, oral hygiene counseling, fillings, pulpotomy, crowns and extractions")</f>
        <v>Dental
Free or low-cost dental services for children and adolescents (6 mo to 21 years).
Services include exams. x-rays, cleanings, sealants, oral hygiene counseling, fillings, pulpotomy, crowns and extractions</v>
      </c>
      <c r="T481" s="12" t="b">
        <f>IFERROR(__xludf.DUMMYFUNCTION("""COMPUTED_VALUE"""),TRUE)</f>
        <v>1</v>
      </c>
      <c r="U481" s="12" t="b">
        <f>IFERROR(__xludf.DUMMYFUNCTION("""COMPUTED_VALUE"""),FALSE)</f>
        <v>0</v>
      </c>
      <c r="V481" s="13" t="str">
        <f>IFERROR(__xludf.DUMMYFUNCTION("""COMPUTED_VALUE"""),"https://publichealth.harriscountytx.gov/Divisions-Offices/Divisions/Community-Health-Wellness-Division/Dental-Health-Prevention/Dental-Clinics")</f>
        <v>https://publichealth.harriscountytx.gov/Divisions-Offices/Divisions/Community-Health-Wellness-Division/Dental-Health-Prevention/Dental-Clinics</v>
      </c>
      <c r="W481" s="14" t="str">
        <f>IFERROR(__xludf.DUMMYFUNCTION("""COMPUTED_VALUE"""),"https://www.google.com/maps/place/Humble+Dental+Clinic/@29.9951463,-95.2508657,17z/data=!3m1!4b1!4m6!3m5!1s0x8640b242971686f3:0xfe7b8451c3c6c8cc!8m2!3d29.9951463!4d-95.2482854!16s%2Fg%2F11c452z1s4?entry=ttu&amp;g_ep=EgoyMDI2MDEyNS4wIKXMDSoKLDEwMDc5MjA2OUgBUAM"&amp;"%3D")</f>
        <v>https://www.google.com/maps/place/Humble+Dental+Clinic/@29.9951463,-95.2508657,17z/data=!3m1!4b1!4m6!3m5!1s0x8640b242971686f3:0xfe7b8451c3c6c8cc!8m2!3d29.9951463!4d-95.2482854!16s%2Fg%2F11c452z1s4?entry=ttu&amp;g_ep=EgoyMDI2MDEyNS4wIKXMDSoKLDEwMDc5MjA2OUgBUAM%3D</v>
      </c>
      <c r="X481" s="10"/>
      <c r="Y481" s="9" t="str">
        <f>IFERROR(__xludf.DUMMYFUNCTION("""COMPUTED_VALUE"""),"Humble")</f>
        <v>Humble</v>
      </c>
      <c r="Z481" s="9" t="str">
        <f>IFERROR(__xludf.DUMMYFUNCTION("""COMPUTED_VALUE"""),"Humble, Humble (Old Town), Northshire")</f>
        <v>Humble, Humble (Old Town), Northshire</v>
      </c>
      <c r="AA481" s="9" t="str">
        <f>IFERROR(__xludf.DUMMYFUNCTION("""COMPUTED_VALUE"""),"Harris County Public Health")</f>
        <v>Harris County Public Health</v>
      </c>
      <c r="AB481" s="9" t="str">
        <f>IFERROR(__xludf.DUMMYFUNCTION("""COMPUTED_VALUE"""),"Humble")</f>
        <v>Humble</v>
      </c>
    </row>
    <row r="482" ht="30.0" customHeight="1">
      <c r="A482" s="17">
        <v>481.0</v>
      </c>
      <c r="B48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482" s="9" t="str">
        <f>IFERROR(__xludf.DUMMYFUNCTION("""COMPUTED_VALUE"""),"Humble Clinic")</f>
        <v>Humble Clinic</v>
      </c>
      <c r="D482" s="9" t="str">
        <f>IFERROR(__xludf.DUMMYFUNCTION("""COMPUTED_VALUE"""),"1730 Humble Place Drive")</f>
        <v>1730 Humble Place Drive</v>
      </c>
      <c r="E482" s="9"/>
      <c r="F482" s="9" t="str">
        <f>IFERROR(__xludf.DUMMYFUNCTION("""COMPUTED_VALUE"""),"Humble")</f>
        <v>Humble</v>
      </c>
      <c r="G482" s="9" t="str">
        <f>IFERROR(__xludf.DUMMYFUNCTION("""COMPUTED_VALUE"""),"TX")</f>
        <v>TX</v>
      </c>
      <c r="H482" s="9" t="str">
        <f>IFERROR(__xludf.DUMMYFUNCTION("""COMPUTED_VALUE"""),"77338")</f>
        <v>77338</v>
      </c>
      <c r="I482" s="9" t="str">
        <f>IFERROR(__xludf.DUMMYFUNCTION("""COMPUTED_VALUE"""),"832-927-1335")</f>
        <v>832-927-1335</v>
      </c>
      <c r="J482" s="9" t="str">
        <f>IFERROR(__xludf.DUMMYFUNCTION("""COMPUTED_VALUE"""),"29.995378547774102, -95.24830685177537")</f>
        <v>29.995378547774102, -95.24830685177537</v>
      </c>
      <c r="K482" s="9" t="str">
        <f>IFERROR(__xludf.DUMMYFUNCTION("""COMPUTED_VALUE"""),"{""regular"":[{""days"":[""Mo"",""Tu"",""We"",""Th"",""Fr""],""open"":""08:00"",""close"":""17:00""}]}")</f>
        <v>{"regular":[{"days":["Mo","Tu","We","Th","Fr"],"open":"08:00","close":"17:00"}]}</v>
      </c>
      <c r="L482" s="9" t="str">
        <f>IFERROR(__xludf.DUMMYFUNCTION("""COMPUTED_VALUE"""),"Appointment required")</f>
        <v>Appointment required</v>
      </c>
      <c r="M482" s="10">
        <f>IFERROR(__xludf.DUMMYFUNCTION("""COMPUTED_VALUE"""),33.0)</f>
        <v>33</v>
      </c>
      <c r="N482" s="10" t="str">
        <f>IFERROR(__xludf.DUMMYFUNCTION("""COMPUTED_VALUE"""),"Medical - Behavioral Health")</f>
        <v>Medical - Behavioral Health</v>
      </c>
      <c r="O482" s="10">
        <f>IFERROR(__xludf.DUMMYFUNCTION("""COMPUTED_VALUE"""),1.0)</f>
        <v>1</v>
      </c>
      <c r="P482" s="10" t="str">
        <f>IFERROR(__xludf.DUMMYFUNCTION("""COMPUTED_VALUE"""),"ACTIVE")</f>
        <v>ACTIVE</v>
      </c>
      <c r="Q482" s="11">
        <f>IFERROR(__xludf.DUMMYFUNCTION("""COMPUTED_VALUE"""),46050.0)</f>
        <v>46050</v>
      </c>
      <c r="R482" s="9" t="str">
        <f>IFERROR(__xludf.DUMMYFUNCTION("""COMPUTED_VALUE"""),"Verified online")</f>
        <v>Verified online</v>
      </c>
      <c r="S482" s="9" t="str">
        <f>IFERROR(__xludf.DUMMYFUNCTION("""COMPUTED_VALUE"""),"Individual, couples, family and group therapy provided at no cost.
Maternal mental health services. a home based program, for pregnant and postpartum households.
Anxiety, depression, PTSD, bipolar disorder and schizophrenia.")</f>
        <v>Individual, couples, family and group therapy provided at no cost.
Maternal mental health services. a home based program, for pregnant and postpartum households.
Anxiety, depression, PTSD, bipolar disorder and schizophrenia.</v>
      </c>
      <c r="T482" s="12" t="b">
        <f>IFERROR(__xludf.DUMMYFUNCTION("""COMPUTED_VALUE"""),FALSE)</f>
        <v>0</v>
      </c>
      <c r="U482" s="12" t="b">
        <f>IFERROR(__xludf.DUMMYFUNCTION("""COMPUTED_VALUE"""),FALSE)</f>
        <v>0</v>
      </c>
      <c r="V482" s="13" t="str">
        <f>IFERROR(__xludf.DUMMYFUNCTION("""COMPUTED_VALUE"""),"https://publichealth.harriscountytx.gov/Divisions-Offices/Divisions/Community-Health-Wellness-Division/Behavioral-Health-Services")</f>
        <v>https://publichealth.harriscountytx.gov/Divisions-Offices/Divisions/Community-Health-Wellness-Division/Behavioral-Health-Services</v>
      </c>
      <c r="W482" s="14" t="str">
        <f>IFERROR(__xludf.DUMMYFUNCTION("""COMPUTED_VALUE"""),"https://www.google.com/maps/place/Humble+Dental+Clinic/@29.9951463,-95.2508657,17z/data=!3m1!4b1!4m6!3m5!1s0x8640b242971686f3:0xfe7b8451c3c6c8cc!8m2!3d29.9951463!4d-95.2482854!16s%2Fg%2F11c452z1s4?entry=ttu&amp;g_ep=EgoyMDI2MDEyNS4wIKXMDSoKLDEwMDc5MjA2OUgBUAM"&amp;"%3D")</f>
        <v>https://www.google.com/maps/place/Humble+Dental+Clinic/@29.9951463,-95.2508657,17z/data=!3m1!4b1!4m6!3m5!1s0x8640b242971686f3:0xfe7b8451c3c6c8cc!8m2!3d29.9951463!4d-95.2482854!16s%2Fg%2F11c452z1s4?entry=ttu&amp;g_ep=EgoyMDI2MDEyNS4wIKXMDSoKLDEwMDc5MjA2OUgBUAM%3D</v>
      </c>
      <c r="X482" s="10"/>
      <c r="Y482" s="9" t="str">
        <f>IFERROR(__xludf.DUMMYFUNCTION("""COMPUTED_VALUE"""),"Humble")</f>
        <v>Humble</v>
      </c>
      <c r="Z482" s="9" t="str">
        <f>IFERROR(__xludf.DUMMYFUNCTION("""COMPUTED_VALUE"""),"Humble, Humble (Old Town), Northshire")</f>
        <v>Humble, Humble (Old Town), Northshire</v>
      </c>
      <c r="AA482" s="9" t="str">
        <f>IFERROR(__xludf.DUMMYFUNCTION("""COMPUTED_VALUE"""),"Harris County Public Health")</f>
        <v>Harris County Public Health</v>
      </c>
      <c r="AB482" s="9" t="str">
        <f>IFERROR(__xludf.DUMMYFUNCTION("""COMPUTED_VALUE"""),"Humble")</f>
        <v>Humble</v>
      </c>
    </row>
    <row r="483" ht="30.0" customHeight="1">
      <c r="A483" s="17">
        <v>482.0</v>
      </c>
      <c r="B48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483" s="9" t="str">
        <f>IFERROR(__xludf.DUMMYFUNCTION("""COMPUTED_VALUE"""),"Humble Clinic")</f>
        <v>Humble Clinic</v>
      </c>
      <c r="D483" s="9" t="str">
        <f>IFERROR(__xludf.DUMMYFUNCTION("""COMPUTED_VALUE"""),"1730 Humble Place Drive")</f>
        <v>1730 Humble Place Drive</v>
      </c>
      <c r="E483" s="9"/>
      <c r="F483" s="9" t="str">
        <f>IFERROR(__xludf.DUMMYFUNCTION("""COMPUTED_VALUE"""),"Humble")</f>
        <v>Humble</v>
      </c>
      <c r="G483" s="9" t="str">
        <f>IFERROR(__xludf.DUMMYFUNCTION("""COMPUTED_VALUE"""),"TX")</f>
        <v>TX</v>
      </c>
      <c r="H483" s="9" t="str">
        <f>IFERROR(__xludf.DUMMYFUNCTION("""COMPUTED_VALUE"""),"77338")</f>
        <v>77338</v>
      </c>
      <c r="I483" s="9" t="str">
        <f>IFERROR(__xludf.DUMMYFUNCTION("""COMPUTED_VALUE"""),"832-927-1335")</f>
        <v>832-927-1335</v>
      </c>
      <c r="J483" s="9" t="str">
        <f>IFERROR(__xludf.DUMMYFUNCTION("""COMPUTED_VALUE"""),"29.995378547774102, -95.24830685177537")</f>
        <v>29.995378547774102, -95.24830685177537</v>
      </c>
      <c r="K483" s="9" t="str">
        <f>IFERROR(__xludf.DUMMYFUNCTION("""COMPUTED_VALUE"""),"{""regular"":[{""days"":[""Mo"",""Tu"",""We"",""Th"",""Fr""],""open"":""08:00"",""close"":""17:00""}]}")</f>
        <v>{"regular":[{"days":["Mo","Tu","We","Th","Fr"],"open":"08:00","close":"17:00"}]}</v>
      </c>
      <c r="L483" s="9" t="str">
        <f>IFERROR(__xludf.DUMMYFUNCTION("""COMPUTED_VALUE"""),"Appointment required")</f>
        <v>Appointment required</v>
      </c>
      <c r="M483" s="10">
        <f>IFERROR(__xludf.DUMMYFUNCTION("""COMPUTED_VALUE"""),55.0)</f>
        <v>55</v>
      </c>
      <c r="N483" s="10" t="str">
        <f>IFERROR(__xludf.DUMMYFUNCTION("""COMPUTED_VALUE"""),"Immigration")</f>
        <v>Immigration</v>
      </c>
      <c r="O483" s="10">
        <f>IFERROR(__xludf.DUMMYFUNCTION("""COMPUTED_VALUE"""),1.0)</f>
        <v>1</v>
      </c>
      <c r="P483" s="10" t="str">
        <f>IFERROR(__xludf.DUMMYFUNCTION("""COMPUTED_VALUE"""),"ACTIVE")</f>
        <v>ACTIVE</v>
      </c>
      <c r="Q483" s="11">
        <f>IFERROR(__xludf.DUMMYFUNCTION("""COMPUTED_VALUE"""),46050.0)</f>
        <v>46050</v>
      </c>
      <c r="R483" s="9" t="str">
        <f>IFERROR(__xludf.DUMMYFUNCTION("""COMPUTED_VALUE"""),"Verified online")</f>
        <v>Verified online</v>
      </c>
      <c r="S483" s="9" t="str">
        <f>IFERROR(__xludf.DUMMYFUNCTION("""COMPUTED_VALUE"""),"Under contract with the US Committee For Refugees, HCPH provides free health screenings including physicals, screening for tuberculosis and other infectious diseases, immunizations, basic screening lab tests and referrals to primary care providers to refu"&amp;"gees.
Full civil surgeon immigration and medical exams are not included.
See website for specific population groups eligible for these free services.")</f>
        <v>Under contract with the US Committee For Refugees, HCPH provides free health screenings including physicals, screening for tuberculosis and other infectious diseases, immunizations, basic screening lab tests and referrals to primary care providers to refugees.
Full civil surgeon immigration and medical exams are not included.
See website for specific population groups eligible for these free services.</v>
      </c>
      <c r="T483" s="12" t="b">
        <f>IFERROR(__xludf.DUMMYFUNCTION("""COMPUTED_VALUE"""),FALSE)</f>
        <v>0</v>
      </c>
      <c r="U483" s="12" t="b">
        <f>IFERROR(__xludf.DUMMYFUNCTION("""COMPUTED_VALUE"""),FALSE)</f>
        <v>0</v>
      </c>
      <c r="V483" s="13" t="str">
        <f>IFERROR(__xludf.DUMMYFUNCTION("""COMPUTED_VALUE"""),"https://publichealth.harriscountytx.gov/Divisions-Offices/Divisions/Community-Health-Wellness-Division/Refugee-Health-Services")</f>
        <v>https://publichealth.harriscountytx.gov/Divisions-Offices/Divisions/Community-Health-Wellness-Division/Refugee-Health-Services</v>
      </c>
      <c r="W483" s="14" t="str">
        <f>IFERROR(__xludf.DUMMYFUNCTION("""COMPUTED_VALUE"""),"https://www.google.com/maps/place/Humble+Dental+Clinic/@29.9951463,-95.2508657,17z/data=!3m1!4b1!4m6!3m5!1s0x8640b242971686f3:0xfe7b8451c3c6c8cc!8m2!3d29.9951463!4d-95.2482854!16s%2Fg%2F11c452z1s4?entry=ttu&amp;g_ep=EgoyMDI2MDEyNS4wIKXMDSoKLDEwMDc5MjA2OUgBUAM"&amp;"%3D")</f>
        <v>https://www.google.com/maps/place/Humble+Dental+Clinic/@29.9951463,-95.2508657,17z/data=!3m1!4b1!4m6!3m5!1s0x8640b242971686f3:0xfe7b8451c3c6c8cc!8m2!3d29.9951463!4d-95.2482854!16s%2Fg%2F11c452z1s4?entry=ttu&amp;g_ep=EgoyMDI2MDEyNS4wIKXMDSoKLDEwMDc5MjA2OUgBUAM%3D</v>
      </c>
      <c r="X483" s="10"/>
      <c r="Y483" s="9" t="str">
        <f>IFERROR(__xludf.DUMMYFUNCTION("""COMPUTED_VALUE"""),"Humble")</f>
        <v>Humble</v>
      </c>
      <c r="Z483" s="9" t="str">
        <f>IFERROR(__xludf.DUMMYFUNCTION("""COMPUTED_VALUE"""),"Humble, Humble (Old Town), Northshire")</f>
        <v>Humble, Humble (Old Town), Northshire</v>
      </c>
      <c r="AA483" s="9" t="str">
        <f>IFERROR(__xludf.DUMMYFUNCTION("""COMPUTED_VALUE"""),"Harris County Public Health")</f>
        <v>Harris County Public Health</v>
      </c>
      <c r="AB483" s="9" t="str">
        <f>IFERROR(__xludf.DUMMYFUNCTION("""COMPUTED_VALUE"""),"Humble")</f>
        <v>Humble</v>
      </c>
    </row>
    <row r="484" ht="30.0" customHeight="1">
      <c r="A484" s="17">
        <v>483.0</v>
      </c>
      <c r="B484" s="8" t="str">
        <f>IFERROR(__xludf.DUMMYFUNCTION("""COMPUTED_VALUE"""),"[""99999""]")</f>
        <v>["99999"]</v>
      </c>
      <c r="C484" s="9" t="str">
        <f>IFERROR(__xludf.DUMMYFUNCTION("""COMPUTED_VALUE"""),"ICNA Relief")</f>
        <v>ICNA Relief</v>
      </c>
      <c r="D484" s="9" t="str">
        <f>IFERROR(__xludf.DUMMYFUNCTION("""COMPUTED_VALUE"""),"100 Sharpstown Center")</f>
        <v>100 Sharpstown Center</v>
      </c>
      <c r="E484" s="9" t="str">
        <f>IFERROR(__xludf.DUMMYFUNCTION("""COMPUTED_VALUE"""),"Suite 55")</f>
        <v>Suite 55</v>
      </c>
      <c r="F484" s="9" t="str">
        <f>IFERROR(__xludf.DUMMYFUNCTION("""COMPUTED_VALUE"""),"Houston")</f>
        <v>Houston</v>
      </c>
      <c r="G484" s="9" t="str">
        <f>IFERROR(__xludf.DUMMYFUNCTION("""COMPUTED_VALUE"""),"TX")</f>
        <v>TX</v>
      </c>
      <c r="H484" s="9" t="str">
        <f>IFERROR(__xludf.DUMMYFUNCTION("""COMPUTED_VALUE"""),"77036")</f>
        <v>77036</v>
      </c>
      <c r="I484" s="9" t="str">
        <f>IFERROR(__xludf.DUMMYFUNCTION("""COMPUTED_VALUE"""),"888-905-4262
")</f>
        <v>888-905-4262
</v>
      </c>
      <c r="J484" s="9" t="str">
        <f>IFERROR(__xludf.DUMMYFUNCTION("""COMPUTED_VALUE"""),"29.7075642, -95.5141049")</f>
        <v>29.7075642, -95.5141049</v>
      </c>
      <c r="K484" s="9" t="str">
        <f>IFERROR(__xludf.DUMMYFUNCTION("""COMPUTED_VALUE"""),"{""regular"":[{""days"":[""Fr"",""Sa""],""open"":null,""close"":null}]}")</f>
        <v>{"regular":[{"days":["Fr","Sa"],"open":null,"close":null}]}</v>
      </c>
      <c r="L484" s="9" t="str">
        <f>IFERROR(__xludf.DUMMYFUNCTION("""COMPUTED_VALUE"""),"Appointment required")</f>
        <v>Appointment required</v>
      </c>
      <c r="M484" s="10">
        <f>IFERROR(__xludf.DUMMYFUNCTION("""COMPUTED_VALUE"""),13.0)</f>
        <v>13</v>
      </c>
      <c r="N484" s="10" t="str">
        <f>IFERROR(__xludf.DUMMYFUNCTION("""COMPUTED_VALUE"""),"Food")</f>
        <v>Food</v>
      </c>
      <c r="O484" s="10">
        <f>IFERROR(__xludf.DUMMYFUNCTION("""COMPUTED_VALUE"""),1.0)</f>
        <v>1</v>
      </c>
      <c r="P484" s="10" t="str">
        <f>IFERROR(__xludf.DUMMYFUNCTION("""COMPUTED_VALUE"""),"ACTIVE")</f>
        <v>ACTIVE</v>
      </c>
      <c r="Q484" s="11">
        <f>IFERROR(__xludf.DUMMYFUNCTION("""COMPUTED_VALUE"""),45800.0)</f>
        <v>45800</v>
      </c>
      <c r="R484" s="9" t="str">
        <f>IFERROR(__xludf.DUMMYFUNCTION("""COMPUTED_VALUE"""),"Verified online")</f>
        <v>Verified online</v>
      </c>
      <c r="S484" s="9" t="str">
        <f>IFERROR(__xludf.DUMMYFUNCTION("""COMPUTED_VALUE"""),"Phone number receives texts only.
Text ""Join"" to register as a new client.
Text registration number to book appointment.")</f>
        <v>Phone number receives texts only.
Text "Join" to register as a new client.
Text registration number to book appointment.</v>
      </c>
      <c r="T484" s="12" t="b">
        <f>IFERROR(__xludf.DUMMYFUNCTION("""COMPUTED_VALUE"""),FALSE)</f>
        <v>0</v>
      </c>
      <c r="U484" s="12" t="b">
        <f>IFERROR(__xludf.DUMMYFUNCTION("""COMPUTED_VALUE"""),FALSE)</f>
        <v>0</v>
      </c>
      <c r="V484" s="13" t="str">
        <f>IFERROR(__xludf.DUMMYFUNCTION("""COMPUTED_VALUE"""),"https://icnarelief.org/houston/")</f>
        <v>https://icnarelief.org/houston/</v>
      </c>
      <c r="W484" s="14" t="str">
        <f>IFERROR(__xludf.DUMMYFUNCTION("""COMPUTED_VALUE"""),"https://www.google.com/maps/place/Food+Pantry+-+ICNA+Relief+Houston/@29.7080499,-95.5162012,16z/data=!3m2!4b1!5s0x8640c2599376632f:0x1e54ca82300c3490!4m6!3m5!1s0x8640c24ab58b6807:0x386543be3d9ef859!8m2!3d29.7080453!4d-95.5136263!16s%2Fg%2F11c30qz5hn?entry"&amp;"=ttu&amp;g_ep=EgoyMDI1MDUxNS4xIKXMDSoASAFQAw%3D%3D")</f>
        <v>https://www.google.com/maps/place/Food+Pantry+-+ICNA+Relief+Houston/@29.7080499,-95.5162012,16z/data=!3m2!4b1!5s0x8640c2599376632f:0x1e54ca82300c3490!4m6!3m5!1s0x8640c24ab58b6807:0x386543be3d9ef859!8m2!3d29.7080453!4d-95.5136263!16s%2Fg%2F11c30qz5hn?entry=ttu&amp;g_ep=EgoyMDI1MDUxNS4xIKXMDSoASAFQAw%3D%3D</v>
      </c>
      <c r="X484" s="10"/>
      <c r="Y484" s="9" t="str">
        <f>IFERROR(__xludf.DUMMYFUNCTION("""COMPUTED_VALUE"""),"Houston")</f>
        <v>Houston</v>
      </c>
      <c r="Z484" s="9" t="str">
        <f>IFERROR(__xludf.DUMMYFUNCTION("""COMPUTED_VALUE"""),"Chinatown, Sharpstown, Westside")</f>
        <v>Chinatown, Sharpstown, Westside</v>
      </c>
      <c r="AA484" s="9" t="str">
        <f>IFERROR(__xludf.DUMMYFUNCTION("""COMPUTED_VALUE"""),"ICNA Relief")</f>
        <v>ICNA Relief</v>
      </c>
      <c r="AB484" s="9" t="str">
        <f>IFERROR(__xludf.DUMMYFUNCTION("""COMPUTED_VALUE"""),"Sharpstown")</f>
        <v>Sharpstown</v>
      </c>
    </row>
    <row r="485" ht="30.0" customHeight="1">
      <c r="A485" s="17">
        <v>484.0</v>
      </c>
      <c r="B485" s="8" t="str">
        <f>IFERROR(__xludf.DUMMYFUNCTION("""COMPUTED_VALUE"""),"[""77012""]")</f>
        <v>["77012"]</v>
      </c>
      <c r="C485" s="9" t="str">
        <f>IFERROR(__xludf.DUMMYFUNCTION("""COMPUTED_VALUE"""),"Immaculate Conception")</f>
        <v>Immaculate Conception</v>
      </c>
      <c r="D485" s="9" t="str">
        <f>IFERROR(__xludf.DUMMYFUNCTION("""COMPUTED_VALUE"""),"7250 Harrisburg Blvd")</f>
        <v>7250 Harrisburg Blvd</v>
      </c>
      <c r="E485" s="9"/>
      <c r="F485" s="9" t="str">
        <f>IFERROR(__xludf.DUMMYFUNCTION("""COMPUTED_VALUE"""),"Houston")</f>
        <v>Houston</v>
      </c>
      <c r="G485" s="9" t="str">
        <f>IFERROR(__xludf.DUMMYFUNCTION("""COMPUTED_VALUE"""),"TX")</f>
        <v>TX</v>
      </c>
      <c r="H485" s="9" t="str">
        <f>IFERROR(__xludf.DUMMYFUNCTION("""COMPUTED_VALUE"""),"77011")</f>
        <v>77011</v>
      </c>
      <c r="I485" s="9" t="str">
        <f>IFERROR(__xludf.DUMMYFUNCTION("""COMPUTED_VALUE"""),"713-921-1261")</f>
        <v>713-921-1261</v>
      </c>
      <c r="J485" s="9" t="str">
        <f>IFERROR(__xludf.DUMMYFUNCTION("""COMPUTED_VALUE"""),"29.7339106666667, -95.2968246666667")</f>
        <v>29.7339106666667, -95.2968246666667</v>
      </c>
      <c r="K485" s="9"/>
      <c r="L485" s="9" t="str">
        <f>IFERROR(__xludf.DUMMYFUNCTION("""COMPUTED_VALUE"""),"Call for hours")</f>
        <v>Call for hours</v>
      </c>
      <c r="M485" s="10">
        <f>IFERROR(__xludf.DUMMYFUNCTION("""COMPUTED_VALUE"""),13.0)</f>
        <v>13</v>
      </c>
      <c r="N485" s="10" t="str">
        <f>IFERROR(__xludf.DUMMYFUNCTION("""COMPUTED_VALUE"""),"Food")</f>
        <v>Food</v>
      </c>
      <c r="O485" s="10">
        <f>IFERROR(__xludf.DUMMYFUNCTION("""COMPUTED_VALUE"""),1.0)</f>
        <v>1</v>
      </c>
      <c r="P485" s="10" t="str">
        <f>IFERROR(__xludf.DUMMYFUNCTION("""COMPUTED_VALUE"""),"ACTIVE")</f>
        <v>ACTIVE</v>
      </c>
      <c r="Q485" s="11"/>
      <c r="R485" s="9"/>
      <c r="S485" s="9"/>
      <c r="T485" s="12" t="b">
        <f>IFERROR(__xludf.DUMMYFUNCTION("""COMPUTED_VALUE"""),FALSE)</f>
        <v>0</v>
      </c>
      <c r="U485" s="12" t="b">
        <f>IFERROR(__xludf.DUMMYFUNCTION("""COMPUTED_VALUE"""),FALSE)</f>
        <v>0</v>
      </c>
      <c r="V485" s="13" t="str">
        <f>IFERROR(__xludf.DUMMYFUNCTION("""COMPUTED_VALUE"""),"https://icchouston.church/")</f>
        <v>https://icchouston.church/</v>
      </c>
      <c r="W485" s="14" t="str">
        <f>IFERROR(__xludf.DUMMYFUNCTION("""COMPUTED_VALUE"""),"https://maps.google.com/?q=Immaculate%20Conception%207250%20Harrisburg%20Blvd%20Houston%20TX%2077011")</f>
        <v>https://maps.google.com/?q=Immaculate%20Conception%207250%20Harrisburg%20Blvd%20Houston%20TX%2077011</v>
      </c>
      <c r="X485" s="10"/>
      <c r="Y485" s="9" t="str">
        <f>IFERROR(__xludf.DUMMYFUNCTION("""COMPUTED_VALUE"""),"Houston")</f>
        <v>Houston</v>
      </c>
      <c r="Z485" s="9" t="str">
        <f>IFERROR(__xludf.DUMMYFUNCTION("""COMPUTED_VALUE"""),"Eastwood, Magnolia Park, Second Ward, South Central Houston")</f>
        <v>Eastwood, Magnolia Park, Second Ward, South Central Houston</v>
      </c>
      <c r="AA485" s="9" t="str">
        <f>IFERROR(__xludf.DUMMYFUNCTION("""COMPUTED_VALUE"""),"Immaculate Conception")</f>
        <v>Immaculate Conception</v>
      </c>
      <c r="AB485" s="9" t="str">
        <f>IFERROR(__xludf.DUMMYFUNCTION("""COMPUTED_VALUE"""),"Magnolia Park")</f>
        <v>Magnolia Park</v>
      </c>
    </row>
    <row r="486" ht="30.0" customHeight="1">
      <c r="A486" s="17">
        <v>485.0</v>
      </c>
      <c r="B486" s="8" t="str">
        <f>IFERROR(__xludf.DUMMYFUNCTION("""COMPUTED_VALUE"""),"[""77474"", ""77477""]")</f>
        <v>["77474", "77477"]</v>
      </c>
      <c r="C486" s="9" t="str">
        <f>IFERROR(__xludf.DUMMYFUNCTION("""COMPUTED_VALUE"""),"Immaculate Conception Sealy")</f>
        <v>Immaculate Conception Sealy</v>
      </c>
      <c r="D486" s="9" t="str">
        <f>IFERROR(__xludf.DUMMYFUNCTION("""COMPUTED_VALUE"""),"608 5th Street")</f>
        <v>608 5th Street</v>
      </c>
      <c r="E486" s="9"/>
      <c r="F486" s="9" t="str">
        <f>IFERROR(__xludf.DUMMYFUNCTION("""COMPUTED_VALUE"""),"Sealy")</f>
        <v>Sealy</v>
      </c>
      <c r="G486" s="9" t="str">
        <f>IFERROR(__xludf.DUMMYFUNCTION("""COMPUTED_VALUE"""),"TX")</f>
        <v>TX</v>
      </c>
      <c r="H486" s="9" t="str">
        <f>IFERROR(__xludf.DUMMYFUNCTION("""COMPUTED_VALUE"""),"77474")</f>
        <v>77474</v>
      </c>
      <c r="I486" s="9" t="str">
        <f>IFERROR(__xludf.DUMMYFUNCTION("""COMPUTED_VALUE"""),"979-885-3868")</f>
        <v>979-885-3868</v>
      </c>
      <c r="J486" s="9" t="str">
        <f>IFERROR(__xludf.DUMMYFUNCTION("""COMPUTED_VALUE"""),"29.7784841, -96.1604704328634")</f>
        <v>29.7784841, -96.1604704328634</v>
      </c>
      <c r="K486" s="9" t="str">
        <f>IFERROR(__xludf.DUMMYFUNCTION("""COMPUTED_VALUE"""),"{""regular"":[{""days"":[""Mo"",""We"",""Fr""],""open"":""10:00"",""close"":""12:00""}]}")</f>
        <v>{"regular":[{"days":["Mo","We","Fr"],"open":"10:00","close":"12:00"}]}</v>
      </c>
      <c r="L486" s="9"/>
      <c r="M486" s="10">
        <f>IFERROR(__xludf.DUMMYFUNCTION("""COMPUTED_VALUE"""),11.0)</f>
        <v>11</v>
      </c>
      <c r="N486" s="10" t="str">
        <f>IFERROR(__xludf.DUMMYFUNCTION("""COMPUTED_VALUE"""),"Rent")</f>
        <v>Rent</v>
      </c>
      <c r="O486" s="10">
        <f>IFERROR(__xludf.DUMMYFUNCTION("""COMPUTED_VALUE"""),1.0)</f>
        <v>1</v>
      </c>
      <c r="P486" s="10" t="str">
        <f>IFERROR(__xludf.DUMMYFUNCTION("""COMPUTED_VALUE"""),"ACTIVE")</f>
        <v>ACTIVE</v>
      </c>
      <c r="Q486" s="11"/>
      <c r="R486" s="9"/>
      <c r="S486" s="9"/>
      <c r="T486" s="12" t="b">
        <f>IFERROR(__xludf.DUMMYFUNCTION("""COMPUTED_VALUE"""),FALSE)</f>
        <v>0</v>
      </c>
      <c r="U486" s="12" t="b">
        <f>IFERROR(__xludf.DUMMYFUNCTION("""COMPUTED_VALUE"""),FALSE)</f>
        <v>0</v>
      </c>
      <c r="V486" s="13" t="str">
        <f>IFERROR(__xludf.DUMMYFUNCTION("""COMPUTED_VALUE"""),"https://icc-sealy.org/")</f>
        <v>https://icc-sealy.org/</v>
      </c>
      <c r="W486" s="14" t="str">
        <f>IFERROR(__xludf.DUMMYFUNCTION("""COMPUTED_VALUE"""),"https://maps.google.com/?q=Immaculate%20Conception%20Sealy%20608%205th%20St%20Sealy%20TX%2077474")</f>
        <v>https://maps.google.com/?q=Immaculate%20Conception%20Sealy%20608%205th%20St%20Sealy%20TX%2077474</v>
      </c>
      <c r="X486" s="10"/>
      <c r="Y486" s="9" t="str">
        <f>IFERROR(__xludf.DUMMYFUNCTION("""COMPUTED_VALUE"""),"Sealy")</f>
        <v>Sealy</v>
      </c>
      <c r="Z486" s="9" t="str">
        <f>IFERROR(__xludf.DUMMYFUNCTION("""COMPUTED_VALUE"""),"Brazos Country, San Felipe, Sealy")</f>
        <v>Brazos Country, San Felipe, Sealy</v>
      </c>
      <c r="AA486" s="9" t="str">
        <f>IFERROR(__xludf.DUMMYFUNCTION("""COMPUTED_VALUE"""),"Immaculate Conception Sealy")</f>
        <v>Immaculate Conception Sealy</v>
      </c>
      <c r="AB486" s="9" t="str">
        <f>IFERROR(__xludf.DUMMYFUNCTION("""COMPUTED_VALUE"""),"Sealy")</f>
        <v>Sealy</v>
      </c>
    </row>
    <row r="487" ht="30.0" customHeight="1">
      <c r="A487" s="17">
        <v>486.0</v>
      </c>
      <c r="B487" s="8" t="str">
        <f>IFERROR(__xludf.DUMMYFUNCTION("""COMPUTED_VALUE"""),"[""77474"", ""77477""]")</f>
        <v>["77474", "77477"]</v>
      </c>
      <c r="C487" s="9" t="str">
        <f>IFERROR(__xludf.DUMMYFUNCTION("""COMPUTED_VALUE"""),"Immaculate Conception Sealy")</f>
        <v>Immaculate Conception Sealy</v>
      </c>
      <c r="D487" s="9" t="str">
        <f>IFERROR(__xludf.DUMMYFUNCTION("""COMPUTED_VALUE"""),"608 5th Street")</f>
        <v>608 5th Street</v>
      </c>
      <c r="E487" s="9"/>
      <c r="F487" s="9" t="str">
        <f>IFERROR(__xludf.DUMMYFUNCTION("""COMPUTED_VALUE"""),"Sealy")</f>
        <v>Sealy</v>
      </c>
      <c r="G487" s="9" t="str">
        <f>IFERROR(__xludf.DUMMYFUNCTION("""COMPUTED_VALUE"""),"TX")</f>
        <v>TX</v>
      </c>
      <c r="H487" s="9" t="str">
        <f>IFERROR(__xludf.DUMMYFUNCTION("""COMPUTED_VALUE"""),"77474")</f>
        <v>77474</v>
      </c>
      <c r="I487" s="9" t="str">
        <f>IFERROR(__xludf.DUMMYFUNCTION("""COMPUTED_VALUE"""),"979-885-3868")</f>
        <v>979-885-3868</v>
      </c>
      <c r="J487" s="9" t="str">
        <f>IFERROR(__xludf.DUMMYFUNCTION("""COMPUTED_VALUE"""),"29.7784841, -96.1604704328634")</f>
        <v>29.7784841, -96.1604704328634</v>
      </c>
      <c r="K487" s="9" t="str">
        <f>IFERROR(__xludf.DUMMYFUNCTION("""COMPUTED_VALUE"""),"{""regular"":[{""days"":[""Mo"",""We"",""Fr""],""open"":""10:00"",""close"":""12:00""}]}")</f>
        <v>{"regular":[{"days":["Mo","We","Fr"],"open":"10:00","close":"12:00"}]}</v>
      </c>
      <c r="L487" s="9"/>
      <c r="M487" s="10">
        <f>IFERROR(__xludf.DUMMYFUNCTION("""COMPUTED_VALUE"""),12.0)</f>
        <v>12</v>
      </c>
      <c r="N487" s="10" t="str">
        <f>IFERROR(__xludf.DUMMYFUNCTION("""COMPUTED_VALUE"""),"Utilities")</f>
        <v>Utilities</v>
      </c>
      <c r="O487" s="10">
        <f>IFERROR(__xludf.DUMMYFUNCTION("""COMPUTED_VALUE"""),1.0)</f>
        <v>1</v>
      </c>
      <c r="P487" s="10" t="str">
        <f>IFERROR(__xludf.DUMMYFUNCTION("""COMPUTED_VALUE"""),"ACTIVE")</f>
        <v>ACTIVE</v>
      </c>
      <c r="Q487" s="11"/>
      <c r="R487" s="9"/>
      <c r="S487" s="9"/>
      <c r="T487" s="12" t="b">
        <f>IFERROR(__xludf.DUMMYFUNCTION("""COMPUTED_VALUE"""),FALSE)</f>
        <v>0</v>
      </c>
      <c r="U487" s="12" t="b">
        <f>IFERROR(__xludf.DUMMYFUNCTION("""COMPUTED_VALUE"""),FALSE)</f>
        <v>0</v>
      </c>
      <c r="V487" s="13" t="str">
        <f>IFERROR(__xludf.DUMMYFUNCTION("""COMPUTED_VALUE"""),"https://icc-sealy.org/")</f>
        <v>https://icc-sealy.org/</v>
      </c>
      <c r="W487" s="14" t="str">
        <f>IFERROR(__xludf.DUMMYFUNCTION("""COMPUTED_VALUE"""),"https://maps.google.com/?q=Immaculate%20Conception%20Sealy%20608%205th%20St%20Sealy%20TX%2077474")</f>
        <v>https://maps.google.com/?q=Immaculate%20Conception%20Sealy%20608%205th%20St%20Sealy%20TX%2077474</v>
      </c>
      <c r="X487" s="10"/>
      <c r="Y487" s="9" t="str">
        <f>IFERROR(__xludf.DUMMYFUNCTION("""COMPUTED_VALUE"""),"Sealy")</f>
        <v>Sealy</v>
      </c>
      <c r="Z487" s="9" t="str">
        <f>IFERROR(__xludf.DUMMYFUNCTION("""COMPUTED_VALUE"""),"Brazos Country, San Felipe, Sealy")</f>
        <v>Brazos Country, San Felipe, Sealy</v>
      </c>
      <c r="AA487" s="9" t="str">
        <f>IFERROR(__xludf.DUMMYFUNCTION("""COMPUTED_VALUE"""),"Immaculate Conception Sealy")</f>
        <v>Immaculate Conception Sealy</v>
      </c>
      <c r="AB487" s="9" t="str">
        <f>IFERROR(__xludf.DUMMYFUNCTION("""COMPUTED_VALUE"""),"Sealy")</f>
        <v>Sealy</v>
      </c>
    </row>
    <row r="488" ht="30.0" customHeight="1">
      <c r="A488" s="17">
        <v>487.0</v>
      </c>
      <c r="B488" s="8" t="str">
        <f>IFERROR(__xludf.DUMMYFUNCTION("""COMPUTED_VALUE"""),"[""77474"", ""77477""]")</f>
        <v>["77474", "77477"]</v>
      </c>
      <c r="C488" s="9" t="str">
        <f>IFERROR(__xludf.DUMMYFUNCTION("""COMPUTED_VALUE"""),"Immaculate Conception Sealy")</f>
        <v>Immaculate Conception Sealy</v>
      </c>
      <c r="D488" s="9" t="str">
        <f>IFERROR(__xludf.DUMMYFUNCTION("""COMPUTED_VALUE"""),"608 5th Street")</f>
        <v>608 5th Street</v>
      </c>
      <c r="E488" s="9"/>
      <c r="F488" s="9" t="str">
        <f>IFERROR(__xludf.DUMMYFUNCTION("""COMPUTED_VALUE"""),"Sealy")</f>
        <v>Sealy</v>
      </c>
      <c r="G488" s="9" t="str">
        <f>IFERROR(__xludf.DUMMYFUNCTION("""COMPUTED_VALUE"""),"TX")</f>
        <v>TX</v>
      </c>
      <c r="H488" s="9" t="str">
        <f>IFERROR(__xludf.DUMMYFUNCTION("""COMPUTED_VALUE"""),"77474")</f>
        <v>77474</v>
      </c>
      <c r="I488" s="9" t="str">
        <f>IFERROR(__xludf.DUMMYFUNCTION("""COMPUTED_VALUE"""),"979-885-3868")</f>
        <v>979-885-3868</v>
      </c>
      <c r="J488" s="9" t="str">
        <f>IFERROR(__xludf.DUMMYFUNCTION("""COMPUTED_VALUE"""),"29.7784841, -96.1604704328634")</f>
        <v>29.7784841, -96.1604704328634</v>
      </c>
      <c r="K488" s="9" t="str">
        <f>IFERROR(__xludf.DUMMYFUNCTION("""COMPUTED_VALUE"""),"{""regular"":[{""days"":[""Mo"",""We"",""Fr""],""open"":""10:00"",""close"":""12:00""}]}")</f>
        <v>{"regular":[{"days":["Mo","We","Fr"],"open":"10:00","close":"12:00"}]}</v>
      </c>
      <c r="L488" s="9"/>
      <c r="M488" s="10">
        <f>IFERROR(__xludf.DUMMYFUNCTION("""COMPUTED_VALUE"""),13.0)</f>
        <v>13</v>
      </c>
      <c r="N488" s="10" t="str">
        <f>IFERROR(__xludf.DUMMYFUNCTION("""COMPUTED_VALUE"""),"Food")</f>
        <v>Food</v>
      </c>
      <c r="O488" s="10">
        <f>IFERROR(__xludf.DUMMYFUNCTION("""COMPUTED_VALUE"""),1.0)</f>
        <v>1</v>
      </c>
      <c r="P488" s="10" t="str">
        <f>IFERROR(__xludf.DUMMYFUNCTION("""COMPUTED_VALUE"""),"ACTIVE")</f>
        <v>ACTIVE</v>
      </c>
      <c r="Q488" s="11"/>
      <c r="R488" s="9"/>
      <c r="S488" s="9"/>
      <c r="T488" s="12" t="b">
        <f>IFERROR(__xludf.DUMMYFUNCTION("""COMPUTED_VALUE"""),FALSE)</f>
        <v>0</v>
      </c>
      <c r="U488" s="12" t="b">
        <f>IFERROR(__xludf.DUMMYFUNCTION("""COMPUTED_VALUE"""),FALSE)</f>
        <v>0</v>
      </c>
      <c r="V488" s="13" t="str">
        <f>IFERROR(__xludf.DUMMYFUNCTION("""COMPUTED_VALUE"""),"https://icc-sealy.org/")</f>
        <v>https://icc-sealy.org/</v>
      </c>
      <c r="W488" s="14" t="str">
        <f>IFERROR(__xludf.DUMMYFUNCTION("""COMPUTED_VALUE"""),"https://maps.google.com/?q=Immaculate%20Conception%20Sealy%20608%205th%20St%20Sealy%20TX%2077474")</f>
        <v>https://maps.google.com/?q=Immaculate%20Conception%20Sealy%20608%205th%20St%20Sealy%20TX%2077474</v>
      </c>
      <c r="X488" s="10"/>
      <c r="Y488" s="9" t="str">
        <f>IFERROR(__xludf.DUMMYFUNCTION("""COMPUTED_VALUE"""),"Sealy")</f>
        <v>Sealy</v>
      </c>
      <c r="Z488" s="9" t="str">
        <f>IFERROR(__xludf.DUMMYFUNCTION("""COMPUTED_VALUE"""),"Brazos Country, San Felipe, Sealy")</f>
        <v>Brazos Country, San Felipe, Sealy</v>
      </c>
      <c r="AA488" s="9" t="str">
        <f>IFERROR(__xludf.DUMMYFUNCTION("""COMPUTED_VALUE"""),"Immaculate Conception Sealy")</f>
        <v>Immaculate Conception Sealy</v>
      </c>
      <c r="AB488" s="9" t="str">
        <f>IFERROR(__xludf.DUMMYFUNCTION("""COMPUTED_VALUE"""),"Sealy")</f>
        <v>Sealy</v>
      </c>
    </row>
    <row r="489" ht="30.0" customHeight="1">
      <c r="A489" s="17">
        <v>488.0</v>
      </c>
      <c r="B489" s="8" t="str">
        <f>IFERROR(__xludf.DUMMYFUNCTION("""COMPUTED_VALUE"""),"[""99999""]")</f>
        <v>["99999"]</v>
      </c>
      <c r="C489" s="9" t="str">
        <f>IFERROR(__xludf.DUMMYFUNCTION("""COMPUTED_VALUE"""),"Immigrant Defense Project")</f>
        <v>Immigrant Defense Project</v>
      </c>
      <c r="D489" s="9" t="str">
        <f>IFERROR(__xludf.DUMMYFUNCTION("""COMPUTED_VALUE"""),"P.O. Box 1765")</f>
        <v>P.O. Box 1765</v>
      </c>
      <c r="E489" s="9"/>
      <c r="F489" s="9" t="str">
        <f>IFERROR(__xludf.DUMMYFUNCTION("""COMPUTED_VALUE"""),"New York")</f>
        <v>New York</v>
      </c>
      <c r="G489" s="9" t="str">
        <f>IFERROR(__xludf.DUMMYFUNCTION("""COMPUTED_VALUE"""),"NY")</f>
        <v>NY</v>
      </c>
      <c r="H489" s="9" t="str">
        <f>IFERROR(__xludf.DUMMYFUNCTION("""COMPUTED_VALUE"""),"10027")</f>
        <v>10027</v>
      </c>
      <c r="I489" s="9" t="str">
        <f>IFERROR(__xludf.DUMMYFUNCTION("""COMPUTED_VALUE"""),"212-725-6422")</f>
        <v>212-725-6422</v>
      </c>
      <c r="J489" s="9" t="str">
        <f>IFERROR(__xludf.DUMMYFUNCTION("""COMPUTED_VALUE"""),"40.8116, -73.955")</f>
        <v>40.8116, -73.955</v>
      </c>
      <c r="K489" s="9" t="str">
        <f>IFERROR(__xludf.DUMMYFUNCTION("""COMPUTED_VALUE"""),"{""regular"":[{""days"":[""Mo"",""Tu"",""We"",""Th"",""Fr""],""open"":null,""close"":null}]}")</f>
        <v>{"regular":[{"days":["Mo","Tu","We","Th","Fr"],"open":null,"close":null}]}</v>
      </c>
      <c r="L489" s="9"/>
      <c r="M489" s="10">
        <f>IFERROR(__xludf.DUMMYFUNCTION("""COMPUTED_VALUE"""),55.0)</f>
        <v>55</v>
      </c>
      <c r="N489" s="10" t="str">
        <f>IFERROR(__xludf.DUMMYFUNCTION("""COMPUTED_VALUE"""),"Immigration")</f>
        <v>Immigration</v>
      </c>
      <c r="O489" s="10">
        <f>IFERROR(__xludf.DUMMYFUNCTION("""COMPUTED_VALUE"""),1.0)</f>
        <v>1</v>
      </c>
      <c r="P489" s="10" t="str">
        <f>IFERROR(__xludf.DUMMYFUNCTION("""COMPUTED_VALUE"""),"ACTIVE")</f>
        <v>ACTIVE</v>
      </c>
      <c r="Q489" s="11">
        <f>IFERROR(__xludf.DUMMYFUNCTION("""COMPUTED_VALUE"""),45757.0)</f>
        <v>45757</v>
      </c>
      <c r="R489" s="9"/>
      <c r="S489" s="9" t="str">
        <f>IFERROR(__xludf.DUMMYFUNCTION("""COMPUTED_VALUE"""),"What to do in various situations in English and Spanish. Other languages available also.")</f>
        <v>What to do in various situations in English and Spanish. Other languages available also.</v>
      </c>
      <c r="T489" s="12" t="b">
        <f>IFERROR(__xludf.DUMMYFUNCTION("""COMPUTED_VALUE"""),FALSE)</f>
        <v>0</v>
      </c>
      <c r="U489" s="12" t="b">
        <f>IFERROR(__xludf.DUMMYFUNCTION("""COMPUTED_VALUE"""),FALSE)</f>
        <v>0</v>
      </c>
      <c r="V489" s="13" t="str">
        <f>IFERROR(__xludf.DUMMYFUNCTION("""COMPUTED_VALUE"""),"https://www.immigrantdefenseproject.org/criminal-immigration-helpline/")</f>
        <v>https://www.immigrantdefenseproject.org/criminal-immigration-helpline/</v>
      </c>
      <c r="W489" s="10"/>
      <c r="X489" s="10"/>
      <c r="Y489" s="9" t="str">
        <f>IFERROR(__xludf.DUMMYFUNCTION("""COMPUTED_VALUE"""),"New York")</f>
        <v>New York</v>
      </c>
      <c r="Z489" s="9" t="str">
        <f>IFERROR(__xludf.DUMMYFUNCTION("""COMPUTED_VALUE"""),"Morningside Heights|Uptown|Manhattan")</f>
        <v>Morningside Heights|Uptown|Manhattan</v>
      </c>
      <c r="AA489" s="9" t="str">
        <f>IFERROR(__xludf.DUMMYFUNCTION("""COMPUTED_VALUE"""),"Immigrant Defense Project")</f>
        <v>Immigrant Defense Project</v>
      </c>
      <c r="AB489" s="9" t="str">
        <f>IFERROR(__xludf.DUMMYFUNCTION("""COMPUTED_VALUE"""),"Manhattan")</f>
        <v>Manhattan</v>
      </c>
    </row>
    <row r="490" ht="30.0" customHeight="1">
      <c r="A490" s="17">
        <v>489.0</v>
      </c>
      <c r="B490" s="8" t="str">
        <f>IFERROR(__xludf.DUMMYFUNCTION("""COMPUTED_VALUE"""),"[""99999""]")</f>
        <v>["99999"]</v>
      </c>
      <c r="C490" s="9" t="str">
        <f>IFERROR(__xludf.DUMMYFUNCTION("""COMPUTED_VALUE"""),"Immigration Legal Resource Center")</f>
        <v>Immigration Legal Resource Center</v>
      </c>
      <c r="D490" s="9"/>
      <c r="E490" s="9"/>
      <c r="F490" s="9" t="str">
        <f>IFERROR(__xludf.DUMMYFUNCTION("""COMPUTED_VALUE"""),"Houston")</f>
        <v>Houston</v>
      </c>
      <c r="G490" s="9" t="str">
        <f>IFERROR(__xludf.DUMMYFUNCTION("""COMPUTED_VALUE"""),"TX")</f>
        <v>TX</v>
      </c>
      <c r="H490" s="9" t="str">
        <f>IFERROR(__xludf.DUMMYFUNCTION("""COMPUTED_VALUE"""),"99999")</f>
        <v>99999</v>
      </c>
      <c r="I490" s="9" t="str">
        <f>IFERROR(__xludf.DUMMYFUNCTION("""COMPUTED_VALUE"""),"833-468-4664")</f>
        <v>833-468-4664</v>
      </c>
      <c r="J490" s="9" t="str">
        <f>IFERROR(__xludf.DUMMYFUNCTION("""COMPUTED_VALUE"""),"29.756845, -95.365652")</f>
        <v>29.756845, -95.365652</v>
      </c>
      <c r="K490" s="9" t="str">
        <f>IFERROR(__xludf.DUMMYFUNCTION("""COMPUTED_VALUE"""),"{""regular"":[{""days"":[""Mo"",""Tu"",""We"",""Th"",""Fr""],""open"":null,""close"":null}]}")</f>
        <v>{"regular":[{"days":["Mo","Tu","We","Th","Fr"],"open":null,"close":null}]}</v>
      </c>
      <c r="L490" s="9"/>
      <c r="M490" s="10">
        <f>IFERROR(__xludf.DUMMYFUNCTION("""COMPUTED_VALUE"""),55.0)</f>
        <v>55</v>
      </c>
      <c r="N490" s="10" t="str">
        <f>IFERROR(__xludf.DUMMYFUNCTION("""COMPUTED_VALUE"""),"Immigration")</f>
        <v>Immigration</v>
      </c>
      <c r="O490" s="10">
        <f>IFERROR(__xludf.DUMMYFUNCTION("""COMPUTED_VALUE"""),1.0)</f>
        <v>1</v>
      </c>
      <c r="P490" s="10" t="str">
        <f>IFERROR(__xludf.DUMMYFUNCTION("""COMPUTED_VALUE"""),"ACTIVE")</f>
        <v>ACTIVE</v>
      </c>
      <c r="Q490" s="11">
        <f>IFERROR(__xludf.DUMMYFUNCTION("""COMPUTED_VALUE"""),45757.0)</f>
        <v>45757</v>
      </c>
      <c r="R490" s="9"/>
      <c r="S490" s="9"/>
      <c r="T490" s="12" t="b">
        <f>IFERROR(__xludf.DUMMYFUNCTION("""COMPUTED_VALUE"""),FALSE)</f>
        <v>0</v>
      </c>
      <c r="U490" s="12" t="b">
        <f>IFERROR(__xludf.DUMMYFUNCTION("""COMPUTED_VALUE"""),FALSE)</f>
        <v>0</v>
      </c>
      <c r="V490" s="13" t="str">
        <f>IFERROR(__xludf.DUMMYFUNCTION("""COMPUTED_VALUE"""),"https://houstonimmigration.org/for-community/hotline/")</f>
        <v>https://houstonimmigration.org/for-community/hotline/</v>
      </c>
      <c r="W490" s="10"/>
      <c r="X490" s="10"/>
      <c r="Y490" s="9" t="str">
        <f>IFERROR(__xludf.DUMMYFUNCTION("""COMPUTED_VALUE"""),"Greater Houston")</f>
        <v>Greater Houston</v>
      </c>
      <c r="Z490" s="9" t="str">
        <f>IFERROR(__xludf.DUMMYFUNCTION("""COMPUTED_VALUE"""),"Not Restricted by Zip Code")</f>
        <v>Not Restricted by Zip Code</v>
      </c>
      <c r="AA490" s="9" t="str">
        <f>IFERROR(__xludf.DUMMYFUNCTION("""COMPUTED_VALUE"""),"Immigration Legal Resource Center")</f>
        <v>Immigration Legal Resource Center</v>
      </c>
      <c r="AB490" s="9"/>
    </row>
    <row r="491" ht="30.0" customHeight="1">
      <c r="A491" s="17">
        <v>490.0</v>
      </c>
      <c r="B491" s="8" t="str">
        <f>IFERROR(__xludf.DUMMYFUNCTION("""COMPUTED_VALUE"""),"[""99999""]")</f>
        <v>["99999"]</v>
      </c>
      <c r="C491" s="9" t="str">
        <f>IFERROR(__xludf.DUMMYFUNCTION("""COMPUTED_VALUE"""),"Impact Houston Church of Christ")</f>
        <v>Impact Houston Church of Christ</v>
      </c>
      <c r="D491" s="9" t="str">
        <f>IFERROR(__xludf.DUMMYFUNCTION("""COMPUTED_VALUE"""),"1704 Weber Street")</f>
        <v>1704 Weber Street</v>
      </c>
      <c r="E491" s="9"/>
      <c r="F491" s="9" t="str">
        <f>IFERROR(__xludf.DUMMYFUNCTION("""COMPUTED_VALUE"""),"Houston")</f>
        <v>Houston</v>
      </c>
      <c r="G491" s="9" t="str">
        <f>IFERROR(__xludf.DUMMYFUNCTION("""COMPUTED_VALUE"""),"TX")</f>
        <v>TX</v>
      </c>
      <c r="H491" s="9" t="str">
        <f>IFERROR(__xludf.DUMMYFUNCTION("""COMPUTED_VALUE"""),"77007")</f>
        <v>77007</v>
      </c>
      <c r="I491" s="9" t="str">
        <f>IFERROR(__xludf.DUMMYFUNCTION("""COMPUTED_VALUE"""),"713-864-5667")</f>
        <v>713-864-5667</v>
      </c>
      <c r="J491" s="9" t="str">
        <f>IFERROR(__xludf.DUMMYFUNCTION("""COMPUTED_VALUE"""),"29.77737, -95.3749707755102")</f>
        <v>29.77737, -95.3749707755102</v>
      </c>
      <c r="K491" s="9" t="str">
        <f>IFERROR(__xludf.DUMMYFUNCTION("""COMPUTED_VALUE"""),"{""regular"":[{""days"":[""Tu""],""open"":""07:30"",""close"":""11:00""},{""days"":[""We""],""open"":""16:30"",""close"":""20:00""}]}")</f>
        <v>{"regular":[{"days":["Tu"],"open":"07:30","close":"11:00"},{"days":["We"],"open":"16:30","close":"20:00"}]}</v>
      </c>
      <c r="L491" s="9"/>
      <c r="M491" s="10">
        <f>IFERROR(__xludf.DUMMYFUNCTION("""COMPUTED_VALUE"""),13.0)</f>
        <v>13</v>
      </c>
      <c r="N491" s="10" t="str">
        <f>IFERROR(__xludf.DUMMYFUNCTION("""COMPUTED_VALUE"""),"Food")</f>
        <v>Food</v>
      </c>
      <c r="O491" s="10">
        <f>IFERROR(__xludf.DUMMYFUNCTION("""COMPUTED_VALUE"""),1.0)</f>
        <v>1</v>
      </c>
      <c r="P491" s="10" t="str">
        <f>IFERROR(__xludf.DUMMYFUNCTION("""COMPUTED_VALUE"""),"ACTIVE")</f>
        <v>ACTIVE</v>
      </c>
      <c r="Q491" s="11">
        <f>IFERROR(__xludf.DUMMYFUNCTION("""COMPUTED_VALUE"""),45800.0)</f>
        <v>45800</v>
      </c>
      <c r="R491" s="9" t="str">
        <f>IFERROR(__xludf.DUMMYFUNCTION("""COMPUTED_VALUE"""),"Verified online")</f>
        <v>Verified online</v>
      </c>
      <c r="S491" s="9" t="str">
        <f>IFERROR(__xludf.DUMMYFUNCTION("""COMPUTED_VALUE"""),"Call to verify requirements")</f>
        <v>Call to verify requirements</v>
      </c>
      <c r="T491" s="12" t="b">
        <f>IFERROR(__xludf.DUMMYFUNCTION("""COMPUTED_VALUE"""),FALSE)</f>
        <v>0</v>
      </c>
      <c r="U491" s="12" t="b">
        <f>IFERROR(__xludf.DUMMYFUNCTION("""COMPUTED_VALUE"""),FALSE)</f>
        <v>0</v>
      </c>
      <c r="V491" s="13" t="str">
        <f>IFERROR(__xludf.DUMMYFUNCTION("""COMPUTED_VALUE"""),"https://impacthoustonchurch.org/resourcecenter/")</f>
        <v>https://impacthoustonchurch.org/resourcecenter/</v>
      </c>
      <c r="W491" s="14" t="str">
        <f>IFERROR(__xludf.DUMMYFUNCTION("""COMPUTED_VALUE"""),"https://www.google.com/maps/place/Impact+Houston+Church+of+Christ/@29.7775053,-95.3778354,17z/data=!3m1!4b1!4m6!3m5!1s0x8640b8b5d22b486f:0xe462f348fc335710!8m2!3d29.7775007!4d-95.3752605!16s%2Fg%2F1tnss98g?entry=ttu&amp;g_ep=EgoyMDI1MDUxNS4xIKXMDSoASAFQAw%3D%"&amp;"3D")</f>
        <v>https://www.google.com/maps/place/Impact+Houston+Church+of+Christ/@29.7775053,-95.3778354,17z/data=!3m1!4b1!4m6!3m5!1s0x8640b8b5d22b486f:0xe462f348fc335710!8m2!3d29.7775007!4d-95.3752605!16s%2Fg%2F1tnss98g?entry=ttu&amp;g_ep=EgoyMDI1MDUxNS4xIKXMDSoASAFQAw%3D%3D</v>
      </c>
      <c r="X491" s="10"/>
      <c r="Y491" s="9" t="str">
        <f>IFERROR(__xludf.DUMMYFUNCTION("""COMPUTED_VALUE"""),"Houston")</f>
        <v>Houston</v>
      </c>
      <c r="Z491"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491" s="9" t="str">
        <f>IFERROR(__xludf.DUMMYFUNCTION("""COMPUTED_VALUE"""),"Impact Houston Church of Christ")</f>
        <v>Impact Houston Church of Christ</v>
      </c>
      <c r="AB491" s="9" t="str">
        <f>IFERROR(__xludf.DUMMYFUNCTION("""COMPUTED_VALUE"""),"Washington Avenue Coalition / Memorial Park")</f>
        <v>Washington Avenue Coalition / Memorial Park</v>
      </c>
    </row>
    <row r="492" ht="30.0" customHeight="1">
      <c r="A492" s="17">
        <v>491.0</v>
      </c>
      <c r="B492" s="8" t="str">
        <f>IFERROR(__xludf.DUMMYFUNCTION("""COMPUTED_VALUE"""),"[""99999""]")</f>
        <v>["99999"]</v>
      </c>
      <c r="C492" s="9" t="str">
        <f>IFERROR(__xludf.DUMMYFUNCTION("""COMPUTED_VALUE"""),"Impact Houston Church of Christ")</f>
        <v>Impact Houston Church of Christ</v>
      </c>
      <c r="D492" s="9" t="str">
        <f>IFERROR(__xludf.DUMMYFUNCTION("""COMPUTED_VALUE"""),"1704 Weber Street")</f>
        <v>1704 Weber Street</v>
      </c>
      <c r="E492" s="9"/>
      <c r="F492" s="9" t="str">
        <f>IFERROR(__xludf.DUMMYFUNCTION("""COMPUTED_VALUE"""),"Houston")</f>
        <v>Houston</v>
      </c>
      <c r="G492" s="9" t="str">
        <f>IFERROR(__xludf.DUMMYFUNCTION("""COMPUTED_VALUE"""),"TX")</f>
        <v>TX</v>
      </c>
      <c r="H492" s="9" t="str">
        <f>IFERROR(__xludf.DUMMYFUNCTION("""COMPUTED_VALUE"""),"77007")</f>
        <v>77007</v>
      </c>
      <c r="I492" s="9" t="str">
        <f>IFERROR(__xludf.DUMMYFUNCTION("""COMPUTED_VALUE"""),"713-864-5667")</f>
        <v>713-864-5667</v>
      </c>
      <c r="J492" s="9" t="str">
        <f>IFERROR(__xludf.DUMMYFUNCTION("""COMPUTED_VALUE"""),"29.77737, -95.3749707755102")</f>
        <v>29.77737, -95.3749707755102</v>
      </c>
      <c r="K492" s="9" t="str">
        <f>IFERROR(__xludf.DUMMYFUNCTION("""COMPUTED_VALUE"""),"{""regular"":[{""days"":[""Mo"",""Tu"",""We"",""Th""],""open"":""09:00"",""close"":""14:30""},{""days"":[""We""],""open"":""18:30"",""close"":null},{""days"":[""Fr""],""open"":""18:00"",""close"":""20:00""}]}")</f>
        <v>{"regular":[{"days":["Mo","Tu","We","Th"],"open":"09:00","close":"14:30"},{"days":["We"],"open":"18:30","close":null},{"days":["Fr"],"open":"18:00","close":"20:00"}]}</v>
      </c>
      <c r="L492" s="9"/>
      <c r="M492" s="10">
        <f>IFERROR(__xludf.DUMMYFUNCTION("""COMPUTED_VALUE"""),22.0)</f>
        <v>22</v>
      </c>
      <c r="N492" s="10" t="str">
        <f>IFERROR(__xludf.DUMMYFUNCTION("""COMPUTED_VALUE"""),"Homeless - Day Centers")</f>
        <v>Homeless - Day Centers</v>
      </c>
      <c r="O492" s="10">
        <f>IFERROR(__xludf.DUMMYFUNCTION("""COMPUTED_VALUE"""),1.0)</f>
        <v>1</v>
      </c>
      <c r="P492" s="10" t="str">
        <f>IFERROR(__xludf.DUMMYFUNCTION("""COMPUTED_VALUE"""),"ACTIVE")</f>
        <v>ACTIVE</v>
      </c>
      <c r="Q492" s="11">
        <f>IFERROR(__xludf.DUMMYFUNCTION("""COMPUTED_VALUE"""),45800.0)</f>
        <v>45800</v>
      </c>
      <c r="R492" s="9" t="str">
        <f>IFERROR(__xludf.DUMMYFUNCTION("""COMPUTED_VALUE"""),"Verified online")</f>
        <v>Verified online</v>
      </c>
      <c r="S492" s="9" t="str">
        <f>IFERROR(__xludf.DUMMYFUNCTION("""COMPUTED_VALUE"""),"Photo ID and a bill with Houston address.
Receive food once every 30 days or once a week if unhoused.
Also provide diapers and baby formula.")</f>
        <v>Photo ID and a bill with Houston address.
Receive food once every 30 days or once a week if unhoused.
Also provide diapers and baby formula.</v>
      </c>
      <c r="T492" s="12" t="b">
        <f>IFERROR(__xludf.DUMMYFUNCTION("""COMPUTED_VALUE"""),FALSE)</f>
        <v>0</v>
      </c>
      <c r="U492" s="12" t="b">
        <f>IFERROR(__xludf.DUMMYFUNCTION("""COMPUTED_VALUE"""),FALSE)</f>
        <v>0</v>
      </c>
      <c r="V492" s="13" t="str">
        <f>IFERROR(__xludf.DUMMYFUNCTION("""COMPUTED_VALUE"""),"https://impacthoustonchurch.org/gethelp/")</f>
        <v>https://impacthoustonchurch.org/gethelp/</v>
      </c>
      <c r="W492" s="14" t="str">
        <f>IFERROR(__xludf.DUMMYFUNCTION("""COMPUTED_VALUE"""),"https://www.google.com/maps/place/Impact+Houston+Church+of+Christ/@29.7775053,-95.3778354,17z/data=!3m1!4b1!4m6!3m5!1s0x8640b8b5d22b486f:0xe462f348fc335710!8m2!3d29.7775007!4d-95.3752605!16s%2Fg%2F1tnss98g?entry=ttu&amp;g_ep=EgoyMDI1MDUxNS4xIKXMDSoASAFQAw%3D%"&amp;"3D")</f>
        <v>https://www.google.com/maps/place/Impact+Houston+Church+of+Christ/@29.7775053,-95.3778354,17z/data=!3m1!4b1!4m6!3m5!1s0x8640b8b5d22b486f:0xe462f348fc335710!8m2!3d29.7775007!4d-95.3752605!16s%2Fg%2F1tnss98g?entry=ttu&amp;g_ep=EgoyMDI1MDUxNS4xIKXMDSoASAFQAw%3D%3D</v>
      </c>
      <c r="X492" s="10"/>
      <c r="Y492" s="9" t="str">
        <f>IFERROR(__xludf.DUMMYFUNCTION("""COMPUTED_VALUE"""),"Houston")</f>
        <v>Houston</v>
      </c>
      <c r="Z492"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492" s="9" t="str">
        <f>IFERROR(__xludf.DUMMYFUNCTION("""COMPUTED_VALUE"""),"Impact Houston Church of Christ")</f>
        <v>Impact Houston Church of Christ</v>
      </c>
      <c r="AB492" s="9" t="str">
        <f>IFERROR(__xludf.DUMMYFUNCTION("""COMPUTED_VALUE"""),"Washington Avenue Coalition / Memorial Park")</f>
        <v>Washington Avenue Coalition / Memorial Park</v>
      </c>
    </row>
    <row r="493" ht="30.0" customHeight="1">
      <c r="A493" s="17">
        <v>492.0</v>
      </c>
      <c r="B493" s="8" t="str">
        <f>IFERROR(__xludf.DUMMYFUNCTION("""COMPUTED_VALUE"""),"[""99999""]")</f>
        <v>["99999"]</v>
      </c>
      <c r="C493" s="9" t="str">
        <f>IFERROR(__xludf.DUMMYFUNCTION("""COMPUTED_VALUE"""),"India House Houston")</f>
        <v>India House Houston</v>
      </c>
      <c r="D493" s="9" t="str">
        <f>IFERROR(__xludf.DUMMYFUNCTION("""COMPUTED_VALUE"""),"8888 W Belfort Avenue")</f>
        <v>8888 W Belfort Avenue</v>
      </c>
      <c r="E493" s="9"/>
      <c r="F493" s="9" t="str">
        <f>IFERROR(__xludf.DUMMYFUNCTION("""COMPUTED_VALUE"""),"Houston")</f>
        <v>Houston</v>
      </c>
      <c r="G493" s="9" t="str">
        <f>IFERROR(__xludf.DUMMYFUNCTION("""COMPUTED_VALUE"""),"TX")</f>
        <v>TX</v>
      </c>
      <c r="H493" s="9" t="str">
        <f>IFERROR(__xludf.DUMMYFUNCTION("""COMPUTED_VALUE"""),"77031")</f>
        <v>77031</v>
      </c>
      <c r="I493" s="9" t="str">
        <f>IFERROR(__xludf.DUMMYFUNCTION("""COMPUTED_VALUE"""),"713-929-1900")</f>
        <v>713-929-1900</v>
      </c>
      <c r="J493" s="9" t="str">
        <f>IFERROR(__xludf.DUMMYFUNCTION("""COMPUTED_VALUE"""),"29.656737, -95.533053")</f>
        <v>29.656737, -95.533053</v>
      </c>
      <c r="K493" s="9" t="str">
        <f>IFERROR(__xludf.DUMMYFUNCTION("""COMPUTED_VALUE"""),"{""special"":[{""pattern"":""2nd &amp; 4th We"",""open"":null,""close"":null}]}")</f>
        <v>{"special":[{"pattern":"2nd &amp; 4th We","open":null,"close":null}]}</v>
      </c>
      <c r="L493" s="9"/>
      <c r="M493" s="10">
        <f>IFERROR(__xludf.DUMMYFUNCTION("""COMPUTED_VALUE"""),13.0)</f>
        <v>13</v>
      </c>
      <c r="N493" s="10" t="str">
        <f>IFERROR(__xludf.DUMMYFUNCTION("""COMPUTED_VALUE"""),"Food")</f>
        <v>Food</v>
      </c>
      <c r="O493" s="10">
        <f>IFERROR(__xludf.DUMMYFUNCTION("""COMPUTED_VALUE"""),1.0)</f>
        <v>1</v>
      </c>
      <c r="P493" s="10" t="str">
        <f>IFERROR(__xludf.DUMMYFUNCTION("""COMPUTED_VALUE"""),"ACTIVE")</f>
        <v>ACTIVE</v>
      </c>
      <c r="Q493" s="11">
        <f>IFERROR(__xludf.DUMMYFUNCTION("""COMPUTED_VALUE"""),45800.0)</f>
        <v>45800</v>
      </c>
      <c r="R493" s="9" t="str">
        <f>IFERROR(__xludf.DUMMYFUNCTION("""COMPUTED_VALUE"""),"Verified online")</f>
        <v>Verified online</v>
      </c>
      <c r="S493" s="9" t="str">
        <f>IFERROR(__xludf.DUMMYFUNCTION("""COMPUTED_VALUE"""),"Check website for hours.")</f>
        <v>Check website for hours.</v>
      </c>
      <c r="T493" s="12" t="b">
        <f>IFERROR(__xludf.DUMMYFUNCTION("""COMPUTED_VALUE"""),FALSE)</f>
        <v>0</v>
      </c>
      <c r="U493" s="12" t="b">
        <f>IFERROR(__xludf.DUMMYFUNCTION("""COMPUTED_VALUE"""),FALSE)</f>
        <v>0</v>
      </c>
      <c r="V493" s="13" t="str">
        <f>IFERROR(__xludf.DUMMYFUNCTION("""COMPUTED_VALUE"""),"https://www.indiahouseinc.org/community-support/food-distribution/")</f>
        <v>https://www.indiahouseinc.org/community-support/food-distribution/</v>
      </c>
      <c r="W493" s="14" t="str">
        <f>IFERROR(__xludf.DUMMYFUNCTION("""COMPUTED_VALUE"""),"https://www.google.com/maps/place/India+House/@29.6568322,-95.5355147,16z/data=!3m1!4b1!4m6!3m5!1s0x8640e83bd63efaf3:0xb687657e2e1a4536!8m2!3d29.6568276!4d-95.5329398!16s%2Fg%2F1tnplc_4?entry=ttu&amp;g_ep=EgoyMDI1MDUxNS4xIKXMDSoASAFQAw%3D%3D")</f>
        <v>https://www.google.com/maps/place/India+House/@29.6568322,-95.5355147,16z/data=!3m1!4b1!4m6!3m5!1s0x8640e83bd63efaf3:0xb687657e2e1a4536!8m2!3d29.6568276!4d-95.5329398!16s%2Fg%2F1tnplc_4?entry=ttu&amp;g_ep=EgoyMDI1MDUxNS4xIKXMDSoASAFQAw%3D%3D</v>
      </c>
      <c r="X493" s="10"/>
      <c r="Y493" s="9" t="str">
        <f>IFERROR(__xludf.DUMMYFUNCTION("""COMPUTED_VALUE"""),"Houston")</f>
        <v>Houston</v>
      </c>
      <c r="Z493" s="9" t="str">
        <f>IFERROR(__xludf.DUMMYFUNCTION("""COMPUTED_VALUE"""),"Brays Oaks, Fondren Southwest")</f>
        <v>Brays Oaks, Fondren Southwest</v>
      </c>
      <c r="AA493" s="9" t="str">
        <f>IFERROR(__xludf.DUMMYFUNCTION("""COMPUTED_VALUE"""),"India House Houston")</f>
        <v>India House Houston</v>
      </c>
      <c r="AB493" s="9" t="str">
        <f>IFERROR(__xludf.DUMMYFUNCTION("""COMPUTED_VALUE"""),"Brays Oaks")</f>
        <v>Brays Oaks</v>
      </c>
    </row>
    <row r="494" ht="30.0" customHeight="1">
      <c r="A494" s="17">
        <v>493.0</v>
      </c>
      <c r="B494" s="8" t="str">
        <f>IFERROR(__xludf.DUMMYFUNCTION("""COMPUTED_VALUE"""),"[""99999""]")</f>
        <v>["99999"]</v>
      </c>
      <c r="C494" s="9" t="str">
        <f>IFERROR(__xludf.DUMMYFUNCTION("""COMPUTED_VALUE"""),"India House Houston")</f>
        <v>India House Houston</v>
      </c>
      <c r="D494" s="9" t="str">
        <f>IFERROR(__xludf.DUMMYFUNCTION("""COMPUTED_VALUE"""),"8888 W Belfort Avenue")</f>
        <v>8888 W Belfort Avenue</v>
      </c>
      <c r="E494" s="9"/>
      <c r="F494" s="9" t="str">
        <f>IFERROR(__xludf.DUMMYFUNCTION("""COMPUTED_VALUE"""),"Houston")</f>
        <v>Houston</v>
      </c>
      <c r="G494" s="9" t="str">
        <f>IFERROR(__xludf.DUMMYFUNCTION("""COMPUTED_VALUE"""),"TX")</f>
        <v>TX</v>
      </c>
      <c r="H494" s="9" t="str">
        <f>IFERROR(__xludf.DUMMYFUNCTION("""COMPUTED_VALUE"""),"77031")</f>
        <v>77031</v>
      </c>
      <c r="I494" s="9" t="str">
        <f>IFERROR(__xludf.DUMMYFUNCTION("""COMPUTED_VALUE"""),"713-929-1900")</f>
        <v>713-929-1900</v>
      </c>
      <c r="J494" s="9" t="str">
        <f>IFERROR(__xludf.DUMMYFUNCTION("""COMPUTED_VALUE"""),"29.656737, -95.533053")</f>
        <v>29.656737, -95.533053</v>
      </c>
      <c r="K494" s="9" t="str">
        <f>IFERROR(__xludf.DUMMYFUNCTION("""COMPUTED_VALUE"""),"{""regular"":[{""days"":[""Sa""],""open"":""09:00"",""close"":""13:00""}]}")</f>
        <v>{"regular":[{"days":["Sa"],"open":"09:00","close":"13:00"}]}</v>
      </c>
      <c r="L494" s="9" t="str">
        <f>IFERROR(__xludf.DUMMYFUNCTION("""COMPUTED_VALUE"""),"By appointment only.  Call on weekday to make appointment.")</f>
        <v>By appointment only.  Call on weekday to make appointment.</v>
      </c>
      <c r="M494" s="10">
        <f>IFERROR(__xludf.DUMMYFUNCTION("""COMPUTED_VALUE"""),31.0)</f>
        <v>31</v>
      </c>
      <c r="N494" s="10" t="str">
        <f>IFERROR(__xludf.DUMMYFUNCTION("""COMPUTED_VALUE"""),"Medical - Primary Care")</f>
        <v>Medical - Primary Care</v>
      </c>
      <c r="O494" s="10">
        <f>IFERROR(__xludf.DUMMYFUNCTION("""COMPUTED_VALUE"""),1.0)</f>
        <v>1</v>
      </c>
      <c r="P494" s="10" t="str">
        <f>IFERROR(__xludf.DUMMYFUNCTION("""COMPUTED_VALUE"""),"ACTIVE")</f>
        <v>ACTIVE</v>
      </c>
      <c r="Q494" s="11">
        <f>IFERROR(__xludf.DUMMYFUNCTION("""COMPUTED_VALUE"""),45800.0)</f>
        <v>45800</v>
      </c>
      <c r="R494" s="9" t="str">
        <f>IFERROR(__xludf.DUMMYFUNCTION("""COMPUTED_VALUE"""),"Verified online")</f>
        <v>Verified online</v>
      </c>
      <c r="S494" s="9" t="str">
        <f>IFERROR(__xludf.DUMMYFUNCTION("""COMPUTED_VALUE"""),"Check up, routine lab work, blood draws, prescriptions, consultations.
Discounted fees for lab work.
Virendra Mathur Charity Clinic")</f>
        <v>Check up, routine lab work, blood draws, prescriptions, consultations.
Discounted fees for lab work.
Virendra Mathur Charity Clinic</v>
      </c>
      <c r="T494" s="12" t="b">
        <f>IFERROR(__xludf.DUMMYFUNCTION("""COMPUTED_VALUE"""),FALSE)</f>
        <v>0</v>
      </c>
      <c r="U494" s="12" t="b">
        <f>IFERROR(__xludf.DUMMYFUNCTION("""COMPUTED_VALUE"""),FALSE)</f>
        <v>0</v>
      </c>
      <c r="V494" s="13" t="str">
        <f>IFERROR(__xludf.DUMMYFUNCTION("""COMPUTED_VALUE"""),"https://www.indiahouseinc.org/india-house-charity-volunteer-clinic/")</f>
        <v>https://www.indiahouseinc.org/india-house-charity-volunteer-clinic/</v>
      </c>
      <c r="W494" s="14" t="str">
        <f>IFERROR(__xludf.DUMMYFUNCTION("""COMPUTED_VALUE"""),"https://www.google.com/maps/place/India+House/@29.6568322,-95.5355147,16z/data=!3m1!4b1!4m6!3m5!1s0x8640e83bd63efaf3:0xb687657e2e1a4536!8m2!3d29.6568276!4d-95.5329398!16s%2Fg%2F1tnplc_4?entry=ttu&amp;g_ep=EgoyMDI1MDUxNS4xIKXMDSoASAFQAw%3D%3D")</f>
        <v>https://www.google.com/maps/place/India+House/@29.6568322,-95.5355147,16z/data=!3m1!4b1!4m6!3m5!1s0x8640e83bd63efaf3:0xb687657e2e1a4536!8m2!3d29.6568276!4d-95.5329398!16s%2Fg%2F1tnplc_4?entry=ttu&amp;g_ep=EgoyMDI1MDUxNS4xIKXMDSoASAFQAw%3D%3D</v>
      </c>
      <c r="X494" s="10"/>
      <c r="Y494" s="9" t="str">
        <f>IFERROR(__xludf.DUMMYFUNCTION("""COMPUTED_VALUE"""),"Houston")</f>
        <v>Houston</v>
      </c>
      <c r="Z494" s="9" t="str">
        <f>IFERROR(__xludf.DUMMYFUNCTION("""COMPUTED_VALUE"""),"Brays Oaks, Fondren Southwest")</f>
        <v>Brays Oaks, Fondren Southwest</v>
      </c>
      <c r="AA494" s="9" t="str">
        <f>IFERROR(__xludf.DUMMYFUNCTION("""COMPUTED_VALUE"""),"India House Houston")</f>
        <v>India House Houston</v>
      </c>
      <c r="AB494" s="9" t="str">
        <f>IFERROR(__xludf.DUMMYFUNCTION("""COMPUTED_VALUE"""),"Brays Oaks")</f>
        <v>Brays Oaks</v>
      </c>
    </row>
    <row r="495" ht="30.0" customHeight="1">
      <c r="A495" s="17">
        <v>494.0</v>
      </c>
      <c r="B495" s="8" t="str">
        <f>IFERROR(__xludf.DUMMYFUNCTION("""COMPUTED_VALUE"""),"[""99999""]")</f>
        <v>["99999"]</v>
      </c>
      <c r="C495" s="9" t="str">
        <f>IFERROR(__xludf.DUMMYFUNCTION("""COMPUTED_VALUE"""),"India House Houston")</f>
        <v>India House Houston</v>
      </c>
      <c r="D495" s="9" t="str">
        <f>IFERROR(__xludf.DUMMYFUNCTION("""COMPUTED_VALUE"""),"8888 W Belfort Avenue")</f>
        <v>8888 W Belfort Avenue</v>
      </c>
      <c r="E495" s="9"/>
      <c r="F495" s="9" t="str">
        <f>IFERROR(__xludf.DUMMYFUNCTION("""COMPUTED_VALUE"""),"Houston")</f>
        <v>Houston</v>
      </c>
      <c r="G495" s="9" t="str">
        <f>IFERROR(__xludf.DUMMYFUNCTION("""COMPUTED_VALUE"""),"TX")</f>
        <v>TX</v>
      </c>
      <c r="H495" s="9" t="str">
        <f>IFERROR(__xludf.DUMMYFUNCTION("""COMPUTED_VALUE"""),"77031")</f>
        <v>77031</v>
      </c>
      <c r="I495" s="9" t="str">
        <f>IFERROR(__xludf.DUMMYFUNCTION("""COMPUTED_VALUE"""),"713-929-1900")</f>
        <v>713-929-1900</v>
      </c>
      <c r="J495" s="9" t="str">
        <f>IFERROR(__xludf.DUMMYFUNCTION("""COMPUTED_VALUE"""),"29.656737, -95.533053")</f>
        <v>29.656737, -95.533053</v>
      </c>
      <c r="K495" s="9" t="str">
        <f>IFERROR(__xludf.DUMMYFUNCTION("""COMPUTED_VALUE"""),"{""regular"":[{""days"":[""Mo""],""open"":""16:00"",""close"":""17:00""}],""special"":[{""pattern"":""1st &amp; 3rd We"",""open"":""12:30"",""close"":""14:00""}]}")</f>
        <v>{"regular":[{"days":["Mo"],"open":"16:00","close":"17:00"}],"special":[{"pattern":"1st &amp; 3rd We","open":"12:30","close":"14:00"}]}</v>
      </c>
      <c r="L495" s="9" t="str">
        <f>IFERROR(__xludf.DUMMYFUNCTION("""COMPUTED_VALUE"""),"All consultations over phone")</f>
        <v>All consultations over phone</v>
      </c>
      <c r="M495" s="10">
        <f>IFERROR(__xludf.DUMMYFUNCTION("""COMPUTED_VALUE"""),54.0)</f>
        <v>54</v>
      </c>
      <c r="N495" s="10" t="str">
        <f>IFERROR(__xludf.DUMMYFUNCTION("""COMPUTED_VALUE"""),"Legal")</f>
        <v>Legal</v>
      </c>
      <c r="O495" s="10">
        <f>IFERROR(__xludf.DUMMYFUNCTION("""COMPUTED_VALUE"""),1.0)</f>
        <v>1</v>
      </c>
      <c r="P495" s="10" t="str">
        <f>IFERROR(__xludf.DUMMYFUNCTION("""COMPUTED_VALUE"""),"ACTIVE")</f>
        <v>ACTIVE</v>
      </c>
      <c r="Q495" s="11">
        <f>IFERROR(__xludf.DUMMYFUNCTION("""COMPUTED_VALUE"""),45800.0)</f>
        <v>45800</v>
      </c>
      <c r="R495" s="9" t="str">
        <f>IFERROR(__xludf.DUMMYFUNCTION("""COMPUTED_VALUE"""),"Verified online")</f>
        <v>Verified online</v>
      </c>
      <c r="S495" s="9" t="str">
        <f>IFERROR(__xludf.DUMMYFUNCTION("""COMPUTED_VALUE"""),"Call during business hours to make an appointment.
Only 1st consultation is free.
Mondays for Family Law and Wednesdays for Immigration")</f>
        <v>Call during business hours to make an appointment.
Only 1st consultation is free.
Mondays for Family Law and Wednesdays for Immigration</v>
      </c>
      <c r="T495" s="12" t="b">
        <f>IFERROR(__xludf.DUMMYFUNCTION("""COMPUTED_VALUE"""),FALSE)</f>
        <v>0</v>
      </c>
      <c r="U495" s="12" t="b">
        <f>IFERROR(__xludf.DUMMYFUNCTION("""COMPUTED_VALUE"""),FALSE)</f>
        <v>0</v>
      </c>
      <c r="V495" s="13" t="str">
        <f>IFERROR(__xludf.DUMMYFUNCTION("""COMPUTED_VALUE"""),"https://www.indiahouseinc.org/community-support/legal-center/")</f>
        <v>https://www.indiahouseinc.org/community-support/legal-center/</v>
      </c>
      <c r="W495" s="10"/>
      <c r="X495" s="10"/>
      <c r="Y495" s="9" t="str">
        <f>IFERROR(__xludf.DUMMYFUNCTION("""COMPUTED_VALUE"""),"Houston")</f>
        <v>Houston</v>
      </c>
      <c r="Z495" s="9" t="str">
        <f>IFERROR(__xludf.DUMMYFUNCTION("""COMPUTED_VALUE"""),"Brays Oaks, Fondren Southwest")</f>
        <v>Brays Oaks, Fondren Southwest</v>
      </c>
      <c r="AA495" s="9" t="str">
        <f>IFERROR(__xludf.DUMMYFUNCTION("""COMPUTED_VALUE"""),"India House Houston")</f>
        <v>India House Houston</v>
      </c>
      <c r="AB495" s="9" t="str">
        <f>IFERROR(__xludf.DUMMYFUNCTION("""COMPUTED_VALUE"""),"Brays Oaks")</f>
        <v>Brays Oaks</v>
      </c>
    </row>
    <row r="496" ht="30.0" customHeight="1">
      <c r="A496" s="17">
        <v>495.0</v>
      </c>
      <c r="B496" s="8" t="str">
        <f>IFERROR(__xludf.DUMMYFUNCTION("""COMPUTED_VALUE"""),"[""77058"", ""77059"", ""77062"", ""77546"", ""77565"", ""77573"", ""77586"", ""77089"", ""77518"", ""77539"", ""77598""]")</f>
        <v>["77058", "77059", "77062", "77546", "77565", "77573", "77586", "77089", "77518", "77539", "77598"]</v>
      </c>
      <c r="C496" s="9" t="str">
        <f>IFERROR(__xludf.DUMMYFUNCTION("""COMPUTED_VALUE"""),"Interfaith Caring Ministries")</f>
        <v>Interfaith Caring Ministries</v>
      </c>
      <c r="D496" s="9" t="str">
        <f>IFERROR(__xludf.DUMMYFUNCTION("""COMPUTED_VALUE"""),"151 Park Avenue")</f>
        <v>151 Park Avenue</v>
      </c>
      <c r="E496" s="9"/>
      <c r="F496" s="9" t="str">
        <f>IFERROR(__xludf.DUMMYFUNCTION("""COMPUTED_VALUE"""),"League City")</f>
        <v>League City</v>
      </c>
      <c r="G496" s="9" t="str">
        <f>IFERROR(__xludf.DUMMYFUNCTION("""COMPUTED_VALUE"""),"TX")</f>
        <v>TX</v>
      </c>
      <c r="H496" s="9" t="str">
        <f>IFERROR(__xludf.DUMMYFUNCTION("""COMPUTED_VALUE"""),"77573")</f>
        <v>77573</v>
      </c>
      <c r="I496" s="9" t="str">
        <f>IFERROR(__xludf.DUMMYFUNCTION("""COMPUTED_VALUE"""),"281-332-3881 Ext 1100")</f>
        <v>281-332-3881 Ext 1100</v>
      </c>
      <c r="J496" s="9" t="str">
        <f>IFERROR(__xludf.DUMMYFUNCTION("""COMPUTED_VALUE"""),"29.509722755102, -95.0905124693878")</f>
        <v>29.509722755102, -95.0905124693878</v>
      </c>
      <c r="K496" s="9" t="str">
        <f>IFERROR(__xludf.DUMMYFUNCTION("""COMPUTED_VALUE"""),"{""regular"":[{""days"":[""Mo"",""Tu"",""We"",""Th""],""open"":""09:00"",""close"":""16:30""},{""days"":[""Fr""],""open"":""09:00"",""close"":""13:00""}]}")</f>
        <v>{"regular":[{"days":["Mo","Tu","We","Th"],"open":"09:00","close":"16:30"},{"days":["Fr"],"open":"09:00","close":"13:00"}]}</v>
      </c>
      <c r="L496" s="9" t="str">
        <f>IFERROR(__xludf.DUMMYFUNCTION("""COMPUTED_VALUE"""),"Appointment required")</f>
        <v>Appointment required</v>
      </c>
      <c r="M496" s="10">
        <f>IFERROR(__xludf.DUMMYFUNCTION("""COMPUTED_VALUE"""),11.0)</f>
        <v>11</v>
      </c>
      <c r="N496" s="10" t="str">
        <f>IFERROR(__xludf.DUMMYFUNCTION("""COMPUTED_VALUE"""),"Rent")</f>
        <v>Rent</v>
      </c>
      <c r="O496" s="10">
        <f>IFERROR(__xludf.DUMMYFUNCTION("""COMPUTED_VALUE"""),1.0)</f>
        <v>1</v>
      </c>
      <c r="P496" s="10" t="str">
        <f>IFERROR(__xludf.DUMMYFUNCTION("""COMPUTED_VALUE"""),"ACTIVE")</f>
        <v>ACTIVE</v>
      </c>
      <c r="Q496" s="11">
        <f>IFERROR(__xludf.DUMMYFUNCTION("""COMPUTED_VALUE"""),45853.0)</f>
        <v>45853</v>
      </c>
      <c r="R496" s="9" t="str">
        <f>IFERROR(__xludf.DUMMYFUNCTION("""COMPUTED_VALUE"""),"77089, 77518, 77539 &amp; 77598 limited to CCISD.")</f>
        <v>77089, 77518, 77539 &amp; 77598 limited to CCISD.</v>
      </c>
      <c r="S496" s="9" t="str">
        <f>IFERROR(__xludf.DUMMYFUNCTION("""COMPUTED_VALUE"""),"Budgeting workshops.
US Citizens/Permanent Residents.
Documentation of address.
Pay statement, utility bill or other documentation of your income and expenses.
Bring proof if you have applied for social security, workman's comp or unemployment.")</f>
        <v>Budgeting workshops.
US Citizens/Permanent Residents.
Documentation of address.
Pay statement, utility bill or other documentation of your income and expenses.
Bring proof if you have applied for social security, workman's comp or unemployment.</v>
      </c>
      <c r="T496" s="12" t="b">
        <f>IFERROR(__xludf.DUMMYFUNCTION("""COMPUTED_VALUE"""),FALSE)</f>
        <v>0</v>
      </c>
      <c r="U496" s="12" t="b">
        <f>IFERROR(__xludf.DUMMYFUNCTION("""COMPUTED_VALUE"""),FALSE)</f>
        <v>0</v>
      </c>
      <c r="V496" s="13" t="str">
        <f>IFERROR(__xludf.DUMMYFUNCTION("""COMPUTED_VALUE"""),"https://icmtx.org/")</f>
        <v>https://icmtx.org/</v>
      </c>
      <c r="W496" s="14" t="str">
        <f>IFERROR(__xludf.DUMMYFUNCTION("""COMPUTED_VALUE"""),"https://maps.google.com/?q=Interfaith%20Caring%20Ministries%20151%20Park%20Ave%20League%20City%20TX%2077573")</f>
        <v>https://maps.google.com/?q=Interfaith%20Caring%20Ministries%20151%20Park%20Ave%20League%20City%20TX%2077573</v>
      </c>
      <c r="X496" s="10"/>
      <c r="Y496" s="9" t="str">
        <f>IFERROR(__xludf.DUMMYFUNCTION("""COMPUTED_VALUE"""),"League City")</f>
        <v>League City</v>
      </c>
      <c r="Z496" s="9" t="str">
        <f>IFERROR(__xludf.DUMMYFUNCTION("""COMPUTED_VALUE"""),"League City, South Shore Harbour, Victory Lakes")</f>
        <v>League City, South Shore Harbour, Victory Lakes</v>
      </c>
      <c r="AA496" s="9" t="str">
        <f>IFERROR(__xludf.DUMMYFUNCTION("""COMPUTED_VALUE"""),"Interfaith Caring Ministries")</f>
        <v>Interfaith Caring Ministries</v>
      </c>
      <c r="AB496" s="9" t="str">
        <f>IFERROR(__xludf.DUMMYFUNCTION("""COMPUTED_VALUE"""),"League City")</f>
        <v>League City</v>
      </c>
    </row>
    <row r="497" ht="30.0" customHeight="1">
      <c r="A497" s="17">
        <v>496.0</v>
      </c>
      <c r="B497" s="8" t="str">
        <f>IFERROR(__xludf.DUMMYFUNCTION("""COMPUTED_VALUE"""),"[""77058"", ""77059"", ""77062"", ""77546"", ""77565"", ""77573"", ""77586"", ""77089"", ""77518"", ""77539"", ""77598""]")</f>
        <v>["77058", "77059", "77062", "77546", "77565", "77573", "77586", "77089", "77518", "77539", "77598"]</v>
      </c>
      <c r="C497" s="9" t="str">
        <f>IFERROR(__xludf.DUMMYFUNCTION("""COMPUTED_VALUE"""),"Interfaith Caring Ministries")</f>
        <v>Interfaith Caring Ministries</v>
      </c>
      <c r="D497" s="9" t="str">
        <f>IFERROR(__xludf.DUMMYFUNCTION("""COMPUTED_VALUE"""),"151 Park Avenue")</f>
        <v>151 Park Avenue</v>
      </c>
      <c r="E497" s="9"/>
      <c r="F497" s="9" t="str">
        <f>IFERROR(__xludf.DUMMYFUNCTION("""COMPUTED_VALUE"""),"League City")</f>
        <v>League City</v>
      </c>
      <c r="G497" s="9" t="str">
        <f>IFERROR(__xludf.DUMMYFUNCTION("""COMPUTED_VALUE"""),"TX")</f>
        <v>TX</v>
      </c>
      <c r="H497" s="9" t="str">
        <f>IFERROR(__xludf.DUMMYFUNCTION("""COMPUTED_VALUE"""),"77573")</f>
        <v>77573</v>
      </c>
      <c r="I497" s="9" t="str">
        <f>IFERROR(__xludf.DUMMYFUNCTION("""COMPUTED_VALUE"""),"281-332-3881 Ext 1100")</f>
        <v>281-332-3881 Ext 1100</v>
      </c>
      <c r="J497" s="9" t="str">
        <f>IFERROR(__xludf.DUMMYFUNCTION("""COMPUTED_VALUE"""),"29.509722755102, -95.0905124693878")</f>
        <v>29.509722755102, -95.0905124693878</v>
      </c>
      <c r="K497" s="9" t="str">
        <f>IFERROR(__xludf.DUMMYFUNCTION("""COMPUTED_VALUE"""),"{""regular"":[{""days"":[""Mo"",""Tu"",""We"",""Th""],""open"":""09:00"",""close"":""16:30""},{""days"":[""Fr""],""open"":""09:00"",""close"":""13:00""}]}")</f>
        <v>{"regular":[{"days":["Mo","Tu","We","Th"],"open":"09:00","close":"16:30"},{"days":["Fr"],"open":"09:00","close":"13:00"}]}</v>
      </c>
      <c r="L497" s="9" t="str">
        <f>IFERROR(__xludf.DUMMYFUNCTION("""COMPUTED_VALUE"""),"Appointment required")</f>
        <v>Appointment required</v>
      </c>
      <c r="M497" s="10">
        <f>IFERROR(__xludf.DUMMYFUNCTION("""COMPUTED_VALUE"""),12.0)</f>
        <v>12</v>
      </c>
      <c r="N497" s="10" t="str">
        <f>IFERROR(__xludf.DUMMYFUNCTION("""COMPUTED_VALUE"""),"Utilities")</f>
        <v>Utilities</v>
      </c>
      <c r="O497" s="10">
        <f>IFERROR(__xludf.DUMMYFUNCTION("""COMPUTED_VALUE"""),1.0)</f>
        <v>1</v>
      </c>
      <c r="P497" s="10" t="str">
        <f>IFERROR(__xludf.DUMMYFUNCTION("""COMPUTED_VALUE"""),"ACTIVE")</f>
        <v>ACTIVE</v>
      </c>
      <c r="Q497" s="11">
        <f>IFERROR(__xludf.DUMMYFUNCTION("""COMPUTED_VALUE"""),45853.0)</f>
        <v>45853</v>
      </c>
      <c r="R497" s="9" t="str">
        <f>IFERROR(__xludf.DUMMYFUNCTION("""COMPUTED_VALUE"""),"77089, 77518, 77539 &amp; 77598 limited to CCISD.")</f>
        <v>77089, 77518, 77539 &amp; 77598 limited to CCISD.</v>
      </c>
      <c r="S497" s="9" t="str">
        <f>IFERROR(__xludf.DUMMYFUNCTION("""COMPUTED_VALUE"""),"Call to make an appointment.
Complete online Intake Form.
US Citizens/Permanent Residents.
Unexpired TX DL or ID Card.
Current lease agreement.
Current utility bill.
Disconnect or cut-off notice.
Three most recent paycheck stubs for all workers in househo"&amp;"ld.
Proof of child support.
Any Award Letters, e.g. TANF, SSI, unemployment, Worker's Comp, etc.
Documentation of crisis.")</f>
        <v>Call to make an appointment.
Complete online Intake Form.
US Citizens/Permanent Residents.
Unexpired TX DL or ID Card.
Current lease agreement.
Current utility bill.
Disconnect or cut-off notice.
Three most recent paycheck stubs for all workers in household.
Proof of child support.
Any Award Letters, e.g. TANF, SSI, unemployment, Worker's Comp, etc.
Documentation of crisis.</v>
      </c>
      <c r="T497" s="12" t="b">
        <f>IFERROR(__xludf.DUMMYFUNCTION("""COMPUTED_VALUE"""),FALSE)</f>
        <v>0</v>
      </c>
      <c r="U497" s="12" t="b">
        <f>IFERROR(__xludf.DUMMYFUNCTION("""COMPUTED_VALUE"""),FALSE)</f>
        <v>0</v>
      </c>
      <c r="V497" s="13" t="str">
        <f>IFERROR(__xludf.DUMMYFUNCTION("""COMPUTED_VALUE"""),"https://icmtx.org/")</f>
        <v>https://icmtx.org/</v>
      </c>
      <c r="W497" s="14" t="str">
        <f>IFERROR(__xludf.DUMMYFUNCTION("""COMPUTED_VALUE"""),"https://maps.google.com/?q=Interfaith%20Caring%20Ministries%20151%20Park%20Ave%20League%20City%20TX%2077573")</f>
        <v>https://maps.google.com/?q=Interfaith%20Caring%20Ministries%20151%20Park%20Ave%20League%20City%20TX%2077573</v>
      </c>
      <c r="X497" s="10"/>
      <c r="Y497" s="9" t="str">
        <f>IFERROR(__xludf.DUMMYFUNCTION("""COMPUTED_VALUE"""),"League City")</f>
        <v>League City</v>
      </c>
      <c r="Z497" s="9" t="str">
        <f>IFERROR(__xludf.DUMMYFUNCTION("""COMPUTED_VALUE"""),"League City, South Shore Harbour, Victory Lakes")</f>
        <v>League City, South Shore Harbour, Victory Lakes</v>
      </c>
      <c r="AA497" s="9" t="str">
        <f>IFERROR(__xludf.DUMMYFUNCTION("""COMPUTED_VALUE"""),"Interfaith Caring Ministries")</f>
        <v>Interfaith Caring Ministries</v>
      </c>
      <c r="AB497" s="9" t="str">
        <f>IFERROR(__xludf.DUMMYFUNCTION("""COMPUTED_VALUE"""),"League City")</f>
        <v>League City</v>
      </c>
    </row>
    <row r="498" ht="30.0" customHeight="1">
      <c r="A498" s="17">
        <v>497.0</v>
      </c>
      <c r="B498" s="8" t="str">
        <f>IFERROR(__xludf.DUMMYFUNCTION("""COMPUTED_VALUE"""),"[""77058"", ""77059"", ""77062"", ""77546"", ""77565"", ""77573"", ""77586"", ""77089"", ""77518"", ""77539"", ""77598""]")</f>
        <v>["77058", "77059", "77062", "77546", "77565", "77573", "77586", "77089", "77518", "77539", "77598"]</v>
      </c>
      <c r="C498" s="9" t="str">
        <f>IFERROR(__xludf.DUMMYFUNCTION("""COMPUTED_VALUE"""),"Interfaith Caring Ministries")</f>
        <v>Interfaith Caring Ministries</v>
      </c>
      <c r="D498" s="9" t="str">
        <f>IFERROR(__xludf.DUMMYFUNCTION("""COMPUTED_VALUE"""),"151 Park Avenue")</f>
        <v>151 Park Avenue</v>
      </c>
      <c r="E498" s="9"/>
      <c r="F498" s="9" t="str">
        <f>IFERROR(__xludf.DUMMYFUNCTION("""COMPUTED_VALUE"""),"League City")</f>
        <v>League City</v>
      </c>
      <c r="G498" s="9" t="str">
        <f>IFERROR(__xludf.DUMMYFUNCTION("""COMPUTED_VALUE"""),"TX")</f>
        <v>TX</v>
      </c>
      <c r="H498" s="9" t="str">
        <f>IFERROR(__xludf.DUMMYFUNCTION("""COMPUTED_VALUE"""),"77573")</f>
        <v>77573</v>
      </c>
      <c r="I498" s="9" t="str">
        <f>IFERROR(__xludf.DUMMYFUNCTION("""COMPUTED_VALUE"""),"281-332-3881")</f>
        <v>281-332-3881</v>
      </c>
      <c r="J498" s="9" t="str">
        <f>IFERROR(__xludf.DUMMYFUNCTION("""COMPUTED_VALUE"""),"29.509722755102, -95.0905124693878")</f>
        <v>29.509722755102, -95.0905124693878</v>
      </c>
      <c r="K498" s="9" t="str">
        <f>IFERROR(__xludf.DUMMYFUNCTION("""COMPUTED_VALUE"""),"{""regular"":[{""days"":[""Mo"",""Tu"",""We"",""Th""],""open"":""08:30"",""close"":""13:00""}]}")</f>
        <v>{"regular":[{"days":["Mo","Tu","We","Th"],"open":"08:30","close":"13:00"}]}</v>
      </c>
      <c r="L498" s="9" t="str">
        <f>IFERROR(__xludf.DUMMYFUNCTION("""COMPUTED_VALUE"""),"Appointment required")</f>
        <v>Appointment required</v>
      </c>
      <c r="M498" s="10">
        <f>IFERROR(__xludf.DUMMYFUNCTION("""COMPUTED_VALUE"""),13.0)</f>
        <v>13</v>
      </c>
      <c r="N498" s="10" t="str">
        <f>IFERROR(__xludf.DUMMYFUNCTION("""COMPUTED_VALUE"""),"Food")</f>
        <v>Food</v>
      </c>
      <c r="O498" s="10">
        <f>IFERROR(__xludf.DUMMYFUNCTION("""COMPUTED_VALUE"""),1.0)</f>
        <v>1</v>
      </c>
      <c r="P498" s="10" t="str">
        <f>IFERROR(__xludf.DUMMYFUNCTION("""COMPUTED_VALUE"""),"ACTIVE")</f>
        <v>ACTIVE</v>
      </c>
      <c r="Q498" s="11">
        <f>IFERROR(__xludf.DUMMYFUNCTION("""COMPUTED_VALUE"""),45853.0)</f>
        <v>45853</v>
      </c>
      <c r="R498" s="9" t="str">
        <f>IFERROR(__xludf.DUMMYFUNCTION("""COMPUTED_VALUE"""),"77089, 77518, 77539 &amp; 77598 limited to CCISD.")</f>
        <v>77089, 77518, 77539 &amp; 77598 limited to CCISD.</v>
      </c>
      <c r="S498" s="9" t="str">
        <f>IFERROR(__xludf.DUMMYFUNCTION("""COMPUTED_VALUE"""),"Call to make an appointment.
Complete online Intake Form.
Social Security Card or birth certificate for all household members.
US Citizens/Permanent Residents.
Unexpired TX DL or ID Card.
Current lease agreement.
Three most recent paycheck stubs for all w"&amp;"orkers in household.
Proof of child support.
Any Award Letters, e.g. TANF, SSI, unemployment, Worker's Comp, etc.
Documentation of crisis.")</f>
        <v>Call to make an appointment.
Complete online Intake Form.
Social Security Card or birth certificate for all household members.
US Citizens/Permanent Residents.
Unexpired TX DL or ID Card.
Current lease agreement.
Three most recent paycheck stubs for all workers in household.
Proof of child support.
Any Award Letters, e.g. TANF, SSI, unemployment, Worker's Comp, etc.
Documentation of crisis.</v>
      </c>
      <c r="T498" s="12" t="b">
        <f>IFERROR(__xludf.DUMMYFUNCTION("""COMPUTED_VALUE"""),FALSE)</f>
        <v>0</v>
      </c>
      <c r="U498" s="12" t="b">
        <f>IFERROR(__xludf.DUMMYFUNCTION("""COMPUTED_VALUE"""),FALSE)</f>
        <v>0</v>
      </c>
      <c r="V498" s="13" t="str">
        <f>IFERROR(__xludf.DUMMYFUNCTION("""COMPUTED_VALUE"""),"https://icmtx.org/")</f>
        <v>https://icmtx.org/</v>
      </c>
      <c r="W498" s="14" t="str">
        <f>IFERROR(__xludf.DUMMYFUNCTION("""COMPUTED_VALUE"""),"https://maps.google.com/?q=Interfaith%20Caring%20Ministries%20151%20Park%20Ave%20League%20City%20TX%2077573")</f>
        <v>https://maps.google.com/?q=Interfaith%20Caring%20Ministries%20151%20Park%20Ave%20League%20City%20TX%2077573</v>
      </c>
      <c r="X498" s="10"/>
      <c r="Y498" s="9" t="str">
        <f>IFERROR(__xludf.DUMMYFUNCTION("""COMPUTED_VALUE"""),"League City")</f>
        <v>League City</v>
      </c>
      <c r="Z498" s="9" t="str">
        <f>IFERROR(__xludf.DUMMYFUNCTION("""COMPUTED_VALUE"""),"League City, South Shore Harbour, Victory Lakes")</f>
        <v>League City, South Shore Harbour, Victory Lakes</v>
      </c>
      <c r="AA498" s="9" t="str">
        <f>IFERROR(__xludf.DUMMYFUNCTION("""COMPUTED_VALUE"""),"Interfaith Caring Ministries")</f>
        <v>Interfaith Caring Ministries</v>
      </c>
      <c r="AB498" s="9" t="str">
        <f>IFERROR(__xludf.DUMMYFUNCTION("""COMPUTED_VALUE"""),"League City")</f>
        <v>League City</v>
      </c>
    </row>
    <row r="499" ht="30.0" customHeight="1">
      <c r="A499" s="17">
        <v>498.0</v>
      </c>
      <c r="B499" s="8" t="str">
        <f>IFERROR(__xludf.DUMMYFUNCTION("""COMPUTED_VALUE"""),"[""77058"", ""77059"", ""77062"", ""77546"", ""77565"", ""77573"", ""77586"", ""77089"", ""77518"", ""77539"", ""77598""]")</f>
        <v>["77058", "77059", "77062", "77546", "77565", "77573", "77586", "77089", "77518", "77539", "77598"]</v>
      </c>
      <c r="C499" s="9" t="str">
        <f>IFERROR(__xludf.DUMMYFUNCTION("""COMPUTED_VALUE"""),"Interfaith Caring Ministries")</f>
        <v>Interfaith Caring Ministries</v>
      </c>
      <c r="D499" s="9" t="str">
        <f>IFERROR(__xludf.DUMMYFUNCTION("""COMPUTED_VALUE"""),"151 Park Avenue")</f>
        <v>151 Park Avenue</v>
      </c>
      <c r="E499" s="9"/>
      <c r="F499" s="9" t="str">
        <f>IFERROR(__xludf.DUMMYFUNCTION("""COMPUTED_VALUE"""),"League City")</f>
        <v>League City</v>
      </c>
      <c r="G499" s="9" t="str">
        <f>IFERROR(__xludf.DUMMYFUNCTION("""COMPUTED_VALUE"""),"TX")</f>
        <v>TX</v>
      </c>
      <c r="H499" s="9" t="str">
        <f>IFERROR(__xludf.DUMMYFUNCTION("""COMPUTED_VALUE"""),"77573")</f>
        <v>77573</v>
      </c>
      <c r="I499" s="9" t="str">
        <f>IFERROR(__xludf.DUMMYFUNCTION("""COMPUTED_VALUE"""),"281-332-3881 Ext 1104")</f>
        <v>281-332-3881 Ext 1104</v>
      </c>
      <c r="J499" s="9" t="str">
        <f>IFERROR(__xludf.DUMMYFUNCTION("""COMPUTED_VALUE"""),"29.509722755102, -95.0905124693878")</f>
        <v>29.509722755102, -95.0905124693878</v>
      </c>
      <c r="K499" s="9" t="str">
        <f>IFERROR(__xludf.DUMMYFUNCTION("""COMPUTED_VALUE"""),"{""regular"":[{""days"":[""Mo"",""Tu"",""We"",""Th"",""Fr""],""open"":""10:00"",""close"":""18:00""},{""days"":[""Sa""],""open"":""10:00"",""close"":""17:00""}]}")</f>
        <v>{"regular":[{"days":["Mo","Tu","We","Th","Fr"],"open":"10:00","close":"18:00"},{"days":["Sa"],"open":"10:00","close":"17:00"}]}</v>
      </c>
      <c r="L499" s="9" t="str">
        <f>IFERROR(__xludf.DUMMYFUNCTION("""COMPUTED_VALUE"""),"Apply online")</f>
        <v>Apply online</v>
      </c>
      <c r="M499" s="10">
        <f>IFERROR(__xludf.DUMMYFUNCTION("""COMPUTED_VALUE"""),61.0)</f>
        <v>61</v>
      </c>
      <c r="N499" s="10" t="str">
        <f>IFERROR(__xludf.DUMMYFUNCTION("""COMPUTED_VALUE"""),"Seniors")</f>
        <v>Seniors</v>
      </c>
      <c r="O499" s="10">
        <f>IFERROR(__xludf.DUMMYFUNCTION("""COMPUTED_VALUE"""),1.0)</f>
        <v>1</v>
      </c>
      <c r="P499" s="10" t="str">
        <f>IFERROR(__xludf.DUMMYFUNCTION("""COMPUTED_VALUE"""),"ACTIVE")</f>
        <v>ACTIVE</v>
      </c>
      <c r="Q499" s="11">
        <f>IFERROR(__xludf.DUMMYFUNCTION("""COMPUTED_VALUE"""),45853.0)</f>
        <v>45853</v>
      </c>
      <c r="R499" s="9" t="str">
        <f>IFERROR(__xludf.DUMMYFUNCTION("""COMPUTED_VALUE"""),"77089, 77518, 77539 &amp; 77598 limited to CCISD.")</f>
        <v>77089, 77518, 77539 &amp; 77598 limited to CCISD.</v>
      </c>
      <c r="S499" s="9" t="str">
        <f>IFERROR(__xludf.DUMMYFUNCTION("""COMPUTED_VALUE"""),"Free monthly food box delivery meeting the following criteria:
Disabled or homebound.
Low income and older than 60 years.
Live alone or with spouse.")</f>
        <v>Free monthly food box delivery meeting the following criteria:
Disabled or homebound.
Low income and older than 60 years.
Live alone or with spouse.</v>
      </c>
      <c r="T499" s="12" t="b">
        <f>IFERROR(__xludf.DUMMYFUNCTION("""COMPUTED_VALUE"""),FALSE)</f>
        <v>0</v>
      </c>
      <c r="U499" s="12" t="b">
        <f>IFERROR(__xludf.DUMMYFUNCTION("""COMPUTED_VALUE"""),FALSE)</f>
        <v>0</v>
      </c>
      <c r="V499" s="13" t="str">
        <f>IFERROR(__xludf.DUMMYFUNCTION("""COMPUTED_VALUE"""),"https://icmtx.org/")</f>
        <v>https://icmtx.org/</v>
      </c>
      <c r="W499" s="14" t="str">
        <f>IFERROR(__xludf.DUMMYFUNCTION("""COMPUTED_VALUE"""),"https://maps.google.com/?q=Interfaith%20Caring%20Ministries%20151%20Park%20Ave%20League%20City%20TX%2077573")</f>
        <v>https://maps.google.com/?q=Interfaith%20Caring%20Ministries%20151%20Park%20Ave%20League%20City%20TX%2077573</v>
      </c>
      <c r="X499" s="10"/>
      <c r="Y499" s="9" t="str">
        <f>IFERROR(__xludf.DUMMYFUNCTION("""COMPUTED_VALUE"""),"League City")</f>
        <v>League City</v>
      </c>
      <c r="Z499" s="9" t="str">
        <f>IFERROR(__xludf.DUMMYFUNCTION("""COMPUTED_VALUE"""),"League City, South Shore Harbour, Victory Lakes")</f>
        <v>League City, South Shore Harbour, Victory Lakes</v>
      </c>
      <c r="AA499" s="9" t="str">
        <f>IFERROR(__xludf.DUMMYFUNCTION("""COMPUTED_VALUE"""),"Interfaith Caring Ministries")</f>
        <v>Interfaith Caring Ministries</v>
      </c>
      <c r="AB499" s="9" t="str">
        <f>IFERROR(__xludf.DUMMYFUNCTION("""COMPUTED_VALUE"""),"League City")</f>
        <v>League City</v>
      </c>
    </row>
    <row r="500" ht="30.0" customHeight="1">
      <c r="A500" s="17">
        <v>499.0</v>
      </c>
      <c r="B500" s="8" t="str">
        <f>IFERROR(__xludf.DUMMYFUNCTION("""COMPUTED_VALUE"""),"[""77058"", ""77059"", ""77062"", ""77546"", ""77565"", ""77573"", ""77586"", ""77089"", ""77518"", ""77539"", ""77598""]")</f>
        <v>["77058", "77059", "77062", "77546", "77565", "77573", "77586", "77089", "77518", "77539", "77598"]</v>
      </c>
      <c r="C500" s="9" t="str">
        <f>IFERROR(__xludf.DUMMYFUNCTION("""COMPUTED_VALUE"""),"Interfaith Caring Ministries")</f>
        <v>Interfaith Caring Ministries</v>
      </c>
      <c r="D500" s="9" t="str">
        <f>IFERROR(__xludf.DUMMYFUNCTION("""COMPUTED_VALUE"""),"151 Park Avenue")</f>
        <v>151 Park Avenue</v>
      </c>
      <c r="E500" s="9"/>
      <c r="F500" s="9" t="str">
        <f>IFERROR(__xludf.DUMMYFUNCTION("""COMPUTED_VALUE"""),"League City")</f>
        <v>League City</v>
      </c>
      <c r="G500" s="9" t="str">
        <f>IFERROR(__xludf.DUMMYFUNCTION("""COMPUTED_VALUE"""),"TX")</f>
        <v>TX</v>
      </c>
      <c r="H500" s="9" t="str">
        <f>IFERROR(__xludf.DUMMYFUNCTION("""COMPUTED_VALUE"""),"77573")</f>
        <v>77573</v>
      </c>
      <c r="I500" s="9" t="str">
        <f>IFERROR(__xludf.DUMMYFUNCTION("""COMPUTED_VALUE"""),"281-332-3881")</f>
        <v>281-332-3881</v>
      </c>
      <c r="J500" s="9" t="str">
        <f>IFERROR(__xludf.DUMMYFUNCTION("""COMPUTED_VALUE"""),"29.509722755102, -95.0905124693878")</f>
        <v>29.509722755102, -95.0905124693878</v>
      </c>
      <c r="K500" s="9" t="str">
        <f>IFERROR(__xludf.DUMMYFUNCTION("""COMPUTED_VALUE"""),"{""regular"":[{""days"":[""Mo"",""Tu"",""We"",""Th"",""Fr""],""open"":""10:00"",""close"":""18:00""},{""days"":[""Sa""],""open"":""10:00"",""close"":""17:00""}]}")</f>
        <v>{"regular":[{"days":["Mo","Tu","We","Th","Fr"],"open":"10:00","close":"18:00"},{"days":["Sa"],"open":"10:00","close":"17:00"}]}</v>
      </c>
      <c r="L500" s="9"/>
      <c r="M500" s="10">
        <f>IFERROR(__xludf.DUMMYFUNCTION("""COMPUTED_VALUE"""),64.0)</f>
        <v>64</v>
      </c>
      <c r="N500" s="10" t="str">
        <f>IFERROR(__xludf.DUMMYFUNCTION("""COMPUTED_VALUE"""),"Christmas")</f>
        <v>Christmas</v>
      </c>
      <c r="O500" s="10">
        <f>IFERROR(__xludf.DUMMYFUNCTION("""COMPUTED_VALUE"""),1.0)</f>
        <v>1</v>
      </c>
      <c r="P500" s="10" t="str">
        <f>IFERROR(__xludf.DUMMYFUNCTION("""COMPUTED_VALUE"""),"ACTIVE")</f>
        <v>ACTIVE</v>
      </c>
      <c r="Q500" s="11">
        <f>IFERROR(__xludf.DUMMYFUNCTION("""COMPUTED_VALUE"""),45853.0)</f>
        <v>45853</v>
      </c>
      <c r="R500" s="9" t="str">
        <f>IFERROR(__xludf.DUMMYFUNCTION("""COMPUTED_VALUE"""),"77089, 77518, 77539 &amp; 77598 limited to CCISD.")</f>
        <v>77089, 77518, 77539 &amp; 77598 limited to CCISD.</v>
      </c>
      <c r="S500" s="9" t="str">
        <f>IFERROR(__xludf.DUMMYFUNCTION("""COMPUTED_VALUE"""),"Toys &amp; Food.")</f>
        <v>Toys &amp; Food.</v>
      </c>
      <c r="T500" s="12" t="b">
        <f>IFERROR(__xludf.DUMMYFUNCTION("""COMPUTED_VALUE"""),FALSE)</f>
        <v>0</v>
      </c>
      <c r="U500" s="12" t="b">
        <f>IFERROR(__xludf.DUMMYFUNCTION("""COMPUTED_VALUE"""),FALSE)</f>
        <v>0</v>
      </c>
      <c r="V500" s="13" t="str">
        <f>IFERROR(__xludf.DUMMYFUNCTION("""COMPUTED_VALUE"""),"https://icmtx.org/")</f>
        <v>https://icmtx.org/</v>
      </c>
      <c r="W500" s="14" t="str">
        <f>IFERROR(__xludf.DUMMYFUNCTION("""COMPUTED_VALUE"""),"https://maps.google.com/?q=Interfaith%20Caring%20Ministries%20151%20Park%20Ave%20League%20City%20TX%2077573")</f>
        <v>https://maps.google.com/?q=Interfaith%20Caring%20Ministries%20151%20Park%20Ave%20League%20City%20TX%2077573</v>
      </c>
      <c r="X500" s="10"/>
      <c r="Y500" s="9" t="str">
        <f>IFERROR(__xludf.DUMMYFUNCTION("""COMPUTED_VALUE"""),"League City")</f>
        <v>League City</v>
      </c>
      <c r="Z500" s="9" t="str">
        <f>IFERROR(__xludf.DUMMYFUNCTION("""COMPUTED_VALUE"""),"League City, South Shore Harbour, Victory Lakes")</f>
        <v>League City, South Shore Harbour, Victory Lakes</v>
      </c>
      <c r="AA500" s="9" t="str">
        <f>IFERROR(__xludf.DUMMYFUNCTION("""COMPUTED_VALUE"""),"Interfaith Caring Ministries")</f>
        <v>Interfaith Caring Ministries</v>
      </c>
      <c r="AB500" s="9" t="str">
        <f>IFERROR(__xludf.DUMMYFUNCTION("""COMPUTED_VALUE"""),"League City")</f>
        <v>League City</v>
      </c>
    </row>
    <row r="501" ht="30.0" customHeight="1">
      <c r="A501" s="17">
        <v>500.0</v>
      </c>
      <c r="B501" s="8" t="str">
        <f>IFERROR(__xludf.DUMMYFUNCTION("""COMPUTED_VALUE"""),"[""77058"", ""77059"", ""77062"", ""77546"", ""77565"", ""77573"", ""77586"", ""77089"", ""77518"", ""77539"", ""77598""]")</f>
        <v>["77058", "77059", "77062", "77546", "77565", "77573", "77586", "77089", "77518", "77539", "77598"]</v>
      </c>
      <c r="C501" s="9" t="str">
        <f>IFERROR(__xludf.DUMMYFUNCTION("""COMPUTED_VALUE"""),"Interfaith Caring Ministries")</f>
        <v>Interfaith Caring Ministries</v>
      </c>
      <c r="D501" s="9" t="str">
        <f>IFERROR(__xludf.DUMMYFUNCTION("""COMPUTED_VALUE"""),"151 Park Avenue")</f>
        <v>151 Park Avenue</v>
      </c>
      <c r="E501" s="9"/>
      <c r="F501" s="9" t="str">
        <f>IFERROR(__xludf.DUMMYFUNCTION("""COMPUTED_VALUE"""),"League City")</f>
        <v>League City</v>
      </c>
      <c r="G501" s="9" t="str">
        <f>IFERROR(__xludf.DUMMYFUNCTION("""COMPUTED_VALUE"""),"TX")</f>
        <v>TX</v>
      </c>
      <c r="H501" s="9" t="str">
        <f>IFERROR(__xludf.DUMMYFUNCTION("""COMPUTED_VALUE"""),"77573")</f>
        <v>77573</v>
      </c>
      <c r="I501" s="9" t="str">
        <f>IFERROR(__xludf.DUMMYFUNCTION("""COMPUTED_VALUE"""),"281-332-3881")</f>
        <v>281-332-3881</v>
      </c>
      <c r="J501" s="9" t="str">
        <f>IFERROR(__xludf.DUMMYFUNCTION("""COMPUTED_VALUE"""),"29.509722755102, -95.0905124693878")</f>
        <v>29.509722755102, -95.0905124693878</v>
      </c>
      <c r="K501" s="9" t="str">
        <f>IFERROR(__xludf.DUMMYFUNCTION("""COMPUTED_VALUE"""),"{""regular"":[{""days"":[""Mo"",""Tu"",""We"",""Th"",""Fr""],""open"":""10:00"",""close"":""18:00""},{""days"":[""Sa""],""open"":""10:00"",""close"":""17:00""}]}")</f>
        <v>{"regular":[{"days":["Mo","Tu","We","Th","Fr"],"open":"10:00","close":"18:00"},{"days":["Sa"],"open":"10:00","close":"17:00"}]}</v>
      </c>
      <c r="L501" s="9"/>
      <c r="M501" s="10">
        <f>IFERROR(__xludf.DUMMYFUNCTION("""COMPUTED_VALUE"""),65.0)</f>
        <v>65</v>
      </c>
      <c r="N501" s="10" t="str">
        <f>IFERROR(__xludf.DUMMYFUNCTION("""COMPUTED_VALUE"""),"Other")</f>
        <v>Other</v>
      </c>
      <c r="O501" s="10">
        <f>IFERROR(__xludf.DUMMYFUNCTION("""COMPUTED_VALUE"""),1.0)</f>
        <v>1</v>
      </c>
      <c r="P501" s="10" t="str">
        <f>IFERROR(__xludf.DUMMYFUNCTION("""COMPUTED_VALUE"""),"ACTIVE")</f>
        <v>ACTIVE</v>
      </c>
      <c r="Q501" s="11">
        <f>IFERROR(__xludf.DUMMYFUNCTION("""COMPUTED_VALUE"""),45853.0)</f>
        <v>45853</v>
      </c>
      <c r="R501" s="9" t="str">
        <f>IFERROR(__xludf.DUMMYFUNCTION("""COMPUTED_VALUE"""),"77089, 77518, 77539 &amp; 77598 limited to CCISD. 
In August only.")</f>
        <v>77089, 77518, 77539 &amp; 77598 limited to CCISD. 
In August only.</v>
      </c>
      <c r="S501" s="9" t="str">
        <f>IFERROR(__xludf.DUMMYFUNCTION("""COMPUTED_VALUE"""),"School supplies in August.
Families who received client services the previous year are eligible.")</f>
        <v>School supplies in August.
Families who received client services the previous year are eligible.</v>
      </c>
      <c r="T501" s="12" t="b">
        <f>IFERROR(__xludf.DUMMYFUNCTION("""COMPUTED_VALUE"""),FALSE)</f>
        <v>0</v>
      </c>
      <c r="U501" s="12" t="b">
        <f>IFERROR(__xludf.DUMMYFUNCTION("""COMPUTED_VALUE"""),FALSE)</f>
        <v>0</v>
      </c>
      <c r="V501" s="13" t="str">
        <f>IFERROR(__xludf.DUMMYFUNCTION("""COMPUTED_VALUE"""),"https://icmtx.org/")</f>
        <v>https://icmtx.org/</v>
      </c>
      <c r="W501" s="14" t="str">
        <f>IFERROR(__xludf.DUMMYFUNCTION("""COMPUTED_VALUE"""),"https://maps.google.com/?q=Interfaith%20Caring%20Ministries%20151%20Park%20Ave%20League%20City%20TX%2077573")</f>
        <v>https://maps.google.com/?q=Interfaith%20Caring%20Ministries%20151%20Park%20Ave%20League%20City%20TX%2077573</v>
      </c>
      <c r="X501" s="10"/>
      <c r="Y501" s="9" t="str">
        <f>IFERROR(__xludf.DUMMYFUNCTION("""COMPUTED_VALUE"""),"League City")</f>
        <v>League City</v>
      </c>
      <c r="Z501" s="9" t="str">
        <f>IFERROR(__xludf.DUMMYFUNCTION("""COMPUTED_VALUE"""),"League City, South Shore Harbour, Victory Lakes")</f>
        <v>League City, South Shore Harbour, Victory Lakes</v>
      </c>
      <c r="AA501" s="9" t="str">
        <f>IFERROR(__xludf.DUMMYFUNCTION("""COMPUTED_VALUE"""),"Interfaith Caring Ministries")</f>
        <v>Interfaith Caring Ministries</v>
      </c>
      <c r="AB501" s="9" t="str">
        <f>IFERROR(__xludf.DUMMYFUNCTION("""COMPUTED_VALUE"""),"League City")</f>
        <v>League City</v>
      </c>
    </row>
    <row r="502" ht="30.0" customHeight="1">
      <c r="A502" s="17">
        <v>501.0</v>
      </c>
      <c r="B502" s="8" t="str">
        <f>IFERROR(__xludf.DUMMYFUNCTION("""COMPUTED_VALUE"""),"[""99999""]")</f>
        <v>["99999"]</v>
      </c>
      <c r="C502" s="9" t="str">
        <f>IFERROR(__xludf.DUMMYFUNCTION("""COMPUTED_VALUE"""),"Interfaith Ministries for Greater Houston")</f>
        <v>Interfaith Ministries for Greater Houston</v>
      </c>
      <c r="D502" s="9" t="str">
        <f>IFERROR(__xludf.DUMMYFUNCTION("""COMPUTED_VALUE"""),"3303 Main Street")</f>
        <v>3303 Main Street</v>
      </c>
      <c r="E502" s="9"/>
      <c r="F502" s="9" t="str">
        <f>IFERROR(__xludf.DUMMYFUNCTION("""COMPUTED_VALUE"""),"Houston")</f>
        <v>Houston</v>
      </c>
      <c r="G502" s="9" t="str">
        <f>IFERROR(__xludf.DUMMYFUNCTION("""COMPUTED_VALUE"""),"TX")</f>
        <v>TX</v>
      </c>
      <c r="H502" s="9" t="str">
        <f>IFERROR(__xludf.DUMMYFUNCTION("""COMPUTED_VALUE"""),"77002")</f>
        <v>77002</v>
      </c>
      <c r="I502" s="9" t="str">
        <f>IFERROR(__xludf.DUMMYFUNCTION("""COMPUTED_VALUE"""),"713-533-4900")</f>
        <v>713-533-4900</v>
      </c>
      <c r="J502" s="9" t="str">
        <f>IFERROR(__xludf.DUMMYFUNCTION("""COMPUTED_VALUE"""),"29.7407746326531, -95.3776236734694")</f>
        <v>29.7407746326531, -95.3776236734694</v>
      </c>
      <c r="K502" s="9" t="str">
        <f>IFERROR(__xludf.DUMMYFUNCTION("""COMPUTED_VALUE"""),"{""regular"":[{""days"":[""Tu"",""We""],""open"":null,""close"":null},{""days"":[""Th""],""open"":""08:30"",""close"":""19:00""}]}")</f>
        <v>{"regular":[{"days":["Tu","We"],"open":null,"close":null},{"days":["Th"],"open":"08:30","close":"19:00"}]}</v>
      </c>
      <c r="L502" s="9"/>
      <c r="M502" s="10">
        <f>IFERROR(__xludf.DUMMYFUNCTION("""COMPUTED_VALUE"""),13.0)</f>
        <v>13</v>
      </c>
      <c r="N502" s="10" t="str">
        <f>IFERROR(__xludf.DUMMYFUNCTION("""COMPUTED_VALUE"""),"Food")</f>
        <v>Food</v>
      </c>
      <c r="O502" s="10">
        <f>IFERROR(__xludf.DUMMYFUNCTION("""COMPUTED_VALUE"""),1.0)</f>
        <v>1</v>
      </c>
      <c r="P502" s="10" t="str">
        <f>IFERROR(__xludf.DUMMYFUNCTION("""COMPUTED_VALUE"""),"ACTIVE")</f>
        <v>ACTIVE</v>
      </c>
      <c r="Q502" s="11">
        <f>IFERROR(__xludf.DUMMYFUNCTION("""COMPUTED_VALUE"""),46067.0)</f>
        <v>46067</v>
      </c>
      <c r="R502" s="9" t="str">
        <f>IFERROR(__xludf.DUMMYFUNCTION("""COMPUTED_VALUE"""),"Verified online")</f>
        <v>Verified online</v>
      </c>
      <c r="S502" s="9" t="str">
        <f>IFERROR(__xludf.DUMMYFUNCTION("""COMPUTED_VALUE"""),"Meals on Wheels program.
60 years or olde
Homebound
Demonstrated need for nutrition assistance, e.g. mobility issues, income restrictions, etc.
Live within the 94 zip code service areas of Harris and Galveston counties.")</f>
        <v>Meals on Wheels program.
60 years or olde
Homebound
Demonstrated need for nutrition assistance, e.g. mobility issues, income restrictions, etc.
Live within the 94 zip code service areas of Harris and Galveston counties.</v>
      </c>
      <c r="T502" s="12" t="b">
        <f>IFERROR(__xludf.DUMMYFUNCTION("""COMPUTED_VALUE"""),FALSE)</f>
        <v>0</v>
      </c>
      <c r="U502" s="12" t="b">
        <f>IFERROR(__xludf.DUMMYFUNCTION("""COMPUTED_VALUE"""),FALSE)</f>
        <v>0</v>
      </c>
      <c r="V502" s="13" t="str">
        <f>IFERROR(__xludf.DUMMYFUNCTION("""COMPUTED_VALUE"""),"https://imgh.org/")</f>
        <v>https://imgh.org/</v>
      </c>
      <c r="W502" s="14" t="str">
        <f>IFERROR(__xludf.DUMMYFUNCTION("""COMPUTED_VALUE"""),"https://maps.google.com/?q=Interfaith%20Ministries%20for%20Greater%20Houston%203303%20Main%20St%20Houston%20TX%2077002")</f>
        <v>https://maps.google.com/?q=Interfaith%20Ministries%20for%20Greater%20Houston%203303%20Main%20St%20Houston%20TX%2077002</v>
      </c>
      <c r="X502" s="10"/>
      <c r="Y502" s="9" t="str">
        <f>IFERROR(__xludf.DUMMYFUNCTION("""COMPUTED_VALUE"""),"Houston")</f>
        <v>Houston</v>
      </c>
      <c r="Z50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02" s="9" t="str">
        <f>IFERROR(__xludf.DUMMYFUNCTION("""COMPUTED_VALUE"""),"Interfaith Ministries for Greater Houston")</f>
        <v>Interfaith Ministries for Greater Houston</v>
      </c>
      <c r="AB502" s="9" t="str">
        <f>IFERROR(__xludf.DUMMYFUNCTION("""COMPUTED_VALUE"""),"South Central Houston")</f>
        <v>South Central Houston</v>
      </c>
    </row>
    <row r="503" ht="30.0" customHeight="1">
      <c r="A503" s="17">
        <v>502.0</v>
      </c>
      <c r="B503" s="8" t="str">
        <f>IFERROR(__xludf.DUMMYFUNCTION("""COMPUTED_VALUE"""),"[""99999""]")</f>
        <v>["99999"]</v>
      </c>
      <c r="C503" s="9" t="str">
        <f>IFERROR(__xludf.DUMMYFUNCTION("""COMPUTED_VALUE"""),"Interfaith Ministries for Greater Houston")</f>
        <v>Interfaith Ministries for Greater Houston</v>
      </c>
      <c r="D503" s="9" t="str">
        <f>IFERROR(__xludf.DUMMYFUNCTION("""COMPUTED_VALUE"""),"3303 Main Street")</f>
        <v>3303 Main Street</v>
      </c>
      <c r="E503" s="9"/>
      <c r="F503" s="9" t="str">
        <f>IFERROR(__xludf.DUMMYFUNCTION("""COMPUTED_VALUE"""),"Houston")</f>
        <v>Houston</v>
      </c>
      <c r="G503" s="9" t="str">
        <f>IFERROR(__xludf.DUMMYFUNCTION("""COMPUTED_VALUE"""),"TX")</f>
        <v>TX</v>
      </c>
      <c r="H503" s="9" t="str">
        <f>IFERROR(__xludf.DUMMYFUNCTION("""COMPUTED_VALUE"""),"77002")</f>
        <v>77002</v>
      </c>
      <c r="I503" s="9" t="str">
        <f>IFERROR(__xludf.DUMMYFUNCTION("""COMPUTED_VALUE"""),"713-533-4900")</f>
        <v>713-533-4900</v>
      </c>
      <c r="J503" s="9" t="str">
        <f>IFERROR(__xludf.DUMMYFUNCTION("""COMPUTED_VALUE"""),"29.7407746326531, -95.3776236734694")</f>
        <v>29.7407746326531, -95.3776236734694</v>
      </c>
      <c r="K503" s="9" t="str">
        <f>IFERROR(__xludf.DUMMYFUNCTION("""COMPUTED_VALUE"""),"{""regular"":[{""days"":[""Tu"",""We""],""open"":null,""close"":null},{""days"":[""Th""],""open"":""08:30"",""close"":""19:00""}]}")</f>
        <v>{"regular":[{"days":["Tu","We"],"open":null,"close":null},{"days":["Th"],"open":"08:30","close":"19:00"}]}</v>
      </c>
      <c r="L503" s="9"/>
      <c r="M503" s="10">
        <f>IFERROR(__xludf.DUMMYFUNCTION("""COMPUTED_VALUE"""),55.0)</f>
        <v>55</v>
      </c>
      <c r="N503" s="10" t="str">
        <f>IFERROR(__xludf.DUMMYFUNCTION("""COMPUTED_VALUE"""),"Immigration")</f>
        <v>Immigration</v>
      </c>
      <c r="O503" s="10">
        <f>IFERROR(__xludf.DUMMYFUNCTION("""COMPUTED_VALUE"""),1.0)</f>
        <v>1</v>
      </c>
      <c r="P503" s="10" t="str">
        <f>IFERROR(__xludf.DUMMYFUNCTION("""COMPUTED_VALUE"""),"ACTIVE")</f>
        <v>ACTIVE</v>
      </c>
      <c r="Q503" s="11">
        <f>IFERROR(__xludf.DUMMYFUNCTION("""COMPUTED_VALUE"""),46067.0)</f>
        <v>46067</v>
      </c>
      <c r="R503" s="9" t="str">
        <f>IFERROR(__xludf.DUMMYFUNCTION("""COMPUTED_VALUE"""),"Verified online")</f>
        <v>Verified online</v>
      </c>
      <c r="S503" s="9" t="str">
        <f>IFERROR(__xludf.DUMMYFUNCTION("""COMPUTED_VALUE"""),"Unable to verify if services still available")</f>
        <v>Unable to verify if services still available</v>
      </c>
      <c r="T503" s="12" t="b">
        <f>IFERROR(__xludf.DUMMYFUNCTION("""COMPUTED_VALUE"""),FALSE)</f>
        <v>0</v>
      </c>
      <c r="U503" s="12" t="b">
        <f>IFERROR(__xludf.DUMMYFUNCTION("""COMPUTED_VALUE"""),FALSE)</f>
        <v>0</v>
      </c>
      <c r="V503" s="13" t="str">
        <f>IFERROR(__xludf.DUMMYFUNCTION("""COMPUTED_VALUE"""),"https://imgh.org/")</f>
        <v>https://imgh.org/</v>
      </c>
      <c r="W503" s="14" t="str">
        <f>IFERROR(__xludf.DUMMYFUNCTION("""COMPUTED_VALUE"""),"https://maps.google.com/?q=Interfaith%20Ministries%20for%20Greater%20Houston%203303%20Main%20St%20Houston%20TX%2077002")</f>
        <v>https://maps.google.com/?q=Interfaith%20Ministries%20for%20Greater%20Houston%203303%20Main%20St%20Houston%20TX%2077002</v>
      </c>
      <c r="X503" s="10"/>
      <c r="Y503" s="9" t="str">
        <f>IFERROR(__xludf.DUMMYFUNCTION("""COMPUTED_VALUE"""),"Houston")</f>
        <v>Houston</v>
      </c>
      <c r="Z503"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03" s="9" t="str">
        <f>IFERROR(__xludf.DUMMYFUNCTION("""COMPUTED_VALUE"""),"Interfaith Ministries for Greater Houston")</f>
        <v>Interfaith Ministries for Greater Houston</v>
      </c>
      <c r="AB503" s="9" t="str">
        <f>IFERROR(__xludf.DUMMYFUNCTION("""COMPUTED_VALUE"""),"South Central Houston")</f>
        <v>South Central Houston</v>
      </c>
    </row>
    <row r="504" ht="30.0" customHeight="1">
      <c r="A504" s="17">
        <v>503.0</v>
      </c>
      <c r="B504" s="8" t="str">
        <f>IFERROR(__xludf.DUMMYFUNCTION("""COMPUTED_VALUE"""),"[""99999""]")</f>
        <v>["99999"]</v>
      </c>
      <c r="C504" s="9" t="str">
        <f>IFERROR(__xludf.DUMMYFUNCTION("""COMPUTED_VALUE"""),"Interfaith Ministries for Greater Houston")</f>
        <v>Interfaith Ministries for Greater Houston</v>
      </c>
      <c r="D504" s="9" t="str">
        <f>IFERROR(__xludf.DUMMYFUNCTION("""COMPUTED_VALUE"""),"3303 Main Street")</f>
        <v>3303 Main Street</v>
      </c>
      <c r="E504" s="9"/>
      <c r="F504" s="9" t="str">
        <f>IFERROR(__xludf.DUMMYFUNCTION("""COMPUTED_VALUE"""),"Houston")</f>
        <v>Houston</v>
      </c>
      <c r="G504" s="9" t="str">
        <f>IFERROR(__xludf.DUMMYFUNCTION("""COMPUTED_VALUE"""),"TX")</f>
        <v>TX</v>
      </c>
      <c r="H504" s="9" t="str">
        <f>IFERROR(__xludf.DUMMYFUNCTION("""COMPUTED_VALUE"""),"77002")</f>
        <v>77002</v>
      </c>
      <c r="I504" s="9" t="str">
        <f>IFERROR(__xludf.DUMMYFUNCTION("""COMPUTED_VALUE"""),"713-533-4900")</f>
        <v>713-533-4900</v>
      </c>
      <c r="J504" s="9" t="str">
        <f>IFERROR(__xludf.DUMMYFUNCTION("""COMPUTED_VALUE"""),"29.7407746326531, -95.3776236734694")</f>
        <v>29.7407746326531, -95.3776236734694</v>
      </c>
      <c r="K504" s="9" t="str">
        <f>IFERROR(__xludf.DUMMYFUNCTION("""COMPUTED_VALUE"""),"{""regular"":[{""days"":[""Tu"",""We""],""open"":null,""close"":null},{""days"":[""Th""],""open"":""08:30"",""close"":""19:00""}]}")</f>
        <v>{"regular":[{"days":["Tu","We"],"open":null,"close":null},{"days":["Th"],"open":"08:30","close":"19:00"}]}</v>
      </c>
      <c r="L504" s="9"/>
      <c r="M504" s="10">
        <f>IFERROR(__xludf.DUMMYFUNCTION("""COMPUTED_VALUE"""),63.0)</f>
        <v>63</v>
      </c>
      <c r="N504" s="10" t="str">
        <f>IFERROR(__xludf.DUMMYFUNCTION("""COMPUTED_VALUE"""),"Animals")</f>
        <v>Animals</v>
      </c>
      <c r="O504" s="10">
        <f>IFERROR(__xludf.DUMMYFUNCTION("""COMPUTED_VALUE"""),1.0)</f>
        <v>1</v>
      </c>
      <c r="P504" s="10" t="str">
        <f>IFERROR(__xludf.DUMMYFUNCTION("""COMPUTED_VALUE"""),"ACTIVE")</f>
        <v>ACTIVE</v>
      </c>
      <c r="Q504" s="11">
        <f>IFERROR(__xludf.DUMMYFUNCTION("""COMPUTED_VALUE"""),46067.0)</f>
        <v>46067</v>
      </c>
      <c r="R504" s="9" t="str">
        <f>IFERROR(__xludf.DUMMYFUNCTION("""COMPUTED_VALUE"""),"Verified online")</f>
        <v>Verified online</v>
      </c>
      <c r="S504" s="9" t="str">
        <f>IFERROR(__xludf.DUMMYFUNCTION("""COMPUTED_VALUE"""),"Senior Citizens only
Meals and veterinary care for pets.")</f>
        <v>Senior Citizens only
Meals and veterinary care for pets.</v>
      </c>
      <c r="T504" s="12" t="b">
        <f>IFERROR(__xludf.DUMMYFUNCTION("""COMPUTED_VALUE"""),FALSE)</f>
        <v>0</v>
      </c>
      <c r="U504" s="12" t="b">
        <f>IFERROR(__xludf.DUMMYFUNCTION("""COMPUTED_VALUE"""),FALSE)</f>
        <v>0</v>
      </c>
      <c r="V504" s="13" t="str">
        <f>IFERROR(__xludf.DUMMYFUNCTION("""COMPUTED_VALUE"""),"https://imgh.org/")</f>
        <v>https://imgh.org/</v>
      </c>
      <c r="W504" s="14" t="str">
        <f>IFERROR(__xludf.DUMMYFUNCTION("""COMPUTED_VALUE"""),"https://maps.google.com/?q=Interfaith%20Ministries%20for%20Greater%20Houston%203303%20Main%20St%20Houston%20TX%2077002")</f>
        <v>https://maps.google.com/?q=Interfaith%20Ministries%20for%20Greater%20Houston%203303%20Main%20St%20Houston%20TX%2077002</v>
      </c>
      <c r="X504" s="10"/>
      <c r="Y504" s="9" t="str">
        <f>IFERROR(__xludf.DUMMYFUNCTION("""COMPUTED_VALUE"""),"Houston")</f>
        <v>Houston</v>
      </c>
      <c r="Z504"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04" s="9" t="str">
        <f>IFERROR(__xludf.DUMMYFUNCTION("""COMPUTED_VALUE"""),"Interfaith Ministries for Greater Houston")</f>
        <v>Interfaith Ministries for Greater Houston</v>
      </c>
      <c r="AB504" s="9" t="str">
        <f>IFERROR(__xludf.DUMMYFUNCTION("""COMPUTED_VALUE"""),"South Central Houston")</f>
        <v>South Central Houston</v>
      </c>
    </row>
    <row r="505" ht="30.0" customHeight="1">
      <c r="A505" s="17">
        <v>504.0</v>
      </c>
      <c r="B505" s="8" t="str">
        <f>IFERROR(__xludf.DUMMYFUNCTION("""COMPUTED_VALUE"""),"[""77354"", ""77375"", ""77380"", ""77381"", ""77382"", ""77384"", ""77385"", ""77386"", ""77389""]")</f>
        <v>["77354", "77375", "77380", "77381", "77382", "77384", "77385", "77386", "77389"]</v>
      </c>
      <c r="C505" s="9" t="str">
        <f>IFERROR(__xludf.DUMMYFUNCTION("""COMPUTED_VALUE"""),"Interfaith of the Woodlands")</f>
        <v>Interfaith of the Woodlands</v>
      </c>
      <c r="D505" s="9" t="str">
        <f>IFERROR(__xludf.DUMMYFUNCTION("""COMPUTED_VALUE"""),"4242 Interfaith Way")</f>
        <v>4242 Interfaith Way</v>
      </c>
      <c r="E505" s="9"/>
      <c r="F505" s="9" t="str">
        <f>IFERROR(__xludf.DUMMYFUNCTION("""COMPUTED_VALUE"""),"Spring")</f>
        <v>Spring</v>
      </c>
      <c r="G505" s="9" t="str">
        <f>IFERROR(__xludf.DUMMYFUNCTION("""COMPUTED_VALUE"""),"TX")</f>
        <v>TX</v>
      </c>
      <c r="H505" s="9" t="str">
        <f>IFERROR(__xludf.DUMMYFUNCTION("""COMPUTED_VALUE"""),"77381")</f>
        <v>77381</v>
      </c>
      <c r="I505" s="9" t="str">
        <f>IFERROR(__xludf.DUMMYFUNCTION("""COMPUTED_VALUE"""),"281-367-1230")</f>
        <v>281-367-1230</v>
      </c>
      <c r="J505" s="9" t="str">
        <f>IFERROR(__xludf.DUMMYFUNCTION("""COMPUTED_VALUE"""),"30.166222, -95.499716")</f>
        <v>30.166222, -95.499716</v>
      </c>
      <c r="K505" s="9" t="str">
        <f>IFERROR(__xludf.DUMMYFUNCTION("""COMPUTED_VALUE"""),"{""regular"":[{""days"":[""Mo"",""Tu"",""We"",""Th""],""open"":""08:30"",""close"":""16:30""},{""days"":[""Fr""],""open"":""08:30"",""close"":""12:00""}]}")</f>
        <v>{"regular":[{"days":["Mo","Tu","We","Th"],"open":"08:30","close":"16:30"},{"days":["Fr"],"open":"08:30","close":"12:00"}]}</v>
      </c>
      <c r="L505" s="9"/>
      <c r="M505" s="10">
        <f>IFERROR(__xludf.DUMMYFUNCTION("""COMPUTED_VALUE"""),11.0)</f>
        <v>11</v>
      </c>
      <c r="N505" s="10" t="str">
        <f>IFERROR(__xludf.DUMMYFUNCTION("""COMPUTED_VALUE"""),"Rent")</f>
        <v>Rent</v>
      </c>
      <c r="O505" s="10">
        <f>IFERROR(__xludf.DUMMYFUNCTION("""COMPUTED_VALUE"""),1.0)</f>
        <v>1</v>
      </c>
      <c r="P505" s="10" t="str">
        <f>IFERROR(__xludf.DUMMYFUNCTION("""COMPUTED_VALUE"""),"ACTIVE")</f>
        <v>ACTIVE</v>
      </c>
      <c r="Q505" s="11">
        <f>IFERROR(__xludf.DUMMYFUNCTION("""COMPUTED_VALUE"""),45772.0)</f>
        <v>45772</v>
      </c>
      <c r="R505" s="9" t="str">
        <f>IFERROR(__xludf.DUMMYFUNCTION("""COMPUTED_VALUE"""),"Restricted to Sterling Ridge for 77354 and Montgomery County for 77389")</f>
        <v>Restricted to Sterling Ridge for 77354 and Montgomery County for 77389</v>
      </c>
      <c r="S505" s="9"/>
      <c r="T505" s="12" t="b">
        <f>IFERROR(__xludf.DUMMYFUNCTION("""COMPUTED_VALUE"""),FALSE)</f>
        <v>0</v>
      </c>
      <c r="U505" s="12" t="b">
        <f>IFERROR(__xludf.DUMMYFUNCTION("""COMPUTED_VALUE"""),FALSE)</f>
        <v>0</v>
      </c>
      <c r="V505" s="13" t="str">
        <f>IFERROR(__xludf.DUMMYFUNCTION("""COMPUTED_VALUE"""),"https://icmtx.org/")</f>
        <v>https://icmtx.org/</v>
      </c>
      <c r="W505" s="14" t="str">
        <f>IFERROR(__xludf.DUMMYFUNCTION("""COMPUTED_VALUE"""),"https://maps.google.com/?q=Interfaith%20of%20the%20Woodlands%204242%20Interfaith%20Way%20Spring%20TX%2077381")</f>
        <v>https://maps.google.com/?q=Interfaith%20of%20the%20Woodlands%204242%20Interfaith%20Way%20Spring%20TX%2077381</v>
      </c>
      <c r="X505" s="10"/>
      <c r="Y505" s="9" t="str">
        <f>IFERROR(__xludf.DUMMYFUNCTION("""COMPUTED_VALUE"""),"The Woodlands")</f>
        <v>The Woodlands</v>
      </c>
      <c r="Z505" s="9" t="str">
        <f>IFERROR(__xludf.DUMMYFUNCTION("""COMPUTED_VALUE"""),"The Woodlands (Cochran's Crossing, Indian Springs)")</f>
        <v>The Woodlands (Cochran's Crossing, Indian Springs)</v>
      </c>
      <c r="AA505" s="9" t="str">
        <f>IFERROR(__xludf.DUMMYFUNCTION("""COMPUTED_VALUE"""),"Interfaith of the Woodlands")</f>
        <v>Interfaith of the Woodlands</v>
      </c>
      <c r="AB505" s="9" t="str">
        <f>IFERROR(__xludf.DUMMYFUNCTION("""COMPUTED_VALUE"""),"The Woodlands (Cochran's Crossing, Indian Springs)")</f>
        <v>The Woodlands (Cochran's Crossing, Indian Springs)</v>
      </c>
    </row>
    <row r="506" ht="30.0" customHeight="1">
      <c r="A506" s="17">
        <v>505.0</v>
      </c>
      <c r="B506" s="8" t="str">
        <f>IFERROR(__xludf.DUMMYFUNCTION("""COMPUTED_VALUE"""),"[""77354"", ""77375"", ""77380"", ""77381"", ""77382"", ""77384"", ""77385"", ""77386"", ""77389""]")</f>
        <v>["77354", "77375", "77380", "77381", "77382", "77384", "77385", "77386", "77389"]</v>
      </c>
      <c r="C506" s="9" t="str">
        <f>IFERROR(__xludf.DUMMYFUNCTION("""COMPUTED_VALUE"""),"Interfaith of the Woodlands")</f>
        <v>Interfaith of the Woodlands</v>
      </c>
      <c r="D506" s="9" t="str">
        <f>IFERROR(__xludf.DUMMYFUNCTION("""COMPUTED_VALUE"""),"4242 Interfaith Way")</f>
        <v>4242 Interfaith Way</v>
      </c>
      <c r="E506" s="9"/>
      <c r="F506" s="9" t="str">
        <f>IFERROR(__xludf.DUMMYFUNCTION("""COMPUTED_VALUE"""),"Spring")</f>
        <v>Spring</v>
      </c>
      <c r="G506" s="9" t="str">
        <f>IFERROR(__xludf.DUMMYFUNCTION("""COMPUTED_VALUE"""),"TX")</f>
        <v>TX</v>
      </c>
      <c r="H506" s="9" t="str">
        <f>IFERROR(__xludf.DUMMYFUNCTION("""COMPUTED_VALUE"""),"77381")</f>
        <v>77381</v>
      </c>
      <c r="I506" s="9" t="str">
        <f>IFERROR(__xludf.DUMMYFUNCTION("""COMPUTED_VALUE"""),"281-367-1230")</f>
        <v>281-367-1230</v>
      </c>
      <c r="J506" s="9" t="str">
        <f>IFERROR(__xludf.DUMMYFUNCTION("""COMPUTED_VALUE"""),"30.166222, -95.499716")</f>
        <v>30.166222, -95.499716</v>
      </c>
      <c r="K506" s="9" t="str">
        <f>IFERROR(__xludf.DUMMYFUNCTION("""COMPUTED_VALUE"""),"{""regular"":[{""days"":[""Mo"",""Tu"",""We"",""Th""],""open"":""08:30"",""close"":""16:30""},{""days"":[""Fr""],""open"":""08:30"",""close"":""12:00""}]}")</f>
        <v>{"regular":[{"days":["Mo","Tu","We","Th"],"open":"08:30","close":"16:30"},{"days":["Fr"],"open":"08:30","close":"12:00"}]}</v>
      </c>
      <c r="L506" s="9"/>
      <c r="M506" s="10">
        <f>IFERROR(__xludf.DUMMYFUNCTION("""COMPUTED_VALUE"""),12.0)</f>
        <v>12</v>
      </c>
      <c r="N506" s="10" t="str">
        <f>IFERROR(__xludf.DUMMYFUNCTION("""COMPUTED_VALUE"""),"Utilities")</f>
        <v>Utilities</v>
      </c>
      <c r="O506" s="10">
        <f>IFERROR(__xludf.DUMMYFUNCTION("""COMPUTED_VALUE"""),1.0)</f>
        <v>1</v>
      </c>
      <c r="P506" s="10" t="str">
        <f>IFERROR(__xludf.DUMMYFUNCTION("""COMPUTED_VALUE"""),"ACTIVE")</f>
        <v>ACTIVE</v>
      </c>
      <c r="Q506" s="11">
        <f>IFERROR(__xludf.DUMMYFUNCTION("""COMPUTED_VALUE"""),45772.0)</f>
        <v>45772</v>
      </c>
      <c r="R506" s="9" t="str">
        <f>IFERROR(__xludf.DUMMYFUNCTION("""COMPUTED_VALUE"""),"Restricted to Sterling Ridge for 77354 and Montgomery County for 77389")</f>
        <v>Restricted to Sterling Ridge for 77354 and Montgomery County for 77389</v>
      </c>
      <c r="S506" s="9"/>
      <c r="T506" s="12" t="b">
        <f>IFERROR(__xludf.DUMMYFUNCTION("""COMPUTED_VALUE"""),FALSE)</f>
        <v>0</v>
      </c>
      <c r="U506" s="12" t="b">
        <f>IFERROR(__xludf.DUMMYFUNCTION("""COMPUTED_VALUE"""),FALSE)</f>
        <v>0</v>
      </c>
      <c r="V506" s="13" t="str">
        <f>IFERROR(__xludf.DUMMYFUNCTION("""COMPUTED_VALUE"""),"https://icmtx.org/")</f>
        <v>https://icmtx.org/</v>
      </c>
      <c r="W506" s="14" t="str">
        <f>IFERROR(__xludf.DUMMYFUNCTION("""COMPUTED_VALUE"""),"https://maps.google.com/?q=Interfaith%20of%20the%20Woodlands%204242%20Interfaith%20Way%20Spring%20TX%2077381")</f>
        <v>https://maps.google.com/?q=Interfaith%20of%20the%20Woodlands%204242%20Interfaith%20Way%20Spring%20TX%2077381</v>
      </c>
      <c r="X506" s="10"/>
      <c r="Y506" s="9" t="str">
        <f>IFERROR(__xludf.DUMMYFUNCTION("""COMPUTED_VALUE"""),"The Woodlands")</f>
        <v>The Woodlands</v>
      </c>
      <c r="Z506" s="9" t="str">
        <f>IFERROR(__xludf.DUMMYFUNCTION("""COMPUTED_VALUE"""),"The Woodlands (Cochran's Crossing, Indian Springs)")</f>
        <v>The Woodlands (Cochran's Crossing, Indian Springs)</v>
      </c>
      <c r="AA506" s="9" t="str">
        <f>IFERROR(__xludf.DUMMYFUNCTION("""COMPUTED_VALUE"""),"Interfaith of the Woodlands")</f>
        <v>Interfaith of the Woodlands</v>
      </c>
      <c r="AB506" s="9" t="str">
        <f>IFERROR(__xludf.DUMMYFUNCTION("""COMPUTED_VALUE"""),"The Woodlands (Cochran's Crossing, Indian Springs)")</f>
        <v>The Woodlands (Cochran's Crossing, Indian Springs)</v>
      </c>
    </row>
    <row r="507" ht="30.0" customHeight="1">
      <c r="A507" s="17">
        <v>506.0</v>
      </c>
      <c r="B507" s="8" t="str">
        <f>IFERROR(__xludf.DUMMYFUNCTION("""COMPUTED_VALUE"""),"[""77354"", ""77375"", ""77380"", ""77381"", ""77382"", ""77384"", ""77385"", ""77386"", ""77389""]")</f>
        <v>["77354", "77375", "77380", "77381", "77382", "77384", "77385", "77386", "77389"]</v>
      </c>
      <c r="C507" s="9" t="str">
        <f>IFERROR(__xludf.DUMMYFUNCTION("""COMPUTED_VALUE"""),"Interfaith of the Woodlands")</f>
        <v>Interfaith of the Woodlands</v>
      </c>
      <c r="D507" s="9" t="str">
        <f>IFERROR(__xludf.DUMMYFUNCTION("""COMPUTED_VALUE"""),"4242 Interfaith Way")</f>
        <v>4242 Interfaith Way</v>
      </c>
      <c r="E507" s="9"/>
      <c r="F507" s="9" t="str">
        <f>IFERROR(__xludf.DUMMYFUNCTION("""COMPUTED_VALUE"""),"Spring")</f>
        <v>Spring</v>
      </c>
      <c r="G507" s="9" t="str">
        <f>IFERROR(__xludf.DUMMYFUNCTION("""COMPUTED_VALUE"""),"TX")</f>
        <v>TX</v>
      </c>
      <c r="H507" s="9" t="str">
        <f>IFERROR(__xludf.DUMMYFUNCTION("""COMPUTED_VALUE"""),"77381")</f>
        <v>77381</v>
      </c>
      <c r="I507" s="9" t="str">
        <f>IFERROR(__xludf.DUMMYFUNCTION("""COMPUTED_VALUE"""),"281-367-1230")</f>
        <v>281-367-1230</v>
      </c>
      <c r="J507" s="9" t="str">
        <f>IFERROR(__xludf.DUMMYFUNCTION("""COMPUTED_VALUE"""),"30.166222, -95.499716")</f>
        <v>30.166222, -95.499716</v>
      </c>
      <c r="K507" s="9" t="str">
        <f>IFERROR(__xludf.DUMMYFUNCTION("""COMPUTED_VALUE"""),"{""regular"":[{""days"":[""Mo"",""Tu"",""We"",""Th""],""open"":""08:30"",""close"":""16:30""},{""days"":[""Fr""],""open"":""08:30"",""close"":""12:00""}]}")</f>
        <v>{"regular":[{"days":["Mo","Tu","We","Th"],"open":"08:30","close":"16:30"},{"days":["Fr"],"open":"08:30","close":"12:00"}]}</v>
      </c>
      <c r="L507" s="9"/>
      <c r="M507" s="10">
        <f>IFERROR(__xludf.DUMMYFUNCTION("""COMPUTED_VALUE"""),13.0)</f>
        <v>13</v>
      </c>
      <c r="N507" s="10" t="str">
        <f>IFERROR(__xludf.DUMMYFUNCTION("""COMPUTED_VALUE"""),"Food")</f>
        <v>Food</v>
      </c>
      <c r="O507" s="10">
        <f>IFERROR(__xludf.DUMMYFUNCTION("""COMPUTED_VALUE"""),1.0)</f>
        <v>1</v>
      </c>
      <c r="P507" s="10" t="str">
        <f>IFERROR(__xludf.DUMMYFUNCTION("""COMPUTED_VALUE"""),"ACTIVE")</f>
        <v>ACTIVE</v>
      </c>
      <c r="Q507" s="11">
        <f>IFERROR(__xludf.DUMMYFUNCTION("""COMPUTED_VALUE"""),45772.0)</f>
        <v>45772</v>
      </c>
      <c r="R507" s="9" t="str">
        <f>IFERROR(__xludf.DUMMYFUNCTION("""COMPUTED_VALUE"""),"Restricted to Sterling Ridge for 77354 and Montgomery County for 77389")</f>
        <v>Restricted to Sterling Ridge for 77354 and Montgomery County for 77389</v>
      </c>
      <c r="S507" s="9" t="str">
        <f>IFERROR(__xludf.DUMMYFUNCTION("""COMPUTED_VALUE"""),"Includes toiletries/hygiene kit. and baby care items.
Grocery delivery to homebound senior adults.")</f>
        <v>Includes toiletries/hygiene kit. and baby care items.
Grocery delivery to homebound senior adults.</v>
      </c>
      <c r="T507" s="12" t="b">
        <f>IFERROR(__xludf.DUMMYFUNCTION("""COMPUTED_VALUE"""),FALSE)</f>
        <v>0</v>
      </c>
      <c r="U507" s="12" t="b">
        <f>IFERROR(__xludf.DUMMYFUNCTION("""COMPUTED_VALUE"""),FALSE)</f>
        <v>0</v>
      </c>
      <c r="V507" s="13" t="str">
        <f>IFERROR(__xludf.DUMMYFUNCTION("""COMPUTED_VALUE"""),"https://icmtx.org/")</f>
        <v>https://icmtx.org/</v>
      </c>
      <c r="W507" s="14" t="str">
        <f>IFERROR(__xludf.DUMMYFUNCTION("""COMPUTED_VALUE"""),"https://maps.google.com/?q=Interfaith%20of%20the%20Woodlands%204242%20Interfaith%20Way%20Spring%20TX%2077381")</f>
        <v>https://maps.google.com/?q=Interfaith%20of%20the%20Woodlands%204242%20Interfaith%20Way%20Spring%20TX%2077381</v>
      </c>
      <c r="X507" s="10"/>
      <c r="Y507" s="9" t="str">
        <f>IFERROR(__xludf.DUMMYFUNCTION("""COMPUTED_VALUE"""),"The Woodlands")</f>
        <v>The Woodlands</v>
      </c>
      <c r="Z507" s="9" t="str">
        <f>IFERROR(__xludf.DUMMYFUNCTION("""COMPUTED_VALUE"""),"The Woodlands (Cochran's Crossing, Indian Springs)")</f>
        <v>The Woodlands (Cochran's Crossing, Indian Springs)</v>
      </c>
      <c r="AA507" s="9" t="str">
        <f>IFERROR(__xludf.DUMMYFUNCTION("""COMPUTED_VALUE"""),"Interfaith of the Woodlands")</f>
        <v>Interfaith of the Woodlands</v>
      </c>
      <c r="AB507" s="9" t="str">
        <f>IFERROR(__xludf.DUMMYFUNCTION("""COMPUTED_VALUE"""),"The Woodlands (Cochran's Crossing, Indian Springs)")</f>
        <v>The Woodlands (Cochran's Crossing, Indian Springs)</v>
      </c>
    </row>
    <row r="508" ht="30.0" customHeight="1">
      <c r="A508" s="17">
        <v>507.0</v>
      </c>
      <c r="B508" s="8" t="str">
        <f>IFERROR(__xludf.DUMMYFUNCTION("""COMPUTED_VALUE"""),"[""77354"", ""77375"", ""77380"", ""77381"", ""77382"", ""77384"", ""77385"", ""77386"", ""77389""]")</f>
        <v>["77354", "77375", "77380", "77381", "77382", "77384", "77385", "77386", "77389"]</v>
      </c>
      <c r="C508" s="9" t="str">
        <f>IFERROR(__xludf.DUMMYFUNCTION("""COMPUTED_VALUE"""),"Interfaith of the Woodlands")</f>
        <v>Interfaith of the Woodlands</v>
      </c>
      <c r="D508" s="9" t="str">
        <f>IFERROR(__xludf.DUMMYFUNCTION("""COMPUTED_VALUE"""),"4242 Interfaith Way")</f>
        <v>4242 Interfaith Way</v>
      </c>
      <c r="E508" s="9"/>
      <c r="F508" s="9" t="str">
        <f>IFERROR(__xludf.DUMMYFUNCTION("""COMPUTED_VALUE"""),"Spring")</f>
        <v>Spring</v>
      </c>
      <c r="G508" s="9" t="str">
        <f>IFERROR(__xludf.DUMMYFUNCTION("""COMPUTED_VALUE"""),"TX")</f>
        <v>TX</v>
      </c>
      <c r="H508" s="9" t="str">
        <f>IFERROR(__xludf.DUMMYFUNCTION("""COMPUTED_VALUE"""),"77381")</f>
        <v>77381</v>
      </c>
      <c r="I508" s="9" t="str">
        <f>IFERROR(__xludf.DUMMYFUNCTION("""COMPUTED_VALUE"""),"281-367-1230")</f>
        <v>281-367-1230</v>
      </c>
      <c r="J508" s="9" t="str">
        <f>IFERROR(__xludf.DUMMYFUNCTION("""COMPUTED_VALUE"""),"30.166222, -95.499716")</f>
        <v>30.166222, -95.499716</v>
      </c>
      <c r="K508" s="9" t="str">
        <f>IFERROR(__xludf.DUMMYFUNCTION("""COMPUTED_VALUE"""),"{""regular"":[{""days"":[""Mo"",""Tu"",""We"",""Th""],""open"":""08:30"",""close"":""16:30""},{""days"":[""Fr""],""open"":""08:30"",""close"":""12:00""}]}")</f>
        <v>{"regular":[{"days":["Mo","Tu","We","Th"],"open":"08:30","close":"16:30"},{"days":["Fr"],"open":"08:30","close":"12:00"}]}</v>
      </c>
      <c r="L508" s="9"/>
      <c r="M508" s="10">
        <f>IFERROR(__xludf.DUMMYFUNCTION("""COMPUTED_VALUE"""),14.0)</f>
        <v>14</v>
      </c>
      <c r="N508" s="10" t="str">
        <f>IFERROR(__xludf.DUMMYFUNCTION("""COMPUTED_VALUE"""),"Clothing")</f>
        <v>Clothing</v>
      </c>
      <c r="O508" s="10">
        <f>IFERROR(__xludf.DUMMYFUNCTION("""COMPUTED_VALUE"""),1.0)</f>
        <v>1</v>
      </c>
      <c r="P508" s="10" t="str">
        <f>IFERROR(__xludf.DUMMYFUNCTION("""COMPUTED_VALUE"""),"ACTIVE")</f>
        <v>ACTIVE</v>
      </c>
      <c r="Q508" s="11">
        <f>IFERROR(__xludf.DUMMYFUNCTION("""COMPUTED_VALUE"""),45772.0)</f>
        <v>45772</v>
      </c>
      <c r="R508" s="9"/>
      <c r="S508" s="9" t="str">
        <f>IFERROR(__xludf.DUMMYFUNCTION("""COMPUTED_VALUE"""),"Clothing vouchers to be used in own Resale Shop.")</f>
        <v>Clothing vouchers to be used in own Resale Shop.</v>
      </c>
      <c r="T508" s="12" t="b">
        <f>IFERROR(__xludf.DUMMYFUNCTION("""COMPUTED_VALUE"""),FALSE)</f>
        <v>0</v>
      </c>
      <c r="U508" s="12" t="b">
        <f>IFERROR(__xludf.DUMMYFUNCTION("""COMPUTED_VALUE"""),FALSE)</f>
        <v>0</v>
      </c>
      <c r="V508" s="13" t="str">
        <f>IFERROR(__xludf.DUMMYFUNCTION("""COMPUTED_VALUE"""),"https://icmtx.org/")</f>
        <v>https://icmtx.org/</v>
      </c>
      <c r="W508" s="14" t="str">
        <f>IFERROR(__xludf.DUMMYFUNCTION("""COMPUTED_VALUE"""),"https://maps.google.com/?q=Interfaith%20of%20the%20Woodlands%204242%20Interfaith%20Way%20Spring%20TX%2077381")</f>
        <v>https://maps.google.com/?q=Interfaith%20of%20the%20Woodlands%204242%20Interfaith%20Way%20Spring%20TX%2077381</v>
      </c>
      <c r="X508" s="10"/>
      <c r="Y508" s="9" t="str">
        <f>IFERROR(__xludf.DUMMYFUNCTION("""COMPUTED_VALUE"""),"The Woodlands")</f>
        <v>The Woodlands</v>
      </c>
      <c r="Z508" s="9" t="str">
        <f>IFERROR(__xludf.DUMMYFUNCTION("""COMPUTED_VALUE"""),"The Woodlands (Cochran's Crossing, Indian Springs)")</f>
        <v>The Woodlands (Cochran's Crossing, Indian Springs)</v>
      </c>
      <c r="AA508" s="9" t="str">
        <f>IFERROR(__xludf.DUMMYFUNCTION("""COMPUTED_VALUE"""),"Interfaith of the Woodlands")</f>
        <v>Interfaith of the Woodlands</v>
      </c>
      <c r="AB508" s="9" t="str">
        <f>IFERROR(__xludf.DUMMYFUNCTION("""COMPUTED_VALUE"""),"The Woodlands (Cochran's Crossing, Indian Springs)")</f>
        <v>The Woodlands (Cochran's Crossing, Indian Springs)</v>
      </c>
    </row>
    <row r="509" ht="30.0" customHeight="1">
      <c r="A509" s="17">
        <v>508.0</v>
      </c>
      <c r="B509" s="8" t="str">
        <f>IFERROR(__xludf.DUMMYFUNCTION("""COMPUTED_VALUE"""),"[""77354"", ""77375"", ""77380"", ""77381"", ""77382"", ""77384"", ""77385"", ""77386"", ""77389""]")</f>
        <v>["77354", "77375", "77380", "77381", "77382", "77384", "77385", "77386", "77389"]</v>
      </c>
      <c r="C509" s="9" t="str">
        <f>IFERROR(__xludf.DUMMYFUNCTION("""COMPUTED_VALUE"""),"Interfaith of the Woodlands")</f>
        <v>Interfaith of the Woodlands</v>
      </c>
      <c r="D509" s="9" t="str">
        <f>IFERROR(__xludf.DUMMYFUNCTION("""COMPUTED_VALUE"""),"4242 Interfaith Way")</f>
        <v>4242 Interfaith Way</v>
      </c>
      <c r="E509" s="9"/>
      <c r="F509" s="9" t="str">
        <f>IFERROR(__xludf.DUMMYFUNCTION("""COMPUTED_VALUE"""),"Spring")</f>
        <v>Spring</v>
      </c>
      <c r="G509" s="9" t="str">
        <f>IFERROR(__xludf.DUMMYFUNCTION("""COMPUTED_VALUE"""),"TX")</f>
        <v>TX</v>
      </c>
      <c r="H509" s="9" t="str">
        <f>IFERROR(__xludf.DUMMYFUNCTION("""COMPUTED_VALUE"""),"77381")</f>
        <v>77381</v>
      </c>
      <c r="I509" s="9" t="str">
        <f>IFERROR(__xludf.DUMMYFUNCTION("""COMPUTED_VALUE"""),"281-367-1230")</f>
        <v>281-367-1230</v>
      </c>
      <c r="J509" s="9" t="str">
        <f>IFERROR(__xludf.DUMMYFUNCTION("""COMPUTED_VALUE"""),"30.166222, -95.499716")</f>
        <v>30.166222, -95.499716</v>
      </c>
      <c r="K509" s="9" t="str">
        <f>IFERROR(__xludf.DUMMYFUNCTION("""COMPUTED_VALUE"""),"{""regular"":[{""days"":[""Mo"",""Tu"",""We"",""Th""],""open"":""08:30"",""close"":""16:30""},{""days"":[""Fr""],""open"":""08:30"",""close"":""12:00""}]}")</f>
        <v>{"regular":[{"days":["Mo","Tu","We","Th"],"open":"08:30","close":"16:30"},{"days":["Fr"],"open":"08:30","close":"12:00"}]}</v>
      </c>
      <c r="L509" s="9"/>
      <c r="M509" s="10">
        <f>IFERROR(__xludf.DUMMYFUNCTION("""COMPUTED_VALUE"""),24.0)</f>
        <v>24</v>
      </c>
      <c r="N509" s="10" t="str">
        <f>IFERROR(__xludf.DUMMYFUNCTION("""COMPUTED_VALUE"""),"Housing")</f>
        <v>Housing</v>
      </c>
      <c r="O509" s="10">
        <f>IFERROR(__xludf.DUMMYFUNCTION("""COMPUTED_VALUE"""),1.0)</f>
        <v>1</v>
      </c>
      <c r="P509" s="10" t="str">
        <f>IFERROR(__xludf.DUMMYFUNCTION("""COMPUTED_VALUE"""),"ACTIVE")</f>
        <v>ACTIVE</v>
      </c>
      <c r="Q509" s="11">
        <f>IFERROR(__xludf.DUMMYFUNCTION("""COMPUTED_VALUE"""),45772.0)</f>
        <v>45772</v>
      </c>
      <c r="R509" s="9"/>
      <c r="S509" s="9" t="str">
        <f>IFERROR(__xludf.DUMMYFUNCTION("""COMPUTED_VALUE"""),"Short term emergency shelter.
School supplies.")</f>
        <v>Short term emergency shelter.
School supplies.</v>
      </c>
      <c r="T509" s="12" t="b">
        <f>IFERROR(__xludf.DUMMYFUNCTION("""COMPUTED_VALUE"""),FALSE)</f>
        <v>0</v>
      </c>
      <c r="U509" s="12" t="b">
        <f>IFERROR(__xludf.DUMMYFUNCTION("""COMPUTED_VALUE"""),FALSE)</f>
        <v>0</v>
      </c>
      <c r="V509" s="13" t="str">
        <f>IFERROR(__xludf.DUMMYFUNCTION("""COMPUTED_VALUE"""),"https://icmtx.org/")</f>
        <v>https://icmtx.org/</v>
      </c>
      <c r="W509" s="14" t="str">
        <f>IFERROR(__xludf.DUMMYFUNCTION("""COMPUTED_VALUE"""),"https://maps.google.com/?q=Interfaith%20of%20the%20Woodlands%204242%20Interfaith%20Way%20Spring%20TX%2077381")</f>
        <v>https://maps.google.com/?q=Interfaith%20of%20the%20Woodlands%204242%20Interfaith%20Way%20Spring%20TX%2077381</v>
      </c>
      <c r="X509" s="10"/>
      <c r="Y509" s="9" t="str">
        <f>IFERROR(__xludf.DUMMYFUNCTION("""COMPUTED_VALUE"""),"The Woodlands")</f>
        <v>The Woodlands</v>
      </c>
      <c r="Z509" s="9" t="str">
        <f>IFERROR(__xludf.DUMMYFUNCTION("""COMPUTED_VALUE"""),"The Woodlands (Cochran's Crossing, Indian Springs)")</f>
        <v>The Woodlands (Cochran's Crossing, Indian Springs)</v>
      </c>
      <c r="AA509" s="9" t="str">
        <f>IFERROR(__xludf.DUMMYFUNCTION("""COMPUTED_VALUE"""),"Interfaith of the Woodlands")</f>
        <v>Interfaith of the Woodlands</v>
      </c>
      <c r="AB509" s="9" t="str">
        <f>IFERROR(__xludf.DUMMYFUNCTION("""COMPUTED_VALUE"""),"The Woodlands (Cochran's Crossing, Indian Springs)")</f>
        <v>The Woodlands (Cochran's Crossing, Indian Springs)</v>
      </c>
    </row>
    <row r="510" ht="30.0" customHeight="1">
      <c r="A510" s="17">
        <v>509.0</v>
      </c>
      <c r="B510" s="8" t="str">
        <f>IFERROR(__xludf.DUMMYFUNCTION("""COMPUTED_VALUE"""),"[""77354"", ""77375"", ""77380"", ""77381"", ""77382"", ""77384"", ""77385"", ""77386"", ""77389""]")</f>
        <v>["77354", "77375", "77380", "77381", "77382", "77384", "77385", "77386", "77389"]</v>
      </c>
      <c r="C510" s="9" t="str">
        <f>IFERROR(__xludf.DUMMYFUNCTION("""COMPUTED_VALUE"""),"Interfaith of the Woodlands")</f>
        <v>Interfaith of the Woodlands</v>
      </c>
      <c r="D510" s="9" t="str">
        <f>IFERROR(__xludf.DUMMYFUNCTION("""COMPUTED_VALUE"""),"4242 Interfaith Way")</f>
        <v>4242 Interfaith Way</v>
      </c>
      <c r="E510" s="9"/>
      <c r="F510" s="9" t="str">
        <f>IFERROR(__xludf.DUMMYFUNCTION("""COMPUTED_VALUE"""),"Spring")</f>
        <v>Spring</v>
      </c>
      <c r="G510" s="9" t="str">
        <f>IFERROR(__xludf.DUMMYFUNCTION("""COMPUTED_VALUE"""),"TX")</f>
        <v>TX</v>
      </c>
      <c r="H510" s="9" t="str">
        <f>IFERROR(__xludf.DUMMYFUNCTION("""COMPUTED_VALUE"""),"77381")</f>
        <v>77381</v>
      </c>
      <c r="I510" s="9" t="str">
        <f>IFERROR(__xludf.DUMMYFUNCTION("""COMPUTED_VALUE"""),"281-367-1230")</f>
        <v>281-367-1230</v>
      </c>
      <c r="J510" s="9" t="str">
        <f>IFERROR(__xludf.DUMMYFUNCTION("""COMPUTED_VALUE"""),"30.166222, -95.499716")</f>
        <v>30.166222, -95.499716</v>
      </c>
      <c r="K510" s="9" t="str">
        <f>IFERROR(__xludf.DUMMYFUNCTION("""COMPUTED_VALUE"""),"{""regular"":[{""days"":[""Mo"",""Tu"",""We"",""Th""],""open"":""08:30"",""close"":""16:30""},{""days"":[""Fr""],""open"":""08:30"",""close"":""12:00""}]}")</f>
        <v>{"regular":[{"days":["Mo","Tu","We","Th"],"open":"08:30","close":"16:30"},{"days":["Fr"],"open":"08:30","close":"12:00"}]}</v>
      </c>
      <c r="L510" s="9"/>
      <c r="M510" s="10">
        <f>IFERROR(__xludf.DUMMYFUNCTION("""COMPUTED_VALUE"""),51.0)</f>
        <v>51</v>
      </c>
      <c r="N510" s="10" t="str">
        <f>IFERROR(__xludf.DUMMYFUNCTION("""COMPUTED_VALUE"""),"Education - Adults")</f>
        <v>Education - Adults</v>
      </c>
      <c r="O510" s="10">
        <f>IFERROR(__xludf.DUMMYFUNCTION("""COMPUTED_VALUE"""),1.0)</f>
        <v>1</v>
      </c>
      <c r="P510" s="10" t="str">
        <f>IFERROR(__xludf.DUMMYFUNCTION("""COMPUTED_VALUE"""),"ACTIVE")</f>
        <v>ACTIVE</v>
      </c>
      <c r="Q510" s="11">
        <f>IFERROR(__xludf.DUMMYFUNCTION("""COMPUTED_VALUE"""),45772.0)</f>
        <v>45772</v>
      </c>
      <c r="R510" s="9"/>
      <c r="S510" s="9" t="str">
        <f>IFERROR(__xludf.DUMMYFUNCTION("""COMPUTED_VALUE"""),"ESL, citizenship and personal finance classes.")</f>
        <v>ESL, citizenship and personal finance classes.</v>
      </c>
      <c r="T510" s="12" t="b">
        <f>IFERROR(__xludf.DUMMYFUNCTION("""COMPUTED_VALUE"""),FALSE)</f>
        <v>0</v>
      </c>
      <c r="U510" s="12" t="b">
        <f>IFERROR(__xludf.DUMMYFUNCTION("""COMPUTED_VALUE"""),FALSE)</f>
        <v>0</v>
      </c>
      <c r="V510" s="13" t="str">
        <f>IFERROR(__xludf.DUMMYFUNCTION("""COMPUTED_VALUE"""),"https://icmtx.org/")</f>
        <v>https://icmtx.org/</v>
      </c>
      <c r="W510" s="14" t="str">
        <f>IFERROR(__xludf.DUMMYFUNCTION("""COMPUTED_VALUE"""),"https://maps.google.com/?q=Interfaith%20of%20the%20Woodlands%204242%20Interfaith%20Way%20Spring%20TX%2077381")</f>
        <v>https://maps.google.com/?q=Interfaith%20of%20the%20Woodlands%204242%20Interfaith%20Way%20Spring%20TX%2077381</v>
      </c>
      <c r="X510" s="10"/>
      <c r="Y510" s="9" t="str">
        <f>IFERROR(__xludf.DUMMYFUNCTION("""COMPUTED_VALUE"""),"The Woodlands")</f>
        <v>The Woodlands</v>
      </c>
      <c r="Z510" s="9" t="str">
        <f>IFERROR(__xludf.DUMMYFUNCTION("""COMPUTED_VALUE"""),"The Woodlands (Cochran's Crossing, Indian Springs)")</f>
        <v>The Woodlands (Cochran's Crossing, Indian Springs)</v>
      </c>
      <c r="AA510" s="9" t="str">
        <f>IFERROR(__xludf.DUMMYFUNCTION("""COMPUTED_VALUE"""),"Interfaith of the Woodlands")</f>
        <v>Interfaith of the Woodlands</v>
      </c>
      <c r="AB510" s="9" t="str">
        <f>IFERROR(__xludf.DUMMYFUNCTION("""COMPUTED_VALUE"""),"The Woodlands (Cochran's Crossing, Indian Springs)")</f>
        <v>The Woodlands (Cochran's Crossing, Indian Springs)</v>
      </c>
    </row>
    <row r="511" ht="30.0" customHeight="1">
      <c r="A511" s="17">
        <v>510.0</v>
      </c>
      <c r="B511" s="8" t="str">
        <f>IFERROR(__xludf.DUMMYFUNCTION("""COMPUTED_VALUE"""),"[""77354"", ""77375"", ""77380"", ""77381"", ""77382"", ""77384"", ""77385"", ""77386"", ""77389""]")</f>
        <v>["77354", "77375", "77380", "77381", "77382", "77384", "77385", "77386", "77389"]</v>
      </c>
      <c r="C511" s="9" t="str">
        <f>IFERROR(__xludf.DUMMYFUNCTION("""COMPUTED_VALUE"""),"Interfaith of the Woodlands")</f>
        <v>Interfaith of the Woodlands</v>
      </c>
      <c r="D511" s="9" t="str">
        <f>IFERROR(__xludf.DUMMYFUNCTION("""COMPUTED_VALUE"""),"4242 Interfaith Way")</f>
        <v>4242 Interfaith Way</v>
      </c>
      <c r="E511" s="9"/>
      <c r="F511" s="9" t="str">
        <f>IFERROR(__xludf.DUMMYFUNCTION("""COMPUTED_VALUE"""),"Spring")</f>
        <v>Spring</v>
      </c>
      <c r="G511" s="9" t="str">
        <f>IFERROR(__xludf.DUMMYFUNCTION("""COMPUTED_VALUE"""),"TX")</f>
        <v>TX</v>
      </c>
      <c r="H511" s="9" t="str">
        <f>IFERROR(__xludf.DUMMYFUNCTION("""COMPUTED_VALUE"""),"77381")</f>
        <v>77381</v>
      </c>
      <c r="I511" s="9" t="str">
        <f>IFERROR(__xludf.DUMMYFUNCTION("""COMPUTED_VALUE"""),"281-367-1230")</f>
        <v>281-367-1230</v>
      </c>
      <c r="J511" s="9" t="str">
        <f>IFERROR(__xludf.DUMMYFUNCTION("""COMPUTED_VALUE"""),"30.166222, -95.499716")</f>
        <v>30.166222, -95.499716</v>
      </c>
      <c r="K511" s="9" t="str">
        <f>IFERROR(__xludf.DUMMYFUNCTION("""COMPUTED_VALUE"""),"{""regular"":[{""days"":[""Mo"",""Tu"",""We"",""Th""],""open"":""08:30"",""close"":""16:30""},{""days"":[""Fr""],""open"":""08:30"",""close"":""12:00""}]}")</f>
        <v>{"regular":[{"days":["Mo","Tu","We","Th"],"open":"08:30","close":"16:30"},{"days":["Fr"],"open":"08:30","close":"12:00"}]}</v>
      </c>
      <c r="L511" s="9"/>
      <c r="M511" s="10">
        <f>IFERROR(__xludf.DUMMYFUNCTION("""COMPUTED_VALUE"""),61.0)</f>
        <v>61</v>
      </c>
      <c r="N511" s="10" t="str">
        <f>IFERROR(__xludf.DUMMYFUNCTION("""COMPUTED_VALUE"""),"Seniors")</f>
        <v>Seniors</v>
      </c>
      <c r="O511" s="10">
        <f>IFERROR(__xludf.DUMMYFUNCTION("""COMPUTED_VALUE"""),1.0)</f>
        <v>1</v>
      </c>
      <c r="P511" s="10" t="str">
        <f>IFERROR(__xludf.DUMMYFUNCTION("""COMPUTED_VALUE"""),"ACTIVE")</f>
        <v>ACTIVE</v>
      </c>
      <c r="Q511" s="11">
        <f>IFERROR(__xludf.DUMMYFUNCTION("""COMPUTED_VALUE"""),45772.0)</f>
        <v>45772</v>
      </c>
      <c r="R511" s="9"/>
      <c r="S511" s="9" t="str">
        <f>IFERROR(__xludf.DUMMYFUNCTION("""COMPUTED_VALUE"""),"Plans events for seniors.
Support and referral services.")</f>
        <v>Plans events for seniors.
Support and referral services.</v>
      </c>
      <c r="T511" s="12" t="b">
        <f>IFERROR(__xludf.DUMMYFUNCTION("""COMPUTED_VALUE"""),FALSE)</f>
        <v>0</v>
      </c>
      <c r="U511" s="12" t="b">
        <f>IFERROR(__xludf.DUMMYFUNCTION("""COMPUTED_VALUE"""),FALSE)</f>
        <v>0</v>
      </c>
      <c r="V511" s="13" t="str">
        <f>IFERROR(__xludf.DUMMYFUNCTION("""COMPUTED_VALUE"""),"https://icmtx.org/")</f>
        <v>https://icmtx.org/</v>
      </c>
      <c r="W511" s="14" t="str">
        <f>IFERROR(__xludf.DUMMYFUNCTION("""COMPUTED_VALUE"""),"https://maps.google.com/?q=Interfaith%20of%20the%20Woodlands%204242%20Interfaith%20Way%20Spring%20TX%2077381")</f>
        <v>https://maps.google.com/?q=Interfaith%20of%20the%20Woodlands%204242%20Interfaith%20Way%20Spring%20TX%2077381</v>
      </c>
      <c r="X511" s="10"/>
      <c r="Y511" s="9" t="str">
        <f>IFERROR(__xludf.DUMMYFUNCTION("""COMPUTED_VALUE"""),"The Woodlands")</f>
        <v>The Woodlands</v>
      </c>
      <c r="Z511" s="9" t="str">
        <f>IFERROR(__xludf.DUMMYFUNCTION("""COMPUTED_VALUE"""),"The Woodlands (Cochran's Crossing, Indian Springs)")</f>
        <v>The Woodlands (Cochran's Crossing, Indian Springs)</v>
      </c>
      <c r="AA511" s="9" t="str">
        <f>IFERROR(__xludf.DUMMYFUNCTION("""COMPUTED_VALUE"""),"Interfaith of the Woodlands")</f>
        <v>Interfaith of the Woodlands</v>
      </c>
      <c r="AB511" s="9" t="str">
        <f>IFERROR(__xludf.DUMMYFUNCTION("""COMPUTED_VALUE"""),"The Woodlands (Cochran's Crossing, Indian Springs)")</f>
        <v>The Woodlands (Cochran's Crossing, Indian Springs)</v>
      </c>
    </row>
    <row r="512" ht="30.0" customHeight="1">
      <c r="A512" s="17">
        <v>511.0</v>
      </c>
      <c r="B512" s="8" t="str">
        <f>IFERROR(__xludf.DUMMYFUNCTION("""COMPUTED_VALUE"""),"[""77354"", ""77375"", ""77380"", ""77381"", ""77382"", ""77384"", ""77385"", ""77386"", ""77389""]")</f>
        <v>["77354", "77375", "77380", "77381", "77382", "77384", "77385", "77386", "77389"]</v>
      </c>
      <c r="C512" s="9" t="str">
        <f>IFERROR(__xludf.DUMMYFUNCTION("""COMPUTED_VALUE"""),"Interfaith of the Woodlands")</f>
        <v>Interfaith of the Woodlands</v>
      </c>
      <c r="D512" s="9" t="str">
        <f>IFERROR(__xludf.DUMMYFUNCTION("""COMPUTED_VALUE"""),"4242 Interfaith Way")</f>
        <v>4242 Interfaith Way</v>
      </c>
      <c r="E512" s="9"/>
      <c r="F512" s="9" t="str">
        <f>IFERROR(__xludf.DUMMYFUNCTION("""COMPUTED_VALUE"""),"Spring")</f>
        <v>Spring</v>
      </c>
      <c r="G512" s="9" t="str">
        <f>IFERROR(__xludf.DUMMYFUNCTION("""COMPUTED_VALUE"""),"TX")</f>
        <v>TX</v>
      </c>
      <c r="H512" s="9" t="str">
        <f>IFERROR(__xludf.DUMMYFUNCTION("""COMPUTED_VALUE"""),"77381")</f>
        <v>77381</v>
      </c>
      <c r="I512" s="9" t="str">
        <f>IFERROR(__xludf.DUMMYFUNCTION("""COMPUTED_VALUE"""),"281-367-1230")</f>
        <v>281-367-1230</v>
      </c>
      <c r="J512" s="9" t="str">
        <f>IFERROR(__xludf.DUMMYFUNCTION("""COMPUTED_VALUE"""),"30.166222, -95.499716")</f>
        <v>30.166222, -95.499716</v>
      </c>
      <c r="K512" s="9" t="str">
        <f>IFERROR(__xludf.DUMMYFUNCTION("""COMPUTED_VALUE"""),"{""regular"":[{""days"":[""Mo"",""Tu"",""We"",""Th""],""open"":""08:30"",""close"":""16:30""},{""days"":[""Fr""],""open"":""08:30"",""close"":""12:00""}]}")</f>
        <v>{"regular":[{"days":["Mo","Tu","We","Th"],"open":"08:30","close":"16:30"},{"days":["Fr"],"open":"08:30","close":"12:00"}]}</v>
      </c>
      <c r="L512" s="9"/>
      <c r="M512" s="10">
        <f>IFERROR(__xludf.DUMMYFUNCTION("""COMPUTED_VALUE"""),64.0)</f>
        <v>64</v>
      </c>
      <c r="N512" s="10" t="str">
        <f>IFERROR(__xludf.DUMMYFUNCTION("""COMPUTED_VALUE"""),"Christmas")</f>
        <v>Christmas</v>
      </c>
      <c r="O512" s="10">
        <f>IFERROR(__xludf.DUMMYFUNCTION("""COMPUTED_VALUE"""),1.0)</f>
        <v>1</v>
      </c>
      <c r="P512" s="10" t="str">
        <f>IFERROR(__xludf.DUMMYFUNCTION("""COMPUTED_VALUE"""),"ACTIVE")</f>
        <v>ACTIVE</v>
      </c>
      <c r="Q512" s="11"/>
      <c r="R512" s="9"/>
      <c r="S512" s="9" t="str">
        <f>IFERROR(__xludf.DUMMYFUNCTION("""COMPUTED_VALUE"""),"Toys &amp; Food.")</f>
        <v>Toys &amp; Food.</v>
      </c>
      <c r="T512" s="12" t="b">
        <f>IFERROR(__xludf.DUMMYFUNCTION("""COMPUTED_VALUE"""),FALSE)</f>
        <v>0</v>
      </c>
      <c r="U512" s="12" t="b">
        <f>IFERROR(__xludf.DUMMYFUNCTION("""COMPUTED_VALUE"""),FALSE)</f>
        <v>0</v>
      </c>
      <c r="V512" s="13" t="str">
        <f>IFERROR(__xludf.DUMMYFUNCTION("""COMPUTED_VALUE"""),"https://icmtx.org/")</f>
        <v>https://icmtx.org/</v>
      </c>
      <c r="W512" s="14" t="str">
        <f>IFERROR(__xludf.DUMMYFUNCTION("""COMPUTED_VALUE"""),"https://maps.google.com/?q=Interfaith%20of%20the%20Woodlands%204242%20Interfaith%20Way%20Spring%20TX%2077381")</f>
        <v>https://maps.google.com/?q=Interfaith%20of%20the%20Woodlands%204242%20Interfaith%20Way%20Spring%20TX%2077381</v>
      </c>
      <c r="X512" s="10"/>
      <c r="Y512" s="9" t="str">
        <f>IFERROR(__xludf.DUMMYFUNCTION("""COMPUTED_VALUE"""),"The Woodlands")</f>
        <v>The Woodlands</v>
      </c>
      <c r="Z512" s="9" t="str">
        <f>IFERROR(__xludf.DUMMYFUNCTION("""COMPUTED_VALUE"""),"The Woodlands (Cochran's Crossing, Indian Springs)")</f>
        <v>The Woodlands (Cochran's Crossing, Indian Springs)</v>
      </c>
      <c r="AA512" s="9" t="str">
        <f>IFERROR(__xludf.DUMMYFUNCTION("""COMPUTED_VALUE"""),"Interfaith of the Woodlands")</f>
        <v>Interfaith of the Woodlands</v>
      </c>
      <c r="AB512" s="9" t="str">
        <f>IFERROR(__xludf.DUMMYFUNCTION("""COMPUTED_VALUE"""),"The Woodlands (Cochran's Crossing, Indian Springs)")</f>
        <v>The Woodlands (Cochran's Crossing, Indian Springs)</v>
      </c>
    </row>
    <row r="513" ht="30.0" customHeight="1">
      <c r="A513" s="17">
        <v>512.0</v>
      </c>
      <c r="B513" s="8" t="str">
        <f>IFERROR(__xludf.DUMMYFUNCTION("""COMPUTED_VALUE"""),"[""77009"", ""77013"", ""77014"", ""77015"", ""77016"", ""77018"", ""77020"", ""77022"", ""77026"", ""77028"", ""77032"", ""77036"", ""77037"", ""77038"", ""77039"", ""77040"", ""77041"", ""77043"", ""77044"", ""77049"", ""77050"", ""77055"", ""77060"", "&amp;"""77063"", ""77064"", ""77065"", ""77066"", ""77067"", ""77068"", ""77069"", ""77070"", ""77072"", ""77073"", ""77074"", ""77076"", ""77078"", ""77080"", ""77084"", ""77086"", ""77088"", ""77090"", ""77091"", ""77092"", ""77093"", ""77094"", ""77095"", """&amp;"77099"", ""77257"", ""77277"", ""77279"", ""77301"", ""77302"", ""77303"", ""77304"", ""77305"", ""77306"", ""77338"", ""77339"", ""77345"", ""77346"", ""77354"", ""77355"", ""77356"", ""77362"", ""77363"", ""77373"", ""77377"", ""77379"", ""77380"", ""77"&amp;"381"", ""77382"", ""77384"", ""77385"", ""77386"", ""77388"", ""77389"", ""77396"", ""77429"", ""77410"", ""77423"", ""77433"", ""77441"", ""77445"", ""77446"", ""77447"", ""77449"", ""77450"", ""77452"", ""77459"", ""77466"", ""77469"", ""77476"", ""7748"&amp;"4"", ""77493"", ""77494"", ""77516"", ""77518""]")</f>
        <v>["77009",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v>
      </c>
      <c r="C513" s="9" t="str">
        <f>IFERROR(__xludf.DUMMYFUNCTION("""COMPUTED_VALUE"""),"Islamic Society of Greater Houston")</f>
        <v>Islamic Society of Greater Houston</v>
      </c>
      <c r="D513" s="9" t="str">
        <f>IFERROR(__xludf.DUMMYFUNCTION("""COMPUTED_VALUE"""),"10333 Harwin Drive")</f>
        <v>10333 Harwin Drive</v>
      </c>
      <c r="E513" s="9" t="str">
        <f>IFERROR(__xludf.DUMMYFUNCTION("""COMPUTED_VALUE"""),"Suite 245")</f>
        <v>Suite 245</v>
      </c>
      <c r="F513" s="9" t="str">
        <f>IFERROR(__xludf.DUMMYFUNCTION("""COMPUTED_VALUE"""),"Houston")</f>
        <v>Houston</v>
      </c>
      <c r="G513" s="9" t="str">
        <f>IFERROR(__xludf.DUMMYFUNCTION("""COMPUTED_VALUE"""),"TX")</f>
        <v>TX</v>
      </c>
      <c r="H513" s="9" t="str">
        <f>IFERROR(__xludf.DUMMYFUNCTION("""COMPUTED_VALUE"""),"77036")</f>
        <v>77036</v>
      </c>
      <c r="I513" s="9" t="str">
        <f>IFERROR(__xludf.DUMMYFUNCTION("""COMPUTED_VALUE"""),"713-684-8939")</f>
        <v>713-684-8939</v>
      </c>
      <c r="J513" s="9" t="str">
        <f>IFERROR(__xludf.DUMMYFUNCTION("""COMPUTED_VALUE"""),"29.7164593731729, -95.5493977269113")</f>
        <v>29.7164593731729, -95.5493977269113</v>
      </c>
      <c r="K513" s="9" t="str">
        <f>IFERROR(__xludf.DUMMYFUNCTION("""COMPUTED_VALUE"""),"{""regular"":[{""days"":[""Tu"",""Th""],""open"":""09:30"",""close"":""15:30""}]}")</f>
        <v>{"regular":[{"days":["Tu","Th"],"open":"09:30","close":"15:30"}]}</v>
      </c>
      <c r="L513" s="9" t="str">
        <f>IFERROR(__xludf.DUMMYFUNCTION("""COMPUTED_VALUE"""),"Apply in person")</f>
        <v>Apply in person</v>
      </c>
      <c r="M513" s="10">
        <f>IFERROR(__xludf.DUMMYFUNCTION("""COMPUTED_VALUE"""),11.0)</f>
        <v>11</v>
      </c>
      <c r="N513" s="10" t="str">
        <f>IFERROR(__xludf.DUMMYFUNCTION("""COMPUTED_VALUE"""),"Rent")</f>
        <v>Rent</v>
      </c>
      <c r="O513" s="10">
        <f>IFERROR(__xludf.DUMMYFUNCTION("""COMPUTED_VALUE"""),2.0)</f>
        <v>2</v>
      </c>
      <c r="P513" s="10" t="str">
        <f>IFERROR(__xludf.DUMMYFUNCTION("""COMPUTED_VALUE"""),"LIMITED")</f>
        <v>LIMITED</v>
      </c>
      <c r="Q513" s="11">
        <f>IFERROR(__xludf.DUMMYFUNCTION("""COMPUTED_VALUE"""),46085.0)</f>
        <v>46085</v>
      </c>
      <c r="R513" s="9" t="str">
        <f>IFERROR(__xludf.DUMMYFUNCTION("""COMPUTED_VALUE"""),"Verified over phone")</f>
        <v>Verified over phone</v>
      </c>
      <c r="S513" s="9" t="str">
        <f>IFERROR(__xludf.DUMMYFUNCTION("""COMPUTED_VALUE"""),"Priority to muslims.
Fill out online application.
Photo ID
US Citizens/Permanent Residents.
One month's pay stub for all working members of household.
Most recent income tax return for all working members of household.
Two months of bank statements for ho"&amp;"usehold.
Current lease and current rental ledger from apartment office.
Food stamp letter.
SSI letter where applicable.
Child support letter where applicable.
IRS Form W9 filled and signed by Owner of lease property if client lives in a privately owned ho"&amp;"me.
Reason for assistance., i.e. the crisis.")</f>
        <v>Priority to muslims.
Fill out online application.
Photo ID
US Citizens/Permanent Residents.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v>
      </c>
      <c r="T513" s="12" t="b">
        <f>IFERROR(__xludf.DUMMYFUNCTION("""COMPUTED_VALUE"""),TRUE)</f>
        <v>1</v>
      </c>
      <c r="U513" s="12" t="b">
        <f>IFERROR(__xludf.DUMMYFUNCTION("""COMPUTED_VALUE"""),FALSE)</f>
        <v>0</v>
      </c>
      <c r="V513" s="13" t="str">
        <f>IFERROR(__xludf.DUMMYFUNCTION("""COMPUTED_VALUE"""),"https://isgh.org/")</f>
        <v>https://isgh.org/</v>
      </c>
      <c r="W513" s="14" t="str">
        <f>IFERROR(__xludf.DUMMYFUNCTION("""COMPUTED_VALUE"""),"https://maps.app.goo.gl/K6Z73EZDgLPsfm299")</f>
        <v>https://maps.app.goo.gl/K6Z73EZDgLPsfm299</v>
      </c>
      <c r="X513" s="10"/>
      <c r="Y513" s="9" t="str">
        <f>IFERROR(__xludf.DUMMYFUNCTION("""COMPUTED_VALUE"""),"Houston")</f>
        <v>Houston</v>
      </c>
      <c r="Z513" s="9" t="str">
        <f>IFERROR(__xludf.DUMMYFUNCTION("""COMPUTED_VALUE"""),"Chinatown, Sharpstown, Westside")</f>
        <v>Chinatown, Sharpstown, Westside</v>
      </c>
      <c r="AA513" s="9" t="str">
        <f>IFERROR(__xludf.DUMMYFUNCTION("""COMPUTED_VALUE"""),"Islamic Society of Greater Houston")</f>
        <v>Islamic Society of Greater Houston</v>
      </c>
      <c r="AB513" s="9" t="str">
        <f>IFERROR(__xludf.DUMMYFUNCTION("""COMPUTED_VALUE"""),"Chinatown")</f>
        <v>Chinatown</v>
      </c>
    </row>
    <row r="514" ht="30.0" customHeight="1">
      <c r="A514" s="17">
        <v>513.0</v>
      </c>
      <c r="B514" s="8" t="str">
        <f>IFERROR(__xludf.DUMMYFUNCTION("""COMPUTED_VALUE"""),"[""77009"", ""77013"", ""77014"", ""77015"", ""77016"", ""77018"", ""77020"", ""77022"", ""77026"", ""77028"", ""77032"", ""77036"", ""77037"", ""77038"", ""77039"", ""77040"", ""77041"", ""77043"", ""77044"", ""77049"", ""77050"", ""77055"", ""77060"", "&amp;"""77063"", ""77064"", ""77065"", ""77066"", ""77067"", ""77068"", ""77069"", ""77070"", ""77072"", ""77073"", ""77074"", ""77076"", ""77078"", ""77080"", ""77084"", ""77086"", ""77088"", ""77090"", ""77091"", ""77092"", ""77093"", ""77094"", ""77095"", """&amp;"77099"", ""77257"", ""77277"", ""77279"", ""77301"", ""77302"", ""77303"", ""77304"", ""77305"", ""77306"", ""77338"", ""77339"", ""77345"", ""77346"", ""77354"", ""77355"", ""77356"", ""77362"", ""77363"", ""77373"", ""77377"", ""77379"", ""77380"", ""77"&amp;"381"", ""77382"", ""77384"", ""77385"", ""77386"", ""77388"", ""77389"", ""77396"", ""77429"", ""77410"", ""77423"", ""77433"", ""77441"", ""77445"", ""77446"", ""77447"", ""77449"", ""77450"", ""77452"", ""77459"", ""77466"", ""77469"", ""77476"", ""7748"&amp;"4"", ""77493"", ""77494"", ""77516"", ""77518""]")</f>
        <v>["77009",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v>
      </c>
      <c r="C514" s="9" t="str">
        <f>IFERROR(__xludf.DUMMYFUNCTION("""COMPUTED_VALUE"""),"Islamic Society of Greater Houston")</f>
        <v>Islamic Society of Greater Houston</v>
      </c>
      <c r="D514" s="9" t="str">
        <f>IFERROR(__xludf.DUMMYFUNCTION("""COMPUTED_VALUE"""),"10333 Harwin Drive")</f>
        <v>10333 Harwin Drive</v>
      </c>
      <c r="E514" s="9" t="str">
        <f>IFERROR(__xludf.DUMMYFUNCTION("""COMPUTED_VALUE"""),"Suite 245")</f>
        <v>Suite 245</v>
      </c>
      <c r="F514" s="9" t="str">
        <f>IFERROR(__xludf.DUMMYFUNCTION("""COMPUTED_VALUE"""),"Houston")</f>
        <v>Houston</v>
      </c>
      <c r="G514" s="9" t="str">
        <f>IFERROR(__xludf.DUMMYFUNCTION("""COMPUTED_VALUE"""),"TX")</f>
        <v>TX</v>
      </c>
      <c r="H514" s="9" t="str">
        <f>IFERROR(__xludf.DUMMYFUNCTION("""COMPUTED_VALUE"""),"77036")</f>
        <v>77036</v>
      </c>
      <c r="I514" s="9" t="str">
        <f>IFERROR(__xludf.DUMMYFUNCTION("""COMPUTED_VALUE"""),"713-684-8939")</f>
        <v>713-684-8939</v>
      </c>
      <c r="J514" s="9" t="str">
        <f>IFERROR(__xludf.DUMMYFUNCTION("""COMPUTED_VALUE"""),"29.7164593731729, -95.5493977269113")</f>
        <v>29.7164593731729, -95.5493977269113</v>
      </c>
      <c r="K514" s="9" t="str">
        <f>IFERROR(__xludf.DUMMYFUNCTION("""COMPUTED_VALUE"""),"{""regular"":[{""days"":[""Tu"",""Th""],""open"":""09:30"",""close"":""15:30""}]}")</f>
        <v>{"regular":[{"days":["Tu","Th"],"open":"09:30","close":"15:30"}]}</v>
      </c>
      <c r="L514" s="9" t="str">
        <f>IFERROR(__xludf.DUMMYFUNCTION("""COMPUTED_VALUE"""),"Apply in person")</f>
        <v>Apply in person</v>
      </c>
      <c r="M514" s="10">
        <f>IFERROR(__xludf.DUMMYFUNCTION("""COMPUTED_VALUE"""),12.0)</f>
        <v>12</v>
      </c>
      <c r="N514" s="10" t="str">
        <f>IFERROR(__xludf.DUMMYFUNCTION("""COMPUTED_VALUE"""),"Utilities")</f>
        <v>Utilities</v>
      </c>
      <c r="O514" s="10">
        <f>IFERROR(__xludf.DUMMYFUNCTION("""COMPUTED_VALUE"""),2.0)</f>
        <v>2</v>
      </c>
      <c r="P514" s="10" t="str">
        <f>IFERROR(__xludf.DUMMYFUNCTION("""COMPUTED_VALUE"""),"LIMITED")</f>
        <v>LIMITED</v>
      </c>
      <c r="Q514" s="11">
        <f>IFERROR(__xludf.DUMMYFUNCTION("""COMPUTED_VALUE"""),46085.0)</f>
        <v>46085</v>
      </c>
      <c r="R514" s="9" t="str">
        <f>IFERROR(__xludf.DUMMYFUNCTION("""COMPUTED_VALUE"""),"Verified over phone")</f>
        <v>Verified over phone</v>
      </c>
      <c r="S514" s="9" t="str">
        <f>IFERROR(__xludf.DUMMYFUNCTION("""COMPUTED_VALUE"""),"Priority to muslims.
Fill out online application.
Photo ID
Social Security Card for all adults (US Citizen).
One month's pay stub for all working members of household.
Most recent income tax return for all working members of household.
Two months of bank "&amp;"statements for household.
Current lease and current rental ledger from apartment office.
Food stamp letter.
SSI letter where applicable.
Child support letter where applicable.
IRS Form W9 filled and signed by Owner of lease property if client lives in a p"&amp;"rivately owned home.
Reason for assistance., i.e. the crisis.")</f>
        <v>Priority to muslims.
Fill out online application.
Photo ID
Social Security Card for all adults (US Citizen).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v>
      </c>
      <c r="T514" s="12" t="b">
        <f>IFERROR(__xludf.DUMMYFUNCTION("""COMPUTED_VALUE"""),TRUE)</f>
        <v>1</v>
      </c>
      <c r="U514" s="12" t="b">
        <f>IFERROR(__xludf.DUMMYFUNCTION("""COMPUTED_VALUE"""),FALSE)</f>
        <v>0</v>
      </c>
      <c r="V514" s="13" t="str">
        <f>IFERROR(__xludf.DUMMYFUNCTION("""COMPUTED_VALUE"""),"https://isgh.org/")</f>
        <v>https://isgh.org/</v>
      </c>
      <c r="W514" s="14" t="str">
        <f>IFERROR(__xludf.DUMMYFUNCTION("""COMPUTED_VALUE"""),"https://maps.app.goo.gl/K6Z73EZDgLPsfm299")</f>
        <v>https://maps.app.goo.gl/K6Z73EZDgLPsfm299</v>
      </c>
      <c r="X514" s="10"/>
      <c r="Y514" s="9" t="str">
        <f>IFERROR(__xludf.DUMMYFUNCTION("""COMPUTED_VALUE"""),"Houston")</f>
        <v>Houston</v>
      </c>
      <c r="Z514" s="9" t="str">
        <f>IFERROR(__xludf.DUMMYFUNCTION("""COMPUTED_VALUE"""),"Chinatown, Sharpstown, Westside")</f>
        <v>Chinatown, Sharpstown, Westside</v>
      </c>
      <c r="AA514" s="9" t="str">
        <f>IFERROR(__xludf.DUMMYFUNCTION("""COMPUTED_VALUE"""),"Islamic Society of Greater Houston")</f>
        <v>Islamic Society of Greater Houston</v>
      </c>
      <c r="AB514" s="9" t="str">
        <f>IFERROR(__xludf.DUMMYFUNCTION("""COMPUTED_VALUE"""),"Chinatown")</f>
        <v>Chinatown</v>
      </c>
    </row>
    <row r="515" ht="30.0" customHeight="1">
      <c r="A515" s="17">
        <v>514.0</v>
      </c>
      <c r="B515" s="8" t="str">
        <f>IFERROR(__xludf.DUMMYFUNCTION("""COMPUTED_VALUE"""),"[""77009"", ""77013"", ""77014"", ""77015"", ""77016"", ""77018"", ""77020"", ""77022"", ""77026"", ""77028"", ""77032"", ""77036"", ""77037"", ""77038"", ""77039"", ""77040"", ""77041"", ""77043"", ""77044"", ""77049"", ""77050"", ""77055"", ""77060"", "&amp;"""77063"", ""77064"", ""77065"", ""77066"", ""77067"", ""77068"", ""77069"", ""77070"", ""77072"", ""77073"", ""77074"", ""77076"", ""77078"", ""77080"", ""77084"", ""77086"", ""77088"", ""77090"", ""77091"", ""77092"", ""77093"", ""77094"", ""77095"", """&amp;"77099"", ""77257"", ""77277"", ""77279"", ""77301"", ""77302"", ""77303"", ""77304"", ""77305"", ""77306"", ""77338"", ""77339"", ""77345"", ""77346"", ""77354"", ""77355"", ""77356"", ""77362"", ""77363"", ""77373"", ""77377"", ""77379"", ""77380"", ""77"&amp;"381"", ""77382"", ""77384"", ""77385"", ""77386"", ""77388"", ""77389"", ""77396"", ""77429"", ""77410"", ""77423"", ""77433"", ""77441"", ""77445"", ""77446"", ""77447"", ""77449"", ""77450"", ""77452"", ""77459"", ""77466"", ""77469"", ""77476"", ""7748"&amp;"4"", ""77493"", ""77494"", ""77516"", ""77518""]")</f>
        <v>["77009",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v>
      </c>
      <c r="C515" s="9" t="str">
        <f>IFERROR(__xludf.DUMMYFUNCTION("""COMPUTED_VALUE"""),"Islamic Society of Greater Houston")</f>
        <v>Islamic Society of Greater Houston</v>
      </c>
      <c r="D515" s="9" t="str">
        <f>IFERROR(__xludf.DUMMYFUNCTION("""COMPUTED_VALUE"""),"10333 Harwin Drive")</f>
        <v>10333 Harwin Drive</v>
      </c>
      <c r="E515" s="9" t="str">
        <f>IFERROR(__xludf.DUMMYFUNCTION("""COMPUTED_VALUE"""),"Suite 245")</f>
        <v>Suite 245</v>
      </c>
      <c r="F515" s="9" t="str">
        <f>IFERROR(__xludf.DUMMYFUNCTION("""COMPUTED_VALUE"""),"Houston")</f>
        <v>Houston</v>
      </c>
      <c r="G515" s="9" t="str">
        <f>IFERROR(__xludf.DUMMYFUNCTION("""COMPUTED_VALUE"""),"TX")</f>
        <v>TX</v>
      </c>
      <c r="H515" s="9" t="str">
        <f>IFERROR(__xludf.DUMMYFUNCTION("""COMPUTED_VALUE"""),"77036")</f>
        <v>77036</v>
      </c>
      <c r="I515" s="9" t="str">
        <f>IFERROR(__xludf.DUMMYFUNCTION("""COMPUTED_VALUE"""),"713-684-8939")</f>
        <v>713-684-8939</v>
      </c>
      <c r="J515" s="9" t="str">
        <f>IFERROR(__xludf.DUMMYFUNCTION("""COMPUTED_VALUE"""),"29.7164593731729, -95.5493977269113")</f>
        <v>29.7164593731729, -95.5493977269113</v>
      </c>
      <c r="K515" s="9" t="str">
        <f>IFERROR(__xludf.DUMMYFUNCTION("""COMPUTED_VALUE"""),"{""regular"":[{""days"":[""Sa""],""open"":null,""close"":null}]}")</f>
        <v>{"regular":[{"days":["Sa"],"open":null,"close":null}]}</v>
      </c>
      <c r="L515" s="9" t="str">
        <f>IFERROR(__xludf.DUMMYFUNCTION("""COMPUTED_VALUE"""),"Call or check online for hours")</f>
        <v>Call or check online for hours</v>
      </c>
      <c r="M515" s="10">
        <f>IFERROR(__xludf.DUMMYFUNCTION("""COMPUTED_VALUE"""),13.0)</f>
        <v>13</v>
      </c>
      <c r="N515" s="10" t="str">
        <f>IFERROR(__xludf.DUMMYFUNCTION("""COMPUTED_VALUE"""),"Food")</f>
        <v>Food</v>
      </c>
      <c r="O515" s="10">
        <f>IFERROR(__xludf.DUMMYFUNCTION("""COMPUTED_VALUE"""),1.0)</f>
        <v>1</v>
      </c>
      <c r="P515" s="10" t="str">
        <f>IFERROR(__xludf.DUMMYFUNCTION("""COMPUTED_VALUE"""),"ACTIVE")</f>
        <v>ACTIVE</v>
      </c>
      <c r="Q515" s="11">
        <f>IFERROR(__xludf.DUMMYFUNCTION("""COMPUTED_VALUE"""),45670.0)</f>
        <v>45670</v>
      </c>
      <c r="R515" s="9" t="str">
        <f>IFERROR(__xludf.DUMMYFUNCTION("""COMPUTED_VALUE"""),"Certain Saturdays. Varies by month and location. Check website.")</f>
        <v>Certain Saturdays. Varies by month and location. Check website.</v>
      </c>
      <c r="S515" s="9" t="str">
        <f>IFERROR(__xludf.DUMMYFUNCTION("""COMPUTED_VALUE"""),"Fill out online application.
Photo ID
US Citizens/Permanent Residents.
One month's pay stub for all working members of household.
Most recent income tax return for all working members of household.
Two months of bank statements for household.
Current leas"&amp;"e and current rental ledger from apartment office.
Food stamp letter.
SSI letter where applicable.
Child support letter where applicable.
IRS Form W9 filled and signed by Owner of lease property if client lives in a privately owned home.
Reason for assist"&amp;"ance., i.e. the crisis event.")</f>
        <v>Fill out online application.
Photo ID
US Citizens/Permanent Residents.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 event.</v>
      </c>
      <c r="T515" s="12" t="b">
        <f>IFERROR(__xludf.DUMMYFUNCTION("""COMPUTED_VALUE"""),FALSE)</f>
        <v>0</v>
      </c>
      <c r="U515" s="12" t="b">
        <f>IFERROR(__xludf.DUMMYFUNCTION("""COMPUTED_VALUE"""),FALSE)</f>
        <v>0</v>
      </c>
      <c r="V515" s="13" t="str">
        <f>IFERROR(__xludf.DUMMYFUNCTION("""COMPUTED_VALUE"""),"https://isgh.org/")</f>
        <v>https://isgh.org/</v>
      </c>
      <c r="W515" s="14" t="str">
        <f>IFERROR(__xludf.DUMMYFUNCTION("""COMPUTED_VALUE"""),"https://maps.app.goo.gl/K6Z73EZDgLPsfm299")</f>
        <v>https://maps.app.goo.gl/K6Z73EZDgLPsfm299</v>
      </c>
      <c r="X515" s="10"/>
      <c r="Y515" s="9" t="str">
        <f>IFERROR(__xludf.DUMMYFUNCTION("""COMPUTED_VALUE"""),"Houston")</f>
        <v>Houston</v>
      </c>
      <c r="Z515" s="9" t="str">
        <f>IFERROR(__xludf.DUMMYFUNCTION("""COMPUTED_VALUE"""),"Chinatown, Sharpstown, Westside")</f>
        <v>Chinatown, Sharpstown, Westside</v>
      </c>
      <c r="AA515" s="9" t="str">
        <f>IFERROR(__xludf.DUMMYFUNCTION("""COMPUTED_VALUE"""),"Islamic Society of Greater Houston")</f>
        <v>Islamic Society of Greater Houston</v>
      </c>
      <c r="AB515" s="9" t="str">
        <f>IFERROR(__xludf.DUMMYFUNCTION("""COMPUTED_VALUE"""),"Chinatown")</f>
        <v>Chinatown</v>
      </c>
    </row>
    <row r="516" ht="30.0" customHeight="1">
      <c r="A516" s="17">
        <v>515.0</v>
      </c>
      <c r="B516" s="8" t="str">
        <f>IFERROR(__xludf.DUMMYFUNCTION("""COMPUTED_VALUE"""),"[""99999""]")</f>
        <v>["99999"]</v>
      </c>
      <c r="C516" s="9" t="str">
        <f>IFERROR(__xludf.DUMMYFUNCTION("""COMPUTED_VALUE"""),"Kailee Mills Foundation")</f>
        <v>Kailee Mills Foundation</v>
      </c>
      <c r="D516" s="9" t="str">
        <f>IFERROR(__xludf.DUMMYFUNCTION("""COMPUTED_VALUE"""),"25003 Pitkin Road")</f>
        <v>25003 Pitkin Road</v>
      </c>
      <c r="E516" s="9" t="str">
        <f>IFERROR(__xludf.DUMMYFUNCTION("""COMPUTED_VALUE"""),"Suite C100")</f>
        <v>Suite C100</v>
      </c>
      <c r="F516" s="9" t="str">
        <f>IFERROR(__xludf.DUMMYFUNCTION("""COMPUTED_VALUE"""),"Spring")</f>
        <v>Spring</v>
      </c>
      <c r="G516" s="9" t="str">
        <f>IFERROR(__xludf.DUMMYFUNCTION("""COMPUTED_VALUE"""),"TX")</f>
        <v>TX</v>
      </c>
      <c r="H516" s="9" t="str">
        <f>IFERROR(__xludf.DUMMYFUNCTION("""COMPUTED_VALUE"""),"77386")</f>
        <v>77386</v>
      </c>
      <c r="I516" s="9"/>
      <c r="J516" s="9" t="str">
        <f>IFERROR(__xludf.DUMMYFUNCTION("""COMPUTED_VALUE"""),"30.1235025, -95.4397236")</f>
        <v>30.1235025, -95.4397236</v>
      </c>
      <c r="K516" s="9"/>
      <c r="L516" s="9"/>
      <c r="M516" s="10">
        <f>IFERROR(__xludf.DUMMYFUNCTION("""COMPUTED_VALUE"""),65.0)</f>
        <v>65</v>
      </c>
      <c r="N516" s="10" t="str">
        <f>IFERROR(__xludf.DUMMYFUNCTION("""COMPUTED_VALUE"""),"Other")</f>
        <v>Other</v>
      </c>
      <c r="O516" s="10">
        <f>IFERROR(__xludf.DUMMYFUNCTION("""COMPUTED_VALUE"""),2.0)</f>
        <v>2</v>
      </c>
      <c r="P516" s="10" t="str">
        <f>IFERROR(__xludf.DUMMYFUNCTION("""COMPUTED_VALUE"""),"LIMITED")</f>
        <v>LIMITED</v>
      </c>
      <c r="Q516" s="11">
        <f>IFERROR(__xludf.DUMMYFUNCTION("""COMPUTED_VALUE"""),45797.0)</f>
        <v>45797</v>
      </c>
      <c r="R516" s="9" t="str">
        <f>IFERROR(__xludf.DUMMYFUNCTION("""COMPUTED_VALUE"""),"Verified online")</f>
        <v>Verified online</v>
      </c>
      <c r="S516" s="9" t="str">
        <f>IFERROR(__xludf.DUMMYFUNCTION("""COMPUTED_VALUE"""),"Financial assistance for medical or funeral expenses resulting from a vehicle crash.  
Grief counseling.
")</f>
        <v>Financial assistance for medical or funeral expenses resulting from a vehicle crash.  
Grief counseling.
</v>
      </c>
      <c r="T516" s="12" t="b">
        <f>IFERROR(__xludf.DUMMYFUNCTION("""COMPUTED_VALUE"""),FALSE)</f>
        <v>0</v>
      </c>
      <c r="U516" s="12" t="b">
        <f>IFERROR(__xludf.DUMMYFUNCTION("""COMPUTED_VALUE"""),FALSE)</f>
        <v>0</v>
      </c>
      <c r="V516" s="13" t="str">
        <f>IFERROR(__xludf.DUMMYFUNCTION("""COMPUTED_VALUE"""),"https://www.kaileemillsfoundation.org")</f>
        <v>https://www.kaileemillsfoundation.org</v>
      </c>
      <c r="W516" s="14" t="str">
        <f>IFERROR(__xludf.DUMMYFUNCTION("""COMPUTED_VALUE"""),"https://www.google.com/maps/place/Kailee+Mills+Foundation/@30.1225077,-95.4427258,17z/data=!3m1!4b1!4m6!3m5!1s0x8647339f8439801f:0xde23c0419bf97b8d!8m2!3d30.1225077!4d-95.4401509!16s%2Fg%2F11gdrzml_b?entry=ttu&amp;g_ep=EgoyMDI1MDUxNS4wIKXMDSoASAFQAw%3D%3D")</f>
        <v>https://www.google.com/maps/place/Kailee+Mills+Foundation/@30.1225077,-95.4427258,17z/data=!3m1!4b1!4m6!3m5!1s0x8647339f8439801f:0xde23c0419bf97b8d!8m2!3d30.1225077!4d-95.4401509!16s%2Fg%2F11gdrzml_b?entry=ttu&amp;g_ep=EgoyMDI1MDUxNS4wIKXMDSoASAFQAw%3D%3D</v>
      </c>
      <c r="X516" s="10"/>
      <c r="Y516" s="9" t="str">
        <f>IFERROR(__xludf.DUMMYFUNCTION("""COMPUTED_VALUE"""),"Spring")</f>
        <v>Spring</v>
      </c>
      <c r="Z516" s="9" t="str">
        <f>IFERROR(__xludf.DUMMYFUNCTION("""COMPUTED_VALUE"""),"Benders Landing, Harmony, Spring")</f>
        <v>Benders Landing, Harmony, Spring</v>
      </c>
      <c r="AA516" s="9" t="str">
        <f>IFERROR(__xludf.DUMMYFUNCTION("""COMPUTED_VALUE"""),"Kailee Mills Foundation")</f>
        <v>Kailee Mills Foundation</v>
      </c>
      <c r="AB516" s="9" t="str">
        <f>IFERROR(__xludf.DUMMYFUNCTION("""COMPUTED_VALUE"""),"Spring")</f>
        <v>Spring</v>
      </c>
    </row>
    <row r="517" ht="30.0" customHeight="1">
      <c r="A517" s="17">
        <v>516.0</v>
      </c>
      <c r="B517" s="8" t="str">
        <f>IFERROR(__xludf.DUMMYFUNCTION("""COMPUTED_VALUE"""),"[""77084"", ""77094"", ""77406"", ""77407"", ""77423"", ""77441"", ""77449"", ""77450"", ""77464"", ""77476"", ""77485"", ""77493"", ""77494""]")</f>
        <v>["77084", "77094", "77406", "77407", "77423", "77441", "77449", "77450", "77464", "77476", "77485", "77493", "77494"]</v>
      </c>
      <c r="C517" s="9" t="str">
        <f>IFERROR(__xludf.DUMMYFUNCTION("""COMPUTED_VALUE"""),"Katy Christian Ministries")</f>
        <v>Katy Christian Ministries</v>
      </c>
      <c r="D517" s="9" t="str">
        <f>IFERROR(__xludf.DUMMYFUNCTION("""COMPUTED_VALUE"""),"3506 Porter Road")</f>
        <v>3506 Porter Road</v>
      </c>
      <c r="E517" s="9" t="str">
        <f>IFERROR(__xludf.DUMMYFUNCTION("""COMPUTED_VALUE"""),"Suite F")</f>
        <v>Suite F</v>
      </c>
      <c r="F517" s="9" t="str">
        <f>IFERROR(__xludf.DUMMYFUNCTION("""COMPUTED_VALUE"""),"Houston")</f>
        <v>Houston</v>
      </c>
      <c r="G517" s="9" t="str">
        <f>IFERROR(__xludf.DUMMYFUNCTION("""COMPUTED_VALUE"""),"TX")</f>
        <v>TX</v>
      </c>
      <c r="H517" s="9" t="str">
        <f>IFERROR(__xludf.DUMMYFUNCTION("""COMPUTED_VALUE"""),"77493")</f>
        <v>77493</v>
      </c>
      <c r="I517" s="9" t="str">
        <f>IFERROR(__xludf.DUMMYFUNCTION("""COMPUTED_VALUE"""),"281-391-9623")</f>
        <v>281-391-9623</v>
      </c>
      <c r="J517" s="9" t="str">
        <f>IFERROR(__xludf.DUMMYFUNCTION("""COMPUTED_VALUE"""),"29.8248503239616, -95.7899629453831")</f>
        <v>29.8248503239616, -95.7899629453831</v>
      </c>
      <c r="K517" s="9" t="str">
        <f>IFERROR(__xludf.DUMMYFUNCTION("""COMPUTED_VALUE"""),"{""regular"":[{""days"":[""Mo"",""Tu"",""We"",""Th""],""open"":""09:00"",""close"":""17:00""}]}")</f>
        <v>{"regular":[{"days":["Mo","Tu","We","Th"],"open":"09:00","close":"17:00"}]}</v>
      </c>
      <c r="L517" s="9"/>
      <c r="M517" s="10">
        <f>IFERROR(__xludf.DUMMYFUNCTION("""COMPUTED_VALUE"""),11.0)</f>
        <v>11</v>
      </c>
      <c r="N517" s="10" t="str">
        <f>IFERROR(__xludf.DUMMYFUNCTION("""COMPUTED_VALUE"""),"Rent")</f>
        <v>Rent</v>
      </c>
      <c r="O517" s="10">
        <f>IFERROR(__xludf.DUMMYFUNCTION("""COMPUTED_VALUE"""),1.0)</f>
        <v>1</v>
      </c>
      <c r="P517" s="10" t="str">
        <f>IFERROR(__xludf.DUMMYFUNCTION("""COMPUTED_VALUE"""),"ACTIVE")</f>
        <v>ACTIVE</v>
      </c>
      <c r="Q517" s="11">
        <f>IFERROR(__xludf.DUMMYFUNCTION("""COMPUTED_VALUE"""),45758.0)</f>
        <v>45758</v>
      </c>
      <c r="R517" s="9"/>
      <c r="S517" s="9" t="str">
        <f>IFERROR(__xludf.DUMMYFUNCTION("""COMPUTED_VALUE"""),"Apply in person. Recommend clients call first.")</f>
        <v>Apply in person. Recommend clients call first.</v>
      </c>
      <c r="T517" s="12" t="b">
        <f>IFERROR(__xludf.DUMMYFUNCTION("""COMPUTED_VALUE"""),FALSE)</f>
        <v>0</v>
      </c>
      <c r="U517" s="12" t="b">
        <f>IFERROR(__xludf.DUMMYFUNCTION("""COMPUTED_VALUE"""),FALSE)</f>
        <v>0</v>
      </c>
      <c r="V517" s="13" t="str">
        <f>IFERROR(__xludf.DUMMYFUNCTION("""COMPUTED_VALUE"""),"https://ktcm.org/")</f>
        <v>https://ktcm.org/</v>
      </c>
      <c r="W517" s="14" t="str">
        <f>IFERROR(__xludf.DUMMYFUNCTION("""COMPUTED_VALUE"""),"https://maps.google.com/?q=Katy%20Christian%20Ministries%203506%20Porter%20Rd%2C%20Suite%20F%20Houston%20TX%2077493")</f>
        <v>https://maps.google.com/?q=Katy%20Christian%20Ministries%203506%20Porter%20Rd%2C%20Suite%20F%20Houston%20TX%2077493</v>
      </c>
      <c r="X517" s="10"/>
      <c r="Y517" s="9" t="str">
        <f>IFERROR(__xludf.DUMMYFUNCTION("""COMPUTED_VALUE"""),"Katy")</f>
        <v>Katy</v>
      </c>
      <c r="Z517" s="9" t="str">
        <f>IFERROR(__xludf.DUMMYFUNCTION("""COMPUTED_VALUE"""),"Cane Island, Katy (Old Town)")</f>
        <v>Cane Island, Katy (Old Town)</v>
      </c>
      <c r="AA517" s="9" t="str">
        <f>IFERROR(__xludf.DUMMYFUNCTION("""COMPUTED_VALUE"""),"Katy Christian Ministries")</f>
        <v>Katy Christian Ministries</v>
      </c>
      <c r="AB517" s="9" t="str">
        <f>IFERROR(__xludf.DUMMYFUNCTION("""COMPUTED_VALUE"""),"Katy")</f>
        <v>Katy</v>
      </c>
    </row>
    <row r="518" ht="30.0" customHeight="1">
      <c r="A518" s="17">
        <v>517.0</v>
      </c>
      <c r="B518" s="8" t="str">
        <f>IFERROR(__xludf.DUMMYFUNCTION("""COMPUTED_VALUE"""),"[""77084"", ""77094"", ""77406"", ""77407"", ""77423"", ""77441"", ""77449"", ""77450"", ""77464"", ""77476"", ""77485"", ""77493"", ""77494""]")</f>
        <v>["77084", "77094", "77406", "77407", "77423", "77441", "77449", "77450", "77464", "77476", "77485", "77493", "77494"]</v>
      </c>
      <c r="C518" s="9" t="str">
        <f>IFERROR(__xludf.DUMMYFUNCTION("""COMPUTED_VALUE"""),"Katy Christian Ministries")</f>
        <v>Katy Christian Ministries</v>
      </c>
      <c r="D518" s="9" t="str">
        <f>IFERROR(__xludf.DUMMYFUNCTION("""COMPUTED_VALUE"""),"3506 Porter Road")</f>
        <v>3506 Porter Road</v>
      </c>
      <c r="E518" s="9" t="str">
        <f>IFERROR(__xludf.DUMMYFUNCTION("""COMPUTED_VALUE"""),"Suite F")</f>
        <v>Suite F</v>
      </c>
      <c r="F518" s="9" t="str">
        <f>IFERROR(__xludf.DUMMYFUNCTION("""COMPUTED_VALUE"""),"Houston")</f>
        <v>Houston</v>
      </c>
      <c r="G518" s="9" t="str">
        <f>IFERROR(__xludf.DUMMYFUNCTION("""COMPUTED_VALUE"""),"TX")</f>
        <v>TX</v>
      </c>
      <c r="H518" s="9" t="str">
        <f>IFERROR(__xludf.DUMMYFUNCTION("""COMPUTED_VALUE"""),"77493")</f>
        <v>77493</v>
      </c>
      <c r="I518" s="9" t="str">
        <f>IFERROR(__xludf.DUMMYFUNCTION("""COMPUTED_VALUE"""),"281-391-9623")</f>
        <v>281-391-9623</v>
      </c>
      <c r="J518" s="9" t="str">
        <f>IFERROR(__xludf.DUMMYFUNCTION("""COMPUTED_VALUE"""),"29.8248503239616, -95.7899629453831")</f>
        <v>29.8248503239616, -95.7899629453831</v>
      </c>
      <c r="K518" s="9" t="str">
        <f>IFERROR(__xludf.DUMMYFUNCTION("""COMPUTED_VALUE"""),"{""regular"":[{""days"":[""Mo"",""Tu"",""We"",""Th""],""open"":""09:00"",""close"":""17:00""}]}")</f>
        <v>{"regular":[{"days":["Mo","Tu","We","Th"],"open":"09:00","close":"17:00"}]}</v>
      </c>
      <c r="L518" s="9"/>
      <c r="M518" s="10">
        <f>IFERROR(__xludf.DUMMYFUNCTION("""COMPUTED_VALUE"""),12.0)</f>
        <v>12</v>
      </c>
      <c r="N518" s="10" t="str">
        <f>IFERROR(__xludf.DUMMYFUNCTION("""COMPUTED_VALUE"""),"Utilities")</f>
        <v>Utilities</v>
      </c>
      <c r="O518" s="10">
        <f>IFERROR(__xludf.DUMMYFUNCTION("""COMPUTED_VALUE"""),1.0)</f>
        <v>1</v>
      </c>
      <c r="P518" s="10" t="str">
        <f>IFERROR(__xludf.DUMMYFUNCTION("""COMPUTED_VALUE"""),"ACTIVE")</f>
        <v>ACTIVE</v>
      </c>
      <c r="Q518" s="11">
        <f>IFERROR(__xludf.DUMMYFUNCTION("""COMPUTED_VALUE"""),45758.0)</f>
        <v>45758</v>
      </c>
      <c r="R518" s="9"/>
      <c r="S518" s="9" t="str">
        <f>IFERROR(__xludf.DUMMYFUNCTION("""COMPUTED_VALUE"""),"Apply in person. Recommend clients call first.")</f>
        <v>Apply in person. Recommend clients call first.</v>
      </c>
      <c r="T518" s="12" t="b">
        <f>IFERROR(__xludf.DUMMYFUNCTION("""COMPUTED_VALUE"""),FALSE)</f>
        <v>0</v>
      </c>
      <c r="U518" s="12" t="b">
        <f>IFERROR(__xludf.DUMMYFUNCTION("""COMPUTED_VALUE"""),FALSE)</f>
        <v>0</v>
      </c>
      <c r="V518" s="13" t="str">
        <f>IFERROR(__xludf.DUMMYFUNCTION("""COMPUTED_VALUE"""),"https://ktcm.org/")</f>
        <v>https://ktcm.org/</v>
      </c>
      <c r="W518" s="14" t="str">
        <f>IFERROR(__xludf.DUMMYFUNCTION("""COMPUTED_VALUE"""),"https://maps.google.com/?q=Katy%20Christian%20Ministries%203506%20Porter%20Rd%2C%20Suite%20F%20Houston%20TX%2077493")</f>
        <v>https://maps.google.com/?q=Katy%20Christian%20Ministries%203506%20Porter%20Rd%2C%20Suite%20F%20Houston%20TX%2077493</v>
      </c>
      <c r="X518" s="10"/>
      <c r="Y518" s="9" t="str">
        <f>IFERROR(__xludf.DUMMYFUNCTION("""COMPUTED_VALUE"""),"Katy")</f>
        <v>Katy</v>
      </c>
      <c r="Z518" s="9" t="str">
        <f>IFERROR(__xludf.DUMMYFUNCTION("""COMPUTED_VALUE"""),"Cane Island, Katy (Old Town)")</f>
        <v>Cane Island, Katy (Old Town)</v>
      </c>
      <c r="AA518" s="9" t="str">
        <f>IFERROR(__xludf.DUMMYFUNCTION("""COMPUTED_VALUE"""),"Katy Christian Ministries")</f>
        <v>Katy Christian Ministries</v>
      </c>
      <c r="AB518" s="9" t="str">
        <f>IFERROR(__xludf.DUMMYFUNCTION("""COMPUTED_VALUE"""),"Katy")</f>
        <v>Katy</v>
      </c>
    </row>
    <row r="519" ht="30.0" customHeight="1">
      <c r="A519" s="17">
        <v>518.0</v>
      </c>
      <c r="B519" s="8" t="str">
        <f>IFERROR(__xludf.DUMMYFUNCTION("""COMPUTED_VALUE"""),"[""77084"", ""77094"", ""77406"", ""77407"", ""77423"", ""77441"", ""77449"", ""77450"", ""77464"", ""77476"", ""77485"", ""77493"", ""77494""]")</f>
        <v>["77084", "77094", "77406", "77407", "77423", "77441", "77449", "77450", "77464", "77476", "77485", "77493", "77494"]</v>
      </c>
      <c r="C519" s="9" t="str">
        <f>IFERROR(__xludf.DUMMYFUNCTION("""COMPUTED_VALUE"""),"Katy Christian Ministries")</f>
        <v>Katy Christian Ministries</v>
      </c>
      <c r="D519" s="9" t="str">
        <f>IFERROR(__xludf.DUMMYFUNCTION("""COMPUTED_VALUE"""),"3506 Porter Road")</f>
        <v>3506 Porter Road</v>
      </c>
      <c r="E519" s="9" t="str">
        <f>IFERROR(__xludf.DUMMYFUNCTION("""COMPUTED_VALUE"""),"Suite F")</f>
        <v>Suite F</v>
      </c>
      <c r="F519" s="9" t="str">
        <f>IFERROR(__xludf.DUMMYFUNCTION("""COMPUTED_VALUE"""),"Houston")</f>
        <v>Houston</v>
      </c>
      <c r="G519" s="9" t="str">
        <f>IFERROR(__xludf.DUMMYFUNCTION("""COMPUTED_VALUE"""),"TX")</f>
        <v>TX</v>
      </c>
      <c r="H519" s="9" t="str">
        <f>IFERROR(__xludf.DUMMYFUNCTION("""COMPUTED_VALUE"""),"77493")</f>
        <v>77493</v>
      </c>
      <c r="I519" s="9" t="str">
        <f>IFERROR(__xludf.DUMMYFUNCTION("""COMPUTED_VALUE"""),"281-391-9623")</f>
        <v>281-391-9623</v>
      </c>
      <c r="J519" s="9" t="str">
        <f>IFERROR(__xludf.DUMMYFUNCTION("""COMPUTED_VALUE"""),"29.8248503239616, -95.7899629453831")</f>
        <v>29.8248503239616, -95.7899629453831</v>
      </c>
      <c r="K519" s="9" t="str">
        <f>IFERROR(__xludf.DUMMYFUNCTION("""COMPUTED_VALUE"""),"{""regular"":[{""days"":[""Mo"",""Tu"",""We"",""Th""],""open"":""09:00"",""close"":""17:00""}]}")</f>
        <v>{"regular":[{"days":["Mo","Tu","We","Th"],"open":"09:00","close":"17:00"}]}</v>
      </c>
      <c r="L519" s="9"/>
      <c r="M519" s="10">
        <f>IFERROR(__xludf.DUMMYFUNCTION("""COMPUTED_VALUE"""),13.0)</f>
        <v>13</v>
      </c>
      <c r="N519" s="10" t="str">
        <f>IFERROR(__xludf.DUMMYFUNCTION("""COMPUTED_VALUE"""),"Food")</f>
        <v>Food</v>
      </c>
      <c r="O519" s="10">
        <f>IFERROR(__xludf.DUMMYFUNCTION("""COMPUTED_VALUE"""),1.0)</f>
        <v>1</v>
      </c>
      <c r="P519" s="10" t="str">
        <f>IFERROR(__xludf.DUMMYFUNCTION("""COMPUTED_VALUE"""),"ACTIVE")</f>
        <v>ACTIVE</v>
      </c>
      <c r="Q519" s="11">
        <f>IFERROR(__xludf.DUMMYFUNCTION("""COMPUTED_VALUE"""),45758.0)</f>
        <v>45758</v>
      </c>
      <c r="R519" s="9"/>
      <c r="S519" s="9" t="str">
        <f>IFERROR(__xludf.DUMMYFUNCTION("""COMPUTED_VALUE"""),"Day Center
Meals, clean clothing and toiletries/hygiene kit.
Structured recovery program
Closed certain holidays. Check website.")</f>
        <v>Day Center
Meals, clean clothing and toiletries/hygiene kit.
Structured recovery program
Closed certain holidays. Check website.</v>
      </c>
      <c r="T519" s="12" t="b">
        <f>IFERROR(__xludf.DUMMYFUNCTION("""COMPUTED_VALUE"""),FALSE)</f>
        <v>0</v>
      </c>
      <c r="U519" s="12" t="b">
        <f>IFERROR(__xludf.DUMMYFUNCTION("""COMPUTED_VALUE"""),FALSE)</f>
        <v>0</v>
      </c>
      <c r="V519" s="13" t="str">
        <f>IFERROR(__xludf.DUMMYFUNCTION("""COMPUTED_VALUE"""),"https://ktcm.org/")</f>
        <v>https://ktcm.org/</v>
      </c>
      <c r="W519" s="14" t="str">
        <f>IFERROR(__xludf.DUMMYFUNCTION("""COMPUTED_VALUE"""),"https://maps.google.com/?q=Katy%20Christian%20Ministries%203506%20Porter%20Rd%2C%20Suite%20F%20Houston%20TX%2077493")</f>
        <v>https://maps.google.com/?q=Katy%20Christian%20Ministries%203506%20Porter%20Rd%2C%20Suite%20F%20Houston%20TX%2077493</v>
      </c>
      <c r="X519" s="10"/>
      <c r="Y519" s="9" t="str">
        <f>IFERROR(__xludf.DUMMYFUNCTION("""COMPUTED_VALUE"""),"Katy")</f>
        <v>Katy</v>
      </c>
      <c r="Z519" s="9" t="str">
        <f>IFERROR(__xludf.DUMMYFUNCTION("""COMPUTED_VALUE"""),"Cane Island, Katy (Old Town)")</f>
        <v>Cane Island, Katy (Old Town)</v>
      </c>
      <c r="AA519" s="9" t="str">
        <f>IFERROR(__xludf.DUMMYFUNCTION("""COMPUTED_VALUE"""),"Katy Christian Ministries")</f>
        <v>Katy Christian Ministries</v>
      </c>
      <c r="AB519" s="9" t="str">
        <f>IFERROR(__xludf.DUMMYFUNCTION("""COMPUTED_VALUE"""),"Katy")</f>
        <v>Katy</v>
      </c>
    </row>
    <row r="520" ht="30.0" customHeight="1">
      <c r="A520" s="17">
        <v>519.0</v>
      </c>
      <c r="B520" s="8" t="str">
        <f>IFERROR(__xludf.DUMMYFUNCTION("""COMPUTED_VALUE"""),"[""77084"", ""77094"", ""77406"", ""77407"", ""77423"", ""77441"", ""77449"", ""77450"", ""77464"", ""77476"", ""77485"", ""77493"", ""77494""]")</f>
        <v>["77084", "77094", "77406", "77407", "77423", "77441", "77449", "77450", "77464", "77476", "77485", "77493", "77494"]</v>
      </c>
      <c r="C520" s="9" t="str">
        <f>IFERROR(__xludf.DUMMYFUNCTION("""COMPUTED_VALUE"""),"Katy Christian Ministries")</f>
        <v>Katy Christian Ministries</v>
      </c>
      <c r="D520" s="9" t="str">
        <f>IFERROR(__xludf.DUMMYFUNCTION("""COMPUTED_VALUE"""),"3506 Porter Road")</f>
        <v>3506 Porter Road</v>
      </c>
      <c r="E520" s="9" t="str">
        <f>IFERROR(__xludf.DUMMYFUNCTION("""COMPUTED_VALUE"""),"Suite F")</f>
        <v>Suite F</v>
      </c>
      <c r="F520" s="9" t="str">
        <f>IFERROR(__xludf.DUMMYFUNCTION("""COMPUTED_VALUE"""),"Houston")</f>
        <v>Houston</v>
      </c>
      <c r="G520" s="9" t="str">
        <f>IFERROR(__xludf.DUMMYFUNCTION("""COMPUTED_VALUE"""),"TX")</f>
        <v>TX</v>
      </c>
      <c r="H520" s="9" t="str">
        <f>IFERROR(__xludf.DUMMYFUNCTION("""COMPUTED_VALUE"""),"77493")</f>
        <v>77493</v>
      </c>
      <c r="I520" s="9" t="str">
        <f>IFERROR(__xludf.DUMMYFUNCTION("""COMPUTED_VALUE"""),"281-391-9623")</f>
        <v>281-391-9623</v>
      </c>
      <c r="J520" s="9" t="str">
        <f>IFERROR(__xludf.DUMMYFUNCTION("""COMPUTED_VALUE"""),"29.8248503239616, -95.7899629453831")</f>
        <v>29.8248503239616, -95.7899629453831</v>
      </c>
      <c r="K520" s="9" t="str">
        <f>IFERROR(__xludf.DUMMYFUNCTION("""COMPUTED_VALUE"""),"{""regular"":[{""days"":[""Mo"",""Tu"",""We"",""Th""],""open"":""09:00"",""close"":""17:00""}]}")</f>
        <v>{"regular":[{"days":["Mo","Tu","We","Th"],"open":"09:00","close":"17:00"}]}</v>
      </c>
      <c r="L520" s="9"/>
      <c r="M520" s="10">
        <f>IFERROR(__xludf.DUMMYFUNCTION("""COMPUTED_VALUE"""),14.0)</f>
        <v>14</v>
      </c>
      <c r="N520" s="10" t="str">
        <f>IFERROR(__xludf.DUMMYFUNCTION("""COMPUTED_VALUE"""),"Clothing")</f>
        <v>Clothing</v>
      </c>
      <c r="O520" s="10">
        <f>IFERROR(__xludf.DUMMYFUNCTION("""COMPUTED_VALUE"""),1.0)</f>
        <v>1</v>
      </c>
      <c r="P520" s="10" t="str">
        <f>IFERROR(__xludf.DUMMYFUNCTION("""COMPUTED_VALUE"""),"ACTIVE")</f>
        <v>ACTIVE</v>
      </c>
      <c r="Q520" s="11"/>
      <c r="R520" s="9"/>
      <c r="S520" s="9" t="str">
        <f>IFERROR(__xludf.DUMMYFUNCTION("""COMPUTED_VALUE"""),"Application form is available online but must apply in person. Recommend clients call first.
There is a resale shop that, in addition to clothing, includes furniture and household items.
Once approved, clients receive vouchers for the resale shop.")</f>
        <v>Application form is available online but must apply in person. Recommend clients call first.
There is a resale shop that, in addition to clothing, includes furniture and household items.
Once approved, clients receive vouchers for the resale shop.</v>
      </c>
      <c r="T520" s="12" t="b">
        <f>IFERROR(__xludf.DUMMYFUNCTION("""COMPUTED_VALUE"""),FALSE)</f>
        <v>0</v>
      </c>
      <c r="U520" s="12" t="b">
        <f>IFERROR(__xludf.DUMMYFUNCTION("""COMPUTED_VALUE"""),FALSE)</f>
        <v>0</v>
      </c>
      <c r="V520" s="13" t="str">
        <f>IFERROR(__xludf.DUMMYFUNCTION("""COMPUTED_VALUE"""),"https://ktcm.org/")</f>
        <v>https://ktcm.org/</v>
      </c>
      <c r="W520" s="14" t="str">
        <f>IFERROR(__xludf.DUMMYFUNCTION("""COMPUTED_VALUE"""),"https://maps.google.com/?q=Katy%20Christian%20Ministries%203506%20Porter%20Rd%2C%20Suite%20F%20Houston%20TX%2077493")</f>
        <v>https://maps.google.com/?q=Katy%20Christian%20Ministries%203506%20Porter%20Rd%2C%20Suite%20F%20Houston%20TX%2077493</v>
      </c>
      <c r="X520" s="10"/>
      <c r="Y520" s="9" t="str">
        <f>IFERROR(__xludf.DUMMYFUNCTION("""COMPUTED_VALUE"""),"Katy")</f>
        <v>Katy</v>
      </c>
      <c r="Z520" s="9" t="str">
        <f>IFERROR(__xludf.DUMMYFUNCTION("""COMPUTED_VALUE"""),"Cane Island, Katy (Old Town)")</f>
        <v>Cane Island, Katy (Old Town)</v>
      </c>
      <c r="AA520" s="9" t="str">
        <f>IFERROR(__xludf.DUMMYFUNCTION("""COMPUTED_VALUE"""),"Katy Christian Ministries")</f>
        <v>Katy Christian Ministries</v>
      </c>
      <c r="AB520" s="9" t="str">
        <f>IFERROR(__xludf.DUMMYFUNCTION("""COMPUTED_VALUE"""),"Katy")</f>
        <v>Katy</v>
      </c>
    </row>
    <row r="521" ht="30.0" customHeight="1">
      <c r="A521" s="17">
        <v>520.0</v>
      </c>
      <c r="B521" s="8" t="str">
        <f>IFERROR(__xludf.DUMMYFUNCTION("""COMPUTED_VALUE"""),"[""77084"", ""77094"", ""77406"", ""77407"", ""77423"", ""77441"", ""77449"", ""77450"", ""77464"", ""77476"", ""77485"", ""77493"", ""77494""]")</f>
        <v>["77084", "77094", "77406", "77407", "77423", "77441", "77449", "77450", "77464", "77476", "77485", "77493", "77494"]</v>
      </c>
      <c r="C521" s="9" t="str">
        <f>IFERROR(__xludf.DUMMYFUNCTION("""COMPUTED_VALUE"""),"Katy Christian Ministries")</f>
        <v>Katy Christian Ministries</v>
      </c>
      <c r="D521" s="9" t="str">
        <f>IFERROR(__xludf.DUMMYFUNCTION("""COMPUTED_VALUE"""),"3506 Porter Road")</f>
        <v>3506 Porter Road</v>
      </c>
      <c r="E521" s="9" t="str">
        <f>IFERROR(__xludf.DUMMYFUNCTION("""COMPUTED_VALUE"""),"Suite F")</f>
        <v>Suite F</v>
      </c>
      <c r="F521" s="9" t="str">
        <f>IFERROR(__xludf.DUMMYFUNCTION("""COMPUTED_VALUE"""),"Houston")</f>
        <v>Houston</v>
      </c>
      <c r="G521" s="9" t="str">
        <f>IFERROR(__xludf.DUMMYFUNCTION("""COMPUTED_VALUE"""),"TX")</f>
        <v>TX</v>
      </c>
      <c r="H521" s="9" t="str">
        <f>IFERROR(__xludf.DUMMYFUNCTION("""COMPUTED_VALUE"""),"77493")</f>
        <v>77493</v>
      </c>
      <c r="I521" s="9" t="str">
        <f>IFERROR(__xludf.DUMMYFUNCTION("""COMPUTED_VALUE"""),"281-391-4357 (DV), 281-693-7273 (SA)")</f>
        <v>281-391-4357 (DV), 281-693-7273 (SA)</v>
      </c>
      <c r="J521" s="9" t="str">
        <f>IFERROR(__xludf.DUMMYFUNCTION("""COMPUTED_VALUE"""),"29.8248503239616, -95.7899629453831")</f>
        <v>29.8248503239616, -95.7899629453831</v>
      </c>
      <c r="K521" s="9" t="str">
        <f>IFERROR(__xludf.DUMMYFUNCTION("""COMPUTED_VALUE"""),"{""regular"":[{""days"":[""Mo"",""Tu"",""We"",""Th"",""Fr"",""Sa"",""Su""],""open"":""00:00"",""close"":""23:59""}]}")</f>
        <v>{"regular":[{"days":["Mo","Tu","We","Th","Fr","Sa","Su"],"open":"00:00","close":"23:59"}]}</v>
      </c>
      <c r="L521" s="9"/>
      <c r="M521" s="10">
        <f>IFERROR(__xludf.DUMMYFUNCTION("""COMPUTED_VALUE"""),42.0)</f>
        <v>42</v>
      </c>
      <c r="N521" s="10" t="str">
        <f>IFERROR(__xludf.DUMMYFUNCTION("""COMPUTED_VALUE"""),"Domestic Abuse - Other")</f>
        <v>Domestic Abuse - Other</v>
      </c>
      <c r="O521" s="10">
        <f>IFERROR(__xludf.DUMMYFUNCTION("""COMPUTED_VALUE"""),1.0)</f>
        <v>1</v>
      </c>
      <c r="P521" s="10" t="str">
        <f>IFERROR(__xludf.DUMMYFUNCTION("""COMPUTED_VALUE"""),"ACTIVE")</f>
        <v>ACTIVE</v>
      </c>
      <c r="Q521" s="11"/>
      <c r="R521" s="9"/>
      <c r="S521" s="9" t="str">
        <f>IFERROR(__xludf.DUMMYFUNCTION("""COMPUTED_VALUE"""),"Phone numbers are for domestic violence (DV) and sexual assault (SA).
Crisis intervention, safety planning, therapy services accompaniments, transportation and educational services.
Help getting placed in a shelter but do not have a shelter themselves.
")</f>
        <v>Phone numbers are for domestic violence (DV) and sexual assault (SA).
Crisis intervention, safety planning, therapy services accompaniments, transportation and educational services.
Help getting placed in a shelter but do not have a shelter themselves.
</v>
      </c>
      <c r="T521" s="12" t="b">
        <f>IFERROR(__xludf.DUMMYFUNCTION("""COMPUTED_VALUE"""),FALSE)</f>
        <v>0</v>
      </c>
      <c r="U521" s="12" t="b">
        <f>IFERROR(__xludf.DUMMYFUNCTION("""COMPUTED_VALUE"""),FALSE)</f>
        <v>0</v>
      </c>
      <c r="V521" s="13" t="str">
        <f>IFERROR(__xludf.DUMMYFUNCTION("""COMPUTED_VALUE"""),"https://ktcm.org/")</f>
        <v>https://ktcm.org/</v>
      </c>
      <c r="W521" s="14" t="str">
        <f>IFERROR(__xludf.DUMMYFUNCTION("""COMPUTED_VALUE"""),"https://maps.google.com/?q=Katy%20Christian%20Ministries%203506%20Porter%20Rd%2C%20Suite%20F%20Houston%20TX%2077493")</f>
        <v>https://maps.google.com/?q=Katy%20Christian%20Ministries%203506%20Porter%20Rd%2C%20Suite%20F%20Houston%20TX%2077493</v>
      </c>
      <c r="X521" s="10"/>
      <c r="Y521" s="9" t="str">
        <f>IFERROR(__xludf.DUMMYFUNCTION("""COMPUTED_VALUE"""),"Katy")</f>
        <v>Katy</v>
      </c>
      <c r="Z521" s="9" t="str">
        <f>IFERROR(__xludf.DUMMYFUNCTION("""COMPUTED_VALUE"""),"Cane Island, Katy (Old Town)")</f>
        <v>Cane Island, Katy (Old Town)</v>
      </c>
      <c r="AA521" s="9" t="str">
        <f>IFERROR(__xludf.DUMMYFUNCTION("""COMPUTED_VALUE"""),"Katy Christian Ministries")</f>
        <v>Katy Christian Ministries</v>
      </c>
      <c r="AB521" s="9" t="str">
        <f>IFERROR(__xludf.DUMMYFUNCTION("""COMPUTED_VALUE"""),"Katy")</f>
        <v>Katy</v>
      </c>
    </row>
    <row r="522" ht="30.0" customHeight="1">
      <c r="A522" s="17">
        <v>521.0</v>
      </c>
      <c r="B52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""77053"", ""77406"", ""77407"", ""77417"", ""77430"", ""77441"", ""77444"", ""77451"", ""77459"", ""77461"", ""77464"", ""77469"", ""77471"", "&amp;"""77476"", ""77477"", ""77478"", ""77479"", ""77481"", ""77485"", ""77487"", ""77489"", ""77494"", ""77496"", ""77498"", ""77545"", ""77583"", ""77584"", ""77423"", ""77445"", ""77446"", ""77466"", ""77484"", ""77492""]")</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 "77423", "77445", "77446", "77466", "77484", "77492"]</v>
      </c>
      <c r="C522" s="9" t="str">
        <f>IFERROR(__xludf.DUMMYFUNCTION("""COMPUTED_VALUE"""),"Katy Christian Ministries")</f>
        <v>Katy Christian Ministries</v>
      </c>
      <c r="D522" s="9" t="str">
        <f>IFERROR(__xludf.DUMMYFUNCTION("""COMPUTED_VALUE"""),"3506 Porter Road")</f>
        <v>3506 Porter Road</v>
      </c>
      <c r="E522" s="9" t="str">
        <f>IFERROR(__xludf.DUMMYFUNCTION("""COMPUTED_VALUE"""),"Suite F")</f>
        <v>Suite F</v>
      </c>
      <c r="F522" s="9" t="str">
        <f>IFERROR(__xludf.DUMMYFUNCTION("""COMPUTED_VALUE"""),"Houston")</f>
        <v>Houston</v>
      </c>
      <c r="G522" s="9" t="str">
        <f>IFERROR(__xludf.DUMMYFUNCTION("""COMPUTED_VALUE"""),"TX")</f>
        <v>TX</v>
      </c>
      <c r="H522" s="9" t="str">
        <f>IFERROR(__xludf.DUMMYFUNCTION("""COMPUTED_VALUE"""),"77493")</f>
        <v>77493</v>
      </c>
      <c r="I522" s="9" t="str">
        <f>IFERROR(__xludf.DUMMYFUNCTION("""COMPUTED_VALUE"""),"281-712-8314")</f>
        <v>281-712-8314</v>
      </c>
      <c r="J522" s="9" t="str">
        <f>IFERROR(__xludf.DUMMYFUNCTION("""COMPUTED_VALUE"""),"29.8248503239616, -95.7899629453831")</f>
        <v>29.8248503239616, -95.7899629453831</v>
      </c>
      <c r="K522" s="9" t="str">
        <f>IFERROR(__xludf.DUMMYFUNCTION("""COMPUTED_VALUE"""),"{""regular"":[{""days"":[""Mo"",""Tu"",""We"",""Th"",""Fr""],""open"":""09:00"",""close"":""17:00""}]}")</f>
        <v>{"regular":[{"days":["Mo","Tu","We","Th","Fr"],"open":"09:00","close":"17:00"}]}</v>
      </c>
      <c r="L522" s="9" t="str">
        <f>IFERROR(__xludf.DUMMYFUNCTION("""COMPUTED_VALUE"""),"Call for assessment")</f>
        <v>Call for assessment</v>
      </c>
      <c r="M522" s="10">
        <f>IFERROR(__xludf.DUMMYFUNCTION("""COMPUTED_VALUE"""),56.0)</f>
        <v>56</v>
      </c>
      <c r="N522" s="10" t="str">
        <f>IFERROR(__xludf.DUMMYFUNCTION("""COMPUTED_VALUE"""),"Veterans")</f>
        <v>Veterans</v>
      </c>
      <c r="O522" s="10">
        <f>IFERROR(__xludf.DUMMYFUNCTION("""COMPUTED_VALUE"""),1.0)</f>
        <v>1</v>
      </c>
      <c r="P522" s="10" t="str">
        <f>IFERROR(__xludf.DUMMYFUNCTION("""COMPUTED_VALUE"""),"ACTIVE")</f>
        <v>ACTIVE</v>
      </c>
      <c r="Q522" s="11">
        <f>IFERROR(__xludf.DUMMYFUNCTION("""COMPUTED_VALUE"""),46070.0)</f>
        <v>46070</v>
      </c>
      <c r="R522" s="9" t="str">
        <f>IFERROR(__xludf.DUMMYFUNCTION("""COMPUTED_VALUE"""),"Verified online")</f>
        <v>Verified online</v>
      </c>
      <c r="S522" s="9" t="str">
        <f>IFERROR(__xludf.DUMMYFUNCTION("""COMPUTED_VALUE"""),"Financial Assistance with rent, mortgage and utilities.
Funded by the Texas Veterans Commission.  ")</f>
        <v>Financial Assistance with rent, mortgage and utilities.
Funded by the Texas Veterans Commission.  </v>
      </c>
      <c r="T522" s="12" t="b">
        <f>IFERROR(__xludf.DUMMYFUNCTION("""COMPUTED_VALUE"""),FALSE)</f>
        <v>0</v>
      </c>
      <c r="U522" s="12" t="b">
        <f>IFERROR(__xludf.DUMMYFUNCTION("""COMPUTED_VALUE"""),FALSE)</f>
        <v>0</v>
      </c>
      <c r="V522" s="13" t="str">
        <f>IFERROR(__xludf.DUMMYFUNCTION("""COMPUTED_VALUE"""),"https://ktcm.org/social-services/")</f>
        <v>https://ktcm.org/social-services/</v>
      </c>
      <c r="W522" s="14" t="str">
        <f>IFERROR(__xludf.DUMMYFUNCTION("""COMPUTED_VALUE"""),"https://maps.google.com/?q=Katy%20Christian%20Ministries%203506%20Porter%20Rd%2C%20Suite%20F%20Houston%20TX%2077493")</f>
        <v>https://maps.google.com/?q=Katy%20Christian%20Ministries%203506%20Porter%20Rd%2C%20Suite%20F%20Houston%20TX%2077493</v>
      </c>
      <c r="X522" s="10"/>
      <c r="Y522" s="9" t="str">
        <f>IFERROR(__xludf.DUMMYFUNCTION("""COMPUTED_VALUE"""),"Katy")</f>
        <v>Katy</v>
      </c>
      <c r="Z522" s="9" t="str">
        <f>IFERROR(__xludf.DUMMYFUNCTION("""COMPUTED_VALUE"""),"Cane Island, Katy (Old Town)")</f>
        <v>Cane Island, Katy (Old Town)</v>
      </c>
      <c r="AA522" s="9" t="str">
        <f>IFERROR(__xludf.DUMMYFUNCTION("""COMPUTED_VALUE"""),"Katy Christian Ministries")</f>
        <v>Katy Christian Ministries</v>
      </c>
      <c r="AB522" s="9" t="str">
        <f>IFERROR(__xludf.DUMMYFUNCTION("""COMPUTED_VALUE"""),"Katy")</f>
        <v>Katy</v>
      </c>
    </row>
    <row r="523" ht="30.0" customHeight="1">
      <c r="A523" s="17">
        <v>522.0</v>
      </c>
      <c r="B523" s="8" t="str">
        <f>IFERROR(__xludf.DUMMYFUNCTION("""COMPUTED_VALUE"""),"[""77084"", ""77094"", ""77406"", ""77407"", ""77423"", ""77441"", ""77449"", ""77450"", ""77464"", ""77476"", ""77485"", ""77493"", ""77494""]")</f>
        <v>["77084", "77094", "77406", "77407", "77423", "77441", "77449", "77450", "77464", "77476", "77485", "77493", "77494"]</v>
      </c>
      <c r="C523" s="9" t="str">
        <f>IFERROR(__xludf.DUMMYFUNCTION("""COMPUTED_VALUE"""),"Katy Christian Ministries")</f>
        <v>Katy Christian Ministries</v>
      </c>
      <c r="D523" s="9" t="str">
        <f>IFERROR(__xludf.DUMMYFUNCTION("""COMPUTED_VALUE"""),"3506 Porter Road")</f>
        <v>3506 Porter Road</v>
      </c>
      <c r="E523" s="9" t="str">
        <f>IFERROR(__xludf.DUMMYFUNCTION("""COMPUTED_VALUE"""),"Suite F")</f>
        <v>Suite F</v>
      </c>
      <c r="F523" s="9" t="str">
        <f>IFERROR(__xludf.DUMMYFUNCTION("""COMPUTED_VALUE"""),"Houston")</f>
        <v>Houston</v>
      </c>
      <c r="G523" s="9" t="str">
        <f>IFERROR(__xludf.DUMMYFUNCTION("""COMPUTED_VALUE"""),"TX")</f>
        <v>TX</v>
      </c>
      <c r="H523" s="9" t="str">
        <f>IFERROR(__xludf.DUMMYFUNCTION("""COMPUTED_VALUE"""),"77493")</f>
        <v>77493</v>
      </c>
      <c r="I523" s="9" t="str">
        <f>IFERROR(__xludf.DUMMYFUNCTION("""COMPUTED_VALUE"""),"281-391-9623")</f>
        <v>281-391-9623</v>
      </c>
      <c r="J523" s="9" t="str">
        <f>IFERROR(__xludf.DUMMYFUNCTION("""COMPUTED_VALUE"""),"29.8248503239616, -95.7899629453831")</f>
        <v>29.8248503239616, -95.7899629453831</v>
      </c>
      <c r="K523" s="9" t="str">
        <f>IFERROR(__xludf.DUMMYFUNCTION("""COMPUTED_VALUE"""),"{""regular"":[{""days"":[""Mo"",""Tu"",""We"",""Th""],""open"":""09:00"",""close"":""17:00""}]}")</f>
        <v>{"regular":[{"days":["Mo","Tu","We","Th"],"open":"09:00","close":"17:00"}]}</v>
      </c>
      <c r="L523" s="9"/>
      <c r="M523" s="10">
        <f>IFERROR(__xludf.DUMMYFUNCTION("""COMPUTED_VALUE"""),64.0)</f>
        <v>64</v>
      </c>
      <c r="N523" s="10" t="str">
        <f>IFERROR(__xludf.DUMMYFUNCTION("""COMPUTED_VALUE"""),"Christmas")</f>
        <v>Christmas</v>
      </c>
      <c r="O523" s="10">
        <f>IFERROR(__xludf.DUMMYFUNCTION("""COMPUTED_VALUE"""),1.0)</f>
        <v>1</v>
      </c>
      <c r="P523" s="10" t="str">
        <f>IFERROR(__xludf.DUMMYFUNCTION("""COMPUTED_VALUE"""),"ACTIVE")</f>
        <v>ACTIVE</v>
      </c>
      <c r="Q523" s="11"/>
      <c r="R523" s="9"/>
      <c r="S523" s="9" t="str">
        <f>IFERROR(__xludf.DUMMYFUNCTION("""COMPUTED_VALUE"""),"Toys &amp; Food.")</f>
        <v>Toys &amp; Food.</v>
      </c>
      <c r="T523" s="12" t="b">
        <f>IFERROR(__xludf.DUMMYFUNCTION("""COMPUTED_VALUE"""),FALSE)</f>
        <v>0</v>
      </c>
      <c r="U523" s="12" t="b">
        <f>IFERROR(__xludf.DUMMYFUNCTION("""COMPUTED_VALUE"""),FALSE)</f>
        <v>0</v>
      </c>
      <c r="V523" s="13" t="str">
        <f>IFERROR(__xludf.DUMMYFUNCTION("""COMPUTED_VALUE"""),"https://ktcm.org/")</f>
        <v>https://ktcm.org/</v>
      </c>
      <c r="W523" s="14" t="str">
        <f>IFERROR(__xludf.DUMMYFUNCTION("""COMPUTED_VALUE"""),"https://maps.google.com/?q=Katy%20Christian%20Ministries%203506%20Porter%20Rd%2C%20Suite%20F%20Houston%20TX%2077493")</f>
        <v>https://maps.google.com/?q=Katy%20Christian%20Ministries%203506%20Porter%20Rd%2C%20Suite%20F%20Houston%20TX%2077493</v>
      </c>
      <c r="X523" s="10"/>
      <c r="Y523" s="9" t="str">
        <f>IFERROR(__xludf.DUMMYFUNCTION("""COMPUTED_VALUE"""),"Katy")</f>
        <v>Katy</v>
      </c>
      <c r="Z523" s="9" t="str">
        <f>IFERROR(__xludf.DUMMYFUNCTION("""COMPUTED_VALUE"""),"Cane Island, Katy (Old Town)")</f>
        <v>Cane Island, Katy (Old Town)</v>
      </c>
      <c r="AA523" s="9" t="str">
        <f>IFERROR(__xludf.DUMMYFUNCTION("""COMPUTED_VALUE"""),"Katy Christian Ministries")</f>
        <v>Katy Christian Ministries</v>
      </c>
      <c r="AB523" s="9" t="str">
        <f>IFERROR(__xludf.DUMMYFUNCTION("""COMPUTED_VALUE"""),"Katy")</f>
        <v>Katy</v>
      </c>
    </row>
    <row r="524" ht="30.0" customHeight="1">
      <c r="A524" s="17">
        <v>523.0</v>
      </c>
      <c r="B524" s="8" t="str">
        <f>IFERROR(__xludf.DUMMYFUNCTION("""COMPUTED_VALUE"""),"[""99999""]")</f>
        <v>["99999"]</v>
      </c>
      <c r="C524" s="9" t="str">
        <f>IFERROR(__xludf.DUMMYFUNCTION("""COMPUTED_VALUE"""),"Keturah's Haven")</f>
        <v>Keturah's Haven</v>
      </c>
      <c r="D524" s="9" t="str">
        <f>IFERROR(__xludf.DUMMYFUNCTION("""COMPUTED_VALUE"""),"2215 Porter Road")</f>
        <v>2215 Porter Road</v>
      </c>
      <c r="E524" s="9"/>
      <c r="F524" s="9" t="str">
        <f>IFERROR(__xludf.DUMMYFUNCTION("""COMPUTED_VALUE"""),"Katy")</f>
        <v>Katy</v>
      </c>
      <c r="G524" s="9" t="str">
        <f>IFERROR(__xludf.DUMMYFUNCTION("""COMPUTED_VALUE"""),"TX")</f>
        <v>TX</v>
      </c>
      <c r="H524" s="9" t="str">
        <f>IFERROR(__xludf.DUMMYFUNCTION("""COMPUTED_VALUE"""),"77493")</f>
        <v>77493</v>
      </c>
      <c r="I524" s="9" t="str">
        <f>IFERROR(__xludf.DUMMYFUNCTION("""COMPUTED_VALUE"""),"832-437-8529")</f>
        <v>832-437-8529</v>
      </c>
      <c r="J524" s="9" t="str">
        <f>IFERROR(__xludf.DUMMYFUNCTION("""COMPUTED_VALUE"""),"29.804637301563695, -95.79937627824205")</f>
        <v>29.804637301563695, -95.79937627824205</v>
      </c>
      <c r="K524" s="9" t="str">
        <f>IFERROR(__xludf.DUMMYFUNCTION("""COMPUTED_VALUE"""),"{""regular"":[{""days"":[""Mo"",""Tu"",""We"",""Th"",""Fr""],""open"":null,""close"":null}]}")</f>
        <v>{"regular":[{"days":["Mo","Tu","We","Th","Fr"],"open":null,"close":null}]}</v>
      </c>
      <c r="L524" s="9"/>
      <c r="M524" s="10">
        <f>IFERROR(__xludf.DUMMYFUNCTION("""COMPUTED_VALUE"""),24.0)</f>
        <v>24</v>
      </c>
      <c r="N524" s="10" t="str">
        <f>IFERROR(__xludf.DUMMYFUNCTION("""COMPUTED_VALUE"""),"Housing")</f>
        <v>Housing</v>
      </c>
      <c r="O524" s="10">
        <f>IFERROR(__xludf.DUMMYFUNCTION("""COMPUTED_VALUE"""),3.0)</f>
        <v>3</v>
      </c>
      <c r="P524" s="10" t="str">
        <f>IFERROR(__xludf.DUMMYFUNCTION("""COMPUTED_VALUE"""),"INACTIVE")</f>
        <v>INACTIVE</v>
      </c>
      <c r="Q524" s="11">
        <f>IFERROR(__xludf.DUMMYFUNCTION("""COMPUTED_VALUE"""),45851.0)</f>
        <v>45851</v>
      </c>
      <c r="R524" s="9" t="str">
        <f>IFERROR(__xludf.DUMMYFUNCTION("""COMPUTED_VALUE"""),"SVdP Church Help for Moms Ministry
No new applicants")</f>
        <v>SVdP Church Help for Moms Ministry
No new applicants</v>
      </c>
      <c r="S524" s="9" t="str">
        <f>IFERROR(__xludf.DUMMYFUNCTION("""COMPUTED_VALUE"""),"Pregnant (12 weeks to 6 months), unhoused women between the ages of 18 and 30.
Currently drug and alcohol-free.
Not diagnosed with severe mental illness.
No other children currently under care.
Must participate in GED classes and volunteer.")</f>
        <v>Pregnant (12 weeks to 6 months), unhoused women between the ages of 18 and 30.
Currently drug and alcohol-free.
Not diagnosed with severe mental illness.
No other children currently under care.
Must participate in GED classes and volunteer.</v>
      </c>
      <c r="T524" s="12" t="b">
        <f>IFERROR(__xludf.DUMMYFUNCTION("""COMPUTED_VALUE"""),FALSE)</f>
        <v>0</v>
      </c>
      <c r="U524" s="12" t="b">
        <f>IFERROR(__xludf.DUMMYFUNCTION("""COMPUTED_VALUE"""),FALSE)</f>
        <v>0</v>
      </c>
      <c r="V524" s="13" t="str">
        <f>IFERROR(__xludf.DUMMYFUNCTION("""COMPUTED_VALUE"""),"https://keturahshaven.org/")</f>
        <v>https://keturahshaven.org/</v>
      </c>
      <c r="W524" s="10"/>
      <c r="X524" s="10"/>
      <c r="Y524" s="9" t="str">
        <f>IFERROR(__xludf.DUMMYFUNCTION("""COMPUTED_VALUE"""),"Katy")</f>
        <v>Katy</v>
      </c>
      <c r="Z524" s="9" t="str">
        <f>IFERROR(__xludf.DUMMYFUNCTION("""COMPUTED_VALUE"""),"Cane Island, Katy (Old Town)")</f>
        <v>Cane Island, Katy (Old Town)</v>
      </c>
      <c r="AA524" s="9" t="str">
        <f>IFERROR(__xludf.DUMMYFUNCTION("""COMPUTED_VALUE"""),"Keturah's Haven")</f>
        <v>Keturah's Haven</v>
      </c>
      <c r="AB524" s="9" t="str">
        <f>IFERROR(__xludf.DUMMYFUNCTION("""COMPUTED_VALUE"""),"Katy")</f>
        <v>Katy</v>
      </c>
    </row>
    <row r="525" ht="30.0" customHeight="1">
      <c r="A525" s="17">
        <v>524.0</v>
      </c>
      <c r="B525" s="8" t="str">
        <f>IFERROR(__xludf.DUMMYFUNCTION("""COMPUTED_VALUE"""),"[""77302"", ""77354"", ""77355"", ""77362"", ""77375"", ""77380"", ""77381"", ""77382"", ""77385"", ""77386""]")</f>
        <v>["77302", "77354", "77355", "77362", "77375", "77380", "77381", "77382", "77385", "77386"]</v>
      </c>
      <c r="C525" s="9" t="str">
        <f>IFERROR(__xludf.DUMMYFUNCTION("""COMPUTED_VALUE"""),"Kids' Meals")</f>
        <v>Kids' Meals</v>
      </c>
      <c r="D525" s="9" t="str">
        <f>IFERROR(__xludf.DUMMYFUNCTION("""COMPUTED_VALUE"""),"5517 FM 1488")</f>
        <v>5517 FM 1488</v>
      </c>
      <c r="E525" s="9" t="str">
        <f>IFERROR(__xludf.DUMMYFUNCTION("""COMPUTED_VALUE"""),"Suite E")</f>
        <v>Suite E</v>
      </c>
      <c r="F525" s="9" t="str">
        <f>IFERROR(__xludf.DUMMYFUNCTION("""COMPUTED_VALUE"""),"Magnolia")</f>
        <v>Magnolia</v>
      </c>
      <c r="G525" s="9" t="str">
        <f>IFERROR(__xludf.DUMMYFUNCTION("""COMPUTED_VALUE"""),"TX")</f>
        <v>TX</v>
      </c>
      <c r="H525" s="9" t="str">
        <f>IFERROR(__xludf.DUMMYFUNCTION("""COMPUTED_VALUE"""),"77354")</f>
        <v>77354</v>
      </c>
      <c r="I525" s="9" t="str">
        <f>IFERROR(__xludf.DUMMYFUNCTION("""COMPUTED_VALUE"""),"713-695-5437")</f>
        <v>713-695-5437</v>
      </c>
      <c r="J525" s="9" t="str">
        <f>IFERROR(__xludf.DUMMYFUNCTION("""COMPUTED_VALUE"""),"30.222898401342263, -95.5523956949435")</f>
        <v>30.222898401342263, -95.5523956949435</v>
      </c>
      <c r="K525" s="9" t="str">
        <f>IFERROR(__xludf.DUMMYFUNCTION("""COMPUTED_VALUE"""),"{""regular"":[{""days"":[""Mo"",""Tu"",""We"",""Th"",""Fr""],""open"":""09:00"",""close"":""15:00""}]}")</f>
        <v>{"regular":[{"days":["Mo","Tu","We","Th","Fr"],"open":"09:00","close":"15:00"}]}</v>
      </c>
      <c r="L525" s="9" t="str">
        <f>IFERROR(__xludf.DUMMYFUNCTION("""COMPUTED_VALUE"""),"Apply online")</f>
        <v>Apply online</v>
      </c>
      <c r="M525" s="10">
        <f>IFERROR(__xludf.DUMMYFUNCTION("""COMPUTED_VALUE"""),13.0)</f>
        <v>13</v>
      </c>
      <c r="N525" s="10" t="str">
        <f>IFERROR(__xludf.DUMMYFUNCTION("""COMPUTED_VALUE"""),"Food")</f>
        <v>Food</v>
      </c>
      <c r="O525" s="10">
        <f>IFERROR(__xludf.DUMMYFUNCTION("""COMPUTED_VALUE"""),1.0)</f>
        <v>1</v>
      </c>
      <c r="P525" s="10" t="str">
        <f>IFERROR(__xludf.DUMMYFUNCTION("""COMPUTED_VALUE"""),"ACTIVE")</f>
        <v>ACTIVE</v>
      </c>
      <c r="Q525" s="11">
        <f>IFERROR(__xludf.DUMMYFUNCTION("""COMPUTED_VALUE"""),46019.0)</f>
        <v>46019</v>
      </c>
      <c r="R525" s="9" t="str">
        <f>IFERROR(__xludf.DUMMYFUNCTION("""COMPUTED_VALUE"""),"Verified online")</f>
        <v>Verified online</v>
      </c>
      <c r="S525" s="9" t="str">
        <f>IFERROR(__xludf.DUMMYFUNCTION("""COMPUTED_VALUE"""),"Home delivery of meals Mo - Fr and periodic bags of groceries.
Must have a child under the age of five in the home and qualify for Medicaid, TANF, SNAP or WIC.
Eligibility guidelines are on a monthly basis.")</f>
        <v>Home delivery of meals Mo - Fr and periodic bags of groceries.
Must have a child under the age of five in the home and qualify for Medicaid, TANF, SNAP or WIC.
Eligibility guidelines are on a monthly basis.</v>
      </c>
      <c r="T525" s="12" t="b">
        <f>IFERROR(__xludf.DUMMYFUNCTION("""COMPUTED_VALUE"""),FALSE)</f>
        <v>0</v>
      </c>
      <c r="U525" s="12" t="b">
        <f>IFERROR(__xludf.DUMMYFUNCTION("""COMPUTED_VALUE"""),FALSE)</f>
        <v>0</v>
      </c>
      <c r="V525" s="13" t="str">
        <f>IFERROR(__xludf.DUMMYFUNCTION("""COMPUTED_VALUE"""),"https://kidsmealsinc.org/need-help/")</f>
        <v>https://kidsmealsinc.org/need-help/</v>
      </c>
      <c r="W525" s="14" t="str">
        <f>IFERROR(__xludf.DUMMYFUNCTION("""COMPUTED_VALUE"""),"https://www.google.com/maps/place/Woodlands+Plaza+1488,+5517+FM+1488,+Magnolia,+TX+77354/@30.2226991,-95.5549706,17z/data=!3m1!4b1!4m6!3m5!1s0x86473006379f2de9:0x7d456a967fa0fd09!8m2!3d30.2226945!4d-95.5523957!16s%2Fg%2F11rr8fg055?entry=ttu&amp;g_ep=EgoyMDI1M"&amp;"TIwOS4wIKXMDSoKLDEwMDc5MjA2OUgBUAM%3D")</f>
        <v>https://www.google.com/maps/place/Woodlands+Plaza+1488,+5517+FM+1488,+Magnolia,+TX+77354/@30.2226991,-95.5549706,17z/data=!3m1!4b1!4m6!3m5!1s0x86473006379f2de9:0x7d456a967fa0fd09!8m2!3d30.2226945!4d-95.5523957!16s%2Fg%2F11rr8fg055?entry=ttu&amp;g_ep=EgoyMDI1MTIwOS4wIKXMDSoKLDEwMDc5MjA2OUgBUAM%3D</v>
      </c>
      <c r="X525" s="10"/>
      <c r="Y525" s="9" t="str">
        <f>IFERROR(__xludf.DUMMYFUNCTION("""COMPUTED_VALUE"""),"Magnolia")</f>
        <v>Magnolia</v>
      </c>
      <c r="Z525" s="9" t="str">
        <f>IFERROR(__xludf.DUMMYFUNCTION("""COMPUTED_VALUE"""),"Magnolia")</f>
        <v>Magnolia</v>
      </c>
      <c r="AA525" s="9" t="str">
        <f>IFERROR(__xludf.DUMMYFUNCTION("""COMPUTED_VALUE"""),"Kids' Meals")</f>
        <v>Kids' Meals</v>
      </c>
      <c r="AB525" s="9" t="str">
        <f>IFERROR(__xludf.DUMMYFUNCTION("""COMPUTED_VALUE"""),"Magnolia")</f>
        <v>Magnolia</v>
      </c>
    </row>
    <row r="526" ht="30.0" customHeight="1">
      <c r="A526" s="17">
        <v>525.0</v>
      </c>
      <c r="B526" s="8" t="str">
        <f>IFERROR(__xludf.DUMMYFUNCTION("""COMPUTED_VALUE"""),"[""77003"", ""77004"", ""77007"", ""77008"", ""77009"", ""77011"", ""77012"", ""77016"", ""77018"", ""77020"", ""77021"", ""77022"", ""77028"", ""77029"", ""77033"", ""77035"", ""77036"", ""77037"", ""77038"", ""77039"", ""77040"", ""77041"", ""77045"", "&amp;"""77051"", ""77055"", ""77060"", ""77063"", ""77071"", ""77074"", ""77076"", ""77078"", ""77080"", ""77087"", ""77088"", ""77091"", ""77093"", ""77096"", ""77547""]")</f>
        <v>["77003", "77004", "77007", "77008", "77009", "77011", "77012", "77016", "77018", "77020", "77021", "77022", "77028", "77029", "77033", "77035", "77036", "77037", "77038", "77039", "77040", "77041", "77045", "77051", "77055", "77060", "77063", "77071", "77074", "77076", "77078", "77080", "77087", "77088", "77091", "77093", "77096", "77547"]</v>
      </c>
      <c r="C526" s="9" t="str">
        <f>IFERROR(__xludf.DUMMYFUNCTION("""COMPUTED_VALUE"""),"Kids' Meals")</f>
        <v>Kids' Meals</v>
      </c>
      <c r="D526" s="9" t="str">
        <f>IFERROR(__xludf.DUMMYFUNCTION("""COMPUTED_VALUE"""),"8790 Hammerly Blvd")</f>
        <v>8790 Hammerly Blvd</v>
      </c>
      <c r="E526" s="9"/>
      <c r="F526" s="9" t="str">
        <f>IFERROR(__xludf.DUMMYFUNCTION("""COMPUTED_VALUE"""),"Houston")</f>
        <v>Houston</v>
      </c>
      <c r="G526" s="9" t="str">
        <f>IFERROR(__xludf.DUMMYFUNCTION("""COMPUTED_VALUE"""),"TX")</f>
        <v>TX</v>
      </c>
      <c r="H526" s="9" t="str">
        <f>IFERROR(__xludf.DUMMYFUNCTION("""COMPUTED_VALUE"""),"77080")</f>
        <v>77080</v>
      </c>
      <c r="I526" s="9" t="str">
        <f>IFERROR(__xludf.DUMMYFUNCTION("""COMPUTED_VALUE"""),"713-695-5437")</f>
        <v>713-695-5437</v>
      </c>
      <c r="J526" s="9" t="str">
        <f>IFERROR(__xludf.DUMMYFUNCTION("""COMPUTED_VALUE"""),"29.811748131823716, -95.5078656301226")</f>
        <v>29.811748131823716, -95.5078656301226</v>
      </c>
      <c r="K526" s="9" t="str">
        <f>IFERROR(__xludf.DUMMYFUNCTION("""COMPUTED_VALUE"""),"{""regular"":[{""days"":[""Mo"",""Tu"",""We"",""Th"",""Fr""],""open"":""09:00"",""close"":""15:00""}]}")</f>
        <v>{"regular":[{"days":["Mo","Tu","We","Th","Fr"],"open":"09:00","close":"15:00"}]}</v>
      </c>
      <c r="L526" s="9" t="str">
        <f>IFERROR(__xludf.DUMMYFUNCTION("""COMPUTED_VALUE"""),"Apply online")</f>
        <v>Apply online</v>
      </c>
      <c r="M526" s="10">
        <f>IFERROR(__xludf.DUMMYFUNCTION("""COMPUTED_VALUE"""),13.0)</f>
        <v>13</v>
      </c>
      <c r="N526" s="10" t="str">
        <f>IFERROR(__xludf.DUMMYFUNCTION("""COMPUTED_VALUE"""),"Food")</f>
        <v>Food</v>
      </c>
      <c r="O526" s="10">
        <f>IFERROR(__xludf.DUMMYFUNCTION("""COMPUTED_VALUE"""),1.0)</f>
        <v>1</v>
      </c>
      <c r="P526" s="10" t="str">
        <f>IFERROR(__xludf.DUMMYFUNCTION("""COMPUTED_VALUE"""),"ACTIVE")</f>
        <v>ACTIVE</v>
      </c>
      <c r="Q526" s="11">
        <f>IFERROR(__xludf.DUMMYFUNCTION("""COMPUTED_VALUE"""),46019.0)</f>
        <v>46019</v>
      </c>
      <c r="R526" s="9" t="str">
        <f>IFERROR(__xludf.DUMMYFUNCTION("""COMPUTED_VALUE"""),"Verified online")</f>
        <v>Verified online</v>
      </c>
      <c r="S526" s="9" t="str">
        <f>IFERROR(__xludf.DUMMYFUNCTION("""COMPUTED_VALUE"""),"Home delivery of meals Mo - Fr and periodic bags of groceries.
Must have a child under the age of five in the home and qualify for Medicaid, TANF, SNAP or WIC.
Eligibility guidelines are on a monthly basis.")</f>
        <v>Home delivery of meals Mo - Fr and periodic bags of groceries.
Must have a child under the age of five in the home and qualify for Medicaid, TANF, SNAP or WIC.
Eligibility guidelines are on a monthly basis.</v>
      </c>
      <c r="T526" s="12" t="b">
        <f>IFERROR(__xludf.DUMMYFUNCTION("""COMPUTED_VALUE"""),FALSE)</f>
        <v>0</v>
      </c>
      <c r="U526" s="12" t="b">
        <f>IFERROR(__xludf.DUMMYFUNCTION("""COMPUTED_VALUE"""),FALSE)</f>
        <v>0</v>
      </c>
      <c r="V526" s="13" t="str">
        <f>IFERROR(__xludf.DUMMYFUNCTION("""COMPUTED_VALUE"""),"https://kidsmealsinc.org/need-help/")</f>
        <v>https://kidsmealsinc.org/need-help/</v>
      </c>
      <c r="W526" s="14" t="str">
        <f>IFERROR(__xludf.DUMMYFUNCTION("""COMPUTED_VALUE"""),"https://www.google.com/maps/place/Kids'+Meals/@29.8114364,-95.5126829,17z/data=!3m1!4b1!4m6!3m5!1s0x8640c79ac7954d85:0xa72b5d8c3f144491!8m2!3d29.8114318!4d-95.507812!16s%2Fg%2F11b7jwdw8s?entry=ttu&amp;g_ep=EgoyMDI1MTIwOS4wIKXMDSoKLDEwMDc5MjA2OUgBUAM%3D")</f>
        <v>https://www.google.com/maps/place/Kids'+Meals/@29.8114364,-95.5126829,17z/data=!3m1!4b1!4m6!3m5!1s0x8640c79ac7954d85:0xa72b5d8c3f144491!8m2!3d29.8114318!4d-95.507812!16s%2Fg%2F11b7jwdw8s?entry=ttu&amp;g_ep=EgoyMDI1MTIwOS4wIKXMDSoKLDEwMDc5MjA2OUgBUAM%3D</v>
      </c>
      <c r="X526" s="10"/>
      <c r="Y526" s="9" t="str">
        <f>IFERROR(__xludf.DUMMYFUNCTION("""COMPUTED_VALUE"""),"Houston")</f>
        <v>Houston</v>
      </c>
      <c r="Z526" s="9" t="str">
        <f>IFERROR(__xludf.DUMMYFUNCTION("""COMPUTED_VALUE"""),"Northwest Houston, Spring Branch Central")</f>
        <v>Northwest Houston, Spring Branch Central</v>
      </c>
      <c r="AA526" s="9" t="str">
        <f>IFERROR(__xludf.DUMMYFUNCTION("""COMPUTED_VALUE"""),"Kids' Meals")</f>
        <v>Kids' Meals</v>
      </c>
      <c r="AB526" s="9" t="str">
        <f>IFERROR(__xludf.DUMMYFUNCTION("""COMPUTED_VALUE"""),"Spring Branch Central")</f>
        <v>Spring Branch Central</v>
      </c>
    </row>
    <row r="527" ht="30.0" customHeight="1">
      <c r="A527" s="17">
        <v>526.0</v>
      </c>
      <c r="B527" s="8" t="str">
        <f>IFERROR(__xludf.DUMMYFUNCTION("""COMPUTED_VALUE"""),"[""99999""]")</f>
        <v>["99999"]</v>
      </c>
      <c r="C527" s="9" t="str">
        <f>IFERROR(__xludf.DUMMYFUNCTION("""COMPUTED_VALUE"""),"Legacy Health - Alief Bissonnet OB/GYN")</f>
        <v>Legacy Health - Alief Bissonnet OB/GYN</v>
      </c>
      <c r="D527" s="9" t="str">
        <f>IFERROR(__xludf.DUMMYFUNCTION("""COMPUTED_VALUE"""),"12345 Bissonnet Street")</f>
        <v>12345 Bissonnet Street</v>
      </c>
      <c r="E527" s="9"/>
      <c r="F527" s="9" t="str">
        <f>IFERROR(__xludf.DUMMYFUNCTION("""COMPUTED_VALUE"""),"Houston")</f>
        <v>Houston</v>
      </c>
      <c r="G527" s="9" t="str">
        <f>IFERROR(__xludf.DUMMYFUNCTION("""COMPUTED_VALUE"""),"TX")</f>
        <v>TX</v>
      </c>
      <c r="H527" s="9" t="str">
        <f>IFERROR(__xludf.DUMMYFUNCTION("""COMPUTED_VALUE"""),"77099")</f>
        <v>77099</v>
      </c>
      <c r="I527" s="9" t="str">
        <f>IFERROR(__xludf.DUMMYFUNCTION("""COMPUTED_VALUE"""),"713-814-3598")</f>
        <v>713-814-3598</v>
      </c>
      <c r="J527" s="9" t="str">
        <f>IFERROR(__xludf.DUMMYFUNCTION("""COMPUTED_VALUE"""),"29.67627703066744, -95.59629171051989")</f>
        <v>29.67627703066744, -95.59629171051989</v>
      </c>
      <c r="K527" s="9" t="str">
        <f>IFERROR(__xludf.DUMMYFUNCTION("""COMPUTED_VALUE"""),"{""regular"":[{""days"":[""Mo"",""Tu"",""We"",""Th"",""Fr""],""open"":""08:00"",""close"":""17:00""}]}")</f>
        <v>{"regular":[{"days":["Mo","Tu","We","Th","Fr"],"open":"08:00","close":"17:00"}]}</v>
      </c>
      <c r="L527" s="9"/>
      <c r="M527" s="10">
        <f>IFERROR(__xludf.DUMMYFUNCTION("""COMPUTED_VALUE"""),31.0)</f>
        <v>31</v>
      </c>
      <c r="N527" s="10" t="str">
        <f>IFERROR(__xludf.DUMMYFUNCTION("""COMPUTED_VALUE"""),"Medical - Primary Care")</f>
        <v>Medical - Primary Care</v>
      </c>
      <c r="O527" s="10">
        <f>IFERROR(__xludf.DUMMYFUNCTION("""COMPUTED_VALUE"""),1.0)</f>
        <v>1</v>
      </c>
      <c r="P527" s="10" t="str">
        <f>IFERROR(__xludf.DUMMYFUNCTION("""COMPUTED_VALUE"""),"ACTIVE")</f>
        <v>ACTIVE</v>
      </c>
      <c r="Q527" s="11">
        <f>IFERROR(__xludf.DUMMYFUNCTION("""COMPUTED_VALUE"""),45948.0)</f>
        <v>45948</v>
      </c>
      <c r="R527" s="9" t="str">
        <f>IFERROR(__xludf.DUMMYFUNCTION("""COMPUTED_VALUE"""),"Verified online")</f>
        <v>Verified online</v>
      </c>
      <c r="S527"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OB/GYN
Vaccinations")</f>
        <v>As a Federally Qualified Health Center (FQHC), its services are open to all regardless of ability to pay.  This does not mean services are free.  Their Specialists will help you find grants, financial assistance, sliding fee scale, etc. to make your care affordable.
OB/GYN
Vaccinations</v>
      </c>
      <c r="T527" s="12" t="b">
        <f>IFERROR(__xludf.DUMMYFUNCTION("""COMPUTED_VALUE"""),FALSE)</f>
        <v>0</v>
      </c>
      <c r="U527" s="12" t="b">
        <f>IFERROR(__xludf.DUMMYFUNCTION("""COMPUTED_VALUE"""),FALSE)</f>
        <v>0</v>
      </c>
      <c r="V527" s="13" t="str">
        <f>IFERROR(__xludf.DUMMYFUNCTION("""COMPUTED_VALUE"""),"https://www.legacycommunityhealth.org")</f>
        <v>https://www.legacycommunityhealth.org</v>
      </c>
      <c r="W527" s="14" t="str">
        <f>IFERROR(__xludf.DUMMYFUNCTION("""COMPUTED_VALUE"""),"https://www.google.com/maps/place/Legacy+Comunity+Health+-+Alief+Clinic/@29.675233,-95.596399,15z/data=!4m15!1m8!3m7!1s0x8640dd7c60ebdc5b:0x93de6f2c7fcd62b0!2s12345+Bissonnet+St,+Houston,+TX+77099!3b1!8m2!3d29.6752333!4d-95.5963993!16s%2Fg%2F11trr6qdnn!3m"&amp;"5!1s0x8640ddf5dca410c5:0xdbb2f304370bd668!8m2!3d29.6753794!4d-95.5963405!16s%2Fg%2F11t89f6w0m?hl=en&amp;entry=ttu&amp;g_ep=EgoyMDI1MTAxNC4wIKXMDSoASAFQAw%3D%3D")</f>
        <v>https://www.google.com/maps/place/Legacy+Comunity+Health+-+Alief+Clinic/@29.675233,-95.596399,15z/data=!4m15!1m8!3m7!1s0x8640dd7c60ebdc5b:0x93de6f2c7fcd62b0!2s12345+Bissonnet+St,+Houston,+TX+77099!3b1!8m2!3d29.6752333!4d-95.5963993!16s%2Fg%2F11trr6qdnn!3m5!1s0x8640ddf5dca410c5:0xdbb2f304370bd668!8m2!3d29.6753794!4d-95.5963405!16s%2Fg%2F11t89f6w0m?hl=en&amp;entry=ttu&amp;g_ep=EgoyMDI1MTAxNC4wIKXMDSoASAFQAw%3D%3D</v>
      </c>
      <c r="X527" s="10"/>
      <c r="Y527" s="9" t="str">
        <f>IFERROR(__xludf.DUMMYFUNCTION("""COMPUTED_VALUE"""),"Houston")</f>
        <v>Houston</v>
      </c>
      <c r="Z527" s="9" t="str">
        <f>IFERROR(__xludf.DUMMYFUNCTION("""COMPUTED_VALUE"""),"Alief")</f>
        <v>Alief</v>
      </c>
      <c r="AA527" s="9" t="str">
        <f>IFERROR(__xludf.DUMMYFUNCTION("""COMPUTED_VALUE"""),"Legacy Community Health")</f>
        <v>Legacy Community Health</v>
      </c>
      <c r="AB527" s="9" t="str">
        <f>IFERROR(__xludf.DUMMYFUNCTION("""COMPUTED_VALUE"""),"Alief")</f>
        <v>Alief</v>
      </c>
    </row>
    <row r="528" ht="30.0" customHeight="1">
      <c r="A528" s="17">
        <v>527.0</v>
      </c>
      <c r="B528" s="8" t="str">
        <f>IFERROR(__xludf.DUMMYFUNCTION("""COMPUTED_VALUE"""),"[""99999""]")</f>
        <v>["99999"]</v>
      </c>
      <c r="C528" s="9" t="str">
        <f>IFERROR(__xludf.DUMMYFUNCTION("""COMPUTED_VALUE"""),"Legacy Health - BakerRipley")</f>
        <v>Legacy Health - BakerRipley</v>
      </c>
      <c r="D528" s="9" t="str">
        <f>IFERROR(__xludf.DUMMYFUNCTION("""COMPUTED_VALUE"""),"6500 Rookin Street")</f>
        <v>6500 Rookin Street</v>
      </c>
      <c r="E528" s="9" t="str">
        <f>IFERROR(__xludf.DUMMYFUNCTION("""COMPUTED_VALUE"""),"Building B, Suite 200")</f>
        <v>Building B, Suite 200</v>
      </c>
      <c r="F528" s="9" t="str">
        <f>IFERROR(__xludf.DUMMYFUNCTION("""COMPUTED_VALUE"""),"Houston")</f>
        <v>Houston</v>
      </c>
      <c r="G528" s="9" t="str">
        <f>IFERROR(__xludf.DUMMYFUNCTION("""COMPUTED_VALUE"""),"TX")</f>
        <v>TX</v>
      </c>
      <c r="H528" s="9" t="str">
        <f>IFERROR(__xludf.DUMMYFUNCTION("""COMPUTED_VALUE"""),"77074")</f>
        <v>77074</v>
      </c>
      <c r="I528" s="9" t="str">
        <f>IFERROR(__xludf.DUMMYFUNCTION("""COMPUTED_VALUE"""),"713-351-7350")</f>
        <v>713-351-7350</v>
      </c>
      <c r="J528" s="9" t="str">
        <f>IFERROR(__xludf.DUMMYFUNCTION("""COMPUTED_VALUE"""),"29.711907660495925, -95.49791662630348")</f>
        <v>29.711907660495925, -95.49791662630348</v>
      </c>
      <c r="K528" s="9" t="str">
        <f>IFERROR(__xludf.DUMMYFUNCTION("""COMPUTED_VALUE"""),"{""regular"":[{""days"":[""Mo"",""Tu"",""We"",""Th"",""Fr""],""open"":""08:00"",""close"":""17:00""}]}")</f>
        <v>{"regular":[{"days":["Mo","Tu","We","Th","Fr"],"open":"08:00","close":"17:00"}]}</v>
      </c>
      <c r="L528" s="9"/>
      <c r="M528" s="10">
        <f>IFERROR(__xludf.DUMMYFUNCTION("""COMPUTED_VALUE"""),31.0)</f>
        <v>31</v>
      </c>
      <c r="N528" s="10" t="str">
        <f>IFERROR(__xludf.DUMMYFUNCTION("""COMPUTED_VALUE"""),"Medical - Primary Care")</f>
        <v>Medical - Primary Care</v>
      </c>
      <c r="O528" s="10">
        <f>IFERROR(__xludf.DUMMYFUNCTION("""COMPUTED_VALUE"""),1.0)</f>
        <v>1</v>
      </c>
      <c r="P528" s="10" t="str">
        <f>IFERROR(__xludf.DUMMYFUNCTION("""COMPUTED_VALUE"""),"ACTIVE")</f>
        <v>ACTIVE</v>
      </c>
      <c r="Q528" s="11">
        <f>IFERROR(__xludf.DUMMYFUNCTION("""COMPUTED_VALUE"""),45948.0)</f>
        <v>45948</v>
      </c>
      <c r="R528" s="9" t="str">
        <f>IFERROR(__xludf.DUMMYFUNCTION("""COMPUTED_VALUE"""),"Verified online")</f>
        <v>Verified online</v>
      </c>
      <c r="S528" s="9" t="str">
        <f>IFERROR(__xludf.DUMMYFUNCTION("""COMPUTED_VALUE"""),"Adult medicine, acute care, chronic disease management, sexual health, on-site lab, endocrinology, geriatrics, HIV/STD screening, LGBTQ services OB/GYN and maternity, pediatrics, pharmacy and immunizations.
As a Federally Qualified Health Center (FQHC), i"&amp;"ts services are open to all regardless of ability to pay.  This does not mean services are free.  Their Specialists will help you find grants, financial assistance, sliding fee scale, etc. to make your care affordable.
")</f>
        <v>Adult medicine, acute care, chronic disease management, sexual health, on-site lab, endocrinology, geriatrics, HIV/STD screening, LGBTQ services OB/GYN and maternity, pediatrics, pharmacy and immunizations.
As a Federally Qualified Health Center (FQHC), its services are open to all regardless of ability to pay.  This does not mean services are free.  Their Specialists will help you find grants, financial assistance, sliding fee scale, etc. to make your care affordable.
</v>
      </c>
      <c r="T528" s="12" t="b">
        <f>IFERROR(__xludf.DUMMYFUNCTION("""COMPUTED_VALUE"""),FALSE)</f>
        <v>0</v>
      </c>
      <c r="U528" s="12" t="b">
        <f>IFERROR(__xludf.DUMMYFUNCTION("""COMPUTED_VALUE"""),FALSE)</f>
        <v>0</v>
      </c>
      <c r="V528" s="13" t="str">
        <f>IFERROR(__xludf.DUMMYFUNCTION("""COMPUTED_VALUE"""),"https://www.legacycommunityhealth.org")</f>
        <v>https://www.legacycommunityhealth.org</v>
      </c>
      <c r="W528" s="14" t="str">
        <f>IFERROR(__xludf.DUMMYFUNCTION("""COMPUTED_VALUE"""),"https://www.google.com/maps/place/Legacy+Community+Health+-+Baker-Ripley+Clinic/@29.710864,-95.497981,15z/data=!4m15!1m8!3m7!1s0x8640c2379594d1f5:0x4de5d332b82981d5!2s6500+Rookin+St+Bldg+B+Ste+200,+Houston,+TX+77074!3b1!8m2!3d29.7111976!4d-95.4972008!16s%"&amp;"2Fg%2F11kk6400pp!3m5!1s0x8640c2498bb9c6d5:0x44a0654cce23dc54!8m2!3d29.7108253!4d-95.4980142!16s%2Fg%2F11bv30mmhc?hl=en&amp;entry=ttu&amp;g_ep=EgoyMDI1MTAxNC4wIKXMDSoASAFQAw%3D%3D")</f>
        <v>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v>
      </c>
      <c r="X528" s="10"/>
      <c r="Y528" s="9" t="str">
        <f>IFERROR(__xludf.DUMMYFUNCTION("""COMPUTED_VALUE"""),"Houston")</f>
        <v>Houston</v>
      </c>
      <c r="Z528" s="9" t="str">
        <f>IFERROR(__xludf.DUMMYFUNCTION("""COMPUTED_VALUE"""),"Braeburn, Robindell, Sharpstown")</f>
        <v>Braeburn, Robindell, Sharpstown</v>
      </c>
      <c r="AA528" s="9" t="str">
        <f>IFERROR(__xludf.DUMMYFUNCTION("""COMPUTED_VALUE"""),"Legacy Community Health")</f>
        <v>Legacy Community Health</v>
      </c>
      <c r="AB528" s="9" t="str">
        <f>IFERROR(__xludf.DUMMYFUNCTION("""COMPUTED_VALUE"""),"Sharpstown")</f>
        <v>Sharpstown</v>
      </c>
    </row>
    <row r="529" ht="30.0" customHeight="1">
      <c r="A529" s="17">
        <v>528.0</v>
      </c>
      <c r="B529" s="8" t="str">
        <f>IFERROR(__xludf.DUMMYFUNCTION("""COMPUTED_VALUE"""),"[""99999""]")</f>
        <v>["99999"]</v>
      </c>
      <c r="C529" s="9" t="str">
        <f>IFERROR(__xludf.DUMMYFUNCTION("""COMPUTED_VALUE"""),"Legacy Health - BakerRipley")</f>
        <v>Legacy Health - BakerRipley</v>
      </c>
      <c r="D529" s="9" t="str">
        <f>IFERROR(__xludf.DUMMYFUNCTION("""COMPUTED_VALUE"""),"6500 Rookin Street")</f>
        <v>6500 Rookin Street</v>
      </c>
      <c r="E529" s="9" t="str">
        <f>IFERROR(__xludf.DUMMYFUNCTION("""COMPUTED_VALUE"""),"Building B, Suite 200")</f>
        <v>Building B, Suite 200</v>
      </c>
      <c r="F529" s="9" t="str">
        <f>IFERROR(__xludf.DUMMYFUNCTION("""COMPUTED_VALUE"""),"Houston")</f>
        <v>Houston</v>
      </c>
      <c r="G529" s="9" t="str">
        <f>IFERROR(__xludf.DUMMYFUNCTION("""COMPUTED_VALUE"""),"TX")</f>
        <v>TX</v>
      </c>
      <c r="H529" s="9" t="str">
        <f>IFERROR(__xludf.DUMMYFUNCTION("""COMPUTED_VALUE"""),"77074")</f>
        <v>77074</v>
      </c>
      <c r="I529" s="9" t="str">
        <f>IFERROR(__xludf.DUMMYFUNCTION("""COMPUTED_VALUE"""),"713-351-7350")</f>
        <v>713-351-7350</v>
      </c>
      <c r="J529" s="9" t="str">
        <f>IFERROR(__xludf.DUMMYFUNCTION("""COMPUTED_VALUE"""),"29.711907660495925, -95.49791662630348")</f>
        <v>29.711907660495925, -95.49791662630348</v>
      </c>
      <c r="K529" s="9" t="str">
        <f>IFERROR(__xludf.DUMMYFUNCTION("""COMPUTED_VALUE"""),"{""regular"":[{""days"":[""Mo"",""Tu"",""We"",""Th"",""Fr""],""open"":""08:00"",""close"":""17:00""}]}")</f>
        <v>{"regular":[{"days":["Mo","Tu","We","Th","Fr"],"open":"08:00","close":"17:00"}]}</v>
      </c>
      <c r="L529" s="9"/>
      <c r="M529" s="10">
        <f>IFERROR(__xludf.DUMMYFUNCTION("""COMPUTED_VALUE"""),32.0)</f>
        <v>32</v>
      </c>
      <c r="N529" s="10" t="str">
        <f>IFERROR(__xludf.DUMMYFUNCTION("""COMPUTED_VALUE"""),"Medical - Dental &amp; Vision")</f>
        <v>Medical - Dental &amp; Vision</v>
      </c>
      <c r="O529" s="10">
        <f>IFERROR(__xludf.DUMMYFUNCTION("""COMPUTED_VALUE"""),1.0)</f>
        <v>1</v>
      </c>
      <c r="P529" s="10" t="str">
        <f>IFERROR(__xludf.DUMMYFUNCTION("""COMPUTED_VALUE"""),"ACTIVE")</f>
        <v>ACTIVE</v>
      </c>
      <c r="Q529" s="11">
        <f>IFERROR(__xludf.DUMMYFUNCTION("""COMPUTED_VALUE"""),46049.0)</f>
        <v>46049</v>
      </c>
      <c r="R529" s="9" t="str">
        <f>IFERROR(__xludf.DUMMYFUNCTION("""COMPUTED_VALUE"""),"Verified online")</f>
        <v>Verified online</v>
      </c>
      <c r="S529" s="9" t="str">
        <f>IFERROR(__xludf.DUMMYFUNCTION("""COMPUTED_VALUE"""),"Dental
As a Federally Qualified Health Center (FQHC), its services are open to all regardless of ability to pay.  This does not mean services are free.  Their Specialists will help you find grants, financial assistance, sliding fee scale, etc. to make you"&amp;"r care affordable.
Dental services include children's dentistry, cleanings, exams, extractions, screenings, fillings and urgent care (Emergencies).")</f>
        <v>Dental
As a Federally Qualified Health Center (FQHC), its services are open to all regardless of ability to pay.  This does not mean services are free.  Their Specialists will help you find grants, financial assistance, sliding fee scale, etc. to make your care affordable.
Dental services include children's dentistry, cleanings, exams, extractions, screenings, fillings and urgent care (Emergencies).</v>
      </c>
      <c r="T529" s="12" t="b">
        <f>IFERROR(__xludf.DUMMYFUNCTION("""COMPUTED_VALUE"""),TRUE)</f>
        <v>1</v>
      </c>
      <c r="U529" s="12" t="b">
        <f>IFERROR(__xludf.DUMMYFUNCTION("""COMPUTED_VALUE"""),FALSE)</f>
        <v>0</v>
      </c>
      <c r="V529" s="13" t="str">
        <f>IFERROR(__xludf.DUMMYFUNCTION("""COMPUTED_VALUE"""),"https://www.legacycommunityhealth.org")</f>
        <v>https://www.legacycommunityhealth.org</v>
      </c>
      <c r="W529" s="14" t="str">
        <f>IFERROR(__xludf.DUMMYFUNCTION("""COMPUTED_VALUE"""),"https://www.google.com/maps/place/Legacy+Community+Health+-+Baker-Ripley+Clinic/@29.710864,-95.497981,15z/data=!4m15!1m8!3m7!1s0x8640c2379594d1f5:0x4de5d332b82981d5!2s6500+Rookin+St+Bldg+B+Ste+200,+Houston,+TX+77074!3b1!8m2!3d29.7111976!4d-95.4972008!16s%"&amp;"2Fg%2F11kk6400pp!3m5!1s0x8640c2498bb9c6d5:0x44a0654cce23dc54!8m2!3d29.7108253!4d-95.4980142!16s%2Fg%2F11bv30mmhc?hl=en&amp;entry=ttu&amp;g_ep=EgoyMDI1MTAxNC4wIKXMDSoASAFQAw%3D%3D")</f>
        <v>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v>
      </c>
      <c r="X529" s="10"/>
      <c r="Y529" s="9" t="str">
        <f>IFERROR(__xludf.DUMMYFUNCTION("""COMPUTED_VALUE"""),"Houston")</f>
        <v>Houston</v>
      </c>
      <c r="Z529" s="9" t="str">
        <f>IFERROR(__xludf.DUMMYFUNCTION("""COMPUTED_VALUE"""),"Braeburn, Robindell, Sharpstown")</f>
        <v>Braeburn, Robindell, Sharpstown</v>
      </c>
      <c r="AA529" s="9" t="str">
        <f>IFERROR(__xludf.DUMMYFUNCTION("""COMPUTED_VALUE"""),"Legacy Community Health")</f>
        <v>Legacy Community Health</v>
      </c>
      <c r="AB529" s="9" t="str">
        <f>IFERROR(__xludf.DUMMYFUNCTION("""COMPUTED_VALUE"""),"Sharpstown")</f>
        <v>Sharpstown</v>
      </c>
    </row>
    <row r="530" ht="30.0" customHeight="1">
      <c r="A530" s="17">
        <v>529.0</v>
      </c>
      <c r="B530" s="8" t="str">
        <f>IFERROR(__xludf.DUMMYFUNCTION("""COMPUTED_VALUE"""),"[""99999""]")</f>
        <v>["99999"]</v>
      </c>
      <c r="C530" s="9" t="str">
        <f>IFERROR(__xludf.DUMMYFUNCTION("""COMPUTED_VALUE"""),"Legacy Health - BakerRipley")</f>
        <v>Legacy Health - BakerRipley</v>
      </c>
      <c r="D530" s="9" t="str">
        <f>IFERROR(__xludf.DUMMYFUNCTION("""COMPUTED_VALUE"""),"6500 Rookin Street")</f>
        <v>6500 Rookin Street</v>
      </c>
      <c r="E530" s="9" t="str">
        <f>IFERROR(__xludf.DUMMYFUNCTION("""COMPUTED_VALUE"""),"Building B, Suite 200")</f>
        <v>Building B, Suite 200</v>
      </c>
      <c r="F530" s="9" t="str">
        <f>IFERROR(__xludf.DUMMYFUNCTION("""COMPUTED_VALUE"""),"Houston")</f>
        <v>Houston</v>
      </c>
      <c r="G530" s="9" t="str">
        <f>IFERROR(__xludf.DUMMYFUNCTION("""COMPUTED_VALUE"""),"TX")</f>
        <v>TX</v>
      </c>
      <c r="H530" s="9" t="str">
        <f>IFERROR(__xludf.DUMMYFUNCTION("""COMPUTED_VALUE"""),"77074")</f>
        <v>77074</v>
      </c>
      <c r="I530" s="9" t="str">
        <f>IFERROR(__xludf.DUMMYFUNCTION("""COMPUTED_VALUE"""),"713-351-7350")</f>
        <v>713-351-7350</v>
      </c>
      <c r="J530" s="9" t="str">
        <f>IFERROR(__xludf.DUMMYFUNCTION("""COMPUTED_VALUE"""),"29.711907660495925, -95.49791662630348")</f>
        <v>29.711907660495925, -95.49791662630348</v>
      </c>
      <c r="K530" s="9" t="str">
        <f>IFERROR(__xludf.DUMMYFUNCTION("""COMPUTED_VALUE"""),"{""regular"":[{""days"":[""Mo"",""Tu"",""We"",""Th"",""Fr""],""open"":""08:00"",""close"":""17:00""}]}")</f>
        <v>{"regular":[{"days":["Mo","Tu","We","Th","Fr"],"open":"08:00","close":"17:00"}]}</v>
      </c>
      <c r="L530" s="9"/>
      <c r="M530" s="10">
        <f>IFERROR(__xludf.DUMMYFUNCTION("""COMPUTED_VALUE"""),33.0)</f>
        <v>33</v>
      </c>
      <c r="N530" s="10" t="str">
        <f>IFERROR(__xludf.DUMMYFUNCTION("""COMPUTED_VALUE"""),"Medical - Behavioral Health")</f>
        <v>Medical - Behavioral Health</v>
      </c>
      <c r="O530" s="10">
        <f>IFERROR(__xludf.DUMMYFUNCTION("""COMPUTED_VALUE"""),1.0)</f>
        <v>1</v>
      </c>
      <c r="P530" s="10" t="str">
        <f>IFERROR(__xludf.DUMMYFUNCTION("""COMPUTED_VALUE"""),"ACTIVE")</f>
        <v>ACTIVE</v>
      </c>
      <c r="Q530" s="11">
        <f>IFERROR(__xludf.DUMMYFUNCTION("""COMPUTED_VALUE"""),45948.0)</f>
        <v>45948</v>
      </c>
      <c r="R530" s="9" t="str">
        <f>IFERROR(__xludf.DUMMYFUNCTION("""COMPUTED_VALUE"""),"Verified online")</f>
        <v>Verified online</v>
      </c>
      <c r="S530"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30" s="12" t="b">
        <f>IFERROR(__xludf.DUMMYFUNCTION("""COMPUTED_VALUE"""),FALSE)</f>
        <v>0</v>
      </c>
      <c r="U530" s="12" t="b">
        <f>IFERROR(__xludf.DUMMYFUNCTION("""COMPUTED_VALUE"""),FALSE)</f>
        <v>0</v>
      </c>
      <c r="V530" s="13" t="str">
        <f>IFERROR(__xludf.DUMMYFUNCTION("""COMPUTED_VALUE"""),"https://www.legacycommunityhealth.org")</f>
        <v>https://www.legacycommunityhealth.org</v>
      </c>
      <c r="W530" s="14" t="str">
        <f>IFERROR(__xludf.DUMMYFUNCTION("""COMPUTED_VALUE"""),"https://www.google.com/maps/place/Legacy+Community+Health+-+Baker-Ripley+Clinic/@29.710864,-95.497981,15z/data=!4m15!1m8!3m7!1s0x8640c2379594d1f5:0x4de5d332b82981d5!2s6500+Rookin+St+Bldg+B+Ste+200,+Houston,+TX+77074!3b1!8m2!3d29.7111976!4d-95.4972008!16s%"&amp;"2Fg%2F11kk6400pp!3m5!1s0x8640c2498bb9c6d5:0x44a0654cce23dc54!8m2!3d29.7108253!4d-95.4980142!16s%2Fg%2F11bv30mmhc?hl=en&amp;entry=ttu&amp;g_ep=EgoyMDI1MTAxNC4wIKXMDSoASAFQAw%3D%3D")</f>
        <v>https://www.google.com/maps/place/Legacy+Community+Health+-+Baker-Ripley+Clinic/@29.710864,-95.497981,15z/data=!4m15!1m8!3m7!1s0x8640c2379594d1f5:0x4de5d332b82981d5!2s6500+Rookin+St+Bldg+B+Ste+200,+Houston,+TX+77074!3b1!8m2!3d29.7111976!4d-95.4972008!16s%2Fg%2F11kk6400pp!3m5!1s0x8640c2498bb9c6d5:0x44a0654cce23dc54!8m2!3d29.7108253!4d-95.4980142!16s%2Fg%2F11bv30mmhc?hl=en&amp;entry=ttu&amp;g_ep=EgoyMDI1MTAxNC4wIKXMDSoASAFQAw%3D%3D</v>
      </c>
      <c r="X530" s="10"/>
      <c r="Y530" s="9" t="str">
        <f>IFERROR(__xludf.DUMMYFUNCTION("""COMPUTED_VALUE"""),"Houston")</f>
        <v>Houston</v>
      </c>
      <c r="Z530" s="9" t="str">
        <f>IFERROR(__xludf.DUMMYFUNCTION("""COMPUTED_VALUE"""),"Braeburn, Robindell, Sharpstown")</f>
        <v>Braeburn, Robindell, Sharpstown</v>
      </c>
      <c r="AA530" s="9" t="str">
        <f>IFERROR(__xludf.DUMMYFUNCTION("""COMPUTED_VALUE"""),"Legacy Community Health")</f>
        <v>Legacy Community Health</v>
      </c>
      <c r="AB530" s="9" t="str">
        <f>IFERROR(__xludf.DUMMYFUNCTION("""COMPUTED_VALUE"""),"Sharpstown")</f>
        <v>Sharpstown</v>
      </c>
    </row>
    <row r="531" ht="30.0" customHeight="1">
      <c r="A531" s="17">
        <v>530.0</v>
      </c>
      <c r="B531" s="8" t="str">
        <f>IFERROR(__xludf.DUMMYFUNCTION("""COMPUTED_VALUE"""),"[""99999""]")</f>
        <v>["99999"]</v>
      </c>
      <c r="C531" s="9" t="str">
        <f>IFERROR(__xludf.DUMMYFUNCTION("""COMPUTED_VALUE"""),"Legacy Health - Baytown Garth")</f>
        <v>Legacy Health - Baytown Garth</v>
      </c>
      <c r="D531" s="9" t="str">
        <f>IFERROR(__xludf.DUMMYFUNCTION("""COMPUTED_VALUE"""),"3509 Garth Road")</f>
        <v>3509 Garth Road</v>
      </c>
      <c r="E531" s="9"/>
      <c r="F531" s="9" t="str">
        <f>IFERROR(__xludf.DUMMYFUNCTION("""COMPUTED_VALUE"""),"Houston")</f>
        <v>Houston</v>
      </c>
      <c r="G531" s="9" t="str">
        <f>IFERROR(__xludf.DUMMYFUNCTION("""COMPUTED_VALUE"""),"TX")</f>
        <v>TX</v>
      </c>
      <c r="H531" s="9" t="str">
        <f>IFERROR(__xludf.DUMMYFUNCTION("""COMPUTED_VALUE"""),"77521")</f>
        <v>77521</v>
      </c>
      <c r="I531" s="9" t="str">
        <f>IFERROR(__xludf.DUMMYFUNCTION("""COMPUTED_VALUE"""),"281-420-8400")</f>
        <v>281-420-8400</v>
      </c>
      <c r="J531" s="9" t="str">
        <f>IFERROR(__xludf.DUMMYFUNCTION("""COMPUTED_VALUE"""),"29.761685120954283, -94.97868020506112")</f>
        <v>29.761685120954283, -94.97868020506112</v>
      </c>
      <c r="K531" s="9" t="str">
        <f>IFERROR(__xludf.DUMMYFUNCTION("""COMPUTED_VALUE"""),"{""regular"":[{""days"":[""Mo"",""Tu"",""We"",""Th""],""open"":""08:00"",""close"":""17:30""},{""days"":[""Fr""],""open"":""08:00"",""close"":""18:00""}]}")</f>
        <v>{"regular":[{"days":["Mo","Tu","We","Th"],"open":"08:00","close":"17:30"},{"days":["Fr"],"open":"08:00","close":"18:00"}]}</v>
      </c>
      <c r="L531" s="9"/>
      <c r="M531" s="10">
        <f>IFERROR(__xludf.DUMMYFUNCTION("""COMPUTED_VALUE"""),31.0)</f>
        <v>31</v>
      </c>
      <c r="N531" s="10" t="str">
        <f>IFERROR(__xludf.DUMMYFUNCTION("""COMPUTED_VALUE"""),"Medical - Primary Care")</f>
        <v>Medical - Primary Care</v>
      </c>
      <c r="O531" s="10">
        <f>IFERROR(__xludf.DUMMYFUNCTION("""COMPUTED_VALUE"""),1.0)</f>
        <v>1</v>
      </c>
      <c r="P531" s="10" t="str">
        <f>IFERROR(__xludf.DUMMYFUNCTION("""COMPUTED_VALUE"""),"ACTIVE")</f>
        <v>ACTIVE</v>
      </c>
      <c r="Q531" s="11">
        <f>IFERROR(__xludf.DUMMYFUNCTION("""COMPUTED_VALUE"""),45948.0)</f>
        <v>45948</v>
      </c>
      <c r="R531" s="9" t="str">
        <f>IFERROR(__xludf.DUMMYFUNCTION("""COMPUTED_VALUE"""),"Verified online")</f>
        <v>Verified online</v>
      </c>
      <c r="S531"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Behavioral Health
OB/GYN
Pediatrics")</f>
        <v>As a Federally Qualified Health Center (FQHC), its services are open to all regardless of ability to pay.  This does not mean services are free.  Their Specialists will help you find grants, financial assistance, sliding fee scale, etc. to make your care affordable.
Behavioral Health
OB/GYN
Pediatrics</v>
      </c>
      <c r="T531" s="12" t="b">
        <f>IFERROR(__xludf.DUMMYFUNCTION("""COMPUTED_VALUE"""),FALSE)</f>
        <v>0</v>
      </c>
      <c r="U531" s="12" t="b">
        <f>IFERROR(__xludf.DUMMYFUNCTION("""COMPUTED_VALUE"""),FALSE)</f>
        <v>0</v>
      </c>
      <c r="V531" s="13" t="str">
        <f>IFERROR(__xludf.DUMMYFUNCTION("""COMPUTED_VALUE"""),"https://www.legacycommunityhealth.org")</f>
        <v>https://www.legacycommunityhealth.org</v>
      </c>
      <c r="W531" s="14" t="str">
        <f>IFERROR(__xludf.DUMMYFUNCTION("""COMPUTED_VALUE"""),"https://www.google.com/maps/place/Legacy+Community+Health+-+Baytown+Garth/@29.760791,-94.97853,15z/data=!4m15!1m8!3m7!1s0x863f5e9e10884a09:0xac9587bb56633f77!2s3509+Garth+Rd,+Baytown,+TX+77521!3b1!8m2!3d29.7607909!4d-94.9785298!16s%2Fg%2F11hbmnnnyq!3m5!1s"&amp;"0x863f5fe1a4158cdf:0x45883d67eb831369!8m2!3d29.7608248!4d-94.9785618!16s%2Fg%2F11vdw8g21b?hl=en&amp;entry=ttu&amp;g_ep=EgoyMDI1MTAxNC4wIKXMDSoASAFQAw%3D%3D")</f>
        <v>https://www.google.com/maps/place/Legacy+Community+Health+-+Baytown+Garth/@29.760791,-94.97853,15z/data=!4m15!1m8!3m7!1s0x863f5e9e10884a09:0xac9587bb56633f77!2s3509+Garth+Rd,+Baytown,+TX+77521!3b1!8m2!3d29.7607909!4d-94.9785298!16s%2Fg%2F11hbmnnnyq!3m5!1s0x863f5fe1a4158cdf:0x45883d67eb831369!8m2!3d29.7608248!4d-94.9785618!16s%2Fg%2F11vdw8g21b?hl=en&amp;entry=ttu&amp;g_ep=EgoyMDI1MTAxNC4wIKXMDSoASAFQAw%3D%3D</v>
      </c>
      <c r="X531" s="10"/>
      <c r="Y531" s="9" t="str">
        <f>IFERROR(__xludf.DUMMYFUNCTION("""COMPUTED_VALUE"""),"Baytown")</f>
        <v>Baytown</v>
      </c>
      <c r="Z531" s="9" t="str">
        <f>IFERROR(__xludf.DUMMYFUNCTION("""COMPUTED_VALUE"""),"Baytown, Baytown (North), Highland Farms")</f>
        <v>Baytown, Baytown (North), Highland Farms</v>
      </c>
      <c r="AA531" s="9" t="str">
        <f>IFERROR(__xludf.DUMMYFUNCTION("""COMPUTED_VALUE"""),"Legacy Community Health")</f>
        <v>Legacy Community Health</v>
      </c>
      <c r="AB531" s="9" t="str">
        <f>IFERROR(__xludf.DUMMYFUNCTION("""COMPUTED_VALUE"""),"Baytown")</f>
        <v>Baytown</v>
      </c>
    </row>
    <row r="532" ht="30.0" customHeight="1">
      <c r="A532" s="17">
        <v>531.0</v>
      </c>
      <c r="B532" s="8" t="str">
        <f>IFERROR(__xludf.DUMMYFUNCTION("""COMPUTED_VALUE"""),"[""99999""]")</f>
        <v>["99999"]</v>
      </c>
      <c r="C532" s="9" t="str">
        <f>IFERROR(__xludf.DUMMYFUNCTION("""COMPUTED_VALUE"""),"Legacy Health - Baytown Garth")</f>
        <v>Legacy Health - Baytown Garth</v>
      </c>
      <c r="D532" s="9" t="str">
        <f>IFERROR(__xludf.DUMMYFUNCTION("""COMPUTED_VALUE"""),"3509 Garth Road")</f>
        <v>3509 Garth Road</v>
      </c>
      <c r="E532" s="9"/>
      <c r="F532" s="9" t="str">
        <f>IFERROR(__xludf.DUMMYFUNCTION("""COMPUTED_VALUE"""),"Houston")</f>
        <v>Houston</v>
      </c>
      <c r="G532" s="9" t="str">
        <f>IFERROR(__xludf.DUMMYFUNCTION("""COMPUTED_VALUE"""),"TX")</f>
        <v>TX</v>
      </c>
      <c r="H532" s="9" t="str">
        <f>IFERROR(__xludf.DUMMYFUNCTION("""COMPUTED_VALUE"""),"77521")</f>
        <v>77521</v>
      </c>
      <c r="I532" s="9" t="str">
        <f>IFERROR(__xludf.DUMMYFUNCTION("""COMPUTED_VALUE"""),"281-420-8400")</f>
        <v>281-420-8400</v>
      </c>
      <c r="J532" s="9" t="str">
        <f>IFERROR(__xludf.DUMMYFUNCTION("""COMPUTED_VALUE"""),"29.761685120954283, -94.97868020506112")</f>
        <v>29.761685120954283, -94.97868020506112</v>
      </c>
      <c r="K532" s="9" t="str">
        <f>IFERROR(__xludf.DUMMYFUNCTION("""COMPUTED_VALUE"""),"{""regular"":[{""days"":[""Mo"",""Tu"",""We"",""Th""],""open"":""08:00"",""close"":""17:30""},{""days"":[""Fr""],""open"":""08:00"",""close"":""18:00""}]}")</f>
        <v>{"regular":[{"days":["Mo","Tu","We","Th"],"open":"08:00","close":"17:30"},{"days":["Fr"],"open":"08:00","close":"18:00"}]}</v>
      </c>
      <c r="L532" s="9"/>
      <c r="M532" s="10">
        <f>IFERROR(__xludf.DUMMYFUNCTION("""COMPUTED_VALUE"""),33.0)</f>
        <v>33</v>
      </c>
      <c r="N532" s="10" t="str">
        <f>IFERROR(__xludf.DUMMYFUNCTION("""COMPUTED_VALUE"""),"Medical - Behavioral Health")</f>
        <v>Medical - Behavioral Health</v>
      </c>
      <c r="O532" s="10">
        <f>IFERROR(__xludf.DUMMYFUNCTION("""COMPUTED_VALUE"""),1.0)</f>
        <v>1</v>
      </c>
      <c r="P532" s="10" t="str">
        <f>IFERROR(__xludf.DUMMYFUNCTION("""COMPUTED_VALUE"""),"ACTIVE")</f>
        <v>ACTIVE</v>
      </c>
      <c r="Q532" s="11">
        <f>IFERROR(__xludf.DUMMYFUNCTION("""COMPUTED_VALUE"""),45948.0)</f>
        <v>45948</v>
      </c>
      <c r="R532" s="9" t="str">
        <f>IFERROR(__xludf.DUMMYFUNCTION("""COMPUTED_VALUE"""),"Verified online")</f>
        <v>Verified online</v>
      </c>
      <c r="S532"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32" s="12" t="b">
        <f>IFERROR(__xludf.DUMMYFUNCTION("""COMPUTED_VALUE"""),FALSE)</f>
        <v>0</v>
      </c>
      <c r="U532" s="12" t="b">
        <f>IFERROR(__xludf.DUMMYFUNCTION("""COMPUTED_VALUE"""),FALSE)</f>
        <v>0</v>
      </c>
      <c r="V532" s="13" t="str">
        <f>IFERROR(__xludf.DUMMYFUNCTION("""COMPUTED_VALUE"""),"https://www.legacycommunityhealth.org")</f>
        <v>https://www.legacycommunityhealth.org</v>
      </c>
      <c r="W532" s="14" t="str">
        <f>IFERROR(__xludf.DUMMYFUNCTION("""COMPUTED_VALUE"""),"https://www.google.com/maps/place/Legacy+Community+Health+-+Baytown+Garth/@29.760791,-94.97853,15z/data=!4m15!1m8!3m7!1s0x863f5e9e10884a09:0xac9587bb56633f77!2s3509+Garth+Rd,+Baytown,+TX+77521!3b1!8m2!3d29.7607909!4d-94.9785298!16s%2Fg%2F11hbmnnnyq!3m5!1s"&amp;"0x863f5fe1a4158cdf:0x45883d67eb831369!8m2!3d29.7608248!4d-94.9785618!16s%2Fg%2F11vdw8g21b?hl=en&amp;entry=ttu&amp;g_ep=EgoyMDI1MTAxNC4wIKXMDSoASAFQAw%3D%3D")</f>
        <v>https://www.google.com/maps/place/Legacy+Community+Health+-+Baytown+Garth/@29.760791,-94.97853,15z/data=!4m15!1m8!3m7!1s0x863f5e9e10884a09:0xac9587bb56633f77!2s3509+Garth+Rd,+Baytown,+TX+77521!3b1!8m2!3d29.7607909!4d-94.9785298!16s%2Fg%2F11hbmnnnyq!3m5!1s0x863f5fe1a4158cdf:0x45883d67eb831369!8m2!3d29.7608248!4d-94.9785618!16s%2Fg%2F11vdw8g21b?hl=en&amp;entry=ttu&amp;g_ep=EgoyMDI1MTAxNC4wIKXMDSoASAFQAw%3D%3D</v>
      </c>
      <c r="X532" s="10"/>
      <c r="Y532" s="9" t="str">
        <f>IFERROR(__xludf.DUMMYFUNCTION("""COMPUTED_VALUE"""),"Baytown")</f>
        <v>Baytown</v>
      </c>
      <c r="Z532" s="9" t="str">
        <f>IFERROR(__xludf.DUMMYFUNCTION("""COMPUTED_VALUE"""),"Baytown, Baytown (North), Highland Farms")</f>
        <v>Baytown, Baytown (North), Highland Farms</v>
      </c>
      <c r="AA532" s="9" t="str">
        <f>IFERROR(__xludf.DUMMYFUNCTION("""COMPUTED_VALUE"""),"Legacy Community Health")</f>
        <v>Legacy Community Health</v>
      </c>
      <c r="AB532" s="9" t="str">
        <f>IFERROR(__xludf.DUMMYFUNCTION("""COMPUTED_VALUE"""),"Baytown")</f>
        <v>Baytown</v>
      </c>
    </row>
    <row r="533" ht="30.0" customHeight="1">
      <c r="A533" s="17">
        <v>532.0</v>
      </c>
      <c r="B533" s="8" t="str">
        <f>IFERROR(__xludf.DUMMYFUNCTION("""COMPUTED_VALUE"""),"[""99999""]")</f>
        <v>["99999"]</v>
      </c>
      <c r="C533" s="9" t="str">
        <f>IFERROR(__xludf.DUMMYFUNCTION("""COMPUTED_VALUE"""),"Legacy Health - Bissonnet Pediatrics")</f>
        <v>Legacy Health - Bissonnet Pediatrics</v>
      </c>
      <c r="D533" s="9" t="str">
        <f>IFERROR(__xludf.DUMMYFUNCTION("""COMPUTED_VALUE"""),"12667 Bissonnet Street")</f>
        <v>12667 Bissonnet Street</v>
      </c>
      <c r="E533" s="9"/>
      <c r="F533" s="9" t="str">
        <f>IFERROR(__xludf.DUMMYFUNCTION("""COMPUTED_VALUE"""),"Houston")</f>
        <v>Houston</v>
      </c>
      <c r="G533" s="9" t="str">
        <f>IFERROR(__xludf.DUMMYFUNCTION("""COMPUTED_VALUE"""),"TX")</f>
        <v>TX</v>
      </c>
      <c r="H533" s="9" t="str">
        <f>IFERROR(__xludf.DUMMYFUNCTION("""COMPUTED_VALUE"""),"77099")</f>
        <v>77099</v>
      </c>
      <c r="I533" s="9" t="str">
        <f>IFERROR(__xludf.DUMMYFUNCTION("""COMPUTED_VALUE"""),"713-814-3598")</f>
        <v>713-814-3598</v>
      </c>
      <c r="J533" s="9" t="str">
        <f>IFERROR(__xludf.DUMMYFUNCTION("""COMPUTED_VALUE"""),"29.677099933001386, -95.6015733556588")</f>
        <v>29.677099933001386, -95.6015733556588</v>
      </c>
      <c r="K533" s="9" t="str">
        <f>IFERROR(__xludf.DUMMYFUNCTION("""COMPUTED_VALUE"""),"{""regular"":[{""days"":[""Mo"",""Tu"",""We"",""Th"",""Fr""],""open"":""08:00"",""close"":""17:00""}]}")</f>
        <v>{"regular":[{"days":["Mo","Tu","We","Th","Fr"],"open":"08:00","close":"17:00"}]}</v>
      </c>
      <c r="L533" s="9"/>
      <c r="M533" s="10">
        <f>IFERROR(__xludf.DUMMYFUNCTION("""COMPUTED_VALUE"""),31.0)</f>
        <v>31</v>
      </c>
      <c r="N533" s="10" t="str">
        <f>IFERROR(__xludf.DUMMYFUNCTION("""COMPUTED_VALUE"""),"Medical - Primary Care")</f>
        <v>Medical - Primary Care</v>
      </c>
      <c r="O533" s="10">
        <f>IFERROR(__xludf.DUMMYFUNCTION("""COMPUTED_VALUE"""),1.0)</f>
        <v>1</v>
      </c>
      <c r="P533" s="10" t="str">
        <f>IFERROR(__xludf.DUMMYFUNCTION("""COMPUTED_VALUE"""),"ACTIVE")</f>
        <v>ACTIVE</v>
      </c>
      <c r="Q533" s="11">
        <f>IFERROR(__xludf.DUMMYFUNCTION("""COMPUTED_VALUE"""),45948.0)</f>
        <v>45948</v>
      </c>
      <c r="R533" s="9" t="str">
        <f>IFERROR(__xludf.DUMMYFUNCTION("""COMPUTED_VALUE"""),"Verified online")</f>
        <v>Verified online</v>
      </c>
      <c r="S533"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Pediatrics
Behavioral Health
Vaccinations")</f>
        <v>As a Federally Qualified Health Center (FQHC), its services are open to all regardless of ability to pay.  This does not mean services are free.  Their Specialists will help you find grants, financial assistance, sliding fee scale, etc. to make your care affordable.
Pediatrics
Behavioral Health
Vaccinations</v>
      </c>
      <c r="T533" s="12" t="b">
        <f>IFERROR(__xludf.DUMMYFUNCTION("""COMPUTED_VALUE"""),FALSE)</f>
        <v>0</v>
      </c>
      <c r="U533" s="12" t="b">
        <f>IFERROR(__xludf.DUMMYFUNCTION("""COMPUTED_VALUE"""),FALSE)</f>
        <v>0</v>
      </c>
      <c r="V533" s="13" t="str">
        <f>IFERROR(__xludf.DUMMYFUNCTION("""COMPUTED_VALUE"""),"https://www.legacycommunityhealth.org")</f>
        <v>https://www.legacycommunityhealth.org</v>
      </c>
      <c r="W533" s="14" t="str">
        <f>IFERROR(__xludf.DUMMYFUNCTION("""COMPUTED_VALUE"""),"https://www.google.com/maps/place/Legacy+Community+Health+-+Bissonnet+Pediatrics/@29.676783,-95.601627,16z/data=!4m15!1m8!3m7!1s0x8640dd78d4868625:0xe616961881a2f86d!2s12667+Bissonnet+St,+Houston,+TX+77099!3b1!8m2!3d29.6767825!4d-95.6016268!16s%2Fg%2F11c5"&amp;"kckhbc!3m5!1s0x8640dd78c39e740f:0x963e00119d2858b!8m2!3d29.6767825!4d-95.6016268!16s%2Fg%2F11b6j71gry?hl=en&amp;entry=ttu&amp;g_ep=EgoyMDI1MTAxNC4wIKXMDSoASAFQAw%3D%3D")</f>
        <v>https://www.google.com/maps/place/Legacy+Community+Health+-+Bissonnet+Pediatrics/@29.676783,-95.601627,16z/data=!4m15!1m8!3m7!1s0x8640dd78d4868625:0xe616961881a2f86d!2s12667+Bissonnet+St,+Houston,+TX+77099!3b1!8m2!3d29.6767825!4d-95.6016268!16s%2Fg%2F11c5kckhbc!3m5!1s0x8640dd78c39e740f:0x963e00119d2858b!8m2!3d29.6767825!4d-95.6016268!16s%2Fg%2F11b6j71gry?hl=en&amp;entry=ttu&amp;g_ep=EgoyMDI1MTAxNC4wIKXMDSoASAFQAw%3D%3D</v>
      </c>
      <c r="X533" s="10"/>
      <c r="Y533" s="9" t="str">
        <f>IFERROR(__xludf.DUMMYFUNCTION("""COMPUTED_VALUE"""),"Houston")</f>
        <v>Houston</v>
      </c>
      <c r="Z533" s="9" t="str">
        <f>IFERROR(__xludf.DUMMYFUNCTION("""COMPUTED_VALUE"""),"Alief")</f>
        <v>Alief</v>
      </c>
      <c r="AA533" s="9" t="str">
        <f>IFERROR(__xludf.DUMMYFUNCTION("""COMPUTED_VALUE"""),"Legacy Community Health")</f>
        <v>Legacy Community Health</v>
      </c>
      <c r="AB533" s="9" t="str">
        <f>IFERROR(__xludf.DUMMYFUNCTION("""COMPUTED_VALUE"""),"Alief")</f>
        <v>Alief</v>
      </c>
    </row>
    <row r="534" ht="30.0" customHeight="1">
      <c r="A534" s="17">
        <v>533.0</v>
      </c>
      <c r="B534" s="8" t="str">
        <f>IFERROR(__xludf.DUMMYFUNCTION("""COMPUTED_VALUE"""),"[""99999""]")</f>
        <v>["99999"]</v>
      </c>
      <c r="C534" s="9" t="str">
        <f>IFERROR(__xludf.DUMMYFUNCTION("""COMPUTED_VALUE"""),"Legacy Health - Bissonnet Pediatrics")</f>
        <v>Legacy Health - Bissonnet Pediatrics</v>
      </c>
      <c r="D534" s="9" t="str">
        <f>IFERROR(__xludf.DUMMYFUNCTION("""COMPUTED_VALUE"""),"12667 Bissonnet Street")</f>
        <v>12667 Bissonnet Street</v>
      </c>
      <c r="E534" s="9"/>
      <c r="F534" s="9" t="str">
        <f>IFERROR(__xludf.DUMMYFUNCTION("""COMPUTED_VALUE"""),"Houston")</f>
        <v>Houston</v>
      </c>
      <c r="G534" s="9" t="str">
        <f>IFERROR(__xludf.DUMMYFUNCTION("""COMPUTED_VALUE"""),"TX")</f>
        <v>TX</v>
      </c>
      <c r="H534" s="9" t="str">
        <f>IFERROR(__xludf.DUMMYFUNCTION("""COMPUTED_VALUE"""),"77099")</f>
        <v>77099</v>
      </c>
      <c r="I534" s="9" t="str">
        <f>IFERROR(__xludf.DUMMYFUNCTION("""COMPUTED_VALUE"""),"713-814-3598")</f>
        <v>713-814-3598</v>
      </c>
      <c r="J534" s="9" t="str">
        <f>IFERROR(__xludf.DUMMYFUNCTION("""COMPUTED_VALUE"""),"29.677099933001386, -95.6015733556588")</f>
        <v>29.677099933001386, -95.6015733556588</v>
      </c>
      <c r="K534" s="9" t="str">
        <f>IFERROR(__xludf.DUMMYFUNCTION("""COMPUTED_VALUE"""),"{""regular"":[{""days"":[""Mo"",""Tu"",""We"",""Th"",""Fr""],""open"":""08:00"",""close"":""17:00""}]}")</f>
        <v>{"regular":[{"days":["Mo","Tu","We","Th","Fr"],"open":"08:00","close":"17:00"}]}</v>
      </c>
      <c r="L534" s="9"/>
      <c r="M534" s="10">
        <f>IFERROR(__xludf.DUMMYFUNCTION("""COMPUTED_VALUE"""),33.0)</f>
        <v>33</v>
      </c>
      <c r="N534" s="10" t="str">
        <f>IFERROR(__xludf.DUMMYFUNCTION("""COMPUTED_VALUE"""),"Medical - Behavioral Health")</f>
        <v>Medical - Behavioral Health</v>
      </c>
      <c r="O534" s="10">
        <f>IFERROR(__xludf.DUMMYFUNCTION("""COMPUTED_VALUE"""),1.0)</f>
        <v>1</v>
      </c>
      <c r="P534" s="10" t="str">
        <f>IFERROR(__xludf.DUMMYFUNCTION("""COMPUTED_VALUE"""),"ACTIVE")</f>
        <v>ACTIVE</v>
      </c>
      <c r="Q534" s="11">
        <f>IFERROR(__xludf.DUMMYFUNCTION("""COMPUTED_VALUE"""),45948.0)</f>
        <v>45948</v>
      </c>
      <c r="R534" s="9" t="str">
        <f>IFERROR(__xludf.DUMMYFUNCTION("""COMPUTED_VALUE"""),"Verified online")</f>
        <v>Verified online</v>
      </c>
      <c r="S534"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34" s="12" t="b">
        <f>IFERROR(__xludf.DUMMYFUNCTION("""COMPUTED_VALUE"""),FALSE)</f>
        <v>0</v>
      </c>
      <c r="U534" s="12" t="b">
        <f>IFERROR(__xludf.DUMMYFUNCTION("""COMPUTED_VALUE"""),FALSE)</f>
        <v>0</v>
      </c>
      <c r="V534" s="13" t="str">
        <f>IFERROR(__xludf.DUMMYFUNCTION("""COMPUTED_VALUE"""),"https://www.legacycommunityhealth.org")</f>
        <v>https://www.legacycommunityhealth.org</v>
      </c>
      <c r="W534" s="14" t="str">
        <f>IFERROR(__xludf.DUMMYFUNCTION("""COMPUTED_VALUE"""),"https://www.google.com/maps/place/Legacy+Community+Health+-+Bissonnet+Pediatrics/@29.676783,-95.601627,16z/data=!4m15!1m8!3m7!1s0x8640dd78d4868625:0xe616961881a2f86d!2s12667+Bissonnet+St,+Houston,+TX+77099!3b1!8m2!3d29.6767825!4d-95.6016268!16s%2Fg%2F11c5"&amp;"kckhbc!3m5!1s0x8640dd78c39e740f:0x963e00119d2858b!8m2!3d29.6767825!4d-95.6016268!16s%2Fg%2F11b6j71gry?hl=en&amp;entry=ttu&amp;g_ep=EgoyMDI1MTAxNC4wIKXMDSoASAFQAw%3D%3D")</f>
        <v>https://www.google.com/maps/place/Legacy+Community+Health+-+Bissonnet+Pediatrics/@29.676783,-95.601627,16z/data=!4m15!1m8!3m7!1s0x8640dd78d4868625:0xe616961881a2f86d!2s12667+Bissonnet+St,+Houston,+TX+77099!3b1!8m2!3d29.6767825!4d-95.6016268!16s%2Fg%2F11c5kckhbc!3m5!1s0x8640dd78c39e740f:0x963e00119d2858b!8m2!3d29.6767825!4d-95.6016268!16s%2Fg%2F11b6j71gry?hl=en&amp;entry=ttu&amp;g_ep=EgoyMDI1MTAxNC4wIKXMDSoASAFQAw%3D%3D</v>
      </c>
      <c r="X534" s="10"/>
      <c r="Y534" s="9" t="str">
        <f>IFERROR(__xludf.DUMMYFUNCTION("""COMPUTED_VALUE"""),"Houston")</f>
        <v>Houston</v>
      </c>
      <c r="Z534" s="9" t="str">
        <f>IFERROR(__xludf.DUMMYFUNCTION("""COMPUTED_VALUE"""),"Alief")</f>
        <v>Alief</v>
      </c>
      <c r="AA534" s="9" t="str">
        <f>IFERROR(__xludf.DUMMYFUNCTION("""COMPUTED_VALUE"""),"Legacy Community Health")</f>
        <v>Legacy Community Health</v>
      </c>
      <c r="AB534" s="9" t="str">
        <f>IFERROR(__xludf.DUMMYFUNCTION("""COMPUTED_VALUE"""),"Alief")</f>
        <v>Alief</v>
      </c>
    </row>
    <row r="535" ht="30.0" customHeight="1">
      <c r="A535" s="17">
        <v>534.0</v>
      </c>
      <c r="B535" s="8" t="str">
        <f>IFERROR(__xludf.DUMMYFUNCTION("""COMPUTED_VALUE"""),"[""99999""]")</f>
        <v>["99999"]</v>
      </c>
      <c r="C535" s="9" t="str">
        <f>IFERROR(__xludf.DUMMYFUNCTION("""COMPUTED_VALUE"""),"Legacy Health - Deer Park")</f>
        <v>Legacy Health - Deer Park</v>
      </c>
      <c r="D535" s="9" t="str">
        <f>IFERROR(__xludf.DUMMYFUNCTION("""COMPUTED_VALUE"""),"3430 Center Street")</f>
        <v>3430 Center Street</v>
      </c>
      <c r="E535" s="9"/>
      <c r="F535" s="9" t="str">
        <f>IFERROR(__xludf.DUMMYFUNCTION("""COMPUTED_VALUE"""),"Houston")</f>
        <v>Houston</v>
      </c>
      <c r="G535" s="9" t="str">
        <f>IFERROR(__xludf.DUMMYFUNCTION("""COMPUTED_VALUE"""),"TX")</f>
        <v>TX</v>
      </c>
      <c r="H535" s="9" t="str">
        <f>IFERROR(__xludf.DUMMYFUNCTION("""COMPUTED_VALUE"""),"77536")</f>
        <v>77536</v>
      </c>
      <c r="I535" s="9" t="str">
        <f>IFERROR(__xludf.DUMMYFUNCTION("""COMPUTED_VALUE"""),"281-628-2040")</f>
        <v>281-628-2040</v>
      </c>
      <c r="J535" s="9" t="str">
        <f>IFERROR(__xludf.DUMMYFUNCTION("""COMPUTED_VALUE"""),"29.680812270963965, -95.12463954213996")</f>
        <v>29.680812270963965, -95.12463954213996</v>
      </c>
      <c r="K535" s="9" t="str">
        <f>IFERROR(__xludf.DUMMYFUNCTION("""COMPUTED_VALUE"""),"{""regular"":[{""days"":[""Mo"",""Tu"",""We"",""Th"",""Fr""],""open"":""08:00"",""close"":""17:00""}]}")</f>
        <v>{"regular":[{"days":["Mo","Tu","We","Th","Fr"],"open":"08:00","close":"17:00"}]}</v>
      </c>
      <c r="L535" s="9"/>
      <c r="M535" s="10">
        <f>IFERROR(__xludf.DUMMYFUNCTION("""COMPUTED_VALUE"""),31.0)</f>
        <v>31</v>
      </c>
      <c r="N535" s="10" t="str">
        <f>IFERROR(__xludf.DUMMYFUNCTION("""COMPUTED_VALUE"""),"Medical - Primary Care")</f>
        <v>Medical - Primary Care</v>
      </c>
      <c r="O535" s="10">
        <f>IFERROR(__xludf.DUMMYFUNCTION("""COMPUTED_VALUE"""),1.0)</f>
        <v>1</v>
      </c>
      <c r="P535" s="10" t="str">
        <f>IFERROR(__xludf.DUMMYFUNCTION("""COMPUTED_VALUE"""),"ACTIVE")</f>
        <v>ACTIVE</v>
      </c>
      <c r="Q535" s="11">
        <f>IFERROR(__xludf.DUMMYFUNCTION("""COMPUTED_VALUE"""),45948.0)</f>
        <v>45948</v>
      </c>
      <c r="R535" s="9" t="str">
        <f>IFERROR(__xludf.DUMMYFUNCTION("""COMPUTED_VALUE"""),"Verified online")</f>
        <v>Verified online</v>
      </c>
      <c r="S535"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Pediatrics
Behavioral Health
OB/GYN
Vaccinations")</f>
        <v>As a Federally Qualified Health Center (FQHC), its services are open to all regardless of ability to pay.  This does not mean services are free.  Their Specialists will help you find grants, financial assistance, sliding fee scale, etc. to make your care affordable.
Pediatrics
Behavioral Health
OB/GYN
Vaccinations</v>
      </c>
      <c r="T535" s="12" t="b">
        <f>IFERROR(__xludf.DUMMYFUNCTION("""COMPUTED_VALUE"""),FALSE)</f>
        <v>0</v>
      </c>
      <c r="U535" s="12" t="b">
        <f>IFERROR(__xludf.DUMMYFUNCTION("""COMPUTED_VALUE"""),FALSE)</f>
        <v>0</v>
      </c>
      <c r="V535" s="13" t="str">
        <f>IFERROR(__xludf.DUMMYFUNCTION("""COMPUTED_VALUE"""),"https://www.legacycommunityhealth.org")</f>
        <v>https://www.legacycommunityhealth.org</v>
      </c>
      <c r="W535" s="14" t="str">
        <f>IFERROR(__xludf.DUMMYFUNCTION("""COMPUTED_VALUE"""),"https://www.google.com/maps/place/Legacy+Community+Health+-+Deer+Park/@29.679992,-95.124661,15z/data=!4m15!1m8!3m7!1s0x86409f5d18ab2f03:0x3786ce705584b3f1!2s3430+Center+St,+Deer+Park,+TX+77536!3b1!8m2!3d29.6799918!4d-95.1246608!16s%2Fg%2F11bw3y_yq8!3m5!1s"&amp;"0x86409f5d18aaae7d:0x9f1e8c35fd99102a!8m2!3d29.6799723!4d-95.1246391!16s%2Fg%2F11df0x5803?hl=en&amp;entry=ttu&amp;g_ep=EgoyMDI1MTAxNC4wIKXMDSoASAFQAw%3D%3D")</f>
        <v>https://www.google.com/maps/place/Legacy+Community+Health+-+Deer+Park/@29.679992,-95.124661,15z/data=!4m15!1m8!3m7!1s0x86409f5d18ab2f03:0x3786ce705584b3f1!2s3430+Center+St,+Deer+Park,+TX+77536!3b1!8m2!3d29.6799918!4d-95.1246608!16s%2Fg%2F11bw3y_yq8!3m5!1s0x86409f5d18aaae7d:0x9f1e8c35fd99102a!8m2!3d29.6799723!4d-95.1246391!16s%2Fg%2F11df0x5803?hl=en&amp;entry=ttu&amp;g_ep=EgoyMDI1MTAxNC4wIKXMDSoASAFQAw%3D%3D</v>
      </c>
      <c r="X535" s="10"/>
      <c r="Y535" s="9" t="str">
        <f>IFERROR(__xludf.DUMMYFUNCTION("""COMPUTED_VALUE"""),"Deer Park")</f>
        <v>Deer Park</v>
      </c>
      <c r="Z535" s="9" t="str">
        <f>IFERROR(__xludf.DUMMYFUNCTION("""COMPUTED_VALUE"""),"Deer Park, Deer Park Gardens")</f>
        <v>Deer Park, Deer Park Gardens</v>
      </c>
      <c r="AA535" s="9" t="str">
        <f>IFERROR(__xludf.DUMMYFUNCTION("""COMPUTED_VALUE"""),"Legacy Community Health")</f>
        <v>Legacy Community Health</v>
      </c>
      <c r="AB535" s="9" t="str">
        <f>IFERROR(__xludf.DUMMYFUNCTION("""COMPUTED_VALUE"""),"Deer Park")</f>
        <v>Deer Park</v>
      </c>
    </row>
    <row r="536" ht="30.0" customHeight="1">
      <c r="A536" s="17">
        <v>535.0</v>
      </c>
      <c r="B536" s="8" t="str">
        <f>IFERROR(__xludf.DUMMYFUNCTION("""COMPUTED_VALUE"""),"[""99999""]")</f>
        <v>["99999"]</v>
      </c>
      <c r="C536" s="9" t="str">
        <f>IFERROR(__xludf.DUMMYFUNCTION("""COMPUTED_VALUE"""),"Legacy Health - Deer Park")</f>
        <v>Legacy Health - Deer Park</v>
      </c>
      <c r="D536" s="9" t="str">
        <f>IFERROR(__xludf.DUMMYFUNCTION("""COMPUTED_VALUE"""),"3430 Center Street")</f>
        <v>3430 Center Street</v>
      </c>
      <c r="E536" s="9"/>
      <c r="F536" s="9" t="str">
        <f>IFERROR(__xludf.DUMMYFUNCTION("""COMPUTED_VALUE"""),"Houston")</f>
        <v>Houston</v>
      </c>
      <c r="G536" s="9" t="str">
        <f>IFERROR(__xludf.DUMMYFUNCTION("""COMPUTED_VALUE"""),"TX")</f>
        <v>TX</v>
      </c>
      <c r="H536" s="9" t="str">
        <f>IFERROR(__xludf.DUMMYFUNCTION("""COMPUTED_VALUE"""),"77536")</f>
        <v>77536</v>
      </c>
      <c r="I536" s="9" t="str">
        <f>IFERROR(__xludf.DUMMYFUNCTION("""COMPUTED_VALUE"""),"281-628-2040")</f>
        <v>281-628-2040</v>
      </c>
      <c r="J536" s="9" t="str">
        <f>IFERROR(__xludf.DUMMYFUNCTION("""COMPUTED_VALUE"""),"29.680812270963965, -95.12463954213996")</f>
        <v>29.680812270963965, -95.12463954213996</v>
      </c>
      <c r="K536" s="9" t="str">
        <f>IFERROR(__xludf.DUMMYFUNCTION("""COMPUTED_VALUE"""),"{""regular"":[{""days"":[""Mo"",""Tu"",""We"",""Th"",""Fr""],""open"":""08:00"",""close"":""17:00""}]}")</f>
        <v>{"regular":[{"days":["Mo","Tu","We","Th","Fr"],"open":"08:00","close":"17:00"}]}</v>
      </c>
      <c r="L536" s="9"/>
      <c r="M536" s="10">
        <f>IFERROR(__xludf.DUMMYFUNCTION("""COMPUTED_VALUE"""),33.0)</f>
        <v>33</v>
      </c>
      <c r="N536" s="10" t="str">
        <f>IFERROR(__xludf.DUMMYFUNCTION("""COMPUTED_VALUE"""),"Medical - Behavioral Health")</f>
        <v>Medical - Behavioral Health</v>
      </c>
      <c r="O536" s="10">
        <f>IFERROR(__xludf.DUMMYFUNCTION("""COMPUTED_VALUE"""),1.0)</f>
        <v>1</v>
      </c>
      <c r="P536" s="10" t="str">
        <f>IFERROR(__xludf.DUMMYFUNCTION("""COMPUTED_VALUE"""),"ACTIVE")</f>
        <v>ACTIVE</v>
      </c>
      <c r="Q536" s="11">
        <f>IFERROR(__xludf.DUMMYFUNCTION("""COMPUTED_VALUE"""),45948.0)</f>
        <v>45948</v>
      </c>
      <c r="R536" s="9" t="str">
        <f>IFERROR(__xludf.DUMMYFUNCTION("""COMPUTED_VALUE"""),"Verified online")</f>
        <v>Verified online</v>
      </c>
      <c r="S536"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36" s="12" t="b">
        <f>IFERROR(__xludf.DUMMYFUNCTION("""COMPUTED_VALUE"""),FALSE)</f>
        <v>0</v>
      </c>
      <c r="U536" s="12" t="b">
        <f>IFERROR(__xludf.DUMMYFUNCTION("""COMPUTED_VALUE"""),FALSE)</f>
        <v>0</v>
      </c>
      <c r="V536" s="13" t="str">
        <f>IFERROR(__xludf.DUMMYFUNCTION("""COMPUTED_VALUE"""),"https://www.legacycommunityhealth.org")</f>
        <v>https://www.legacycommunityhealth.org</v>
      </c>
      <c r="W536" s="14" t="str">
        <f>IFERROR(__xludf.DUMMYFUNCTION("""COMPUTED_VALUE"""),"https://www.google.com/maps/place/Legacy+Community+Health+-+Deer+Park/@29.679992,-95.124661,15z/data=!4m15!1m8!3m7!1s0x86409f5d18ab2f03:0x3786ce705584b3f1!2s3430+Center+St,+Deer+Park,+TX+77536!3b1!8m2!3d29.6799918!4d-95.1246608!16s%2Fg%2F11bw3y_yq8!3m5!1s"&amp;"0x86409f5d18aaae7d:0x9f1e8c35fd99102a!8m2!3d29.6799723!4d-95.1246391!16s%2Fg%2F11df0x5803?hl=en&amp;entry=ttu&amp;g_ep=EgoyMDI1MTAxNC4wIKXMDSoASAFQAw%3D%3D")</f>
        <v>https://www.google.com/maps/place/Legacy+Community+Health+-+Deer+Park/@29.679992,-95.124661,15z/data=!4m15!1m8!3m7!1s0x86409f5d18ab2f03:0x3786ce705584b3f1!2s3430+Center+St,+Deer+Park,+TX+77536!3b1!8m2!3d29.6799918!4d-95.1246608!16s%2Fg%2F11bw3y_yq8!3m5!1s0x86409f5d18aaae7d:0x9f1e8c35fd99102a!8m2!3d29.6799723!4d-95.1246391!16s%2Fg%2F11df0x5803?hl=en&amp;entry=ttu&amp;g_ep=EgoyMDI1MTAxNC4wIKXMDSoASAFQAw%3D%3D</v>
      </c>
      <c r="X536" s="10"/>
      <c r="Y536" s="9" t="str">
        <f>IFERROR(__xludf.DUMMYFUNCTION("""COMPUTED_VALUE"""),"Deer Park")</f>
        <v>Deer Park</v>
      </c>
      <c r="Z536" s="9" t="str">
        <f>IFERROR(__xludf.DUMMYFUNCTION("""COMPUTED_VALUE"""),"Deer Park, Deer Park Gardens")</f>
        <v>Deer Park, Deer Park Gardens</v>
      </c>
      <c r="AA536" s="9" t="str">
        <f>IFERROR(__xludf.DUMMYFUNCTION("""COMPUTED_VALUE"""),"Legacy Community Health")</f>
        <v>Legacy Community Health</v>
      </c>
      <c r="AB536" s="9" t="str">
        <f>IFERROR(__xludf.DUMMYFUNCTION("""COMPUTED_VALUE"""),"Deer Park")</f>
        <v>Deer Park</v>
      </c>
    </row>
    <row r="537" ht="30.0" customHeight="1">
      <c r="A537" s="17">
        <v>536.0</v>
      </c>
      <c r="B537" s="8" t="str">
        <f>IFERROR(__xludf.DUMMYFUNCTION("""COMPUTED_VALUE"""),"[""99999""]")</f>
        <v>["99999"]</v>
      </c>
      <c r="C537" s="9" t="str">
        <f>IFERROR(__xludf.DUMMYFUNCTION("""COMPUTED_VALUE"""),"Legacy Health - Fifth Ward Lyons")</f>
        <v>Legacy Health - Fifth Ward Lyons</v>
      </c>
      <c r="D537" s="9" t="str">
        <f>IFERROR(__xludf.DUMMYFUNCTION("""COMPUTED_VALUE"""),"3811 Lyons Avenue")</f>
        <v>3811 Lyons Avenue</v>
      </c>
      <c r="E537" s="9"/>
      <c r="F537" s="9" t="str">
        <f>IFERROR(__xludf.DUMMYFUNCTION("""COMPUTED_VALUE"""),"Houston")</f>
        <v>Houston</v>
      </c>
      <c r="G537" s="9" t="str">
        <f>IFERROR(__xludf.DUMMYFUNCTION("""COMPUTED_VALUE"""),"TX")</f>
        <v>TX</v>
      </c>
      <c r="H537" s="9" t="str">
        <f>IFERROR(__xludf.DUMMYFUNCTION("""COMPUTED_VALUE"""),"77020")</f>
        <v>77020</v>
      </c>
      <c r="I537" s="9" t="str">
        <f>IFERROR(__xludf.DUMMYFUNCTION("""COMPUTED_VALUE"""),"832-548-5400")</f>
        <v>832-548-5400</v>
      </c>
      <c r="J537" s="9" t="str">
        <f>IFERROR(__xludf.DUMMYFUNCTION("""COMPUTED_VALUE"""),"29.776965985874888, -95.33133796385674")</f>
        <v>29.776965985874888, -95.33133796385674</v>
      </c>
      <c r="K537" s="9" t="str">
        <f>IFERROR(__xludf.DUMMYFUNCTION("""COMPUTED_VALUE"""),"{""regular"":[{""days"":[""Mo"",""Tu"",""We"",""Th"",""Fr""],""open"":""08:00"",""close"":""17:15""}],""special"":[{""pattern"":""4th &amp; 5th Sa"",""open"":""08:00"",""close"":""16:00""}]}")</f>
        <v>{"regular":[{"days":["Mo","Tu","We","Th","Fr"],"open":"08:00","close":"17:15"}],"special":[{"pattern":"4th &amp; 5th Sa","open":"08:00","close":"16:00"}]}</v>
      </c>
      <c r="L537" s="9"/>
      <c r="M537" s="10">
        <f>IFERROR(__xludf.DUMMYFUNCTION("""COMPUTED_VALUE"""),31.0)</f>
        <v>31</v>
      </c>
      <c r="N537" s="10" t="str">
        <f>IFERROR(__xludf.DUMMYFUNCTION("""COMPUTED_VALUE"""),"Medical - Primary Care")</f>
        <v>Medical - Primary Care</v>
      </c>
      <c r="O537" s="10">
        <f>IFERROR(__xludf.DUMMYFUNCTION("""COMPUTED_VALUE"""),1.0)</f>
        <v>1</v>
      </c>
      <c r="P537" s="10" t="str">
        <f>IFERROR(__xludf.DUMMYFUNCTION("""COMPUTED_VALUE"""),"ACTIVE")</f>
        <v>ACTIVE</v>
      </c>
      <c r="Q537" s="11">
        <f>IFERROR(__xludf.DUMMYFUNCTION("""COMPUTED_VALUE"""),45948.0)</f>
        <v>45948</v>
      </c>
      <c r="R537" s="9" t="str">
        <f>IFERROR(__xludf.DUMMYFUNCTION("""COMPUTED_VALUE"""),"Verified online")</f>
        <v>Verified online</v>
      </c>
      <c r="S537"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for Adults &amp; Children
Behavioral Health
HIV/STI Care
OB/GYN
Pharmacy
Vaccinations
Vision")</f>
        <v>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Children
Behavioral Health
HIV/STI Care
OB/GYN
Pharmacy
Vaccinations
Vision</v>
      </c>
      <c r="T537" s="12" t="b">
        <f>IFERROR(__xludf.DUMMYFUNCTION("""COMPUTED_VALUE"""),FALSE)</f>
        <v>0</v>
      </c>
      <c r="U537" s="12" t="b">
        <f>IFERROR(__xludf.DUMMYFUNCTION("""COMPUTED_VALUE"""),FALSE)</f>
        <v>0</v>
      </c>
      <c r="V537" s="13" t="str">
        <f>IFERROR(__xludf.DUMMYFUNCTION("""COMPUTED_VALUE"""),"https://www.legacycommunityhealth.org")</f>
        <v>https://www.legacycommunityhealth.org</v>
      </c>
      <c r="W537" s="14" t="str">
        <f>IFERROR(__xludf.DUMMYFUNCTION("""COMPUTED_VALUE"""),"https://www.google.com/maps/place/Legacy+Community+Health+-+Fifth+Ward+Lyons/@29.776221,-95.331574,15z/data=!3m1!5s0x8640b93564701c47:0x3dfad23e67baa4df!4m15!1m8!3m7!1s0x8640b9356457405b:0xed98bb940f9e3e54!2s3811+Lyons+Ave,+Houston,+TX+77020!3b1!8m2!3d29."&amp;"7762206!4d-95.3315738!16s%2Fg%2F11g8xjrxvs!3m5!1s0x8640b954bc558973:0x21e021ecc34bbf6!8m2!3d29.7762095!4d-95.3315628!16s%2Fg%2F1td13nfn?hl=en&amp;entry=ttu&amp;g_ep=EgoyMDI1MTAxNC4wIKXMDSoASAFQAw%3D%3D")</f>
        <v>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v>
      </c>
      <c r="X537" s="10"/>
      <c r="Y537" s="9" t="str">
        <f>IFERROR(__xludf.DUMMYFUNCTION("""COMPUTED_VALUE"""),"Houston")</f>
        <v>Houston</v>
      </c>
      <c r="Z537" s="9" t="str">
        <f>IFERROR(__xludf.DUMMYFUNCTION("""COMPUTED_VALUE"""),"Denver Harbor / Port Houston, Fifth Ward, Northside")</f>
        <v>Denver Harbor / Port Houston, Fifth Ward, Northside</v>
      </c>
      <c r="AA537" s="9" t="str">
        <f>IFERROR(__xludf.DUMMYFUNCTION("""COMPUTED_VALUE"""),"Legacy Community Health")</f>
        <v>Legacy Community Health</v>
      </c>
      <c r="AB537" s="9" t="str">
        <f>IFERROR(__xludf.DUMMYFUNCTION("""COMPUTED_VALUE"""),"Northside")</f>
        <v>Northside</v>
      </c>
    </row>
    <row r="538" ht="30.0" customHeight="1">
      <c r="A538" s="17">
        <v>537.0</v>
      </c>
      <c r="B538" s="8" t="str">
        <f>IFERROR(__xludf.DUMMYFUNCTION("""COMPUTED_VALUE"""),"[""99999""]")</f>
        <v>["99999"]</v>
      </c>
      <c r="C538" s="9" t="str">
        <f>IFERROR(__xludf.DUMMYFUNCTION("""COMPUTED_VALUE"""),"Legacy Health - Fifth Ward Lyons")</f>
        <v>Legacy Health - Fifth Ward Lyons</v>
      </c>
      <c r="D538" s="9" t="str">
        <f>IFERROR(__xludf.DUMMYFUNCTION("""COMPUTED_VALUE"""),"3811 Lyons Avenue")</f>
        <v>3811 Lyons Avenue</v>
      </c>
      <c r="E538" s="9"/>
      <c r="F538" s="9" t="str">
        <f>IFERROR(__xludf.DUMMYFUNCTION("""COMPUTED_VALUE"""),"Houston")</f>
        <v>Houston</v>
      </c>
      <c r="G538" s="9" t="str">
        <f>IFERROR(__xludf.DUMMYFUNCTION("""COMPUTED_VALUE"""),"TX")</f>
        <v>TX</v>
      </c>
      <c r="H538" s="9" t="str">
        <f>IFERROR(__xludf.DUMMYFUNCTION("""COMPUTED_VALUE"""),"77020")</f>
        <v>77020</v>
      </c>
      <c r="I538" s="9" t="str">
        <f>IFERROR(__xludf.DUMMYFUNCTION("""COMPUTED_VALUE"""),"832-548-5400")</f>
        <v>832-548-5400</v>
      </c>
      <c r="J538" s="9" t="str">
        <f>IFERROR(__xludf.DUMMYFUNCTION("""COMPUTED_VALUE"""),"29.776965985874888, -95.33133796385674")</f>
        <v>29.776965985874888, -95.33133796385674</v>
      </c>
      <c r="K538" s="9" t="str">
        <f>IFERROR(__xludf.DUMMYFUNCTION("""COMPUTED_VALUE"""),"{""regular"":[{""days"":[""Mo"",""Tu"",""We"",""Th"",""Fr""],""open"":""08:00"",""close"":""17:15""}],""special"":[{""pattern"":""4th &amp; 5th Sa"",""open"":""08:00"",""close"":""16:00""}]}")</f>
        <v>{"regular":[{"days":["Mo","Tu","We","Th","Fr"],"open":"08:00","close":"17:15"}],"special":[{"pattern":"4th &amp; 5th Sa","open":"08:00","close":"16:00"}]}</v>
      </c>
      <c r="L538" s="9"/>
      <c r="M538" s="10">
        <f>IFERROR(__xludf.DUMMYFUNCTION("""COMPUTED_VALUE"""),32.0)</f>
        <v>32</v>
      </c>
      <c r="N538" s="10" t="str">
        <f>IFERROR(__xludf.DUMMYFUNCTION("""COMPUTED_VALUE"""),"Medical - Dental &amp; Vision")</f>
        <v>Medical - Dental &amp; Vision</v>
      </c>
      <c r="O538" s="10">
        <f>IFERROR(__xludf.DUMMYFUNCTION("""COMPUTED_VALUE"""),1.0)</f>
        <v>1</v>
      </c>
      <c r="P538" s="10" t="str">
        <f>IFERROR(__xludf.DUMMYFUNCTION("""COMPUTED_VALUE"""),"ACTIVE")</f>
        <v>ACTIVE</v>
      </c>
      <c r="Q538" s="11">
        <f>IFERROR(__xludf.DUMMYFUNCTION("""COMPUTED_VALUE"""),46049.0)</f>
        <v>46049</v>
      </c>
      <c r="R538" s="9" t="str">
        <f>IFERROR(__xludf.DUMMYFUNCTION("""COMPUTED_VALUE"""),"Verified online")</f>
        <v>Verified online</v>
      </c>
      <c r="S538" s="9" t="str">
        <f>IFERROR(__xludf.DUMMYFUNCTION("""COMPUTED_VALUE"""),"Dental &amp; Vision
As a Federally Qualified Health Center (FQHC), its services are open to all regardless of ability to pay.  This does not mean services are free.  Their Specialists will help you find grants, financial assistance, sliding fee scale, etc. to"&amp;" make your care affordable.
Dental services include children's dentistry, cleanings, exams, extractions, screenings, fillings and urgent care (Emergencies).
Vision services include eye exams, diabetic vision screens, glaucoma testing, HIV vision exams, pr"&amp;"escription glasses, contact lenses and frames.")</f>
        <v>Dental &amp; Vision
As a Federally Qualified Health Center (FQHC), its services are open to all regardless of ability to pay.  This does not mean services are free.  Their Specialists will help you find grants, financial assistance, sliding fee scale, etc. to make your care affordable.
Dental services include children's dentistry, cleanings, exams, extractions, screenings, fillings and urgent care (Emergencies).
Vision services include eye exams, diabetic vision screens, glaucoma testing, HIV vision exams, prescription glasses, contact lenses and frames.</v>
      </c>
      <c r="T538" s="12" t="b">
        <f>IFERROR(__xludf.DUMMYFUNCTION("""COMPUTED_VALUE"""),TRUE)</f>
        <v>1</v>
      </c>
      <c r="U538" s="12" t="b">
        <f>IFERROR(__xludf.DUMMYFUNCTION("""COMPUTED_VALUE"""),FALSE)</f>
        <v>0</v>
      </c>
      <c r="V538" s="13" t="str">
        <f>IFERROR(__xludf.DUMMYFUNCTION("""COMPUTED_VALUE"""),"https://www.legacycommunityhealth.org")</f>
        <v>https://www.legacycommunityhealth.org</v>
      </c>
      <c r="W538" s="14" t="str">
        <f>IFERROR(__xludf.DUMMYFUNCTION("""COMPUTED_VALUE"""),"https://www.google.com/maps/place/Legacy+Community+Health+-+Fifth+Ward+Lyons/@29.776221,-95.331574,15z/data=!3m1!5s0x8640b93564701c47:0x3dfad23e67baa4df!4m15!1m8!3m7!1s0x8640b9356457405b:0xed98bb940f9e3e54!2s3811+Lyons+Ave,+Houston,+TX+77020!3b1!8m2!3d29."&amp;"7762206!4d-95.3315738!16s%2Fg%2F11g8xjrxvs!3m5!1s0x8640b954bc558973:0x21e021ecc34bbf6!8m2!3d29.7762095!4d-95.3315628!16s%2Fg%2F1td13nfn?hl=en&amp;entry=ttu&amp;g_ep=EgoyMDI1MTAxNC4wIKXMDSoASAFQAw%3D%3D")</f>
        <v>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v>
      </c>
      <c r="X538" s="10"/>
      <c r="Y538" s="9" t="str">
        <f>IFERROR(__xludf.DUMMYFUNCTION("""COMPUTED_VALUE"""),"Houston")</f>
        <v>Houston</v>
      </c>
      <c r="Z538" s="9" t="str">
        <f>IFERROR(__xludf.DUMMYFUNCTION("""COMPUTED_VALUE"""),"Denver Harbor / Port Houston, Fifth Ward, Northside")</f>
        <v>Denver Harbor / Port Houston, Fifth Ward, Northside</v>
      </c>
      <c r="AA538" s="9" t="str">
        <f>IFERROR(__xludf.DUMMYFUNCTION("""COMPUTED_VALUE"""),"Legacy Community Health")</f>
        <v>Legacy Community Health</v>
      </c>
      <c r="AB538" s="9" t="str">
        <f>IFERROR(__xludf.DUMMYFUNCTION("""COMPUTED_VALUE"""),"Northside")</f>
        <v>Northside</v>
      </c>
    </row>
    <row r="539" ht="30.0" customHeight="1">
      <c r="A539" s="17">
        <v>538.0</v>
      </c>
      <c r="B539" s="8" t="str">
        <f>IFERROR(__xludf.DUMMYFUNCTION("""COMPUTED_VALUE"""),"[""99999""]")</f>
        <v>["99999"]</v>
      </c>
      <c r="C539" s="9" t="str">
        <f>IFERROR(__xludf.DUMMYFUNCTION("""COMPUTED_VALUE"""),"Legacy Health - Fifth Ward Lyons")</f>
        <v>Legacy Health - Fifth Ward Lyons</v>
      </c>
      <c r="D539" s="9" t="str">
        <f>IFERROR(__xludf.DUMMYFUNCTION("""COMPUTED_VALUE"""),"3811 Lyons Avenue")</f>
        <v>3811 Lyons Avenue</v>
      </c>
      <c r="E539" s="9"/>
      <c r="F539" s="9" t="str">
        <f>IFERROR(__xludf.DUMMYFUNCTION("""COMPUTED_VALUE"""),"Houston")</f>
        <v>Houston</v>
      </c>
      <c r="G539" s="9" t="str">
        <f>IFERROR(__xludf.DUMMYFUNCTION("""COMPUTED_VALUE"""),"TX")</f>
        <v>TX</v>
      </c>
      <c r="H539" s="9" t="str">
        <f>IFERROR(__xludf.DUMMYFUNCTION("""COMPUTED_VALUE"""),"77020")</f>
        <v>77020</v>
      </c>
      <c r="I539" s="9" t="str">
        <f>IFERROR(__xludf.DUMMYFUNCTION("""COMPUTED_VALUE"""),"832-548-5400")</f>
        <v>832-548-5400</v>
      </c>
      <c r="J539" s="9" t="str">
        <f>IFERROR(__xludf.DUMMYFUNCTION("""COMPUTED_VALUE"""),"29.776965985874888, -95.33133796385674")</f>
        <v>29.776965985874888, -95.33133796385674</v>
      </c>
      <c r="K539" s="9" t="str">
        <f>IFERROR(__xludf.DUMMYFUNCTION("""COMPUTED_VALUE"""),"{""regular"":[{""days"":[""Mo"",""Tu"",""We"",""Th"",""Fr""],""open"":""08:00"",""close"":""17:15""}],""special"":[{""pattern"":""4th &amp; 5th Sa"",""open"":""08:00"",""close"":""16:00""}]}")</f>
        <v>{"regular":[{"days":["Mo","Tu","We","Th","Fr"],"open":"08:00","close":"17:15"}],"special":[{"pattern":"4th &amp; 5th Sa","open":"08:00","close":"16:00"}]}</v>
      </c>
      <c r="L539" s="9"/>
      <c r="M539" s="10">
        <f>IFERROR(__xludf.DUMMYFUNCTION("""COMPUTED_VALUE"""),33.0)</f>
        <v>33</v>
      </c>
      <c r="N539" s="10" t="str">
        <f>IFERROR(__xludf.DUMMYFUNCTION("""COMPUTED_VALUE"""),"Medical - Behavioral Health")</f>
        <v>Medical - Behavioral Health</v>
      </c>
      <c r="O539" s="10">
        <f>IFERROR(__xludf.DUMMYFUNCTION("""COMPUTED_VALUE"""),1.0)</f>
        <v>1</v>
      </c>
      <c r="P539" s="10" t="str">
        <f>IFERROR(__xludf.DUMMYFUNCTION("""COMPUTED_VALUE"""),"ACTIVE")</f>
        <v>ACTIVE</v>
      </c>
      <c r="Q539" s="11">
        <f>IFERROR(__xludf.DUMMYFUNCTION("""COMPUTED_VALUE"""),45948.0)</f>
        <v>45948</v>
      </c>
      <c r="R539" s="9" t="str">
        <f>IFERROR(__xludf.DUMMYFUNCTION("""COMPUTED_VALUE"""),"Verified online")</f>
        <v>Verified online</v>
      </c>
      <c r="S539"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39" s="12" t="b">
        <f>IFERROR(__xludf.DUMMYFUNCTION("""COMPUTED_VALUE"""),FALSE)</f>
        <v>0</v>
      </c>
      <c r="U539" s="12" t="b">
        <f>IFERROR(__xludf.DUMMYFUNCTION("""COMPUTED_VALUE"""),FALSE)</f>
        <v>0</v>
      </c>
      <c r="V539" s="13" t="str">
        <f>IFERROR(__xludf.DUMMYFUNCTION("""COMPUTED_VALUE"""),"https://www.legacycommunityhealth.org")</f>
        <v>https://www.legacycommunityhealth.org</v>
      </c>
      <c r="W539" s="14" t="str">
        <f>IFERROR(__xludf.DUMMYFUNCTION("""COMPUTED_VALUE"""),"https://www.google.com/maps/place/Legacy+Community+Health+-+Fifth+Ward+Lyons/@29.776221,-95.331574,15z/data=!3m1!5s0x8640b93564701c47:0x3dfad23e67baa4df!4m15!1m8!3m7!1s0x8640b9356457405b:0xed98bb940f9e3e54!2s3811+Lyons+Ave,+Houston,+TX+77020!3b1!8m2!3d29."&amp;"7762206!4d-95.3315738!16s%2Fg%2F11g8xjrxvs!3m5!1s0x8640b954bc558973:0x21e021ecc34bbf6!8m2!3d29.7762095!4d-95.3315628!16s%2Fg%2F1td13nfn?hl=en&amp;entry=ttu&amp;g_ep=EgoyMDI1MTAxNC4wIKXMDSoASAFQAw%3D%3D")</f>
        <v>https://www.google.com/maps/place/Legacy+Community+Health+-+Fifth+Ward+Lyons/@29.776221,-95.331574,15z/data=!3m1!5s0x8640b93564701c47:0x3dfad23e67baa4df!4m15!1m8!3m7!1s0x8640b9356457405b:0xed98bb940f9e3e54!2s3811+Lyons+Ave,+Houston,+TX+77020!3b1!8m2!3d29.7762206!4d-95.3315738!16s%2Fg%2F11g8xjrxvs!3m5!1s0x8640b954bc558973:0x21e021ecc34bbf6!8m2!3d29.7762095!4d-95.3315628!16s%2Fg%2F1td13nfn?hl=en&amp;entry=ttu&amp;g_ep=EgoyMDI1MTAxNC4wIKXMDSoASAFQAw%3D%3D</v>
      </c>
      <c r="X539" s="10"/>
      <c r="Y539" s="9" t="str">
        <f>IFERROR(__xludf.DUMMYFUNCTION("""COMPUTED_VALUE"""),"Houston")</f>
        <v>Houston</v>
      </c>
      <c r="Z539" s="9" t="str">
        <f>IFERROR(__xludf.DUMMYFUNCTION("""COMPUTED_VALUE"""),"Denver Harbor / Port Houston, Fifth Ward, Northside")</f>
        <v>Denver Harbor / Port Houston, Fifth Ward, Northside</v>
      </c>
      <c r="AA539" s="9" t="str">
        <f>IFERROR(__xludf.DUMMYFUNCTION("""COMPUTED_VALUE"""),"Legacy Community Health")</f>
        <v>Legacy Community Health</v>
      </c>
      <c r="AB539" s="9" t="str">
        <f>IFERROR(__xludf.DUMMYFUNCTION("""COMPUTED_VALUE"""),"Northside")</f>
        <v>Northside</v>
      </c>
    </row>
    <row r="540" ht="30.0" customHeight="1">
      <c r="A540" s="17">
        <v>539.0</v>
      </c>
      <c r="B540" s="8" t="str">
        <f>IFERROR(__xludf.DUMMYFUNCTION("""COMPUTED_VALUE"""),"[""99999""]")</f>
        <v>["99999"]</v>
      </c>
      <c r="C540" s="9" t="str">
        <f>IFERROR(__xludf.DUMMYFUNCTION("""COMPUTED_VALUE"""),"Legacy Health - Galena Park")</f>
        <v>Legacy Health - Galena Park</v>
      </c>
      <c r="D540" s="9" t="str">
        <f>IFERROR(__xludf.DUMMYFUNCTION("""COMPUTED_VALUE"""),"13940 Bonham Street")</f>
        <v>13940 Bonham Street</v>
      </c>
      <c r="E540" s="9"/>
      <c r="F540" s="9" t="str">
        <f>IFERROR(__xludf.DUMMYFUNCTION("""COMPUTED_VALUE"""),"Houston")</f>
        <v>Houston</v>
      </c>
      <c r="G540" s="9" t="str">
        <f>IFERROR(__xludf.DUMMYFUNCTION("""COMPUTED_VALUE"""),"TX")</f>
        <v>TX</v>
      </c>
      <c r="H540" s="9" t="str">
        <f>IFERROR(__xludf.DUMMYFUNCTION("""COMPUTED_VALUE"""),"77015")</f>
        <v>77015</v>
      </c>
      <c r="I540" s="9" t="str">
        <f>IFERROR(__xludf.DUMMYFUNCTION("""COMPUTED_VALUE"""),"832-548-5240")</f>
        <v>832-548-5240</v>
      </c>
      <c r="J540" s="9" t="str">
        <f>IFERROR(__xludf.DUMMYFUNCTION("""COMPUTED_VALUE"""),"29.776703738193493, -95.1760288795972")</f>
        <v>29.776703738193493, -95.1760288795972</v>
      </c>
      <c r="K540" s="9" t="str">
        <f>IFERROR(__xludf.DUMMYFUNCTION("""COMPUTED_VALUE"""),"{""regular"":[{""days"":[""Mo"",""Tu"",""We"",""Th"",""Fr""],""open"":""08:00"",""close"":""16:00""}]}")</f>
        <v>{"regular":[{"days":["Mo","Tu","We","Th","Fr"],"open":"08:00","close":"16:00"}]}</v>
      </c>
      <c r="L540" s="9"/>
      <c r="M540" s="10">
        <f>IFERROR(__xludf.DUMMYFUNCTION("""COMPUTED_VALUE"""),31.0)</f>
        <v>31</v>
      </c>
      <c r="N540" s="10" t="str">
        <f>IFERROR(__xludf.DUMMYFUNCTION("""COMPUTED_VALUE"""),"Medical - Primary Care")</f>
        <v>Medical - Primary Care</v>
      </c>
      <c r="O540" s="10">
        <f>IFERROR(__xludf.DUMMYFUNCTION("""COMPUTED_VALUE"""),1.0)</f>
        <v>1</v>
      </c>
      <c r="P540" s="10" t="str">
        <f>IFERROR(__xludf.DUMMYFUNCTION("""COMPUTED_VALUE"""),"ACTIVE")</f>
        <v>ACTIVE</v>
      </c>
      <c r="Q540" s="11">
        <f>IFERROR(__xludf.DUMMYFUNCTION("""COMPUTED_VALUE"""),45948.0)</f>
        <v>45948</v>
      </c>
      <c r="R540" s="9" t="str">
        <f>IFERROR(__xludf.DUMMYFUNCTION("""COMPUTED_VALUE"""),"Verified online")</f>
        <v>Verified online</v>
      </c>
      <c r="S540"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Dental
")</f>
        <v>As a Federally Qualified Health Center (FQHC), its services are open to all regardless of ability to pay.  This does not mean services are free.  Their Specialists will help you find grants, financial assistance, sliding fee scale, etc. to make your care affordable.
Dental
</v>
      </c>
      <c r="T540" s="12" t="b">
        <f>IFERROR(__xludf.DUMMYFUNCTION("""COMPUTED_VALUE"""),FALSE)</f>
        <v>0</v>
      </c>
      <c r="U540" s="12" t="b">
        <f>IFERROR(__xludf.DUMMYFUNCTION("""COMPUTED_VALUE"""),FALSE)</f>
        <v>0</v>
      </c>
      <c r="V540" s="13" t="str">
        <f>IFERROR(__xludf.DUMMYFUNCTION("""COMPUTED_VALUE"""),"https://www.legacycommunityhealth.org")</f>
        <v>https://www.legacycommunityhealth.org</v>
      </c>
      <c r="W540" s="14" t="str">
        <f>IFERROR(__xludf.DUMMYFUNCTION("""COMPUTED_VALUE"""),"https://www.google.com/maps/place/Legacy+Galena+Park+Dental+Clinic+at+Almatha+Clark+Taylor+Clinic/@29.775996,-95.176222,15z/data=!4m15!1m8!3m7!1s0x8640a38669a0dafd:0x4f22e38d37775ed5!2s13940+Bonham+St,+Houston,+TX+77015!3b1!8m2!3d29.7759964!4d-95.1762219!"&amp;"16s%2Fg%2F11bw3ysfpb!3m5!1s0x8640a39be342dc43:0xe6891a57f4ec7402!8m2!3d29.7760042!4d-95.1762259!16s%2Fg%2F11l6tjrwxw?hl=en&amp;entry=ttu&amp;g_ep=EgoyMDI1MTAxNC4wIKXMDSoASAFQAw%3D%3D")</f>
        <v>https://www.google.com/maps/place/Legacy+Galena+Park+Dental+Clinic+at+Almatha+Clark+Taylor+Clinic/@29.775996,-95.176222,15z/data=!4m15!1m8!3m7!1s0x8640a38669a0dafd:0x4f22e38d37775ed5!2s13940+Bonham+St,+Houston,+TX+77015!3b1!8m2!3d29.7759964!4d-95.1762219!16s%2Fg%2F11bw3ysfpb!3m5!1s0x8640a39be342dc43:0xe6891a57f4ec7402!8m2!3d29.7760042!4d-95.1762259!16s%2Fg%2F11l6tjrwxw?hl=en&amp;entry=ttu&amp;g_ep=EgoyMDI1MTAxNC4wIKXMDSoASAFQAw%3D%3D</v>
      </c>
      <c r="X540" s="10"/>
      <c r="Y540" s="9" t="str">
        <f>IFERROR(__xludf.DUMMYFUNCTION("""COMPUTED_VALUE"""),"Houston")</f>
        <v>Houston</v>
      </c>
      <c r="Z540" s="9" t="str">
        <f>IFERROR(__xludf.DUMMYFUNCTION("""COMPUTED_VALUE"""),"Cloverleaf, Northeast Houston, Northshore")</f>
        <v>Cloverleaf, Northeast Houston, Northshore</v>
      </c>
      <c r="AA540" s="9" t="str">
        <f>IFERROR(__xludf.DUMMYFUNCTION("""COMPUTED_VALUE"""),"Legacy Community Health")</f>
        <v>Legacy Community Health</v>
      </c>
      <c r="AB540" s="9" t="str">
        <f>IFERROR(__xludf.DUMMYFUNCTION("""COMPUTED_VALUE"""),"Northeast Houston")</f>
        <v>Northeast Houston</v>
      </c>
    </row>
    <row r="541" ht="30.0" customHeight="1">
      <c r="A541" s="17">
        <v>540.0</v>
      </c>
      <c r="B541" s="8" t="str">
        <f>IFERROR(__xludf.DUMMYFUNCTION("""COMPUTED_VALUE"""),"[""99999""]")</f>
        <v>["99999"]</v>
      </c>
      <c r="C541" s="9" t="str">
        <f>IFERROR(__xludf.DUMMYFUNCTION("""COMPUTED_VALUE"""),"Legacy Health - Galena Park")</f>
        <v>Legacy Health - Galena Park</v>
      </c>
      <c r="D541" s="9" t="str">
        <f>IFERROR(__xludf.DUMMYFUNCTION("""COMPUTED_VALUE"""),"13940 Bonham Street")</f>
        <v>13940 Bonham Street</v>
      </c>
      <c r="E541" s="9"/>
      <c r="F541" s="9" t="str">
        <f>IFERROR(__xludf.DUMMYFUNCTION("""COMPUTED_VALUE"""),"Houston")</f>
        <v>Houston</v>
      </c>
      <c r="G541" s="9" t="str">
        <f>IFERROR(__xludf.DUMMYFUNCTION("""COMPUTED_VALUE"""),"TX")</f>
        <v>TX</v>
      </c>
      <c r="H541" s="9" t="str">
        <f>IFERROR(__xludf.DUMMYFUNCTION("""COMPUTED_VALUE"""),"77015")</f>
        <v>77015</v>
      </c>
      <c r="I541" s="9" t="str">
        <f>IFERROR(__xludf.DUMMYFUNCTION("""COMPUTED_VALUE"""),"832-548-5240")</f>
        <v>832-548-5240</v>
      </c>
      <c r="J541" s="9" t="str">
        <f>IFERROR(__xludf.DUMMYFUNCTION("""COMPUTED_VALUE"""),"29.776703738193493, -95.1760288795972")</f>
        <v>29.776703738193493, -95.1760288795972</v>
      </c>
      <c r="K541" s="9" t="str">
        <f>IFERROR(__xludf.DUMMYFUNCTION("""COMPUTED_VALUE"""),"{""regular"":[{""days"":[""Mo"",""Tu"",""We"",""Th"",""Fr""],""open"":""08:00"",""close"":""16:00""}]}")</f>
        <v>{"regular":[{"days":["Mo","Tu","We","Th","Fr"],"open":"08:00","close":"16:00"}]}</v>
      </c>
      <c r="L541" s="9"/>
      <c r="M541" s="10">
        <f>IFERROR(__xludf.DUMMYFUNCTION("""COMPUTED_VALUE"""),32.0)</f>
        <v>32</v>
      </c>
      <c r="N541" s="10" t="str">
        <f>IFERROR(__xludf.DUMMYFUNCTION("""COMPUTED_VALUE"""),"Medical - Dental &amp; Vision")</f>
        <v>Medical - Dental &amp; Vision</v>
      </c>
      <c r="O541" s="10">
        <f>IFERROR(__xludf.DUMMYFUNCTION("""COMPUTED_VALUE"""),1.0)</f>
        <v>1</v>
      </c>
      <c r="P541" s="10" t="str">
        <f>IFERROR(__xludf.DUMMYFUNCTION("""COMPUTED_VALUE"""),"ACTIVE")</f>
        <v>ACTIVE</v>
      </c>
      <c r="Q541" s="11">
        <f>IFERROR(__xludf.DUMMYFUNCTION("""COMPUTED_VALUE"""),46049.0)</f>
        <v>46049</v>
      </c>
      <c r="R541" s="9" t="str">
        <f>IFERROR(__xludf.DUMMYFUNCTION("""COMPUTED_VALUE"""),"Verified online")</f>
        <v>Verified online</v>
      </c>
      <c r="S541" s="9" t="str">
        <f>IFERROR(__xludf.DUMMYFUNCTION("""COMPUTED_VALUE"""),"Dental
As a Federally Qualified Health Center (FQHC), its services are open to all regardless of ability to pay.  This does not mean services are free.  Their Specialists will help you find grants, financial assistance, sliding fee scale, etc. to make you"&amp;"r care affordable.
Dental services include children's dentistry, cleanings, exams, extractions, screenings, fillings and urgent care (Emergencies).")</f>
        <v>Dental
As a Federally Qualified Health Center (FQHC), its services are open to all regardless of ability to pay.  This does not mean services are free.  Their Specialists will help you find grants, financial assistance, sliding fee scale, etc. to make your care affordable.
Dental services include children's dentistry, cleanings, exams, extractions, screenings, fillings and urgent care (Emergencies).</v>
      </c>
      <c r="T541" s="12" t="b">
        <f>IFERROR(__xludf.DUMMYFUNCTION("""COMPUTED_VALUE"""),TRUE)</f>
        <v>1</v>
      </c>
      <c r="U541" s="12" t="b">
        <f>IFERROR(__xludf.DUMMYFUNCTION("""COMPUTED_VALUE"""),FALSE)</f>
        <v>0</v>
      </c>
      <c r="V541" s="13" t="str">
        <f>IFERROR(__xludf.DUMMYFUNCTION("""COMPUTED_VALUE"""),"https://www.legacycommunityhealth.org")</f>
        <v>https://www.legacycommunityhealth.org</v>
      </c>
      <c r="W541" s="14" t="str">
        <f>IFERROR(__xludf.DUMMYFUNCTION("""COMPUTED_VALUE"""),"https://www.google.com/maps/place/Legacy+Galena+Park+Dental+Clinic+at+Almatha+Clark+Taylor+Clinic/@29.775996,-95.176222,15z/data=!4m15!1m8!3m7!1s0x8640a38669a0dafd:0x4f22e38d37775ed5!2s13940+Bonham+St,+Houston,+TX+77015!3b1!8m2!3d29.7759964!4d-95.1762219!"&amp;"16s%2Fg%2F11bw3ysfpb!3m5!1s0x8640a39be342dc43:0xe6891a57f4ec7402!8m2!3d29.7760042!4d-95.1762259!16s%2Fg%2F11l6tjrwxw?hl=en&amp;entry=ttu&amp;g_ep=EgoyMDI1MTAxNC4wIKXMDSoASAFQAw%3D%3D")</f>
        <v>https://www.google.com/maps/place/Legacy+Galena+Park+Dental+Clinic+at+Almatha+Clark+Taylor+Clinic/@29.775996,-95.176222,15z/data=!4m15!1m8!3m7!1s0x8640a38669a0dafd:0x4f22e38d37775ed5!2s13940+Bonham+St,+Houston,+TX+77015!3b1!8m2!3d29.7759964!4d-95.1762219!16s%2Fg%2F11bw3ysfpb!3m5!1s0x8640a39be342dc43:0xe6891a57f4ec7402!8m2!3d29.7760042!4d-95.1762259!16s%2Fg%2F11l6tjrwxw?hl=en&amp;entry=ttu&amp;g_ep=EgoyMDI1MTAxNC4wIKXMDSoASAFQAw%3D%3D</v>
      </c>
      <c r="X541" s="10"/>
      <c r="Y541" s="9" t="str">
        <f>IFERROR(__xludf.DUMMYFUNCTION("""COMPUTED_VALUE"""),"Houston")</f>
        <v>Houston</v>
      </c>
      <c r="Z541" s="9" t="str">
        <f>IFERROR(__xludf.DUMMYFUNCTION("""COMPUTED_VALUE"""),"Cloverleaf, Northeast Houston, Northshore")</f>
        <v>Cloverleaf, Northeast Houston, Northshore</v>
      </c>
      <c r="AA541" s="9" t="str">
        <f>IFERROR(__xludf.DUMMYFUNCTION("""COMPUTED_VALUE"""),"Legacy Community Health")</f>
        <v>Legacy Community Health</v>
      </c>
      <c r="AB541" s="9" t="str">
        <f>IFERROR(__xludf.DUMMYFUNCTION("""COMPUTED_VALUE"""),"Northeast Houston")</f>
        <v>Northeast Houston</v>
      </c>
    </row>
    <row r="542" ht="30.0" customHeight="1">
      <c r="A542" s="17">
        <v>541.0</v>
      </c>
      <c r="B542" s="8" t="str">
        <f>IFERROR(__xludf.DUMMYFUNCTION("""COMPUTED_VALUE"""),"[""99999""]")</f>
        <v>["99999"]</v>
      </c>
      <c r="C542" s="9" t="str">
        <f>IFERROR(__xludf.DUMMYFUNCTION("""COMPUTED_VALUE"""),"Legacy Health - Gulfton Dashwood")</f>
        <v>Legacy Health - Gulfton Dashwood</v>
      </c>
      <c r="D542" s="9" t="str">
        <f>IFERROR(__xludf.DUMMYFUNCTION("""COMPUTED_VALUE"""),"5420 Dashwood Drive")</f>
        <v>5420 Dashwood Drive</v>
      </c>
      <c r="E542" s="9"/>
      <c r="F542" s="9" t="str">
        <f>IFERROR(__xludf.DUMMYFUNCTION("""COMPUTED_VALUE"""),"Houston")</f>
        <v>Houston</v>
      </c>
      <c r="G542" s="9" t="str">
        <f>IFERROR(__xludf.DUMMYFUNCTION("""COMPUTED_VALUE"""),"TX")</f>
        <v>TX</v>
      </c>
      <c r="H542" s="9" t="str">
        <f>IFERROR(__xludf.DUMMYFUNCTION("""COMPUTED_VALUE"""),"77081")</f>
        <v>77081</v>
      </c>
      <c r="I542" s="9" t="str">
        <f>IFERROR(__xludf.DUMMYFUNCTION("""COMPUTED_VALUE"""),"713-779-7200, 713-814-3553 (HIV)")</f>
        <v>713-779-7200, 713-814-3553 (HIV)</v>
      </c>
      <c r="J542" s="9" t="str">
        <f>IFERROR(__xludf.DUMMYFUNCTION("""COMPUTED_VALUE"""),"29.708264853959573, -95.47500805381556")</f>
        <v>29.708264853959573, -95.47500805381556</v>
      </c>
      <c r="K542" s="9" t="str">
        <f>IFERROR(__xludf.DUMMYFUNCTION("""COMPUTED_VALUE"""),"{""regular"":[{""days"":[""Mo"",""Tu"",""We"",""Th"",""Fr""],""open"":""08:00"",""close"":""17:00""}]}")</f>
        <v>{"regular":[{"days":["Mo","Tu","We","Th","Fr"],"open":"08:00","close":"17:00"}]}</v>
      </c>
      <c r="L542" s="9"/>
      <c r="M542" s="10">
        <f>IFERROR(__xludf.DUMMYFUNCTION("""COMPUTED_VALUE"""),31.0)</f>
        <v>31</v>
      </c>
      <c r="N542" s="10" t="str">
        <f>IFERROR(__xludf.DUMMYFUNCTION("""COMPUTED_VALUE"""),"Medical - Primary Care")</f>
        <v>Medical - Primary Care</v>
      </c>
      <c r="O542" s="10">
        <f>IFERROR(__xludf.DUMMYFUNCTION("""COMPUTED_VALUE"""),1.0)</f>
        <v>1</v>
      </c>
      <c r="P542" s="10" t="str">
        <f>IFERROR(__xludf.DUMMYFUNCTION("""COMPUTED_VALUE"""),"ACTIVE")</f>
        <v>ACTIVE</v>
      </c>
      <c r="Q542" s="11">
        <f>IFERROR(__xludf.DUMMYFUNCTION("""COMPUTED_VALUE"""),45948.0)</f>
        <v>45948</v>
      </c>
      <c r="R542" s="9" t="str">
        <f>IFERROR(__xludf.DUMMYFUNCTION("""COMPUTED_VALUE"""),"Verified online")</f>
        <v>Verified online</v>
      </c>
      <c r="S542"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for Adults and Children
OB/GYN
Endocrinology
Vaccinations
HIV/STI Care
Behavioral Health")</f>
        <v>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and Children
OB/GYN
Endocrinology
Vaccinations
HIV/STI Care
Behavioral Health</v>
      </c>
      <c r="T542" s="12" t="b">
        <f>IFERROR(__xludf.DUMMYFUNCTION("""COMPUTED_VALUE"""),FALSE)</f>
        <v>0</v>
      </c>
      <c r="U542" s="12" t="b">
        <f>IFERROR(__xludf.DUMMYFUNCTION("""COMPUTED_VALUE"""),FALSE)</f>
        <v>0</v>
      </c>
      <c r="V542" s="13" t="str">
        <f>IFERROR(__xludf.DUMMYFUNCTION("""COMPUTED_VALUE"""),"https://www.legacycommunityhealth.org")</f>
        <v>https://www.legacycommunityhealth.org</v>
      </c>
      <c r="W542" s="14" t="str">
        <f>IFERROR(__xludf.DUMMYFUNCTION("""COMPUTED_VALUE"""),"https://www.google.com/maps/place/Legacy+Community+Health+-+Gulfton+Dashwood/@29.7079481,-95.4799541,16z/data=!3m2!4b1!5s0x8640c188ffd40d4b:0xb1250d9b80f5591f!4m6!3m5!1s0x8640c11894eee1e1:0x93b35dfd7c425b41!8m2!3d29.7079482!4d-95.4750778!16s%2Fg%2F11k3ry7"&amp;"gdf?entry=ttu&amp;g_ep=EgoyMDI1MTAxNC4wIKXMDSoASAFQAw%3D%3D")</f>
        <v>https://www.google.com/maps/place/Legacy+Community+Health+-+Gulfton+Dashwood/@29.7079481,-95.4799541,16z/data=!3m2!4b1!5s0x8640c188ffd40d4b:0xb1250d9b80f5591f!4m6!3m5!1s0x8640c11894eee1e1:0x93b35dfd7c425b41!8m2!3d29.7079482!4d-95.4750778!16s%2Fg%2F11k3ry7gdf?entry=ttu&amp;g_ep=EgoyMDI1MTAxNC4wIKXMDSoASAFQAw%3D%3D</v>
      </c>
      <c r="X542" s="10"/>
      <c r="Y542" s="9" t="str">
        <f>IFERROR(__xludf.DUMMYFUNCTION("""COMPUTED_VALUE"""),"Houston")</f>
        <v>Houston</v>
      </c>
      <c r="Z542" s="9" t="str">
        <f>IFERROR(__xludf.DUMMYFUNCTION("""COMPUTED_VALUE"""),"Gulfton")</f>
        <v>Gulfton</v>
      </c>
      <c r="AA542" s="9" t="str">
        <f>IFERROR(__xludf.DUMMYFUNCTION("""COMPUTED_VALUE"""),"Legacy Community Health")</f>
        <v>Legacy Community Health</v>
      </c>
      <c r="AB542" s="9" t="str">
        <f>IFERROR(__xludf.DUMMYFUNCTION("""COMPUTED_VALUE"""),"Gulfton")</f>
        <v>Gulfton</v>
      </c>
    </row>
    <row r="543" ht="30.0" customHeight="1">
      <c r="A543" s="17">
        <v>542.0</v>
      </c>
      <c r="B543" s="8" t="str">
        <f>IFERROR(__xludf.DUMMYFUNCTION("""COMPUTED_VALUE"""),"[""99999""]")</f>
        <v>["99999"]</v>
      </c>
      <c r="C543" s="9" t="str">
        <f>IFERROR(__xludf.DUMMYFUNCTION("""COMPUTED_VALUE"""),"Legacy Health - Gulfton Dashwood")</f>
        <v>Legacy Health - Gulfton Dashwood</v>
      </c>
      <c r="D543" s="9" t="str">
        <f>IFERROR(__xludf.DUMMYFUNCTION("""COMPUTED_VALUE"""),"5420 Dashwood Drive")</f>
        <v>5420 Dashwood Drive</v>
      </c>
      <c r="E543" s="9"/>
      <c r="F543" s="9" t="str">
        <f>IFERROR(__xludf.DUMMYFUNCTION("""COMPUTED_VALUE"""),"Houston")</f>
        <v>Houston</v>
      </c>
      <c r="G543" s="9" t="str">
        <f>IFERROR(__xludf.DUMMYFUNCTION("""COMPUTED_VALUE"""),"TX")</f>
        <v>TX</v>
      </c>
      <c r="H543" s="9" t="str">
        <f>IFERROR(__xludf.DUMMYFUNCTION("""COMPUTED_VALUE"""),"77081")</f>
        <v>77081</v>
      </c>
      <c r="I543" s="9" t="str">
        <f>IFERROR(__xludf.DUMMYFUNCTION("""COMPUTED_VALUE"""),"713-779-7200, 713-814-3553 (HIV)")</f>
        <v>713-779-7200, 713-814-3553 (HIV)</v>
      </c>
      <c r="J543" s="9" t="str">
        <f>IFERROR(__xludf.DUMMYFUNCTION("""COMPUTED_VALUE"""),"29.708264853959573, -95.47500805381556")</f>
        <v>29.708264853959573, -95.47500805381556</v>
      </c>
      <c r="K543" s="9" t="str">
        <f>IFERROR(__xludf.DUMMYFUNCTION("""COMPUTED_VALUE"""),"{""regular"":[{""days"":[""Mo"",""Tu"",""We"",""Th"",""Fr""],""open"":""08:00"",""close"":""17:00""}]}")</f>
        <v>{"regular":[{"days":["Mo","Tu","We","Th","Fr"],"open":"08:00","close":"17:00"}]}</v>
      </c>
      <c r="L543" s="9"/>
      <c r="M543" s="10">
        <f>IFERROR(__xludf.DUMMYFUNCTION("""COMPUTED_VALUE"""),33.0)</f>
        <v>33</v>
      </c>
      <c r="N543" s="10" t="str">
        <f>IFERROR(__xludf.DUMMYFUNCTION("""COMPUTED_VALUE"""),"Medical - Behavioral Health")</f>
        <v>Medical - Behavioral Health</v>
      </c>
      <c r="O543" s="10">
        <f>IFERROR(__xludf.DUMMYFUNCTION("""COMPUTED_VALUE"""),1.0)</f>
        <v>1</v>
      </c>
      <c r="P543" s="10" t="str">
        <f>IFERROR(__xludf.DUMMYFUNCTION("""COMPUTED_VALUE"""),"ACTIVE")</f>
        <v>ACTIVE</v>
      </c>
      <c r="Q543" s="11">
        <f>IFERROR(__xludf.DUMMYFUNCTION("""COMPUTED_VALUE"""),45948.0)</f>
        <v>45948</v>
      </c>
      <c r="R543" s="9" t="str">
        <f>IFERROR(__xludf.DUMMYFUNCTION("""COMPUTED_VALUE"""),"Verified online")</f>
        <v>Verified online</v>
      </c>
      <c r="S543"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43" s="12" t="b">
        <f>IFERROR(__xludf.DUMMYFUNCTION("""COMPUTED_VALUE"""),FALSE)</f>
        <v>0</v>
      </c>
      <c r="U543" s="12" t="b">
        <f>IFERROR(__xludf.DUMMYFUNCTION("""COMPUTED_VALUE"""),FALSE)</f>
        <v>0</v>
      </c>
      <c r="V543" s="13" t="str">
        <f>IFERROR(__xludf.DUMMYFUNCTION("""COMPUTED_VALUE"""),"https://www.legacycommunityhealth.org")</f>
        <v>https://www.legacycommunityhealth.org</v>
      </c>
      <c r="W543" s="14" t="str">
        <f>IFERROR(__xludf.DUMMYFUNCTION("""COMPUTED_VALUE"""),"https://www.google.com/maps/place/Legacy+Community+Health+-+Gulfton+Dashwood/@29.7079481,-95.4799541,16z/data=!3m2!4b1!5s0x8640c188ffd40d4b:0xb1250d9b80f5591f!4m6!3m5!1s0x8640c11894eee1e1:0x93b35dfd7c425b41!8m2!3d29.7079482!4d-95.4750778!16s%2Fg%2F11k3ry7"&amp;"gdf?entry=ttu&amp;g_ep=EgoyMDI1MTAxNC4wIKXMDSoASAFQAw%3D%3D")</f>
        <v>https://www.google.com/maps/place/Legacy+Community+Health+-+Gulfton+Dashwood/@29.7079481,-95.4799541,16z/data=!3m2!4b1!5s0x8640c188ffd40d4b:0xb1250d9b80f5591f!4m6!3m5!1s0x8640c11894eee1e1:0x93b35dfd7c425b41!8m2!3d29.7079482!4d-95.4750778!16s%2Fg%2F11k3ry7gdf?entry=ttu&amp;g_ep=EgoyMDI1MTAxNC4wIKXMDSoASAFQAw%3D%3D</v>
      </c>
      <c r="X543" s="10"/>
      <c r="Y543" s="9" t="str">
        <f>IFERROR(__xludf.DUMMYFUNCTION("""COMPUTED_VALUE"""),"Houston")</f>
        <v>Houston</v>
      </c>
      <c r="Z543" s="9" t="str">
        <f>IFERROR(__xludf.DUMMYFUNCTION("""COMPUTED_VALUE"""),"Gulfton")</f>
        <v>Gulfton</v>
      </c>
      <c r="AA543" s="9" t="str">
        <f>IFERROR(__xludf.DUMMYFUNCTION("""COMPUTED_VALUE"""),"Legacy Community Health")</f>
        <v>Legacy Community Health</v>
      </c>
      <c r="AB543" s="9" t="str">
        <f>IFERROR(__xludf.DUMMYFUNCTION("""COMPUTED_VALUE"""),"Gulfton")</f>
        <v>Gulfton</v>
      </c>
    </row>
    <row r="544" ht="30.0" customHeight="1">
      <c r="A544" s="17">
        <v>543.0</v>
      </c>
      <c r="B544" s="8" t="str">
        <f>IFERROR(__xludf.DUMMYFUNCTION("""COMPUTED_VALUE"""),"[""99999""]")</f>
        <v>["99999"]</v>
      </c>
      <c r="C544" s="9" t="str">
        <f>IFERROR(__xludf.DUMMYFUNCTION("""COMPUTED_VALUE"""),"Legacy Health - Missouri City")</f>
        <v>Legacy Health - Missouri City</v>
      </c>
      <c r="D544" s="9" t="str">
        <f>IFERROR(__xludf.DUMMYFUNCTION("""COMPUTED_VALUE"""),"3021 Texas Parkway")</f>
        <v>3021 Texas Parkway</v>
      </c>
      <c r="E544" s="9"/>
      <c r="F544" s="9" t="str">
        <f>IFERROR(__xludf.DUMMYFUNCTION("""COMPUTED_VALUE"""),"Houston")</f>
        <v>Houston</v>
      </c>
      <c r="G544" s="9" t="str">
        <f>IFERROR(__xludf.DUMMYFUNCTION("""COMPUTED_VALUE"""),"TX")</f>
        <v>TX</v>
      </c>
      <c r="H544" s="9" t="str">
        <f>IFERROR(__xludf.DUMMYFUNCTION("""COMPUTED_VALUE"""),"77489")</f>
        <v>77489</v>
      </c>
      <c r="I544" s="9" t="str">
        <f>IFERROR(__xludf.DUMMYFUNCTION("""COMPUTED_VALUE"""),"713-814-3655 (Seniors), 832-548-5000 (Pediatrics)")</f>
        <v>713-814-3655 (Seniors), 832-548-5000 (Pediatrics)</v>
      </c>
      <c r="J544" s="9" t="str">
        <f>IFERROR(__xludf.DUMMYFUNCTION("""COMPUTED_VALUE"""),"29.58232828462606, -95.52471140559021")</f>
        <v>29.58232828462606, -95.52471140559021</v>
      </c>
      <c r="K544" s="9" t="str">
        <f>IFERROR(__xludf.DUMMYFUNCTION("""COMPUTED_VALUE"""),"{""regular"":[{""days"":[""Mo"",""Tu"",""We"",""Th"",""Fr""],""open"":""08:00"",""close"":""17:00""}]}")</f>
        <v>{"regular":[{"days":["Mo","Tu","We","Th","Fr"],"open":"08:00","close":"17:00"}]}</v>
      </c>
      <c r="L544" s="9"/>
      <c r="M544" s="10">
        <f>IFERROR(__xludf.DUMMYFUNCTION("""COMPUTED_VALUE"""),31.0)</f>
        <v>31</v>
      </c>
      <c r="N544" s="10" t="str">
        <f>IFERROR(__xludf.DUMMYFUNCTION("""COMPUTED_VALUE"""),"Medical - Primary Care")</f>
        <v>Medical - Primary Care</v>
      </c>
      <c r="O544" s="10">
        <f>IFERROR(__xludf.DUMMYFUNCTION("""COMPUTED_VALUE"""),1.0)</f>
        <v>1</v>
      </c>
      <c r="P544" s="10" t="str">
        <f>IFERROR(__xludf.DUMMYFUNCTION("""COMPUTED_VALUE"""),"ACTIVE")</f>
        <v>ACTIVE</v>
      </c>
      <c r="Q544" s="11">
        <f>IFERROR(__xludf.DUMMYFUNCTION("""COMPUTED_VALUE"""),45948.0)</f>
        <v>45948</v>
      </c>
      <c r="R544" s="9" t="str">
        <f>IFERROR(__xludf.DUMMYFUNCTION("""COMPUTED_VALUE"""),"Verified online")</f>
        <v>Verified online</v>
      </c>
      <c r="S544"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Nutrition Counseling, Behavioral Health and social services for Seniors
Pediatrics
")</f>
        <v>As a Federally Qualified Health Center (FQHC), its services are open to all regardless of ability to pay.  This does not mean services are free.  Their Specialists will help you find grants, financial assistance, sliding fee scale, etc. to make your care affordable.
Primary Care, Nutrition Counseling, Behavioral Health and social services for Seniors
Pediatrics
</v>
      </c>
      <c r="T544" s="12" t="b">
        <f>IFERROR(__xludf.DUMMYFUNCTION("""COMPUTED_VALUE"""),FALSE)</f>
        <v>0</v>
      </c>
      <c r="U544" s="12" t="b">
        <f>IFERROR(__xludf.DUMMYFUNCTION("""COMPUTED_VALUE"""),FALSE)</f>
        <v>0</v>
      </c>
      <c r="V544" s="13" t="str">
        <f>IFERROR(__xludf.DUMMYFUNCTION("""COMPUTED_VALUE"""),"https://www.legacycommunityhealth.org")</f>
        <v>https://www.legacycommunityhealth.org</v>
      </c>
      <c r="W544" s="14" t="str">
        <f>IFERROR(__xludf.DUMMYFUNCTION("""COMPUTED_VALUE"""),"https://www.google.com/maps/place/Legacy+Community+Health+-+Missouri+City/@29.582179,-95.525044,16z/data=!4m15!1m8!3m7!1s0x8640e8d357c5ee9f:0xc1ce0f701f4cee35!2s3021+Texas+Pkwy,+Missouri+City,+TX+77489!3b1!8m2!3d29.5821788!4d-95.5250441!16s%2Fg%2F11s7phw6"&amp;"zw!3m5!1s0x8640e9106ff9abc9:0x9f496310fe4abe37!8m2!3d29.581806!4d-95.524787!16s%2Fg%2F11x_m3bzxk?hl=en&amp;entry=ttu&amp;g_ep=EgoyMDI1MTAxNC4wIKXMDSoASAFQAw%3D%3D")</f>
        <v>https://www.google.com/maps/place/Legacy+Community+Health+-+Missouri+City/@29.582179,-95.525044,16z/data=!4m15!1m8!3m7!1s0x8640e8d357c5ee9f:0xc1ce0f701f4cee35!2s3021+Texas+Pkwy,+Missouri+City,+TX+77489!3b1!8m2!3d29.5821788!4d-95.5250441!16s%2Fg%2F11s7phw6zw!3m5!1s0x8640e9106ff9abc9:0x9f496310fe4abe37!8m2!3d29.581806!4d-95.524787!16s%2Fg%2F11x_m3bzxk?hl=en&amp;entry=ttu&amp;g_ep=EgoyMDI1MTAxNC4wIKXMDSoASAFQAw%3D%3D</v>
      </c>
      <c r="X544" s="10"/>
      <c r="Y544" s="9" t="str">
        <f>IFERROR(__xludf.DUMMYFUNCTION("""COMPUTED_VALUE"""),"Missouri City")</f>
        <v>Missouri City</v>
      </c>
      <c r="Z544" s="9" t="str">
        <f>IFERROR(__xludf.DUMMYFUNCTION("""COMPUTED_VALUE"""),"Missouri City, Olde Missouri City Market Place, Quail Green South, Quail Valley, Sta-mo Annex")</f>
        <v>Missouri City, Olde Missouri City Market Place, Quail Green South, Quail Valley, Sta-mo Annex</v>
      </c>
      <c r="AA544" s="9" t="str">
        <f>IFERROR(__xludf.DUMMYFUNCTION("""COMPUTED_VALUE"""),"Legacy Community Health")</f>
        <v>Legacy Community Health</v>
      </c>
      <c r="AB544" s="9" t="str">
        <f>IFERROR(__xludf.DUMMYFUNCTION("""COMPUTED_VALUE"""),"Quail Green South")</f>
        <v>Quail Green South</v>
      </c>
    </row>
    <row r="545" ht="30.0" customHeight="1">
      <c r="A545" s="17">
        <v>544.0</v>
      </c>
      <c r="B545" s="8" t="str">
        <f>IFERROR(__xludf.DUMMYFUNCTION("""COMPUTED_VALUE"""),"[""99999""]")</f>
        <v>["99999"]</v>
      </c>
      <c r="C545" s="9" t="str">
        <f>IFERROR(__xludf.DUMMYFUNCTION("""COMPUTED_VALUE"""),"Legacy Health - Missouri City")</f>
        <v>Legacy Health - Missouri City</v>
      </c>
      <c r="D545" s="9" t="str">
        <f>IFERROR(__xludf.DUMMYFUNCTION("""COMPUTED_VALUE"""),"3021 Texas Parkway")</f>
        <v>3021 Texas Parkway</v>
      </c>
      <c r="E545" s="9"/>
      <c r="F545" s="9" t="str">
        <f>IFERROR(__xludf.DUMMYFUNCTION("""COMPUTED_VALUE"""),"Houston")</f>
        <v>Houston</v>
      </c>
      <c r="G545" s="9" t="str">
        <f>IFERROR(__xludf.DUMMYFUNCTION("""COMPUTED_VALUE"""),"TX")</f>
        <v>TX</v>
      </c>
      <c r="H545" s="9" t="str">
        <f>IFERROR(__xludf.DUMMYFUNCTION("""COMPUTED_VALUE"""),"77489")</f>
        <v>77489</v>
      </c>
      <c r="I545" s="9" t="str">
        <f>IFERROR(__xludf.DUMMYFUNCTION("""COMPUTED_VALUE"""),"713-814-3655 (Seniors), 832-548-5000 (Pediatrics)")</f>
        <v>713-814-3655 (Seniors), 832-548-5000 (Pediatrics)</v>
      </c>
      <c r="J545" s="9" t="str">
        <f>IFERROR(__xludf.DUMMYFUNCTION("""COMPUTED_VALUE"""),"29.58232828462606, -95.52471140559021")</f>
        <v>29.58232828462606, -95.52471140559021</v>
      </c>
      <c r="K545" s="9" t="str">
        <f>IFERROR(__xludf.DUMMYFUNCTION("""COMPUTED_VALUE"""),"{""regular"":[{""days"":[""Mo"",""Tu"",""We"",""Th"",""Fr""],""open"":""08:00"",""close"":""17:00""}]}")</f>
        <v>{"regular":[{"days":["Mo","Tu","We","Th","Fr"],"open":"08:00","close":"17:00"}]}</v>
      </c>
      <c r="L545" s="9"/>
      <c r="M545" s="10">
        <f>IFERROR(__xludf.DUMMYFUNCTION("""COMPUTED_VALUE"""),33.0)</f>
        <v>33</v>
      </c>
      <c r="N545" s="10" t="str">
        <f>IFERROR(__xludf.DUMMYFUNCTION("""COMPUTED_VALUE"""),"Medical - Behavioral Health")</f>
        <v>Medical - Behavioral Health</v>
      </c>
      <c r="O545" s="10">
        <f>IFERROR(__xludf.DUMMYFUNCTION("""COMPUTED_VALUE"""),1.0)</f>
        <v>1</v>
      </c>
      <c r="P545" s="10" t="str">
        <f>IFERROR(__xludf.DUMMYFUNCTION("""COMPUTED_VALUE"""),"ACTIVE")</f>
        <v>ACTIVE</v>
      </c>
      <c r="Q545" s="11">
        <f>IFERROR(__xludf.DUMMYFUNCTION("""COMPUTED_VALUE"""),45948.0)</f>
        <v>45948</v>
      </c>
      <c r="R545" s="9" t="str">
        <f>IFERROR(__xludf.DUMMYFUNCTION("""COMPUTED_VALUE"""),"Verified online")</f>
        <v>Verified online</v>
      </c>
      <c r="S545"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45" s="12" t="b">
        <f>IFERROR(__xludf.DUMMYFUNCTION("""COMPUTED_VALUE"""),FALSE)</f>
        <v>0</v>
      </c>
      <c r="U545" s="12" t="b">
        <f>IFERROR(__xludf.DUMMYFUNCTION("""COMPUTED_VALUE"""),FALSE)</f>
        <v>0</v>
      </c>
      <c r="V545" s="13" t="str">
        <f>IFERROR(__xludf.DUMMYFUNCTION("""COMPUTED_VALUE"""),"https://www.legacycommunityhealth.org")</f>
        <v>https://www.legacycommunityhealth.org</v>
      </c>
      <c r="W545" s="14" t="str">
        <f>IFERROR(__xludf.DUMMYFUNCTION("""COMPUTED_VALUE"""),"https://www.google.com/maps/place/Legacy+Community+Health+-+Missouri+City/@29.582179,-95.525044,16z/data=!4m15!1m8!3m7!1s0x8640e8d357c5ee9f:0xc1ce0f701f4cee35!2s3021+Texas+Pkwy,+Missouri+City,+TX+77489!3b1!8m2!3d29.5821788!4d-95.5250441!16s%2Fg%2F11s7phw6"&amp;"zw!3m5!1s0x8640e9106ff9abc9:0x9f496310fe4abe37!8m2!3d29.581806!4d-95.524787!16s%2Fg%2F11x_m3bzxk?hl=en&amp;entry=ttu&amp;g_ep=EgoyMDI1MTAxNC4wIKXMDSoASAFQAw%3D%3D")</f>
        <v>https://www.google.com/maps/place/Legacy+Community+Health+-+Missouri+City/@29.582179,-95.525044,16z/data=!4m15!1m8!3m7!1s0x8640e8d357c5ee9f:0xc1ce0f701f4cee35!2s3021+Texas+Pkwy,+Missouri+City,+TX+77489!3b1!8m2!3d29.5821788!4d-95.5250441!16s%2Fg%2F11s7phw6zw!3m5!1s0x8640e9106ff9abc9:0x9f496310fe4abe37!8m2!3d29.581806!4d-95.524787!16s%2Fg%2F11x_m3bzxk?hl=en&amp;entry=ttu&amp;g_ep=EgoyMDI1MTAxNC4wIKXMDSoASAFQAw%3D%3D</v>
      </c>
      <c r="X545" s="10"/>
      <c r="Y545" s="9" t="str">
        <f>IFERROR(__xludf.DUMMYFUNCTION("""COMPUTED_VALUE"""),"Missouri City")</f>
        <v>Missouri City</v>
      </c>
      <c r="Z545" s="9" t="str">
        <f>IFERROR(__xludf.DUMMYFUNCTION("""COMPUTED_VALUE"""),"Missouri City, Olde Missouri City Market Place, Quail Green South, Quail Valley, Sta-mo Annex")</f>
        <v>Missouri City, Olde Missouri City Market Place, Quail Green South, Quail Valley, Sta-mo Annex</v>
      </c>
      <c r="AA545" s="9" t="str">
        <f>IFERROR(__xludf.DUMMYFUNCTION("""COMPUTED_VALUE"""),"Legacy Community Health")</f>
        <v>Legacy Community Health</v>
      </c>
      <c r="AB545" s="9" t="str">
        <f>IFERROR(__xludf.DUMMYFUNCTION("""COMPUTED_VALUE"""),"Quail Green South")</f>
        <v>Quail Green South</v>
      </c>
    </row>
    <row r="546" ht="30.0" customHeight="1">
      <c r="A546" s="17">
        <v>545.0</v>
      </c>
      <c r="B546" s="8" t="str">
        <f>IFERROR(__xludf.DUMMYFUNCTION("""COMPUTED_VALUE"""),"[""99999""]")</f>
        <v>["99999"]</v>
      </c>
      <c r="C546" s="9" t="str">
        <f>IFERROR(__xludf.DUMMYFUNCTION("""COMPUTED_VALUE"""),"Legacy Health - Montrose")</f>
        <v>Legacy Health - Montrose</v>
      </c>
      <c r="D546" s="9" t="str">
        <f>IFERROR(__xludf.DUMMYFUNCTION("""COMPUTED_VALUE"""),"1415 California Street")</f>
        <v>1415 California Street</v>
      </c>
      <c r="E546" s="9"/>
      <c r="F546" s="9" t="str">
        <f>IFERROR(__xludf.DUMMYFUNCTION("""COMPUTED_VALUE"""),"Houston")</f>
        <v>Houston</v>
      </c>
      <c r="G546" s="9" t="str">
        <f>IFERROR(__xludf.DUMMYFUNCTION("""COMPUTED_VALUE"""),"TX")</f>
        <v>TX</v>
      </c>
      <c r="H546" s="9" t="str">
        <f>IFERROR(__xludf.DUMMYFUNCTION("""COMPUTED_VALUE"""),"77006")</f>
        <v>77006</v>
      </c>
      <c r="I546" s="9" t="str">
        <f>IFERROR(__xludf.DUMMYFUNCTION("""COMPUTED_VALUE"""),"832-548-5100")</f>
        <v>832-548-5100</v>
      </c>
      <c r="J546" s="9" t="str">
        <f>IFERROR(__xludf.DUMMYFUNCTION("""COMPUTED_VALUE"""),"29.745216478038515, -95.39412237160275")</f>
        <v>29.745216478038515, -95.39412237160275</v>
      </c>
      <c r="K546" s="9" t="str">
        <f>IFERROR(__xludf.DUMMYFUNCTION("""COMPUTED_VALUE"""),"{""regular"":[{""days"":[""Mo"",""Tu"",""We"",""Th""],""open"":""08:00"",""close"":""20:00""},{""days"":[""Fr""],""open"":""08:00"",""close"":""18:00""},{""days"":[""Sa""],""open"":""08:00"",""close"":""17:00""}]}")</f>
        <v>{"regular":[{"days":["Mo","Tu","We","Th"],"open":"08:00","close":"20:00"},{"days":["Fr"],"open":"08:00","close":"18:00"},{"days":["Sa"],"open":"08:00","close":"17:00"}]}</v>
      </c>
      <c r="L546" s="9"/>
      <c r="M546" s="10">
        <f>IFERROR(__xludf.DUMMYFUNCTION("""COMPUTED_VALUE"""),31.0)</f>
        <v>31</v>
      </c>
      <c r="N546" s="10" t="str">
        <f>IFERROR(__xludf.DUMMYFUNCTION("""COMPUTED_VALUE"""),"Medical - Primary Care")</f>
        <v>Medical - Primary Care</v>
      </c>
      <c r="O546" s="10">
        <f>IFERROR(__xludf.DUMMYFUNCTION("""COMPUTED_VALUE"""),1.0)</f>
        <v>1</v>
      </c>
      <c r="P546" s="10" t="str">
        <f>IFERROR(__xludf.DUMMYFUNCTION("""COMPUTED_VALUE"""),"ACTIVE")</f>
        <v>ACTIVE</v>
      </c>
      <c r="Q546" s="11">
        <f>IFERROR(__xludf.DUMMYFUNCTION("""COMPUTED_VALUE"""),45948.0)</f>
        <v>45948</v>
      </c>
      <c r="R546" s="9" t="str">
        <f>IFERROR(__xludf.DUMMYFUNCTION("""COMPUTED_VALUE"""),"Verified online")</f>
        <v>Verified online</v>
      </c>
      <c r="S546"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for Adults &amp; Seniors
Behavioral Health
Dental
Endocrinology
HIV/STI Care
OB/GYN
Pharmacy
Vision")</f>
        <v>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Seniors
Behavioral Health
Dental
Endocrinology
HIV/STI Care
OB/GYN
Pharmacy
Vision</v>
      </c>
      <c r="T546" s="12" t="b">
        <f>IFERROR(__xludf.DUMMYFUNCTION("""COMPUTED_VALUE"""),FALSE)</f>
        <v>0</v>
      </c>
      <c r="U546" s="12" t="b">
        <f>IFERROR(__xludf.DUMMYFUNCTION("""COMPUTED_VALUE"""),FALSE)</f>
        <v>0</v>
      </c>
      <c r="V546" s="13" t="str">
        <f>IFERROR(__xludf.DUMMYFUNCTION("""COMPUTED_VALUE"""),"https://www.legacycommunityhealth.org")</f>
        <v>https://www.legacycommunityhealth.org</v>
      </c>
      <c r="W546" s="14" t="str">
        <f>IFERROR(__xludf.DUMMYFUNCTION("""COMPUTED_VALUE"""),"https://www.google.com/maps/place/Legacy+Community+Health+-+Montrose/@29.744971,-95.394107,15z/data=!3m1!5s0x8640c09e27b4c3d1:0xac5ecae0ee95af6e!4m15!1m8!3m7!1s0x8640c09e279761ad:0xcd180ef4577c61b5!2s1415+California+St,+Houston,+TX+77006!3b1!8m2!3d29.7449"&amp;"712!4d-95.3941072!16s%2Fg%2F11bw3hj46f!3m5!1s0x8640bf661dc4f50d:0x5c53dd1b79a687fa!8m2!3d29.7450549!4d-95.3941256!16s%2Fg%2F1tff7_83?hl=en&amp;entry=ttu&amp;g_ep=EgoyMDI1MTAxNC4wIKXMDSoASAFQAw%3D%3D")</f>
        <v>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v>
      </c>
      <c r="X546" s="10"/>
      <c r="Y546" s="9" t="str">
        <f>IFERROR(__xludf.DUMMYFUNCTION("""COMPUTED_VALUE"""),"Houston")</f>
        <v>Houston</v>
      </c>
      <c r="Z546" s="9" t="str">
        <f>IFERROR(__xludf.DUMMYFUNCTION("""COMPUTED_VALUE"""),"Hyde Park, Montrose, South Central Houston")</f>
        <v>Hyde Park, Montrose, South Central Houston</v>
      </c>
      <c r="AA546" s="9" t="str">
        <f>IFERROR(__xludf.DUMMYFUNCTION("""COMPUTED_VALUE"""),"Legacy Community Health")</f>
        <v>Legacy Community Health</v>
      </c>
      <c r="AB546" s="9" t="str">
        <f>IFERROR(__xludf.DUMMYFUNCTION("""COMPUTED_VALUE"""),"Hyde Park")</f>
        <v>Hyde Park</v>
      </c>
    </row>
    <row r="547" ht="30.0" customHeight="1">
      <c r="A547" s="17">
        <v>546.0</v>
      </c>
      <c r="B547" s="8" t="str">
        <f>IFERROR(__xludf.DUMMYFUNCTION("""COMPUTED_VALUE"""),"[""99999""]")</f>
        <v>["99999"]</v>
      </c>
      <c r="C547" s="9" t="str">
        <f>IFERROR(__xludf.DUMMYFUNCTION("""COMPUTED_VALUE"""),"Legacy Health - Montrose")</f>
        <v>Legacy Health - Montrose</v>
      </c>
      <c r="D547" s="9" t="str">
        <f>IFERROR(__xludf.DUMMYFUNCTION("""COMPUTED_VALUE"""),"1415 California Street")</f>
        <v>1415 California Street</v>
      </c>
      <c r="E547" s="9"/>
      <c r="F547" s="9" t="str">
        <f>IFERROR(__xludf.DUMMYFUNCTION("""COMPUTED_VALUE"""),"Houston")</f>
        <v>Houston</v>
      </c>
      <c r="G547" s="9" t="str">
        <f>IFERROR(__xludf.DUMMYFUNCTION("""COMPUTED_VALUE"""),"TX")</f>
        <v>TX</v>
      </c>
      <c r="H547" s="9" t="str">
        <f>IFERROR(__xludf.DUMMYFUNCTION("""COMPUTED_VALUE"""),"77006")</f>
        <v>77006</v>
      </c>
      <c r="I547" s="9" t="str">
        <f>IFERROR(__xludf.DUMMYFUNCTION("""COMPUTED_VALUE"""),"832-548-5100")</f>
        <v>832-548-5100</v>
      </c>
      <c r="J547" s="9" t="str">
        <f>IFERROR(__xludf.DUMMYFUNCTION("""COMPUTED_VALUE"""),"29.745216478038515, -95.39412237160275")</f>
        <v>29.745216478038515, -95.39412237160275</v>
      </c>
      <c r="K547" s="9" t="str">
        <f>IFERROR(__xludf.DUMMYFUNCTION("""COMPUTED_VALUE"""),"{""regular"":[{""days"":[""Mo"",""Tu"",""We"",""Th""],""open"":""08:00"",""close"":""20:00""},{""days"":[""Fr""],""open"":""08:00"",""close"":""18:00""},{""days"":[""Sa""],""open"":""08:00"",""close"":""17:00""}]}")</f>
        <v>{"regular":[{"days":["Mo","Tu","We","Th"],"open":"08:00","close":"20:00"},{"days":["Fr"],"open":"08:00","close":"18:00"},{"days":["Sa"],"open":"08:00","close":"17:00"}]}</v>
      </c>
      <c r="L547" s="9"/>
      <c r="M547" s="10">
        <f>IFERROR(__xludf.DUMMYFUNCTION("""COMPUTED_VALUE"""),32.0)</f>
        <v>32</v>
      </c>
      <c r="N547" s="10" t="str">
        <f>IFERROR(__xludf.DUMMYFUNCTION("""COMPUTED_VALUE"""),"Medical - Dental &amp; Vision")</f>
        <v>Medical - Dental &amp; Vision</v>
      </c>
      <c r="O547" s="10">
        <f>IFERROR(__xludf.DUMMYFUNCTION("""COMPUTED_VALUE"""),1.0)</f>
        <v>1</v>
      </c>
      <c r="P547" s="10" t="str">
        <f>IFERROR(__xludf.DUMMYFUNCTION("""COMPUTED_VALUE"""),"ACTIVE")</f>
        <v>ACTIVE</v>
      </c>
      <c r="Q547" s="11">
        <f>IFERROR(__xludf.DUMMYFUNCTION("""COMPUTED_VALUE"""),46049.0)</f>
        <v>46049</v>
      </c>
      <c r="R547" s="9" t="str">
        <f>IFERROR(__xludf.DUMMYFUNCTION("""COMPUTED_VALUE"""),"Verified online")</f>
        <v>Verified online</v>
      </c>
      <c r="S547" s="9" t="str">
        <f>IFERROR(__xludf.DUMMYFUNCTION("""COMPUTED_VALUE"""),"Dental &amp; Vision
As a Federally Qualified Health Center (FQHC), its services are open to all regardless of ability to pay.  This does not mean services are free.  Their Specialists will help you find grants, financial assistance, sliding fee scale, etc. to"&amp;" make your care affordable.
Dental services include children's dentistry, cleanings, exams, extractions, screenings, fillings and urgent care (Emergencies).
Vision services include eye exams, diabetic vision screens, glaucoma testing, HIV vision exams, pr"&amp;"escription glasses, contact lenses and frames.")</f>
        <v>Dental &amp; Vision
As a Federally Qualified Health Center (FQHC), its services are open to all regardless of ability to pay.  This does not mean services are free.  Their Specialists will help you find grants, financial assistance, sliding fee scale, etc. to make your care affordable.
Dental services include children's dentistry, cleanings, exams, extractions, screenings, fillings and urgent care (Emergencies).
Vision services include eye exams, diabetic vision screens, glaucoma testing, HIV vision exams, prescription glasses, contact lenses and frames.</v>
      </c>
      <c r="T547" s="12" t="b">
        <f>IFERROR(__xludf.DUMMYFUNCTION("""COMPUTED_VALUE"""),TRUE)</f>
        <v>1</v>
      </c>
      <c r="U547" s="12" t="b">
        <f>IFERROR(__xludf.DUMMYFUNCTION("""COMPUTED_VALUE"""),FALSE)</f>
        <v>0</v>
      </c>
      <c r="V547" s="13" t="str">
        <f>IFERROR(__xludf.DUMMYFUNCTION("""COMPUTED_VALUE"""),"https://www.legacycommunityhealth.org")</f>
        <v>https://www.legacycommunityhealth.org</v>
      </c>
      <c r="W547" s="14" t="str">
        <f>IFERROR(__xludf.DUMMYFUNCTION("""COMPUTED_VALUE"""),"https://www.google.com/maps/place/Legacy+Community+Health+-+Montrose/@29.744971,-95.394107,15z/data=!3m1!5s0x8640c09e27b4c3d1:0xac5ecae0ee95af6e!4m15!1m8!3m7!1s0x8640c09e279761ad:0xcd180ef4577c61b5!2s1415+California+St,+Houston,+TX+77006!3b1!8m2!3d29.7449"&amp;"712!4d-95.3941072!16s%2Fg%2F11bw3hj46f!3m5!1s0x8640bf661dc4f50d:0x5c53dd1b79a687fa!8m2!3d29.7450549!4d-95.3941256!16s%2Fg%2F1tff7_83?hl=en&amp;entry=ttu&amp;g_ep=EgoyMDI1MTAxNC4wIKXMDSoASAFQAw%3D%3D")</f>
        <v>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v>
      </c>
      <c r="X547" s="10"/>
      <c r="Y547" s="9" t="str">
        <f>IFERROR(__xludf.DUMMYFUNCTION("""COMPUTED_VALUE"""),"Houston")</f>
        <v>Houston</v>
      </c>
      <c r="Z547" s="9" t="str">
        <f>IFERROR(__xludf.DUMMYFUNCTION("""COMPUTED_VALUE"""),"Hyde Park, Montrose, South Central Houston")</f>
        <v>Hyde Park, Montrose, South Central Houston</v>
      </c>
      <c r="AA547" s="9" t="str">
        <f>IFERROR(__xludf.DUMMYFUNCTION("""COMPUTED_VALUE"""),"Legacy Community Health")</f>
        <v>Legacy Community Health</v>
      </c>
      <c r="AB547" s="9" t="str">
        <f>IFERROR(__xludf.DUMMYFUNCTION("""COMPUTED_VALUE"""),"Hyde Park")</f>
        <v>Hyde Park</v>
      </c>
    </row>
    <row r="548" ht="30.0" customHeight="1">
      <c r="A548" s="17">
        <v>547.0</v>
      </c>
      <c r="B548" s="8" t="str">
        <f>IFERROR(__xludf.DUMMYFUNCTION("""COMPUTED_VALUE"""),"[""99999""]")</f>
        <v>["99999"]</v>
      </c>
      <c r="C548" s="9" t="str">
        <f>IFERROR(__xludf.DUMMYFUNCTION("""COMPUTED_VALUE"""),"Legacy Health - Montrose")</f>
        <v>Legacy Health - Montrose</v>
      </c>
      <c r="D548" s="9" t="str">
        <f>IFERROR(__xludf.DUMMYFUNCTION("""COMPUTED_VALUE"""),"1415 California Street")</f>
        <v>1415 California Street</v>
      </c>
      <c r="E548" s="9"/>
      <c r="F548" s="9" t="str">
        <f>IFERROR(__xludf.DUMMYFUNCTION("""COMPUTED_VALUE"""),"Houston")</f>
        <v>Houston</v>
      </c>
      <c r="G548" s="9" t="str">
        <f>IFERROR(__xludf.DUMMYFUNCTION("""COMPUTED_VALUE"""),"TX")</f>
        <v>TX</v>
      </c>
      <c r="H548" s="9" t="str">
        <f>IFERROR(__xludf.DUMMYFUNCTION("""COMPUTED_VALUE"""),"77006")</f>
        <v>77006</v>
      </c>
      <c r="I548" s="9" t="str">
        <f>IFERROR(__xludf.DUMMYFUNCTION("""COMPUTED_VALUE"""),"832-548-5100")</f>
        <v>832-548-5100</v>
      </c>
      <c r="J548" s="9" t="str">
        <f>IFERROR(__xludf.DUMMYFUNCTION("""COMPUTED_VALUE"""),"29.745216478038515, -95.39412237160275")</f>
        <v>29.745216478038515, -95.39412237160275</v>
      </c>
      <c r="K548" s="9" t="str">
        <f>IFERROR(__xludf.DUMMYFUNCTION("""COMPUTED_VALUE"""),"{""regular"":[{""days"":[""Mo"",""Tu"",""We"",""Th""],""open"":""08:00"",""close"":""20:00""},{""days"":[""Fr""],""open"":""08:00"",""close"":""18:00""},{""days"":[""Sa""],""open"":""08:00"",""close"":""17:00""}]}")</f>
        <v>{"regular":[{"days":["Mo","Tu","We","Th"],"open":"08:00","close":"20:00"},{"days":["Fr"],"open":"08:00","close":"18:00"},{"days":["Sa"],"open":"08:00","close":"17:00"}]}</v>
      </c>
      <c r="L548" s="9"/>
      <c r="M548" s="10">
        <f>IFERROR(__xludf.DUMMYFUNCTION("""COMPUTED_VALUE"""),33.0)</f>
        <v>33</v>
      </c>
      <c r="N548" s="10" t="str">
        <f>IFERROR(__xludf.DUMMYFUNCTION("""COMPUTED_VALUE"""),"Medical - Behavioral Health")</f>
        <v>Medical - Behavioral Health</v>
      </c>
      <c r="O548" s="10">
        <f>IFERROR(__xludf.DUMMYFUNCTION("""COMPUTED_VALUE"""),1.0)</f>
        <v>1</v>
      </c>
      <c r="P548" s="10" t="str">
        <f>IFERROR(__xludf.DUMMYFUNCTION("""COMPUTED_VALUE"""),"ACTIVE")</f>
        <v>ACTIVE</v>
      </c>
      <c r="Q548" s="11">
        <f>IFERROR(__xludf.DUMMYFUNCTION("""COMPUTED_VALUE"""),45948.0)</f>
        <v>45948</v>
      </c>
      <c r="R548" s="9" t="str">
        <f>IFERROR(__xludf.DUMMYFUNCTION("""COMPUTED_VALUE"""),"Verified online")</f>
        <v>Verified online</v>
      </c>
      <c r="S548"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48" s="12" t="b">
        <f>IFERROR(__xludf.DUMMYFUNCTION("""COMPUTED_VALUE"""),FALSE)</f>
        <v>0</v>
      </c>
      <c r="U548" s="12" t="b">
        <f>IFERROR(__xludf.DUMMYFUNCTION("""COMPUTED_VALUE"""),FALSE)</f>
        <v>0</v>
      </c>
      <c r="V548" s="13" t="str">
        <f>IFERROR(__xludf.DUMMYFUNCTION("""COMPUTED_VALUE"""),"https://www.legacycommunityhealth.org")</f>
        <v>https://www.legacycommunityhealth.org</v>
      </c>
      <c r="W548" s="14" t="str">
        <f>IFERROR(__xludf.DUMMYFUNCTION("""COMPUTED_VALUE"""),"https://www.google.com/maps/place/Legacy+Community+Health+-+Montrose/@29.744971,-95.394107,15z/data=!3m1!5s0x8640c09e27b4c3d1:0xac5ecae0ee95af6e!4m15!1m8!3m7!1s0x8640c09e279761ad:0xcd180ef4577c61b5!2s1415+California+St,+Houston,+TX+77006!3b1!8m2!3d29.7449"&amp;"712!4d-95.3941072!16s%2Fg%2F11bw3hj46f!3m5!1s0x8640bf661dc4f50d:0x5c53dd1b79a687fa!8m2!3d29.7450549!4d-95.3941256!16s%2Fg%2F1tff7_83?hl=en&amp;entry=ttu&amp;g_ep=EgoyMDI1MTAxNC4wIKXMDSoASAFQAw%3D%3D")</f>
        <v>https://www.google.com/maps/place/Legacy+Community+Health+-+Montrose/@29.744971,-95.394107,15z/data=!3m1!5s0x8640c09e27b4c3d1:0xac5ecae0ee95af6e!4m15!1m8!3m7!1s0x8640c09e279761ad:0xcd180ef4577c61b5!2s1415+California+St,+Houston,+TX+77006!3b1!8m2!3d29.7449712!4d-95.3941072!16s%2Fg%2F11bw3hj46f!3m5!1s0x8640bf661dc4f50d:0x5c53dd1b79a687fa!8m2!3d29.7450549!4d-95.3941256!16s%2Fg%2F1tff7_83?hl=en&amp;entry=ttu&amp;g_ep=EgoyMDI1MTAxNC4wIKXMDSoASAFQAw%3D%3D</v>
      </c>
      <c r="X548" s="10"/>
      <c r="Y548" s="9" t="str">
        <f>IFERROR(__xludf.DUMMYFUNCTION("""COMPUTED_VALUE"""),"Houston")</f>
        <v>Houston</v>
      </c>
      <c r="Z548" s="9" t="str">
        <f>IFERROR(__xludf.DUMMYFUNCTION("""COMPUTED_VALUE"""),"Hyde Park, Montrose, South Central Houston")</f>
        <v>Hyde Park, Montrose, South Central Houston</v>
      </c>
      <c r="AA548" s="9" t="str">
        <f>IFERROR(__xludf.DUMMYFUNCTION("""COMPUTED_VALUE"""),"Legacy Community Health")</f>
        <v>Legacy Community Health</v>
      </c>
      <c r="AB548" s="9" t="str">
        <f>IFERROR(__xludf.DUMMYFUNCTION("""COMPUTED_VALUE"""),"Hyde Park")</f>
        <v>Hyde Park</v>
      </c>
    </row>
    <row r="549" ht="30.0" customHeight="1">
      <c r="A549" s="17">
        <v>548.0</v>
      </c>
      <c r="B549" s="8" t="str">
        <f>IFERROR(__xludf.DUMMYFUNCTION("""COMPUTED_VALUE"""),"[""99999""]")</f>
        <v>["99999"]</v>
      </c>
      <c r="C549" s="9" t="str">
        <f>IFERROR(__xludf.DUMMYFUNCTION("""COMPUTED_VALUE"""),"Legacy Health - Northline")</f>
        <v>Legacy Health - Northline</v>
      </c>
      <c r="D549" s="9" t="str">
        <f>IFERROR(__xludf.DUMMYFUNCTION("""COMPUTED_VALUE"""),"5598 A-1 North Fwy")</f>
        <v>5598 A-1 North Fwy</v>
      </c>
      <c r="E549" s="9"/>
      <c r="F549" s="9" t="str">
        <f>IFERROR(__xludf.DUMMYFUNCTION("""COMPUTED_VALUE"""),"Houston")</f>
        <v>Houston</v>
      </c>
      <c r="G549" s="9" t="str">
        <f>IFERROR(__xludf.DUMMYFUNCTION("""COMPUTED_VALUE"""),"TX")</f>
        <v>TX</v>
      </c>
      <c r="H549" s="9" t="str">
        <f>IFERROR(__xludf.DUMMYFUNCTION("""COMPUTED_VALUE"""),"77076")</f>
        <v>77076</v>
      </c>
      <c r="I549" s="9" t="str">
        <f>IFERROR(__xludf.DUMMYFUNCTION("""COMPUTED_VALUE"""),"281-628-2030")</f>
        <v>281-628-2030</v>
      </c>
      <c r="J549" s="9" t="str">
        <f>IFERROR(__xludf.DUMMYFUNCTION("""COMPUTED_VALUE"""),"29.84900156368832, -95.39329262639133")</f>
        <v>29.84900156368832, -95.39329262639133</v>
      </c>
      <c r="K549" s="9" t="str">
        <f>IFERROR(__xludf.DUMMYFUNCTION("""COMPUTED_VALUE"""),"{""regular"":[{""days"":[""Mo"",""Tu"",""We"",""Th"",""Fr""],""open"":""08:00"",""close"":""17:00""}]}")</f>
        <v>{"regular":[{"days":["Mo","Tu","We","Th","Fr"],"open":"08:00","close":"17:00"}]}</v>
      </c>
      <c r="L549" s="9"/>
      <c r="M549" s="10">
        <f>IFERROR(__xludf.DUMMYFUNCTION("""COMPUTED_VALUE"""),31.0)</f>
        <v>31</v>
      </c>
      <c r="N549" s="10" t="str">
        <f>IFERROR(__xludf.DUMMYFUNCTION("""COMPUTED_VALUE"""),"Medical - Primary Care")</f>
        <v>Medical - Primary Care</v>
      </c>
      <c r="O549" s="10">
        <f>IFERROR(__xludf.DUMMYFUNCTION("""COMPUTED_VALUE"""),1.0)</f>
        <v>1</v>
      </c>
      <c r="P549" s="10" t="str">
        <f>IFERROR(__xludf.DUMMYFUNCTION("""COMPUTED_VALUE"""),"ACTIVE")</f>
        <v>ACTIVE</v>
      </c>
      <c r="Q549" s="11">
        <f>IFERROR(__xludf.DUMMYFUNCTION("""COMPUTED_VALUE"""),45948.0)</f>
        <v>45948</v>
      </c>
      <c r="R549" s="9" t="str">
        <f>IFERROR(__xludf.DUMMYFUNCTION("""COMPUTED_VALUE"""),"Verified online")</f>
        <v>Verified online</v>
      </c>
      <c r="S549"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Behavioral Health
HIV/STI Care
OB/GYN
Vaccinations")</f>
        <v>As a Federally Qualified Health Center (FQHC), its services are open to all regardless of ability to pay.  This does not mean services are free.  Their Specialists will help you find grants, financial assistance, sliding fee scale, etc. to make your care affordable.
Behavioral Health
HIV/STI Care
OB/GYN
Vaccinations</v>
      </c>
      <c r="T549" s="12" t="b">
        <f>IFERROR(__xludf.DUMMYFUNCTION("""COMPUTED_VALUE"""),FALSE)</f>
        <v>0</v>
      </c>
      <c r="U549" s="12" t="b">
        <f>IFERROR(__xludf.DUMMYFUNCTION("""COMPUTED_VALUE"""),FALSE)</f>
        <v>0</v>
      </c>
      <c r="V549" s="13" t="str">
        <f>IFERROR(__xludf.DUMMYFUNCTION("""COMPUTED_VALUE"""),"https://www.legacycommunityhealth.org")</f>
        <v>https://www.legacycommunityhealth.org</v>
      </c>
      <c r="W549" s="14" t="str">
        <f>IFERROR(__xludf.DUMMYFUNCTION("""COMPUTED_VALUE"""),"https://www.google.com/maps/place/Legacy+Community+Health+-+Northline/@29.848071,-95.393357,15z/data=!4m6!3m5!1s0x8640b809e0f6b0ed:0xf7f613c774793379!8m2!3d29.8480506!4d-95.3935508!16s%2Fg%2F11f4qlpxm6?hl=en&amp;entry=ttu&amp;g_ep=EgoyMDI1MTAxNC4wIKXMDSoASAFQAw%3"&amp;"D%3D")</f>
        <v>https://www.google.com/maps/place/Legacy+Community+Health+-+Northline/@29.848071,-95.393357,15z/data=!4m6!3m5!1s0x8640b809e0f6b0ed:0xf7f613c774793379!8m2!3d29.8480506!4d-95.3935508!16s%2Fg%2F11f4qlpxm6?hl=en&amp;entry=ttu&amp;g_ep=EgoyMDI1MTAxNC4wIKXMDSoASAFQAw%3D%3D</v>
      </c>
      <c r="X549" s="10"/>
      <c r="Y549" s="9" t="str">
        <f>IFERROR(__xludf.DUMMYFUNCTION("""COMPUTED_VALUE"""),"Houston")</f>
        <v>Houston</v>
      </c>
      <c r="Z549" s="9" t="str">
        <f>IFERROR(__xludf.DUMMYFUNCTION("""COMPUTED_VALUE"""),"Independence Heights, Northline, Northside / Northline")</f>
        <v>Independence Heights, Northline, Northside / Northline</v>
      </c>
      <c r="AA549" s="9" t="str">
        <f>IFERROR(__xludf.DUMMYFUNCTION("""COMPUTED_VALUE"""),"Legacy Community Health")</f>
        <v>Legacy Community Health</v>
      </c>
      <c r="AB549" s="9" t="str">
        <f>IFERROR(__xludf.DUMMYFUNCTION("""COMPUTED_VALUE"""),"Northside / Northline")</f>
        <v>Northside / Northline</v>
      </c>
    </row>
    <row r="550" ht="30.0" customHeight="1">
      <c r="A550" s="17">
        <v>549.0</v>
      </c>
      <c r="B550" s="8" t="str">
        <f>IFERROR(__xludf.DUMMYFUNCTION("""COMPUTED_VALUE"""),"[""99999""]")</f>
        <v>["99999"]</v>
      </c>
      <c r="C550" s="9" t="str">
        <f>IFERROR(__xludf.DUMMYFUNCTION("""COMPUTED_VALUE"""),"Legacy Health - Northline")</f>
        <v>Legacy Health - Northline</v>
      </c>
      <c r="D550" s="9" t="str">
        <f>IFERROR(__xludf.DUMMYFUNCTION("""COMPUTED_VALUE"""),"5598 A-1 North Fwy")</f>
        <v>5598 A-1 North Fwy</v>
      </c>
      <c r="E550" s="9"/>
      <c r="F550" s="9" t="str">
        <f>IFERROR(__xludf.DUMMYFUNCTION("""COMPUTED_VALUE"""),"Houston")</f>
        <v>Houston</v>
      </c>
      <c r="G550" s="9" t="str">
        <f>IFERROR(__xludf.DUMMYFUNCTION("""COMPUTED_VALUE"""),"TX")</f>
        <v>TX</v>
      </c>
      <c r="H550" s="9" t="str">
        <f>IFERROR(__xludf.DUMMYFUNCTION("""COMPUTED_VALUE"""),"77076")</f>
        <v>77076</v>
      </c>
      <c r="I550" s="9" t="str">
        <f>IFERROR(__xludf.DUMMYFUNCTION("""COMPUTED_VALUE"""),"281-628-2030")</f>
        <v>281-628-2030</v>
      </c>
      <c r="J550" s="9" t="str">
        <f>IFERROR(__xludf.DUMMYFUNCTION("""COMPUTED_VALUE"""),"29.84900156368832, -95.39329262639133")</f>
        <v>29.84900156368832, -95.39329262639133</v>
      </c>
      <c r="K550" s="9" t="str">
        <f>IFERROR(__xludf.DUMMYFUNCTION("""COMPUTED_VALUE"""),"{""regular"":[{""days"":[""Mo"",""Tu"",""We"",""Th"",""Fr""],""open"":""08:00"",""close"":""17:00""}]}")</f>
        <v>{"regular":[{"days":["Mo","Tu","We","Th","Fr"],"open":"08:00","close":"17:00"}]}</v>
      </c>
      <c r="L550" s="9"/>
      <c r="M550" s="10">
        <f>IFERROR(__xludf.DUMMYFUNCTION("""COMPUTED_VALUE"""),33.0)</f>
        <v>33</v>
      </c>
      <c r="N550" s="10" t="str">
        <f>IFERROR(__xludf.DUMMYFUNCTION("""COMPUTED_VALUE"""),"Medical - Behavioral Health")</f>
        <v>Medical - Behavioral Health</v>
      </c>
      <c r="O550" s="10">
        <f>IFERROR(__xludf.DUMMYFUNCTION("""COMPUTED_VALUE"""),1.0)</f>
        <v>1</v>
      </c>
      <c r="P550" s="10" t="str">
        <f>IFERROR(__xludf.DUMMYFUNCTION("""COMPUTED_VALUE"""),"ACTIVE")</f>
        <v>ACTIVE</v>
      </c>
      <c r="Q550" s="11">
        <f>IFERROR(__xludf.DUMMYFUNCTION("""COMPUTED_VALUE"""),45948.0)</f>
        <v>45948</v>
      </c>
      <c r="R550" s="9" t="str">
        <f>IFERROR(__xludf.DUMMYFUNCTION("""COMPUTED_VALUE"""),"Verified online")</f>
        <v>Verified online</v>
      </c>
      <c r="S550"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50" s="12" t="b">
        <f>IFERROR(__xludf.DUMMYFUNCTION("""COMPUTED_VALUE"""),FALSE)</f>
        <v>0</v>
      </c>
      <c r="U550" s="12" t="b">
        <f>IFERROR(__xludf.DUMMYFUNCTION("""COMPUTED_VALUE"""),FALSE)</f>
        <v>0</v>
      </c>
      <c r="V550" s="13" t="str">
        <f>IFERROR(__xludf.DUMMYFUNCTION("""COMPUTED_VALUE"""),"https://www.legacycommunityhealth.org")</f>
        <v>https://www.legacycommunityhealth.org</v>
      </c>
      <c r="W550" s="14" t="str">
        <f>IFERROR(__xludf.DUMMYFUNCTION("""COMPUTED_VALUE"""),"https://www.google.com/maps/place/Legacy+Community+Health+-+Northline/@29.848071,-95.393357,15z/data=!4m6!3m5!1s0x8640b809e0f6b0ed:0xf7f613c774793379!8m2!3d29.8480506!4d-95.3935508!16s%2Fg%2F11f4qlpxm6?hl=en&amp;entry=ttu&amp;g_ep=EgoyMDI1MTAxNC4wIKXMDSoASAFQAw%3"&amp;"D%3D")</f>
        <v>https://www.google.com/maps/place/Legacy+Community+Health+-+Northline/@29.848071,-95.393357,15z/data=!4m6!3m5!1s0x8640b809e0f6b0ed:0xf7f613c774793379!8m2!3d29.8480506!4d-95.3935508!16s%2Fg%2F11f4qlpxm6?hl=en&amp;entry=ttu&amp;g_ep=EgoyMDI1MTAxNC4wIKXMDSoASAFQAw%3D%3D</v>
      </c>
      <c r="X550" s="10"/>
      <c r="Y550" s="9" t="str">
        <f>IFERROR(__xludf.DUMMYFUNCTION("""COMPUTED_VALUE"""),"Houston")</f>
        <v>Houston</v>
      </c>
      <c r="Z550" s="9" t="str">
        <f>IFERROR(__xludf.DUMMYFUNCTION("""COMPUTED_VALUE"""),"Independence Heights, Northline, Northside / Northline")</f>
        <v>Independence Heights, Northline, Northside / Northline</v>
      </c>
      <c r="AA550" s="9" t="str">
        <f>IFERROR(__xludf.DUMMYFUNCTION("""COMPUTED_VALUE"""),"Legacy Community Health")</f>
        <v>Legacy Community Health</v>
      </c>
      <c r="AB550" s="9" t="str">
        <f>IFERROR(__xludf.DUMMYFUNCTION("""COMPUTED_VALUE"""),"Northside / Northline")</f>
        <v>Northside / Northline</v>
      </c>
    </row>
    <row r="551" ht="30.0" customHeight="1">
      <c r="A551" s="17">
        <v>550.0</v>
      </c>
      <c r="B551" s="8" t="str">
        <f>IFERROR(__xludf.DUMMYFUNCTION("""COMPUTED_VALUE"""),"[""99999""]")</f>
        <v>["99999"]</v>
      </c>
      <c r="C551" s="9" t="str">
        <f>IFERROR(__xludf.DUMMYFUNCTION("""COMPUTED_VALUE"""),"Legacy Health - Northside Irvington")</f>
        <v>Legacy Health - Northside Irvington</v>
      </c>
      <c r="D551" s="9" t="str">
        <f>IFERROR(__xludf.DUMMYFUNCTION("""COMPUTED_VALUE"""),"3517 Irvington Blvd")</f>
        <v>3517 Irvington Blvd</v>
      </c>
      <c r="E551" s="9" t="str">
        <f>IFERROR(__xludf.DUMMYFUNCTION("""COMPUTED_VALUE"""),"Suite 200")</f>
        <v>Suite 200</v>
      </c>
      <c r="F551" s="9" t="str">
        <f>IFERROR(__xludf.DUMMYFUNCTION("""COMPUTED_VALUE"""),"Houston")</f>
        <v>Houston</v>
      </c>
      <c r="G551" s="9" t="str">
        <f>IFERROR(__xludf.DUMMYFUNCTION("""COMPUTED_VALUE"""),"TX")</f>
        <v>TX</v>
      </c>
      <c r="H551" s="9" t="str">
        <f>IFERROR(__xludf.DUMMYFUNCTION("""COMPUTED_VALUE"""),"77009")</f>
        <v>77009</v>
      </c>
      <c r="I551" s="9" t="str">
        <f>IFERROR(__xludf.DUMMYFUNCTION("""COMPUTED_VALUE"""),"713-814-3590")</f>
        <v>713-814-3590</v>
      </c>
      <c r="J551" s="9" t="str">
        <f>IFERROR(__xludf.DUMMYFUNCTION("""COMPUTED_VALUE"""),"29.794050266565662, -95.3611514205488")</f>
        <v>29.794050266565662, -95.3611514205488</v>
      </c>
      <c r="K551" s="9" t="str">
        <f>IFERROR(__xludf.DUMMYFUNCTION("""COMPUTED_VALUE"""),"{""regular"":[{""days"":[""Mo"",""Tu"",""We"",""Th"",""Fr""],""open"":""08:00"",""close"":""17:00""}]}")</f>
        <v>{"regular":[{"days":["Mo","Tu","We","Th","Fr"],"open":"08:00","close":"17:00"}]}</v>
      </c>
      <c r="L551" s="9"/>
      <c r="M551" s="10">
        <f>IFERROR(__xludf.DUMMYFUNCTION("""COMPUTED_VALUE"""),31.0)</f>
        <v>31</v>
      </c>
      <c r="N551" s="10" t="str">
        <f>IFERROR(__xludf.DUMMYFUNCTION("""COMPUTED_VALUE"""),"Medical - Primary Care")</f>
        <v>Medical - Primary Care</v>
      </c>
      <c r="O551" s="10">
        <f>IFERROR(__xludf.DUMMYFUNCTION("""COMPUTED_VALUE"""),1.0)</f>
        <v>1</v>
      </c>
      <c r="P551" s="10" t="str">
        <f>IFERROR(__xludf.DUMMYFUNCTION("""COMPUTED_VALUE"""),"ACTIVE")</f>
        <v>ACTIVE</v>
      </c>
      <c r="Q551" s="11">
        <f>IFERROR(__xludf.DUMMYFUNCTION("""COMPUTED_VALUE"""),45948.0)</f>
        <v>45948</v>
      </c>
      <c r="R551" s="9" t="str">
        <f>IFERROR(__xludf.DUMMYFUNCTION("""COMPUTED_VALUE"""),"Verified online")</f>
        <v>Verified online</v>
      </c>
      <c r="S551"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for Adults &amp; Children
Behavioral Health
OB/GYN
Vaccinations")</f>
        <v>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Children
Behavioral Health
OB/GYN
Vaccinations</v>
      </c>
      <c r="T551" s="12" t="b">
        <f>IFERROR(__xludf.DUMMYFUNCTION("""COMPUTED_VALUE"""),FALSE)</f>
        <v>0</v>
      </c>
      <c r="U551" s="12" t="b">
        <f>IFERROR(__xludf.DUMMYFUNCTION("""COMPUTED_VALUE"""),FALSE)</f>
        <v>0</v>
      </c>
      <c r="V551" s="13" t="str">
        <f>IFERROR(__xludf.DUMMYFUNCTION("""COMPUTED_VALUE"""),"https://www.legacycommunityhealth.org")</f>
        <v>https://www.legacycommunityhealth.org</v>
      </c>
      <c r="W551" s="14" t="str">
        <f>IFERROR(__xludf.DUMMYFUNCTION("""COMPUTED_VALUE"""),"https://www.google.com/maps/place/Legacy+Community+Health+-+Northside+Irvington/@29.792784,-95.361366,14z/data=!4m15!1m8!3m7!1s0x8640b8dce828d4a5:0x7988ac73433370d4!2s3517+Irvington+Blvd,+Houston,+TX+77009!3b1!8m2!3d29.7924589!4d-95.3612297!16s%2Fg%2F11s3"&amp;"vw7plt!3m5!1s0x8640b931dfb4d773:0xa7b60a6f2d5f3c67!8m2!3d29.7924589!4d-95.3612297!16s%2Fg%2F11s_zrfz4z?hl=en&amp;entry=ttu&amp;g_ep=EgoyMDI1MTAxNC4wIKXMDSoASAFQAw%3D%3D")</f>
        <v>https://www.google.com/maps/place/Legacy+Community+Health+-+Northside+Irvington/@29.792784,-95.361366,14z/data=!4m15!1m8!3m7!1s0x8640b8dce828d4a5:0x7988ac73433370d4!2s3517+Irvington+Blvd,+Houston,+TX+77009!3b1!8m2!3d29.7924589!4d-95.3612297!16s%2Fg%2F11s3vw7plt!3m5!1s0x8640b931dfb4d773:0xa7b60a6f2d5f3c67!8m2!3d29.7924589!4d-95.3612297!16s%2Fg%2F11s_zrfz4z?hl=en&amp;entry=ttu&amp;g_ep=EgoyMDI1MTAxNC4wIKXMDSoASAFQAw%3D%3D</v>
      </c>
      <c r="X551" s="10"/>
      <c r="Y551" s="9" t="str">
        <f>IFERROR(__xludf.DUMMYFUNCTION("""COMPUTED_VALUE"""),"Houston")</f>
        <v>Houston</v>
      </c>
      <c r="Z551" s="9" t="str">
        <f>IFERROR(__xludf.DUMMYFUNCTION("""COMPUTED_VALUE"""),"Lindale Park, Near Northside, Northside, Woodland Heights")</f>
        <v>Lindale Park, Near Northside, Northside, Woodland Heights</v>
      </c>
      <c r="AA551" s="9" t="str">
        <f>IFERROR(__xludf.DUMMYFUNCTION("""COMPUTED_VALUE"""),"Legacy Community Health")</f>
        <v>Legacy Community Health</v>
      </c>
      <c r="AB551" s="9" t="str">
        <f>IFERROR(__xludf.DUMMYFUNCTION("""COMPUTED_VALUE"""),"Northside")</f>
        <v>Northside</v>
      </c>
    </row>
    <row r="552" ht="30.0" customHeight="1">
      <c r="A552" s="17">
        <v>551.0</v>
      </c>
      <c r="B552" s="8" t="str">
        <f>IFERROR(__xludf.DUMMYFUNCTION("""COMPUTED_VALUE"""),"[""99999""]")</f>
        <v>["99999"]</v>
      </c>
      <c r="C552" s="9" t="str">
        <f>IFERROR(__xludf.DUMMYFUNCTION("""COMPUTED_VALUE"""),"Legacy Health - Northside Irvington")</f>
        <v>Legacy Health - Northside Irvington</v>
      </c>
      <c r="D552" s="9" t="str">
        <f>IFERROR(__xludf.DUMMYFUNCTION("""COMPUTED_VALUE"""),"3517 Irvington Blvd")</f>
        <v>3517 Irvington Blvd</v>
      </c>
      <c r="E552" s="9" t="str">
        <f>IFERROR(__xludf.DUMMYFUNCTION("""COMPUTED_VALUE"""),"Suite 200")</f>
        <v>Suite 200</v>
      </c>
      <c r="F552" s="9" t="str">
        <f>IFERROR(__xludf.DUMMYFUNCTION("""COMPUTED_VALUE"""),"Houston")</f>
        <v>Houston</v>
      </c>
      <c r="G552" s="9" t="str">
        <f>IFERROR(__xludf.DUMMYFUNCTION("""COMPUTED_VALUE"""),"TX")</f>
        <v>TX</v>
      </c>
      <c r="H552" s="9" t="str">
        <f>IFERROR(__xludf.DUMMYFUNCTION("""COMPUTED_VALUE"""),"77009")</f>
        <v>77009</v>
      </c>
      <c r="I552" s="9" t="str">
        <f>IFERROR(__xludf.DUMMYFUNCTION("""COMPUTED_VALUE"""),"713-814-3590")</f>
        <v>713-814-3590</v>
      </c>
      <c r="J552" s="9" t="str">
        <f>IFERROR(__xludf.DUMMYFUNCTION("""COMPUTED_VALUE"""),"29.794050266565662, -95.3611514205488")</f>
        <v>29.794050266565662, -95.3611514205488</v>
      </c>
      <c r="K552" s="9" t="str">
        <f>IFERROR(__xludf.DUMMYFUNCTION("""COMPUTED_VALUE"""),"{""regular"":[{""days"":[""Mo"",""Tu"",""We"",""Th"",""Fr""],""open"":""08:00"",""close"":""17:00""}]}")</f>
        <v>{"regular":[{"days":["Mo","Tu","We","Th","Fr"],"open":"08:00","close":"17:00"}]}</v>
      </c>
      <c r="L552" s="9"/>
      <c r="M552" s="10">
        <f>IFERROR(__xludf.DUMMYFUNCTION("""COMPUTED_VALUE"""),33.0)</f>
        <v>33</v>
      </c>
      <c r="N552" s="10" t="str">
        <f>IFERROR(__xludf.DUMMYFUNCTION("""COMPUTED_VALUE"""),"Medical - Behavioral Health")</f>
        <v>Medical - Behavioral Health</v>
      </c>
      <c r="O552" s="10">
        <f>IFERROR(__xludf.DUMMYFUNCTION("""COMPUTED_VALUE"""),1.0)</f>
        <v>1</v>
      </c>
      <c r="P552" s="10" t="str">
        <f>IFERROR(__xludf.DUMMYFUNCTION("""COMPUTED_VALUE"""),"ACTIVE")</f>
        <v>ACTIVE</v>
      </c>
      <c r="Q552" s="11">
        <f>IFERROR(__xludf.DUMMYFUNCTION("""COMPUTED_VALUE"""),45948.0)</f>
        <v>45948</v>
      </c>
      <c r="R552" s="9" t="str">
        <f>IFERROR(__xludf.DUMMYFUNCTION("""COMPUTED_VALUE"""),"Verified online")</f>
        <v>Verified online</v>
      </c>
      <c r="S552"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52" s="12" t="b">
        <f>IFERROR(__xludf.DUMMYFUNCTION("""COMPUTED_VALUE"""),FALSE)</f>
        <v>0</v>
      </c>
      <c r="U552" s="12" t="b">
        <f>IFERROR(__xludf.DUMMYFUNCTION("""COMPUTED_VALUE"""),FALSE)</f>
        <v>0</v>
      </c>
      <c r="V552" s="13" t="str">
        <f>IFERROR(__xludf.DUMMYFUNCTION("""COMPUTED_VALUE"""),"https://www.legacycommunityhealth.org")</f>
        <v>https://www.legacycommunityhealth.org</v>
      </c>
      <c r="W552" s="14" t="str">
        <f>IFERROR(__xludf.DUMMYFUNCTION("""COMPUTED_VALUE"""),"https://www.google.com/maps/place/Legacy+Community+Health+-+Northside+Irvington/@29.792784,-95.361366,14z/data=!4m15!1m8!3m7!1s0x8640b8dce828d4a5:0x7988ac73433370d4!2s3517+Irvington+Blvd,+Houston,+TX+77009!3b1!8m2!3d29.7924589!4d-95.3612297!16s%2Fg%2F11s3"&amp;"vw7plt!3m5!1s0x8640b931dfb4d773:0xa7b60a6f2d5f3c67!8m2!3d29.7924589!4d-95.3612297!16s%2Fg%2F11s_zrfz4z?hl=en&amp;entry=ttu&amp;g_ep=EgoyMDI1MTAxNC4wIKXMDSoASAFQAw%3D%3D")</f>
        <v>https://www.google.com/maps/place/Legacy+Community+Health+-+Northside+Irvington/@29.792784,-95.361366,14z/data=!4m15!1m8!3m7!1s0x8640b8dce828d4a5:0x7988ac73433370d4!2s3517+Irvington+Blvd,+Houston,+TX+77009!3b1!8m2!3d29.7924589!4d-95.3612297!16s%2Fg%2F11s3vw7plt!3m5!1s0x8640b931dfb4d773:0xa7b60a6f2d5f3c67!8m2!3d29.7924589!4d-95.3612297!16s%2Fg%2F11s_zrfz4z?hl=en&amp;entry=ttu&amp;g_ep=EgoyMDI1MTAxNC4wIKXMDSoASAFQAw%3D%3D</v>
      </c>
      <c r="X552" s="10"/>
      <c r="Y552" s="9" t="str">
        <f>IFERROR(__xludf.DUMMYFUNCTION("""COMPUTED_VALUE"""),"Houston")</f>
        <v>Houston</v>
      </c>
      <c r="Z552" s="9" t="str">
        <f>IFERROR(__xludf.DUMMYFUNCTION("""COMPUTED_VALUE"""),"Lindale Park, Near Northside, Northside, Woodland Heights")</f>
        <v>Lindale Park, Near Northside, Northside, Woodland Heights</v>
      </c>
      <c r="AA552" s="9" t="str">
        <f>IFERROR(__xludf.DUMMYFUNCTION("""COMPUTED_VALUE"""),"Legacy Community Health")</f>
        <v>Legacy Community Health</v>
      </c>
      <c r="AB552" s="9" t="str">
        <f>IFERROR(__xludf.DUMMYFUNCTION("""COMPUTED_VALUE"""),"Northside")</f>
        <v>Northside</v>
      </c>
    </row>
    <row r="553" ht="30.0" customHeight="1">
      <c r="A553" s="17">
        <v>552.0</v>
      </c>
      <c r="B553" s="8" t="str">
        <f>IFERROR(__xludf.DUMMYFUNCTION("""COMPUTED_VALUE"""),"[""99999""]")</f>
        <v>["99999"]</v>
      </c>
      <c r="C553" s="9" t="str">
        <f>IFERROR(__xludf.DUMMYFUNCTION("""COMPUTED_VALUE"""),"Legacy Health - San Jacinto")</f>
        <v>Legacy Health - San Jacinto</v>
      </c>
      <c r="D553" s="9" t="str">
        <f>IFERROR(__xludf.DUMMYFUNCTION("""COMPUTED_VALUE"""),"4301 Garth Road")</f>
        <v>4301 Garth Road</v>
      </c>
      <c r="E553" s="9" t="str">
        <f>IFERROR(__xludf.DUMMYFUNCTION("""COMPUTED_VALUE"""),"Suite 400")</f>
        <v>Suite 400</v>
      </c>
      <c r="F553" s="9" t="str">
        <f>IFERROR(__xludf.DUMMYFUNCTION("""COMPUTED_VALUE"""),"Baytown")</f>
        <v>Baytown</v>
      </c>
      <c r="G553" s="9" t="str">
        <f>IFERROR(__xludf.DUMMYFUNCTION("""COMPUTED_VALUE"""),"TX")</f>
        <v>TX</v>
      </c>
      <c r="H553" s="9" t="str">
        <f>IFERROR(__xludf.DUMMYFUNCTION("""COMPUTED_VALUE"""),"77521")</f>
        <v>77521</v>
      </c>
      <c r="I553" s="9" t="str">
        <f>IFERROR(__xludf.DUMMYFUNCTION("""COMPUTED_VALUE"""),"281-420-8400")</f>
        <v>281-420-8400</v>
      </c>
      <c r="J553" s="9" t="str">
        <f>IFERROR(__xludf.DUMMYFUNCTION("""COMPUTED_VALUE"""),"29.768992297723653, -94.97996487943409")</f>
        <v>29.768992297723653, -94.97996487943409</v>
      </c>
      <c r="K553" s="9" t="str">
        <f>IFERROR(__xludf.DUMMYFUNCTION("""COMPUTED_VALUE"""),"{""regular"":[{""days"":[""Mo"",""Tu"",""Th"",""Fr""],""open"":""08:00"",""close"":""18:00""}]}")</f>
        <v>{"regular":[{"days":["Mo","Tu","Th","Fr"],"open":"08:00","close":"18:00"}]}</v>
      </c>
      <c r="L553" s="9"/>
      <c r="M553" s="10">
        <f>IFERROR(__xludf.DUMMYFUNCTION("""COMPUTED_VALUE"""),31.0)</f>
        <v>31</v>
      </c>
      <c r="N553" s="10" t="str">
        <f>IFERROR(__xludf.DUMMYFUNCTION("""COMPUTED_VALUE"""),"Medical - Primary Care")</f>
        <v>Medical - Primary Care</v>
      </c>
      <c r="O553" s="10">
        <f>IFERROR(__xludf.DUMMYFUNCTION("""COMPUTED_VALUE"""),1.0)</f>
        <v>1</v>
      </c>
      <c r="P553" s="10" t="str">
        <f>IFERROR(__xludf.DUMMYFUNCTION("""COMPUTED_VALUE"""),"ACTIVE")</f>
        <v>ACTIVE</v>
      </c>
      <c r="Q553" s="11">
        <f>IFERROR(__xludf.DUMMYFUNCTION("""COMPUTED_VALUE"""),45948.0)</f>
        <v>45948</v>
      </c>
      <c r="R553" s="9" t="str">
        <f>IFERROR(__xludf.DUMMYFUNCTION("""COMPUTED_VALUE"""),"Verified online")</f>
        <v>Verified online</v>
      </c>
      <c r="S553"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Pediatrics
OB/GYN
Behavioral Health
HIV/STI Care")</f>
        <v>As a Federally Qualified Health Center (FQHC), its services are open to all regardless of ability to pay.  This does not mean services are free.  Their Specialists will help you find grants, financial assistance, sliding fee scale, etc. to make your care affordable.
Pediatrics
OB/GYN
Behavioral Health
HIV/STI Care</v>
      </c>
      <c r="T553" s="12" t="b">
        <f>IFERROR(__xludf.DUMMYFUNCTION("""COMPUTED_VALUE"""),FALSE)</f>
        <v>0</v>
      </c>
      <c r="U553" s="12" t="b">
        <f>IFERROR(__xludf.DUMMYFUNCTION("""COMPUTED_VALUE"""),FALSE)</f>
        <v>0</v>
      </c>
      <c r="V553" s="13" t="str">
        <f>IFERROR(__xludf.DUMMYFUNCTION("""COMPUTED_VALUE"""),"https://www.legacycommunityhealth.org")</f>
        <v>https://www.legacycommunityhealth.org</v>
      </c>
      <c r="W553" s="14" t="str">
        <f>IFERROR(__xludf.DUMMYFUNCTION("""COMPUTED_VALUE"""),"https://www.google.com/maps/place/Legacy+Community+Health+-+San+Jacinto/@29.76821,-94.980158,15z/data=!3m1!5s0x863f5ea105f2ba5b:0xe13b58db4d4a4029!4m15!1m8!3m7!1s0x863f5ea105848eb3:0x8b061118091a66bf!2s4301+Garth+Rd,+Baytown,+TX+77521!3b1!8m2!3d29.7682095"&amp;"!4d-94.9801584!16s%2Fg%2F11bw3ytp1f!3m5!1s0x863f5ea08e8b1a95:0x1bdd7ed32477e6ba!8m2!3d29.7682941!4d-94.9800503!16s%2Fg%2F11b86bplsk?hl=en&amp;entry=ttu&amp;g_ep=EgoyMDI1MTAxNC4wIKXMDSoASAFQAw%3D%3D")</f>
        <v>https://www.google.com/maps/place/Legacy+Community+Health+-+San+Jacinto/@29.76821,-94.980158,15z/data=!3m1!5s0x863f5ea105f2ba5b:0xe13b58db4d4a4029!4m15!1m8!3m7!1s0x863f5ea105848eb3:0x8b061118091a66bf!2s4301+Garth+Rd,+Baytown,+TX+77521!3b1!8m2!3d29.7682095!4d-94.9801584!16s%2Fg%2F11bw3ytp1f!3m5!1s0x863f5ea08e8b1a95:0x1bdd7ed32477e6ba!8m2!3d29.7682941!4d-94.9800503!16s%2Fg%2F11b86bplsk?hl=en&amp;entry=ttu&amp;g_ep=EgoyMDI1MTAxNC4wIKXMDSoASAFQAw%3D%3D</v>
      </c>
      <c r="X553" s="10"/>
      <c r="Y553" s="9" t="str">
        <f>IFERROR(__xludf.DUMMYFUNCTION("""COMPUTED_VALUE"""),"Baytown")</f>
        <v>Baytown</v>
      </c>
      <c r="Z553" s="9" t="str">
        <f>IFERROR(__xludf.DUMMYFUNCTION("""COMPUTED_VALUE"""),"Baytown, Baytown (North), Highland Farms")</f>
        <v>Baytown, Baytown (North), Highland Farms</v>
      </c>
      <c r="AA553" s="9" t="str">
        <f>IFERROR(__xludf.DUMMYFUNCTION("""COMPUTED_VALUE"""),"Legacy Community Health")</f>
        <v>Legacy Community Health</v>
      </c>
      <c r="AB553" s="9" t="str">
        <f>IFERROR(__xludf.DUMMYFUNCTION("""COMPUTED_VALUE"""),"Baytown")</f>
        <v>Baytown</v>
      </c>
    </row>
    <row r="554" ht="30.0" customHeight="1">
      <c r="A554" s="17">
        <v>553.0</v>
      </c>
      <c r="B554" s="8" t="str">
        <f>IFERROR(__xludf.DUMMYFUNCTION("""COMPUTED_VALUE"""),"[""99999""]")</f>
        <v>["99999"]</v>
      </c>
      <c r="C554" s="9" t="str">
        <f>IFERROR(__xludf.DUMMYFUNCTION("""COMPUTED_VALUE"""),"Legacy Health - San Jacinto")</f>
        <v>Legacy Health - San Jacinto</v>
      </c>
      <c r="D554" s="9" t="str">
        <f>IFERROR(__xludf.DUMMYFUNCTION("""COMPUTED_VALUE"""),"4301 Garth Road")</f>
        <v>4301 Garth Road</v>
      </c>
      <c r="E554" s="9" t="str">
        <f>IFERROR(__xludf.DUMMYFUNCTION("""COMPUTED_VALUE"""),"Suite 400")</f>
        <v>Suite 400</v>
      </c>
      <c r="F554" s="9" t="str">
        <f>IFERROR(__xludf.DUMMYFUNCTION("""COMPUTED_VALUE"""),"Baytown")</f>
        <v>Baytown</v>
      </c>
      <c r="G554" s="9" t="str">
        <f>IFERROR(__xludf.DUMMYFUNCTION("""COMPUTED_VALUE"""),"TX")</f>
        <v>TX</v>
      </c>
      <c r="H554" s="9" t="str">
        <f>IFERROR(__xludf.DUMMYFUNCTION("""COMPUTED_VALUE"""),"77521")</f>
        <v>77521</v>
      </c>
      <c r="I554" s="9" t="str">
        <f>IFERROR(__xludf.DUMMYFUNCTION("""COMPUTED_VALUE"""),"281-420-8400")</f>
        <v>281-420-8400</v>
      </c>
      <c r="J554" s="9" t="str">
        <f>IFERROR(__xludf.DUMMYFUNCTION("""COMPUTED_VALUE"""),"29.768992297723653, -94.97996487943409")</f>
        <v>29.768992297723653, -94.97996487943409</v>
      </c>
      <c r="K554" s="9" t="str">
        <f>IFERROR(__xludf.DUMMYFUNCTION("""COMPUTED_VALUE"""),"{""regular"":[{""days"":[""Mo"",""Tu"",""Th"",""Fr""],""open"":""08:00"",""close"":""18:00""}]}")</f>
        <v>{"regular":[{"days":["Mo","Tu","Th","Fr"],"open":"08:00","close":"18:00"}]}</v>
      </c>
      <c r="L554" s="9"/>
      <c r="M554" s="10">
        <f>IFERROR(__xludf.DUMMYFUNCTION("""COMPUTED_VALUE"""),33.0)</f>
        <v>33</v>
      </c>
      <c r="N554" s="10" t="str">
        <f>IFERROR(__xludf.DUMMYFUNCTION("""COMPUTED_VALUE"""),"Medical - Behavioral Health")</f>
        <v>Medical - Behavioral Health</v>
      </c>
      <c r="O554" s="10">
        <f>IFERROR(__xludf.DUMMYFUNCTION("""COMPUTED_VALUE"""),1.0)</f>
        <v>1</v>
      </c>
      <c r="P554" s="10" t="str">
        <f>IFERROR(__xludf.DUMMYFUNCTION("""COMPUTED_VALUE"""),"ACTIVE")</f>
        <v>ACTIVE</v>
      </c>
      <c r="Q554" s="11">
        <f>IFERROR(__xludf.DUMMYFUNCTION("""COMPUTED_VALUE"""),45948.0)</f>
        <v>45948</v>
      </c>
      <c r="R554" s="9" t="str">
        <f>IFERROR(__xludf.DUMMYFUNCTION("""COMPUTED_VALUE"""),"Verified online")</f>
        <v>Verified online</v>
      </c>
      <c r="S554"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54" s="12" t="b">
        <f>IFERROR(__xludf.DUMMYFUNCTION("""COMPUTED_VALUE"""),FALSE)</f>
        <v>0</v>
      </c>
      <c r="U554" s="12" t="b">
        <f>IFERROR(__xludf.DUMMYFUNCTION("""COMPUTED_VALUE"""),FALSE)</f>
        <v>0</v>
      </c>
      <c r="V554" s="13" t="str">
        <f>IFERROR(__xludf.DUMMYFUNCTION("""COMPUTED_VALUE"""),"https://www.legacycommunityhealth.org")</f>
        <v>https://www.legacycommunityhealth.org</v>
      </c>
      <c r="W554" s="14" t="str">
        <f>IFERROR(__xludf.DUMMYFUNCTION("""COMPUTED_VALUE"""),"https://www.google.com/maps/place/Legacy+Community+Health+-+San+Jacinto/@29.76821,-94.980158,15z/data=!3m1!5s0x863f5ea105f2ba5b:0xe13b58db4d4a4029!4m15!1m8!3m7!1s0x863f5ea105848eb3:0x8b061118091a66bf!2s4301+Garth+Rd,+Baytown,+TX+77521!3b1!8m2!3d29.7682095"&amp;"!4d-94.9801584!16s%2Fg%2F11bw3ytp1f!3m5!1s0x863f5ea08e8b1a95:0x1bdd7ed32477e6ba!8m2!3d29.7682941!4d-94.9800503!16s%2Fg%2F11b86bplsk?hl=en&amp;entry=ttu&amp;g_ep=EgoyMDI1MTAxNC4wIKXMDSoASAFQAw%3D%3D")</f>
        <v>https://www.google.com/maps/place/Legacy+Community+Health+-+San+Jacinto/@29.76821,-94.980158,15z/data=!3m1!5s0x863f5ea105f2ba5b:0xe13b58db4d4a4029!4m15!1m8!3m7!1s0x863f5ea105848eb3:0x8b061118091a66bf!2s4301+Garth+Rd,+Baytown,+TX+77521!3b1!8m2!3d29.7682095!4d-94.9801584!16s%2Fg%2F11bw3ytp1f!3m5!1s0x863f5ea08e8b1a95:0x1bdd7ed32477e6ba!8m2!3d29.7682941!4d-94.9800503!16s%2Fg%2F11b86bplsk?hl=en&amp;entry=ttu&amp;g_ep=EgoyMDI1MTAxNC4wIKXMDSoASAFQAw%3D%3D</v>
      </c>
      <c r="X554" s="10"/>
      <c r="Y554" s="9" t="str">
        <f>IFERROR(__xludf.DUMMYFUNCTION("""COMPUTED_VALUE"""),"Baytown")</f>
        <v>Baytown</v>
      </c>
      <c r="Z554" s="9" t="str">
        <f>IFERROR(__xludf.DUMMYFUNCTION("""COMPUTED_VALUE"""),"Baytown, Baytown (North), Highland Farms")</f>
        <v>Baytown, Baytown (North), Highland Farms</v>
      </c>
      <c r="AA554" s="9" t="str">
        <f>IFERROR(__xludf.DUMMYFUNCTION("""COMPUTED_VALUE"""),"Legacy Community Health")</f>
        <v>Legacy Community Health</v>
      </c>
      <c r="AB554" s="9" t="str">
        <f>IFERROR(__xludf.DUMMYFUNCTION("""COMPUTED_VALUE"""),"Baytown")</f>
        <v>Baytown</v>
      </c>
    </row>
    <row r="555" ht="30.0" customHeight="1">
      <c r="A555" s="17">
        <v>554.0</v>
      </c>
      <c r="B555" s="8" t="str">
        <f>IFERROR(__xludf.DUMMYFUNCTION("""COMPUTED_VALUE"""),"[""99999""]")</f>
        <v>["99999"]</v>
      </c>
      <c r="C555" s="9" t="str">
        <f>IFERROR(__xludf.DUMMYFUNCTION("""COMPUTED_VALUE"""),"Legacy Health - Santa Clara")</f>
        <v>Legacy Health - Santa Clara</v>
      </c>
      <c r="D555" s="9" t="str">
        <f>IFERROR(__xludf.DUMMYFUNCTION("""COMPUTED_VALUE"""),"5616 Lawndale Street")</f>
        <v>5616 Lawndale Street</v>
      </c>
      <c r="E555" s="9"/>
      <c r="F555" s="9" t="str">
        <f>IFERROR(__xludf.DUMMYFUNCTION("""COMPUTED_VALUE"""),"Houston")</f>
        <v>Houston</v>
      </c>
      <c r="G555" s="9" t="str">
        <f>IFERROR(__xludf.DUMMYFUNCTION("""COMPUTED_VALUE"""),"TX")</f>
        <v>TX</v>
      </c>
      <c r="H555" s="9" t="str">
        <f>IFERROR(__xludf.DUMMYFUNCTION("""COMPUTED_VALUE"""),"77023")</f>
        <v>77023</v>
      </c>
      <c r="I555" s="9" t="str">
        <f>IFERROR(__xludf.DUMMYFUNCTION("""COMPUTED_VALUE"""),"713-921-0075")</f>
        <v>713-921-0075</v>
      </c>
      <c r="J555" s="9" t="str">
        <f>IFERROR(__xludf.DUMMYFUNCTION("""COMPUTED_VALUE"""),"29.727086966027247, -95.31681128939701")</f>
        <v>29.727086966027247, -95.31681128939701</v>
      </c>
      <c r="K555" s="9" t="str">
        <f>IFERROR(__xludf.DUMMYFUNCTION("""COMPUTED_VALUE"""),"{""regular"":[{""days"":[""Mo"",""Tu"",""We"",""Th"",""Fr""],""open"":""08:00"",""close"":""17:00""}]}")</f>
        <v>{"regular":[{"days":["Mo","Tu","We","Th","Fr"],"open":"08:00","close":"17:00"}]}</v>
      </c>
      <c r="L555" s="9"/>
      <c r="M555" s="10">
        <f>IFERROR(__xludf.DUMMYFUNCTION("""COMPUTED_VALUE"""),31.0)</f>
        <v>31</v>
      </c>
      <c r="N555" s="10" t="str">
        <f>IFERROR(__xludf.DUMMYFUNCTION("""COMPUTED_VALUE"""),"Medical - Primary Care")</f>
        <v>Medical - Primary Care</v>
      </c>
      <c r="O555" s="10">
        <f>IFERROR(__xludf.DUMMYFUNCTION("""COMPUTED_VALUE"""),1.0)</f>
        <v>1</v>
      </c>
      <c r="P555" s="10" t="str">
        <f>IFERROR(__xludf.DUMMYFUNCTION("""COMPUTED_VALUE"""),"ACTIVE")</f>
        <v>ACTIVE</v>
      </c>
      <c r="Q555" s="11">
        <f>IFERROR(__xludf.DUMMYFUNCTION("""COMPUTED_VALUE"""),45948.0)</f>
        <v>45948</v>
      </c>
      <c r="R555" s="9" t="str">
        <f>IFERROR(__xludf.DUMMYFUNCTION("""COMPUTED_VALUE"""),"Verified online")</f>
        <v>Verified online</v>
      </c>
      <c r="S555"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for Adult &amp; Children
Behavioral Health
OB/GYN
Vaccinations")</f>
        <v>As a Federally Qualified Health Center (FQHC), its services are open to all regardless of ability to pay.  This does not mean services are free.  Their Specialists will help you find grants, financial assistance, sliding fee scale, etc. to make your care affordable.
Primary Care for Adult &amp; Children
Behavioral Health
OB/GYN
Vaccinations</v>
      </c>
      <c r="T555" s="12" t="b">
        <f>IFERROR(__xludf.DUMMYFUNCTION("""COMPUTED_VALUE"""),FALSE)</f>
        <v>0</v>
      </c>
      <c r="U555" s="12" t="b">
        <f>IFERROR(__xludf.DUMMYFUNCTION("""COMPUTED_VALUE"""),FALSE)</f>
        <v>0</v>
      </c>
      <c r="V555" s="13" t="str">
        <f>IFERROR(__xludf.DUMMYFUNCTION("""COMPUTED_VALUE"""),"https://www.legacycommunityhealth.org")</f>
        <v>https://www.legacycommunityhealth.org</v>
      </c>
      <c r="W555" s="14" t="str">
        <f>IFERROR(__xludf.DUMMYFUNCTION("""COMPUTED_VALUE"""),"https://www.google.com/maps/place/Legacy+Community+Health+-+Santa+Clara/@29.726118,-95.316704,15z/data=!4m15!1m8!3m7!1s0x8640be7dcd183349:0x340b8b9134115064!2s5616+Lawndale+St,+Houston,+TX+77023!3b1!8m2!3d29.7261181!4d-95.3167038!16s%2Fg%2F11bw3zc99_!3m5!"&amp;"1s0x8640be7db67531d1:0xadaece6aa33f701a!8m2!3d29.7261181!4d-95.3169372!16s%2Fg%2F11bv2p83z0?hl=en&amp;entry=ttu&amp;g_ep=EgoyMDI1MTAxNC4wIKXMDSoASAFQAw%3D%3D")</f>
        <v>https://www.google.com/maps/place/Legacy+Community+Health+-+Santa+Clara/@29.726118,-95.316704,15z/data=!4m15!1m8!3m7!1s0x8640be7dcd183349:0x340b8b9134115064!2s5616+Lawndale+St,+Houston,+TX+77023!3b1!8m2!3d29.7261181!4d-95.3167038!16s%2Fg%2F11bw3zc99_!3m5!1s0x8640be7db67531d1:0xadaece6aa33f701a!8m2!3d29.7261181!4d-95.3169372!16s%2Fg%2F11bv2p83z0?hl=en&amp;entry=ttu&amp;g_ep=EgoyMDI1MTAxNC4wIKXMDSoASAFQAw%3D%3D</v>
      </c>
      <c r="X555" s="10"/>
      <c r="Y555" s="9" t="str">
        <f>IFERROR(__xludf.DUMMYFUNCTION("""COMPUTED_VALUE"""),"Houston")</f>
        <v>Houston</v>
      </c>
      <c r="Z555" s="9" t="str">
        <f>IFERROR(__xludf.DUMMYFUNCTION("""COMPUTED_VALUE"""),"Eastwood, Gulfgate Riverview / Pine Valley, Idylwood, Lawndale / Wayside, Magnolia Park, South Central Houston")</f>
        <v>Eastwood, Gulfgate Riverview / Pine Valley, Idylwood, Lawndale / Wayside, Magnolia Park, South Central Houston</v>
      </c>
      <c r="AA555" s="9" t="str">
        <f>IFERROR(__xludf.DUMMYFUNCTION("""COMPUTED_VALUE"""),"Legacy Community Health")</f>
        <v>Legacy Community Health</v>
      </c>
      <c r="AB555" s="9" t="str">
        <f>IFERROR(__xludf.DUMMYFUNCTION("""COMPUTED_VALUE"""),"Lawndale / Wayside")</f>
        <v>Lawndale / Wayside</v>
      </c>
    </row>
    <row r="556" ht="30.0" customHeight="1">
      <c r="A556" s="17">
        <v>555.0</v>
      </c>
      <c r="B556" s="8" t="str">
        <f>IFERROR(__xludf.DUMMYFUNCTION("""COMPUTED_VALUE"""),"[""99999""]")</f>
        <v>["99999"]</v>
      </c>
      <c r="C556" s="9" t="str">
        <f>IFERROR(__xludf.DUMMYFUNCTION("""COMPUTED_VALUE"""),"Legacy Health - Santa Clara")</f>
        <v>Legacy Health - Santa Clara</v>
      </c>
      <c r="D556" s="9" t="str">
        <f>IFERROR(__xludf.DUMMYFUNCTION("""COMPUTED_VALUE"""),"5616 Lawndale Street")</f>
        <v>5616 Lawndale Street</v>
      </c>
      <c r="E556" s="9"/>
      <c r="F556" s="9" t="str">
        <f>IFERROR(__xludf.DUMMYFUNCTION("""COMPUTED_VALUE"""),"Houston")</f>
        <v>Houston</v>
      </c>
      <c r="G556" s="9" t="str">
        <f>IFERROR(__xludf.DUMMYFUNCTION("""COMPUTED_VALUE"""),"TX")</f>
        <v>TX</v>
      </c>
      <c r="H556" s="9" t="str">
        <f>IFERROR(__xludf.DUMMYFUNCTION("""COMPUTED_VALUE"""),"77023")</f>
        <v>77023</v>
      </c>
      <c r="I556" s="9" t="str">
        <f>IFERROR(__xludf.DUMMYFUNCTION("""COMPUTED_VALUE"""),"713-921-0075")</f>
        <v>713-921-0075</v>
      </c>
      <c r="J556" s="9" t="str">
        <f>IFERROR(__xludf.DUMMYFUNCTION("""COMPUTED_VALUE"""),"29.727086966027247, -95.31681128939701")</f>
        <v>29.727086966027247, -95.31681128939701</v>
      </c>
      <c r="K556" s="9" t="str">
        <f>IFERROR(__xludf.DUMMYFUNCTION("""COMPUTED_VALUE"""),"{""regular"":[{""days"":[""Mo"",""Tu"",""We"",""Th"",""Fr""],""open"":""08:00"",""close"":""17:00""}]}")</f>
        <v>{"regular":[{"days":["Mo","Tu","We","Th","Fr"],"open":"08:00","close":"17:00"}]}</v>
      </c>
      <c r="L556" s="9"/>
      <c r="M556" s="10">
        <f>IFERROR(__xludf.DUMMYFUNCTION("""COMPUTED_VALUE"""),33.0)</f>
        <v>33</v>
      </c>
      <c r="N556" s="10" t="str">
        <f>IFERROR(__xludf.DUMMYFUNCTION("""COMPUTED_VALUE"""),"Medical - Behavioral Health")</f>
        <v>Medical - Behavioral Health</v>
      </c>
      <c r="O556" s="10">
        <f>IFERROR(__xludf.DUMMYFUNCTION("""COMPUTED_VALUE"""),1.0)</f>
        <v>1</v>
      </c>
      <c r="P556" s="10" t="str">
        <f>IFERROR(__xludf.DUMMYFUNCTION("""COMPUTED_VALUE"""),"ACTIVE")</f>
        <v>ACTIVE</v>
      </c>
      <c r="Q556" s="11">
        <f>IFERROR(__xludf.DUMMYFUNCTION("""COMPUTED_VALUE"""),45948.0)</f>
        <v>45948</v>
      </c>
      <c r="R556" s="9" t="str">
        <f>IFERROR(__xludf.DUMMYFUNCTION("""COMPUTED_VALUE"""),"Verified online")</f>
        <v>Verified online</v>
      </c>
      <c r="S556"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56" s="12" t="b">
        <f>IFERROR(__xludf.DUMMYFUNCTION("""COMPUTED_VALUE"""),FALSE)</f>
        <v>0</v>
      </c>
      <c r="U556" s="12" t="b">
        <f>IFERROR(__xludf.DUMMYFUNCTION("""COMPUTED_VALUE"""),FALSE)</f>
        <v>0</v>
      </c>
      <c r="V556" s="13" t="str">
        <f>IFERROR(__xludf.DUMMYFUNCTION("""COMPUTED_VALUE"""),"https://www.legacycommunityhealth.org")</f>
        <v>https://www.legacycommunityhealth.org</v>
      </c>
      <c r="W556" s="14" t="str">
        <f>IFERROR(__xludf.DUMMYFUNCTION("""COMPUTED_VALUE"""),"https://www.google.com/maps/place/Legacy+Community+Health+-+Santa+Clara/@29.726118,-95.316704,15z/data=!4m15!1m8!3m7!1s0x8640be7dcd183349:0x340b8b9134115064!2s5616+Lawndale+St,+Houston,+TX+77023!3b1!8m2!3d29.7261181!4d-95.3167038!16s%2Fg%2F11bw3zc99_!3m5!"&amp;"1s0x8640be7db67531d1:0xadaece6aa33f701a!8m2!3d29.7261181!4d-95.3169372!16s%2Fg%2F11bv2p83z0?hl=en&amp;entry=ttu&amp;g_ep=EgoyMDI1MTAxNC4wIKXMDSoASAFQAw%3D%3D")</f>
        <v>https://www.google.com/maps/place/Legacy+Community+Health+-+Santa+Clara/@29.726118,-95.316704,15z/data=!4m15!1m8!3m7!1s0x8640be7dcd183349:0x340b8b9134115064!2s5616+Lawndale+St,+Houston,+TX+77023!3b1!8m2!3d29.7261181!4d-95.3167038!16s%2Fg%2F11bw3zc99_!3m5!1s0x8640be7db67531d1:0xadaece6aa33f701a!8m2!3d29.7261181!4d-95.3169372!16s%2Fg%2F11bv2p83z0?hl=en&amp;entry=ttu&amp;g_ep=EgoyMDI1MTAxNC4wIKXMDSoASAFQAw%3D%3D</v>
      </c>
      <c r="X556" s="10"/>
      <c r="Y556" s="9" t="str">
        <f>IFERROR(__xludf.DUMMYFUNCTION("""COMPUTED_VALUE"""),"Houston")</f>
        <v>Houston</v>
      </c>
      <c r="Z556" s="9" t="str">
        <f>IFERROR(__xludf.DUMMYFUNCTION("""COMPUTED_VALUE"""),"Eastwood, Gulfgate Riverview / Pine Valley, Idylwood, Lawndale / Wayside, Magnolia Park, South Central Houston")</f>
        <v>Eastwood, Gulfgate Riverview / Pine Valley, Idylwood, Lawndale / Wayside, Magnolia Park, South Central Houston</v>
      </c>
      <c r="AA556" s="9" t="str">
        <f>IFERROR(__xludf.DUMMYFUNCTION("""COMPUTED_VALUE"""),"Legacy Community Health")</f>
        <v>Legacy Community Health</v>
      </c>
      <c r="AB556" s="9" t="str">
        <f>IFERROR(__xludf.DUMMYFUNCTION("""COMPUTED_VALUE"""),"Lawndale / Wayside")</f>
        <v>Lawndale / Wayside</v>
      </c>
    </row>
    <row r="557" ht="30.0" customHeight="1">
      <c r="A557" s="17">
        <v>556.0</v>
      </c>
      <c r="B557" s="8" t="str">
        <f>IFERROR(__xludf.DUMMYFUNCTION("""COMPUTED_VALUE"""),"[""99999""]")</f>
        <v>["99999"]</v>
      </c>
      <c r="C557" s="9" t="str">
        <f>IFERROR(__xludf.DUMMYFUNCTION("""COMPUTED_VALUE"""),"Legacy Health - Southwest")</f>
        <v>Legacy Health - Southwest</v>
      </c>
      <c r="D557" s="9" t="str">
        <f>IFERROR(__xludf.DUMMYFUNCTION("""COMPUTED_VALUE"""),"6441 High Star Drive")</f>
        <v>6441 High Star Drive</v>
      </c>
      <c r="E557" s="9"/>
      <c r="F557" s="9" t="str">
        <f>IFERROR(__xludf.DUMMYFUNCTION("""COMPUTED_VALUE"""),"Houston")</f>
        <v>Houston</v>
      </c>
      <c r="G557" s="9" t="str">
        <f>IFERROR(__xludf.DUMMYFUNCTION("""COMPUTED_VALUE"""),"TX")</f>
        <v>TX</v>
      </c>
      <c r="H557" s="9" t="str">
        <f>IFERROR(__xludf.DUMMYFUNCTION("""COMPUTED_VALUE"""),"77074")</f>
        <v>77074</v>
      </c>
      <c r="I557" s="9" t="str">
        <f>IFERROR(__xludf.DUMMYFUNCTION("""COMPUTED_VALUE"""),"832-548-5300")</f>
        <v>832-548-5300</v>
      </c>
      <c r="J557" s="9" t="str">
        <f>IFERROR(__xludf.DUMMYFUNCTION("""COMPUTED_VALUE"""),"29.7108632850486, -95.49566964441873")</f>
        <v>29.7108632850486, -95.49566964441873</v>
      </c>
      <c r="K557" s="9" t="str">
        <f>IFERROR(__xludf.DUMMYFUNCTION("""COMPUTED_VALUE"""),"{""regular"":[{""days"":[""Mo"",""Tu"",""We"",""Th"",""Fr""],""open"":""08:00"",""close"":""20:00""},{""days"":[""Su""],""open"":""12:00"",""close"":""18:00""}]}")</f>
        <v>{"regular":[{"days":["Mo","Tu","We","Th","Fr"],"open":"08:00","close":"20:00"},{"days":["Su"],"open":"12:00","close":"18:00"}]}</v>
      </c>
      <c r="L557" s="9"/>
      <c r="M557" s="10">
        <f>IFERROR(__xludf.DUMMYFUNCTION("""COMPUTED_VALUE"""),31.0)</f>
        <v>31</v>
      </c>
      <c r="N557" s="10" t="str">
        <f>IFERROR(__xludf.DUMMYFUNCTION("""COMPUTED_VALUE"""),"Medical - Primary Care")</f>
        <v>Medical - Primary Care</v>
      </c>
      <c r="O557" s="10">
        <f>IFERROR(__xludf.DUMMYFUNCTION("""COMPUTED_VALUE"""),1.0)</f>
        <v>1</v>
      </c>
      <c r="P557" s="10" t="str">
        <f>IFERROR(__xludf.DUMMYFUNCTION("""COMPUTED_VALUE"""),"ACTIVE")</f>
        <v>ACTIVE</v>
      </c>
      <c r="Q557" s="11">
        <f>IFERROR(__xludf.DUMMYFUNCTION("""COMPUTED_VALUE"""),45948.0)</f>
        <v>45948</v>
      </c>
      <c r="R557" s="9" t="str">
        <f>IFERROR(__xludf.DUMMYFUNCTION("""COMPUTED_VALUE"""),"Verified online")</f>
        <v>Verified online</v>
      </c>
      <c r="S557"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Primary Care for Adults &amp; Children
HIV/STI Care
OB/GYN
Pharmacy
Vaccinations")</f>
        <v>As a Federally Qualified Health Center (FQHC), its services are open to all regardless of ability to pay.  This does not mean services are free.  Their Specialists will help you find grants, financial assistance, sliding fee scale, etc. to make your care affordable.
Primary Care for Adults &amp; Children
HIV/STI Care
OB/GYN
Pharmacy
Vaccinations</v>
      </c>
      <c r="T557" s="12" t="b">
        <f>IFERROR(__xludf.DUMMYFUNCTION("""COMPUTED_VALUE"""),FALSE)</f>
        <v>0</v>
      </c>
      <c r="U557" s="12" t="b">
        <f>IFERROR(__xludf.DUMMYFUNCTION("""COMPUTED_VALUE"""),FALSE)</f>
        <v>0</v>
      </c>
      <c r="V557" s="13" t="str">
        <f>IFERROR(__xludf.DUMMYFUNCTION("""COMPUTED_VALUE"""),"https://www.legacycommunityhealth.org")</f>
        <v>https://www.legacycommunityhealth.org</v>
      </c>
      <c r="W557" s="14" t="str">
        <f>IFERROR(__xludf.DUMMYFUNCTION("""COMPUTED_VALUE"""),"https://www.google.com/maps/place/6441+High+Star+Dr,+Houston,+TX+77074/@29.710416,-95.495616,16z/data=!4m6!3m5!1s0x8640c2377b0477d9:0xe243bb94ad97913c!8m2!3d29.7104159!4d-95.4956161!16s%2Fg%2F11fs6hvxbs?hl=en&amp;entry=ttu&amp;g_ep=EgoyMDI1MTAxNC4wIKXMDSoASAFQAw%"&amp;"3D%3D")</f>
        <v>https://www.google.com/maps/place/6441+High+Star+Dr,+Houston,+TX+77074/@29.710416,-95.495616,16z/data=!4m6!3m5!1s0x8640c2377b0477d9:0xe243bb94ad97913c!8m2!3d29.7104159!4d-95.4956161!16s%2Fg%2F11fs6hvxbs?hl=en&amp;entry=ttu&amp;g_ep=EgoyMDI1MTAxNC4wIKXMDSoASAFQAw%3D%3D</v>
      </c>
      <c r="X557" s="10"/>
      <c r="Y557" s="9" t="str">
        <f>IFERROR(__xludf.DUMMYFUNCTION("""COMPUTED_VALUE"""),"Houston")</f>
        <v>Houston</v>
      </c>
      <c r="Z557" s="9" t="str">
        <f>IFERROR(__xludf.DUMMYFUNCTION("""COMPUTED_VALUE"""),"Braeburn, Robindell, Sharpstown")</f>
        <v>Braeburn, Robindell, Sharpstown</v>
      </c>
      <c r="AA557" s="9" t="str">
        <f>IFERROR(__xludf.DUMMYFUNCTION("""COMPUTED_VALUE"""),"Legacy Community Health")</f>
        <v>Legacy Community Health</v>
      </c>
      <c r="AB557" s="9" t="str">
        <f>IFERROR(__xludf.DUMMYFUNCTION("""COMPUTED_VALUE"""),"Sharpstown")</f>
        <v>Sharpstown</v>
      </c>
    </row>
    <row r="558" ht="30.0" customHeight="1">
      <c r="A558" s="17">
        <v>557.0</v>
      </c>
      <c r="B558" s="8" t="str">
        <f>IFERROR(__xludf.DUMMYFUNCTION("""COMPUTED_VALUE"""),"[""99999""]")</f>
        <v>["99999"]</v>
      </c>
      <c r="C558" s="9" t="str">
        <f>IFERROR(__xludf.DUMMYFUNCTION("""COMPUTED_VALUE"""),"Legacy Health - Stafford Fountains")</f>
        <v>Legacy Health - Stafford Fountains</v>
      </c>
      <c r="D558" s="9" t="str">
        <f>IFERROR(__xludf.DUMMYFUNCTION("""COMPUTED_VALUE"""),"12540 Sugardale Drive")</f>
        <v>12540 Sugardale Drive</v>
      </c>
      <c r="E558" s="9"/>
      <c r="F558" s="9" t="str">
        <f>IFERROR(__xludf.DUMMYFUNCTION("""COMPUTED_VALUE"""),"Houston")</f>
        <v>Houston</v>
      </c>
      <c r="G558" s="9" t="str">
        <f>IFERROR(__xludf.DUMMYFUNCTION("""COMPUTED_VALUE"""),"TX")</f>
        <v>TX</v>
      </c>
      <c r="H558" s="9" t="str">
        <f>IFERROR(__xludf.DUMMYFUNCTION("""COMPUTED_VALUE"""),"77477")</f>
        <v>77477</v>
      </c>
      <c r="I558" s="9" t="str">
        <f>IFERROR(__xludf.DUMMYFUNCTION("""COMPUTED_VALUE"""),"832-548-5000")</f>
        <v>832-548-5000</v>
      </c>
      <c r="J558" s="9" t="str">
        <f>IFERROR(__xludf.DUMMYFUNCTION("""COMPUTED_VALUE"""),"29.641926591785012, -95.58576727111193")</f>
        <v>29.641926591785012, -95.58576727111193</v>
      </c>
      <c r="K558" s="9" t="str">
        <f>IFERROR(__xludf.DUMMYFUNCTION("""COMPUTED_VALUE"""),"{""regular"":[{""days"":[""Mo"",""Tu"",""We"",""Th"",""Fr""],""open"":""08:00"",""close"":""17:00""}]}")</f>
        <v>{"regular":[{"days":["Mo","Tu","We","Th","Fr"],"open":"08:00","close":"17:00"}]}</v>
      </c>
      <c r="L558" s="9"/>
      <c r="M558" s="10">
        <f>IFERROR(__xludf.DUMMYFUNCTION("""COMPUTED_VALUE"""),31.0)</f>
        <v>31</v>
      </c>
      <c r="N558" s="10" t="str">
        <f>IFERROR(__xludf.DUMMYFUNCTION("""COMPUTED_VALUE"""),"Medical - Primary Care")</f>
        <v>Medical - Primary Care</v>
      </c>
      <c r="O558" s="10">
        <f>IFERROR(__xludf.DUMMYFUNCTION("""COMPUTED_VALUE"""),1.0)</f>
        <v>1</v>
      </c>
      <c r="P558" s="10" t="str">
        <f>IFERROR(__xludf.DUMMYFUNCTION("""COMPUTED_VALUE"""),"ACTIVE")</f>
        <v>ACTIVE</v>
      </c>
      <c r="Q558" s="11">
        <f>IFERROR(__xludf.DUMMYFUNCTION("""COMPUTED_VALUE"""),45948.0)</f>
        <v>45948</v>
      </c>
      <c r="R558" s="9" t="str">
        <f>IFERROR(__xludf.DUMMYFUNCTION("""COMPUTED_VALUE"""),"Verified online")</f>
        <v>Verified online</v>
      </c>
      <c r="S558"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Behavioral Health
OB/GYN
Pediatrics
Vaccinations")</f>
        <v>As a Federally Qualified Health Center (FQHC), its services are open to all regardless of ability to pay.  This does not mean services are free.  Their Specialists will help you find grants, financial assistance, sliding fee scale, etc. to make your care affordable.
Behavioral Health
OB/GYN
Pediatrics
Vaccinations</v>
      </c>
      <c r="T558" s="12" t="b">
        <f>IFERROR(__xludf.DUMMYFUNCTION("""COMPUTED_VALUE"""),FALSE)</f>
        <v>0</v>
      </c>
      <c r="U558" s="12" t="b">
        <f>IFERROR(__xludf.DUMMYFUNCTION("""COMPUTED_VALUE"""),FALSE)</f>
        <v>0</v>
      </c>
      <c r="V558" s="13" t="str">
        <f>IFERROR(__xludf.DUMMYFUNCTION("""COMPUTED_VALUE"""),"https://www.legacycommunityhealth.org")</f>
        <v>https://www.legacycommunityhealth.org</v>
      </c>
      <c r="W558" s="14" t="str">
        <f>IFERROR(__xludf.DUMMYFUNCTION("""COMPUTED_VALUE"""),"https://www.google.com/maps/place/Legacy+Community+Health+-+Stafford+Fountains/@29.641479,-95.585778,16z/data=!4m15!1m8!3m7!1s0x8640e7b923928035:0x7f5e233133f37076!2s12540+Sugardale+Dr,+Stafford,+TX+77477!3b1!8m2!3d29.6414787!4d-95.5857776!16s%2Fg%2F11bw3"&amp;"hr1gq!3m5!1s0x8640e74ec1c4a667:0x34b9f2fff95a7763!8m2!3d29.6414763!4d-95.585811!16s%2Fg%2F11smzsdxyr?hl=en&amp;entry=ttu&amp;g_ep=EgoyMDI1MTAxNC4wIKXMDSoASAFQAw%3D%3D")</f>
        <v>https://www.google.com/maps/place/Legacy+Community+Health+-+Stafford+Fountains/@29.641479,-95.585778,16z/data=!4m15!1m8!3m7!1s0x8640e7b923928035:0x7f5e233133f37076!2s12540+Sugardale+Dr,+Stafford,+TX+77477!3b1!8m2!3d29.6414787!4d-95.5857776!16s%2Fg%2F11bw3hr1gq!3m5!1s0x8640e74ec1c4a667:0x34b9f2fff95a7763!8m2!3d29.6414763!4d-95.585811!16s%2Fg%2F11smzsdxyr?hl=en&amp;entry=ttu&amp;g_ep=EgoyMDI1MTAxNC4wIKXMDSoASAFQAw%3D%3D</v>
      </c>
      <c r="X558" s="10"/>
      <c r="Y558" s="9" t="str">
        <f>IFERROR(__xludf.DUMMYFUNCTION("""COMPUTED_VALUE"""),"Stafford")</f>
        <v>Stafford</v>
      </c>
      <c r="Z558" s="9" t="str">
        <f>IFERROR(__xludf.DUMMYFUNCTION("""COMPUTED_VALUE"""),"Clark Plaza One, Corporate Bus Park, Greenbriar Southwest, Stafford, The Fountains")</f>
        <v>Clark Plaza One, Corporate Bus Park, Greenbriar Southwest, Stafford, The Fountains</v>
      </c>
      <c r="AA558" s="9" t="str">
        <f>IFERROR(__xludf.DUMMYFUNCTION("""COMPUTED_VALUE"""),"Legacy Community Health")</f>
        <v>Legacy Community Health</v>
      </c>
      <c r="AB558" s="9" t="str">
        <f>IFERROR(__xludf.DUMMYFUNCTION("""COMPUTED_VALUE"""),"The Fountains")</f>
        <v>The Fountains</v>
      </c>
    </row>
    <row r="559" ht="30.0" customHeight="1">
      <c r="A559" s="17">
        <v>558.0</v>
      </c>
      <c r="B559" s="8" t="str">
        <f>IFERROR(__xludf.DUMMYFUNCTION("""COMPUTED_VALUE"""),"[""99999""]")</f>
        <v>["99999"]</v>
      </c>
      <c r="C559" s="9" t="str">
        <f>IFERROR(__xludf.DUMMYFUNCTION("""COMPUTED_VALUE"""),"Legacy Health - Stafford Fountains")</f>
        <v>Legacy Health - Stafford Fountains</v>
      </c>
      <c r="D559" s="9" t="str">
        <f>IFERROR(__xludf.DUMMYFUNCTION("""COMPUTED_VALUE"""),"12540 Sugardale Drive")</f>
        <v>12540 Sugardale Drive</v>
      </c>
      <c r="E559" s="9"/>
      <c r="F559" s="9" t="str">
        <f>IFERROR(__xludf.DUMMYFUNCTION("""COMPUTED_VALUE"""),"Houston")</f>
        <v>Houston</v>
      </c>
      <c r="G559" s="9" t="str">
        <f>IFERROR(__xludf.DUMMYFUNCTION("""COMPUTED_VALUE"""),"TX")</f>
        <v>TX</v>
      </c>
      <c r="H559" s="9" t="str">
        <f>IFERROR(__xludf.DUMMYFUNCTION("""COMPUTED_VALUE"""),"77477")</f>
        <v>77477</v>
      </c>
      <c r="I559" s="9" t="str">
        <f>IFERROR(__xludf.DUMMYFUNCTION("""COMPUTED_VALUE"""),"832-548-5000")</f>
        <v>832-548-5000</v>
      </c>
      <c r="J559" s="9" t="str">
        <f>IFERROR(__xludf.DUMMYFUNCTION("""COMPUTED_VALUE"""),"29.641926591785012, -95.58576727111193")</f>
        <v>29.641926591785012, -95.58576727111193</v>
      </c>
      <c r="K559" s="9" t="str">
        <f>IFERROR(__xludf.DUMMYFUNCTION("""COMPUTED_VALUE"""),"{""regular"":[{""days"":[""Mo"",""Tu"",""We"",""Th"",""Fr""],""open"":""08:00"",""close"":""17:00""}]}")</f>
        <v>{"regular":[{"days":["Mo","Tu","We","Th","Fr"],"open":"08:00","close":"17:00"}]}</v>
      </c>
      <c r="L559" s="9"/>
      <c r="M559" s="10">
        <f>IFERROR(__xludf.DUMMYFUNCTION("""COMPUTED_VALUE"""),33.0)</f>
        <v>33</v>
      </c>
      <c r="N559" s="10" t="str">
        <f>IFERROR(__xludf.DUMMYFUNCTION("""COMPUTED_VALUE"""),"Medical - Behavioral Health")</f>
        <v>Medical - Behavioral Health</v>
      </c>
      <c r="O559" s="10">
        <f>IFERROR(__xludf.DUMMYFUNCTION("""COMPUTED_VALUE"""),1.0)</f>
        <v>1</v>
      </c>
      <c r="P559" s="10" t="str">
        <f>IFERROR(__xludf.DUMMYFUNCTION("""COMPUTED_VALUE"""),"ACTIVE")</f>
        <v>ACTIVE</v>
      </c>
      <c r="Q559" s="11">
        <f>IFERROR(__xludf.DUMMYFUNCTION("""COMPUTED_VALUE"""),45948.0)</f>
        <v>45948</v>
      </c>
      <c r="R559" s="9" t="str">
        <f>IFERROR(__xludf.DUMMYFUNCTION("""COMPUTED_VALUE"""),"Verified online")</f>
        <v>Verified online</v>
      </c>
      <c r="S559" s="9" t="str">
        <f>IFERROR(__xludf.DUMMYFUNCTION("""COMPUTED_VALUE"""),"Assessment, medication management,  therapy and psychological testing for depression, bipolar disorder, anxiety, schizophrenia, attention deficit disorders, autism spectrum disorders, developmental delays and learning disabilities.
As a Federally Qualifie"&amp;"d Health Center (FQHC), its services are open to all regardless of ability to pay.  This does not mean services are free.  Their Specialists will help you find grants, financial assistance, sliding fee scale, etc. to make your care affordable.
")</f>
        <v>Assessment, medication management,  therapy and psychological testing for depression, bipolar disorder, anxiety, schizophrenia, attention deficit disorders, autism spectrum disorders, developmental delays and learning disabilities.
As a Federally Qualified Health Center (FQHC), its services are open to all regardless of ability to pay.  This does not mean services are free.  Their Specialists will help you find grants, financial assistance, sliding fee scale, etc. to make your care affordable.
</v>
      </c>
      <c r="T559" s="12" t="b">
        <f>IFERROR(__xludf.DUMMYFUNCTION("""COMPUTED_VALUE"""),FALSE)</f>
        <v>0</v>
      </c>
      <c r="U559" s="12" t="b">
        <f>IFERROR(__xludf.DUMMYFUNCTION("""COMPUTED_VALUE"""),FALSE)</f>
        <v>0</v>
      </c>
      <c r="V559" s="13" t="str">
        <f>IFERROR(__xludf.DUMMYFUNCTION("""COMPUTED_VALUE"""),"https://www.legacycommunityhealth.org")</f>
        <v>https://www.legacycommunityhealth.org</v>
      </c>
      <c r="W559" s="14" t="str">
        <f>IFERROR(__xludf.DUMMYFUNCTION("""COMPUTED_VALUE"""),"https://www.google.com/maps/place/Legacy+Community+Health+-+Stafford+Fountains/@29.641479,-95.585778,16z/data=!4m15!1m8!3m7!1s0x8640e7b923928035:0x7f5e233133f37076!2s12540+Sugardale+Dr,+Stafford,+TX+77477!3b1!8m2!3d29.6414787!4d-95.5857776!16s%2Fg%2F11bw3"&amp;"hr1gq!3m5!1s0x8640e74ec1c4a667:0x34b9f2fff95a7763!8m2!3d29.6414763!4d-95.585811!16s%2Fg%2F11smzsdxyr?hl=en&amp;entry=ttu&amp;g_ep=EgoyMDI1MTAxNC4wIKXMDSoASAFQAw%3D%3D")</f>
        <v>https://www.google.com/maps/place/Legacy+Community+Health+-+Stafford+Fountains/@29.641479,-95.585778,16z/data=!4m15!1m8!3m7!1s0x8640e7b923928035:0x7f5e233133f37076!2s12540+Sugardale+Dr,+Stafford,+TX+77477!3b1!8m2!3d29.6414787!4d-95.5857776!16s%2Fg%2F11bw3hr1gq!3m5!1s0x8640e74ec1c4a667:0x34b9f2fff95a7763!8m2!3d29.6414763!4d-95.585811!16s%2Fg%2F11smzsdxyr?hl=en&amp;entry=ttu&amp;g_ep=EgoyMDI1MTAxNC4wIKXMDSoASAFQAw%3D%3D</v>
      </c>
      <c r="X559" s="10"/>
      <c r="Y559" s="9" t="str">
        <f>IFERROR(__xludf.DUMMYFUNCTION("""COMPUTED_VALUE"""),"Stafford")</f>
        <v>Stafford</v>
      </c>
      <c r="Z559" s="9" t="str">
        <f>IFERROR(__xludf.DUMMYFUNCTION("""COMPUTED_VALUE"""),"Clark Plaza One, Corporate Bus Park, Greenbriar Southwest, Stafford, The Fountains")</f>
        <v>Clark Plaza One, Corporate Bus Park, Greenbriar Southwest, Stafford, The Fountains</v>
      </c>
      <c r="AA559" s="9" t="str">
        <f>IFERROR(__xludf.DUMMYFUNCTION("""COMPUTED_VALUE"""),"Legacy Community Health")</f>
        <v>Legacy Community Health</v>
      </c>
      <c r="AB559" s="9" t="str">
        <f>IFERROR(__xludf.DUMMYFUNCTION("""COMPUTED_VALUE"""),"The Fountains")</f>
        <v>The Fountains</v>
      </c>
    </row>
    <row r="560" ht="30.0" customHeight="1">
      <c r="A560" s="17">
        <v>559.0</v>
      </c>
      <c r="B560" s="8" t="str">
        <f>IFERROR(__xludf.DUMMYFUNCTION("""COMPUTED_VALUE"""),"[""99999""]")</f>
        <v>["99999"]</v>
      </c>
      <c r="C560" s="9" t="str">
        <f>IFERROR(__xludf.DUMMYFUNCTION("""COMPUTED_VALUE"""),"Legacy Health - Third Ward")</f>
        <v>Legacy Health - Third Ward</v>
      </c>
      <c r="D560" s="9" t="str">
        <f>IFERROR(__xludf.DUMMYFUNCTION("""COMPUTED_VALUE"""),"2222 Cleburne Street")</f>
        <v>2222 Cleburne Street</v>
      </c>
      <c r="E560" s="9"/>
      <c r="F560" s="9" t="str">
        <f>IFERROR(__xludf.DUMMYFUNCTION("""COMPUTED_VALUE"""),"Houston")</f>
        <v>Houston</v>
      </c>
      <c r="G560" s="9" t="str">
        <f>IFERROR(__xludf.DUMMYFUNCTION("""COMPUTED_VALUE"""),"TX")</f>
        <v>TX</v>
      </c>
      <c r="H560" s="9" t="str">
        <f>IFERROR(__xludf.DUMMYFUNCTION("""COMPUTED_VALUE"""),"77004")</f>
        <v>77004</v>
      </c>
      <c r="I560" s="9" t="str">
        <f>IFERROR(__xludf.DUMMYFUNCTION("""COMPUTED_VALUE"""),"713-814-3655")</f>
        <v>713-814-3655</v>
      </c>
      <c r="J560" s="9" t="str">
        <f>IFERROR(__xludf.DUMMYFUNCTION("""COMPUTED_VALUE"""),"29.72995386969733, -95.37109154215139")</f>
        <v>29.72995386969733, -95.37109154215139</v>
      </c>
      <c r="K560" s="9" t="str">
        <f>IFERROR(__xludf.DUMMYFUNCTION("""COMPUTED_VALUE"""),"{""regular"":[{""days"":[""Mo"",""Tu"",""We"",""Th"",""Fr""],""open"":""08:00"",""close"":""16:00""}]}")</f>
        <v>{"regular":[{"days":["Mo","Tu","We","Th","Fr"],"open":"08:00","close":"16:00"}]}</v>
      </c>
      <c r="L560" s="9"/>
      <c r="M560" s="10">
        <f>IFERROR(__xludf.DUMMYFUNCTION("""COMPUTED_VALUE"""),31.0)</f>
        <v>31</v>
      </c>
      <c r="N560" s="10" t="str">
        <f>IFERROR(__xludf.DUMMYFUNCTION("""COMPUTED_VALUE"""),"Medical - Primary Care")</f>
        <v>Medical - Primary Care</v>
      </c>
      <c r="O560" s="10">
        <f>IFERROR(__xludf.DUMMYFUNCTION("""COMPUTED_VALUE"""),1.0)</f>
        <v>1</v>
      </c>
      <c r="P560" s="10" t="str">
        <f>IFERROR(__xludf.DUMMYFUNCTION("""COMPUTED_VALUE"""),"ACTIVE")</f>
        <v>ACTIVE</v>
      </c>
      <c r="Q560" s="11">
        <f>IFERROR(__xludf.DUMMYFUNCTION("""COMPUTED_VALUE"""),45948.0)</f>
        <v>45948</v>
      </c>
      <c r="R560" s="9" t="str">
        <f>IFERROR(__xludf.DUMMYFUNCTION("""COMPUTED_VALUE"""),"Verified online")</f>
        <v>Verified online</v>
      </c>
      <c r="S560"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Senior Primary Care
Vaccinations")</f>
        <v>As a Federally Qualified Health Center (FQHC), its services are open to all regardless of ability to pay.  This does not mean services are free.  Their Specialists will help you find grants, financial assistance, sliding fee scale, etc. to make your care affordable.
Senior Primary Care
Vaccinations</v>
      </c>
      <c r="T560" s="12" t="b">
        <f>IFERROR(__xludf.DUMMYFUNCTION("""COMPUTED_VALUE"""),FALSE)</f>
        <v>0</v>
      </c>
      <c r="U560" s="12" t="b">
        <f>IFERROR(__xludf.DUMMYFUNCTION("""COMPUTED_VALUE"""),FALSE)</f>
        <v>0</v>
      </c>
      <c r="V560" s="13" t="str">
        <f>IFERROR(__xludf.DUMMYFUNCTION("""COMPUTED_VALUE"""),"https://www.legacycommunityhealth.org")</f>
        <v>https://www.legacycommunityhealth.org</v>
      </c>
      <c r="W560" s="14" t="str">
        <f>IFERROR(__xludf.DUMMYFUNCTION("""COMPUTED_VALUE"""),"https://www.google.com/maps/place/Legacy+Community+Health+-+Third+Ward/@29.729134,-95.371113,15z/data=!4m15!1m8!3m7!1s0x8640bf0ae3441097:0xf8edee53a602da51!2s2222+Cleburne+St+Ste.+108,+Houston,+TX+77004!3b1!8m2!3d29.729134!4d-95.3711129!16s%2Fg%2F11zjcj5c"&amp;"lc!3m5!1s0x8640bf735787af4b:0x2f0d6c58ede560c!8m2!3d29.729134!4d-95.3711129!16s%2Fg%2F11pxxb6w21?hl=en&amp;entry=ttu&amp;g_ep=EgoyMDI1MTAxNC4wIKXMDSoASAFQAw%3D%3D")</f>
        <v>https://www.google.com/maps/place/Legacy+Community+Health+-+Third+Ward/@29.729134,-95.371113,15z/data=!4m15!1m8!3m7!1s0x8640bf0ae3441097:0xf8edee53a602da51!2s2222+Cleburne+St+Ste.+108,+Houston,+TX+77004!3b1!8m2!3d29.729134!4d-95.3711129!16s%2Fg%2F11zjcj5clc!3m5!1s0x8640bf735787af4b:0x2f0d6c58ede560c!8m2!3d29.729134!4d-95.3711129!16s%2Fg%2F11pxxb6w21?hl=en&amp;entry=ttu&amp;g_ep=EgoyMDI1MTAxNC4wIKXMDSoASAFQAw%3D%3D</v>
      </c>
      <c r="X560" s="10"/>
      <c r="Y560" s="9" t="str">
        <f>IFERROR(__xludf.DUMMYFUNCTION("""COMPUTED_VALUE"""),"Houston")</f>
        <v>Houston</v>
      </c>
      <c r="Z560"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560" s="9" t="str">
        <f>IFERROR(__xludf.DUMMYFUNCTION("""COMPUTED_VALUE"""),"Legacy Community Health")</f>
        <v>Legacy Community Health</v>
      </c>
      <c r="AB560" s="9" t="str">
        <f>IFERROR(__xludf.DUMMYFUNCTION("""COMPUTED_VALUE"""),"South Side")</f>
        <v>South Side</v>
      </c>
    </row>
    <row r="561" ht="30.0" customHeight="1">
      <c r="A561" s="17">
        <v>560.0</v>
      </c>
      <c r="B561" s="8" t="str">
        <f>IFERROR(__xludf.DUMMYFUNCTION("""COMPUTED_VALUE"""),"[""99999""]")</f>
        <v>["99999"]</v>
      </c>
      <c r="C561" s="9" t="str">
        <f>IFERROR(__xludf.DUMMYFUNCTION("""COMPUTED_VALUE"""),"Legacy Health - Wellness Bar")</f>
        <v>Legacy Health - Wellness Bar</v>
      </c>
      <c r="D561" s="9" t="str">
        <f>IFERROR(__xludf.DUMMYFUNCTION("""COMPUTED_VALUE"""),"120 Westheimer Road")</f>
        <v>120 Westheimer Road</v>
      </c>
      <c r="E561" s="9" t="str">
        <f>IFERROR(__xludf.DUMMYFUNCTION("""COMPUTED_VALUE"""),"Suite F")</f>
        <v>Suite F</v>
      </c>
      <c r="F561" s="9" t="str">
        <f>IFERROR(__xludf.DUMMYFUNCTION("""COMPUTED_VALUE"""),"Houston")</f>
        <v>Houston</v>
      </c>
      <c r="G561" s="9" t="str">
        <f>IFERROR(__xludf.DUMMYFUNCTION("""COMPUTED_VALUE"""),"TX")</f>
        <v>TX</v>
      </c>
      <c r="H561" s="9" t="str">
        <f>IFERROR(__xludf.DUMMYFUNCTION("""COMPUTED_VALUE"""),"77006")</f>
        <v>77006</v>
      </c>
      <c r="I561" s="9" t="str">
        <f>IFERROR(__xludf.DUMMYFUNCTION("""COMPUTED_VALUE"""),"713-814-3730")</f>
        <v>713-814-3730</v>
      </c>
      <c r="J561" s="9" t="str">
        <f>IFERROR(__xludf.DUMMYFUNCTION("""COMPUTED_VALUE"""),"29.745078044033825, -95.38254312009549")</f>
        <v>29.745078044033825, -95.38254312009549</v>
      </c>
      <c r="K561" s="9" t="str">
        <f>IFERROR(__xludf.DUMMYFUNCTION("""COMPUTED_VALUE"""),"{""regular"":[{""days"":[""Mo""],""open"":""10:00"",""close"":""19:00""},{""days"":[""Tu"",""We"",""Th""],""open"":""08:30"",""close"":""17:30""},{""days"":[""Fr""],""open"":""07:00"",""close"":""16:00""}]}")</f>
        <v>{"regular":[{"days":["Mo"],"open":"10:00","close":"19:00"},{"days":["Tu","We","Th"],"open":"08:30","close":"17:30"},{"days":["Fr"],"open":"07:00","close":"16:00"}]}</v>
      </c>
      <c r="L561" s="9"/>
      <c r="M561" s="10">
        <f>IFERROR(__xludf.DUMMYFUNCTION("""COMPUTED_VALUE"""),31.0)</f>
        <v>31</v>
      </c>
      <c r="N561" s="10" t="str">
        <f>IFERROR(__xludf.DUMMYFUNCTION("""COMPUTED_VALUE"""),"Medical - Primary Care")</f>
        <v>Medical - Primary Care</v>
      </c>
      <c r="O561" s="10">
        <f>IFERROR(__xludf.DUMMYFUNCTION("""COMPUTED_VALUE"""),1.0)</f>
        <v>1</v>
      </c>
      <c r="P561" s="10" t="str">
        <f>IFERROR(__xludf.DUMMYFUNCTION("""COMPUTED_VALUE"""),"ACTIVE")</f>
        <v>ACTIVE</v>
      </c>
      <c r="Q561" s="11">
        <f>IFERROR(__xludf.DUMMYFUNCTION("""COMPUTED_VALUE"""),45948.0)</f>
        <v>45948</v>
      </c>
      <c r="R561" s="9" t="str">
        <f>IFERROR(__xludf.DUMMYFUNCTION("""COMPUTED_VALUE"""),"Verified online")</f>
        <v>Verified online</v>
      </c>
      <c r="S561" s="9" t="str">
        <f>IFERROR(__xludf.DUMMYFUNCTION("""COMPUTED_VALUE"""),"As a Federally Qualified Health Center (FQHC), its services are open to all regardless of ability to pay.  This does not mean services are free.  Their Specialists will help you find grants, financial assistance, sliding fee scale, etc. to make your care "&amp;"affordable.
HIV/STI Care")</f>
        <v>As a Federally Qualified Health Center (FQHC), its services are open to all regardless of ability to pay.  This does not mean services are free.  Their Specialists will help you find grants, financial assistance, sliding fee scale, etc. to make your care affordable.
HIV/STI Care</v>
      </c>
      <c r="T561" s="12" t="b">
        <f>IFERROR(__xludf.DUMMYFUNCTION("""COMPUTED_VALUE"""),FALSE)</f>
        <v>0</v>
      </c>
      <c r="U561" s="12" t="b">
        <f>IFERROR(__xludf.DUMMYFUNCTION("""COMPUTED_VALUE"""),FALSE)</f>
        <v>0</v>
      </c>
      <c r="V561" s="13" t="str">
        <f>IFERROR(__xludf.DUMMYFUNCTION("""COMPUTED_VALUE"""),"https://www.legacycommunityhealth.org")</f>
        <v>https://www.legacycommunityhealth.org</v>
      </c>
      <c r="W561" s="14" t="str">
        <f>IFERROR(__xludf.DUMMYFUNCTION("""COMPUTED_VALUE"""),"https://www.google.com/maps/place/Wellness+Bar+by+Legacy/@29.7448359,-95.3851878,17z/data=!3m1!4b1!4m6!3m5!1s0x8640bfa1548255f5:0x6f521dceaff7fef5!8m2!3d29.7448359!4d-95.3826075!16s%2Fg%2F11llbmyfyz?entry=ttu&amp;g_ep=EgoyMDI1MTAxNC4wIKXMDSoASAFQAw%3D%3D")</f>
        <v>https://www.google.com/maps/place/Wellness+Bar+by+Legacy/@29.7448359,-95.3851878,17z/data=!3m1!4b1!4m6!3m5!1s0x8640bfa1548255f5:0x6f521dceaff7fef5!8m2!3d29.7448359!4d-95.3826075!16s%2Fg%2F11llbmyfyz?entry=ttu&amp;g_ep=EgoyMDI1MTAxNC4wIKXMDSoASAFQAw%3D%3D</v>
      </c>
      <c r="X561" s="10"/>
      <c r="Y561" s="9" t="str">
        <f>IFERROR(__xludf.DUMMYFUNCTION("""COMPUTED_VALUE"""),"Houston")</f>
        <v>Houston</v>
      </c>
      <c r="Z561" s="9" t="str">
        <f>IFERROR(__xludf.DUMMYFUNCTION("""COMPUTED_VALUE"""),"Hyde Park, Montrose, South Central Houston")</f>
        <v>Hyde Park, Montrose, South Central Houston</v>
      </c>
      <c r="AA561" s="9" t="str">
        <f>IFERROR(__xludf.DUMMYFUNCTION("""COMPUTED_VALUE"""),"Legacy Community Health")</f>
        <v>Legacy Community Health</v>
      </c>
      <c r="AB561" s="9" t="str">
        <f>IFERROR(__xludf.DUMMYFUNCTION("""COMPUTED_VALUE"""),"Montrose")</f>
        <v>Montrose</v>
      </c>
    </row>
    <row r="562" ht="30.0" customHeight="1">
      <c r="A562" s="17">
        <v>561.0</v>
      </c>
      <c r="B562" s="8" t="str">
        <f>IFERROR(__xludf.DUMMYFUNCTION("""COMPUTED_VALUE"""),"[""99999""]")</f>
        <v>["99999"]</v>
      </c>
      <c r="C562" s="9" t="str">
        <f>IFERROR(__xludf.DUMMYFUNCTION("""COMPUTED_VALUE"""),"Lifehouse Houston")</f>
        <v>Lifehouse Houston</v>
      </c>
      <c r="D562" s="9" t="str">
        <f>IFERROR(__xludf.DUMMYFUNCTION("""COMPUTED_VALUE"""),"2315 Minnesota Street")</f>
        <v>2315 Minnesota Street</v>
      </c>
      <c r="E562" s="9"/>
      <c r="F562" s="9" t="str">
        <f>IFERROR(__xludf.DUMMYFUNCTION("""COMPUTED_VALUE"""),"Houston")</f>
        <v>Houston</v>
      </c>
      <c r="G562" s="9" t="str">
        <f>IFERROR(__xludf.DUMMYFUNCTION("""COMPUTED_VALUE"""),"TX")</f>
        <v>TX</v>
      </c>
      <c r="H562" s="9" t="str">
        <f>IFERROR(__xludf.DUMMYFUNCTION("""COMPUTED_VALUE"""),"77034")</f>
        <v>77034</v>
      </c>
      <c r="I562" s="9" t="str">
        <f>IFERROR(__xludf.DUMMYFUNCTION("""COMPUTED_VALUE"""),"713-623-2120")</f>
        <v>713-623-2120</v>
      </c>
      <c r="J562" s="9" t="str">
        <f>IFERROR(__xludf.DUMMYFUNCTION("""COMPUTED_VALUE"""),"29.64776185, -95.2375250058051")</f>
        <v>29.64776185, -95.2375250058051</v>
      </c>
      <c r="K562" s="9" t="str">
        <f>IFERROR(__xludf.DUMMYFUNCTION("""COMPUTED_VALUE"""),"{""regular"":[{""days"":[""Mo"",""Tu"",""We"",""Th"",""Fr""],""open"":null,""close"":null}]}")</f>
        <v>{"regular":[{"days":["Mo","Tu","We","Th","Fr"],"open":null,"close":null}]}</v>
      </c>
      <c r="L562" s="9"/>
      <c r="M562" s="10">
        <f>IFERROR(__xludf.DUMMYFUNCTION("""COMPUTED_VALUE"""),24.0)</f>
        <v>24</v>
      </c>
      <c r="N562" s="10" t="str">
        <f>IFERROR(__xludf.DUMMYFUNCTION("""COMPUTED_VALUE"""),"Housing")</f>
        <v>Housing</v>
      </c>
      <c r="O562" s="10">
        <f>IFERROR(__xludf.DUMMYFUNCTION("""COMPUTED_VALUE"""),1.0)</f>
        <v>1</v>
      </c>
      <c r="P562" s="10" t="str">
        <f>IFERROR(__xludf.DUMMYFUNCTION("""COMPUTED_VALUE"""),"ACTIVE")</f>
        <v>ACTIVE</v>
      </c>
      <c r="Q562" s="11">
        <f>IFERROR(__xludf.DUMMYFUNCTION("""COMPUTED_VALUE"""),45761.0)</f>
        <v>45761</v>
      </c>
      <c r="R562" s="9" t="str">
        <f>IFERROR(__xludf.DUMMYFUNCTION("""COMPUTED_VALUE"""),"SVdP Church Help for Moms Ministry")</f>
        <v>SVdP Church Help for Moms Ministry</v>
      </c>
      <c r="S562" s="9" t="str">
        <f>IFERROR(__xludf.DUMMYFUNCTION("""COMPUTED_VALUE"""),"Shared residential space for pregnant mothers
Educational Classes
Counseling &amp; Case Management
Workforce Development
Adoption Referrals
Shelter")</f>
        <v>Shared residential space for pregnant mothers
Educational Classes
Counseling &amp; Case Management
Workforce Development
Adoption Referrals
Shelter</v>
      </c>
      <c r="T562" s="12" t="b">
        <f>IFERROR(__xludf.DUMMYFUNCTION("""COMPUTED_VALUE"""),FALSE)</f>
        <v>0</v>
      </c>
      <c r="U562" s="12" t="b">
        <f>IFERROR(__xludf.DUMMYFUNCTION("""COMPUTED_VALUE"""),FALSE)</f>
        <v>0</v>
      </c>
      <c r="V562" s="13" t="str">
        <f>IFERROR(__xludf.DUMMYFUNCTION("""COMPUTED_VALUE"""),"https://lifehousehouston.org/")</f>
        <v>https://lifehousehouston.org/</v>
      </c>
      <c r="W562" s="10"/>
      <c r="X562" s="10"/>
      <c r="Y562" s="9" t="str">
        <f>IFERROR(__xludf.DUMMYFUNCTION("""COMPUTED_VALUE"""),"Houston")</f>
        <v>Houston</v>
      </c>
      <c r="Z562" s="9" t="str">
        <f>IFERROR(__xludf.DUMMYFUNCTION("""COMPUTED_VALUE"""),"Edgebrook Area, Ellington, Southbelt")</f>
        <v>Edgebrook Area, Ellington, Southbelt</v>
      </c>
      <c r="AA562" s="9" t="str">
        <f>IFERROR(__xludf.DUMMYFUNCTION("""COMPUTED_VALUE"""),"Lifehouse Houston")</f>
        <v>Lifehouse Houston</v>
      </c>
      <c r="AB562" s="9" t="str">
        <f>IFERROR(__xludf.DUMMYFUNCTION("""COMPUTED_VALUE"""),"Edgebrook Area")</f>
        <v>Edgebrook Area</v>
      </c>
    </row>
    <row r="563" ht="30.0" customHeight="1">
      <c r="A563" s="17">
        <v>562.0</v>
      </c>
      <c r="B563" s="8" t="str">
        <f>IFERROR(__xludf.DUMMYFUNCTION("""COMPUTED_VALUE"""),"[""99999""]")</f>
        <v>["99999"]</v>
      </c>
      <c r="C563" s="9" t="str">
        <f>IFERROR(__xludf.DUMMYFUNCTION("""COMPUTED_VALUE"""),"Living Hope Wheelchair Association")</f>
        <v>Living Hope Wheelchair Association</v>
      </c>
      <c r="D563" s="9" t="str">
        <f>IFERROR(__xludf.DUMMYFUNCTION("""COMPUTED_VALUE"""),"9500 Westview Drive")</f>
        <v>9500 Westview Drive</v>
      </c>
      <c r="E563" s="9" t="str">
        <f>IFERROR(__xludf.DUMMYFUNCTION("""COMPUTED_VALUE"""),"Suite 104")</f>
        <v>Suite 104</v>
      </c>
      <c r="F563" s="9" t="str">
        <f>IFERROR(__xludf.DUMMYFUNCTION("""COMPUTED_VALUE"""),"Houston")</f>
        <v>Houston</v>
      </c>
      <c r="G563" s="9" t="str">
        <f>IFERROR(__xludf.DUMMYFUNCTION("""COMPUTED_VALUE"""),"TX")</f>
        <v>TX</v>
      </c>
      <c r="H563" s="9" t="str">
        <f>IFERROR(__xludf.DUMMYFUNCTION("""COMPUTED_VALUE"""),"77055")</f>
        <v>77055</v>
      </c>
      <c r="I563" s="9" t="str">
        <f>IFERROR(__xludf.DUMMYFUNCTION("""COMPUTED_VALUE"""),"281-764-6251")</f>
        <v>281-764-6251</v>
      </c>
      <c r="J563" s="9" t="str">
        <f>IFERROR(__xludf.DUMMYFUNCTION("""COMPUTED_VALUE"""),"29.792989, -95.523808")</f>
        <v>29.792989, -95.523808</v>
      </c>
      <c r="K563" s="9" t="str">
        <f>IFERROR(__xludf.DUMMYFUNCTION("""COMPUTED_VALUE"""),"{""regular"":[{""days"":[""Mo"",""Tu"",""We"",""Th"",""Fr""],""open"":null,""close"":null}]}")</f>
        <v>{"regular":[{"days":["Mo","Tu","We","Th","Fr"],"open":null,"close":null}]}</v>
      </c>
      <c r="L563" s="9"/>
      <c r="M563" s="10">
        <f>IFERROR(__xludf.DUMMYFUNCTION("""COMPUTED_VALUE"""),31.0)</f>
        <v>31</v>
      </c>
      <c r="N563" s="10" t="str">
        <f>IFERROR(__xludf.DUMMYFUNCTION("""COMPUTED_VALUE"""),"Medical - Primary Care")</f>
        <v>Medical - Primary Care</v>
      </c>
      <c r="O563" s="10">
        <f>IFERROR(__xludf.DUMMYFUNCTION("""COMPUTED_VALUE"""),1.0)</f>
        <v>1</v>
      </c>
      <c r="P563" s="10" t="str">
        <f>IFERROR(__xludf.DUMMYFUNCTION("""COMPUTED_VALUE"""),"ACTIVE")</f>
        <v>ACTIVE</v>
      </c>
      <c r="Q563" s="11">
        <f>IFERROR(__xludf.DUMMYFUNCTION("""COMPUTED_VALUE"""),45816.0)</f>
        <v>45816</v>
      </c>
      <c r="R563" s="9" t="str">
        <f>IFERROR(__xludf.DUMMYFUNCTION("""COMPUTED_VALUE"""),"Verified online")</f>
        <v>Verified online</v>
      </c>
      <c r="S563" s="9" t="str">
        <f>IFERROR(__xludf.DUMMYFUNCTION("""COMPUTED_VALUE"""),"Monthly distribution of supplies and medical equipment, e.g. wheelchairs, scooters and hospital beds.
Wheelchair repair and maintenance.
To request medical supplies or equipment email:  servicios@lhwassociation.org")</f>
        <v>Monthly distribution of supplies and medical equipment, e.g. wheelchairs, scooters and hospital beds.
Wheelchair repair and maintenance.
To request medical supplies or equipment email:  servicios@lhwassociation.org</v>
      </c>
      <c r="T563" s="12" t="b">
        <f>IFERROR(__xludf.DUMMYFUNCTION("""COMPUTED_VALUE"""),FALSE)</f>
        <v>0</v>
      </c>
      <c r="U563" s="12" t="b">
        <f>IFERROR(__xludf.DUMMYFUNCTION("""COMPUTED_VALUE"""),FALSE)</f>
        <v>0</v>
      </c>
      <c r="V563" s="13" t="str">
        <f>IFERROR(__xludf.DUMMYFUNCTION("""COMPUTED_VALUE"""),"https://www.lhwassociation.org/")</f>
        <v>https://www.lhwassociation.org/</v>
      </c>
      <c r="W563" s="14" t="str">
        <f>IFERROR(__xludf.DUMMYFUNCTION("""COMPUTED_VALUE"""),"https://www.google.com/maps/place/Living+Hope+Wheelchair+Association/@29.7932354,-95.529078,17z/data=!3m1!4b1!4m9!3m8!1s0x8640db47a5ae9cf1:0x96cf8723d6996be0!5m2!4m1!1i2!8m2!3d29.7932308!4d-95.5242071!16s%2Fg%2F11cm0kck5h?entry=ttu&amp;g_ep=EgoyMDI1MDUxMS4wIK"&amp;"XMDSoASAFQAw%3D%3D")</f>
        <v>https://www.google.com/maps/place/Living+Hope+Wheelchair+Association/@29.7932354,-95.529078,17z/data=!3m1!4b1!4m9!3m8!1s0x8640db47a5ae9cf1:0x96cf8723d6996be0!5m2!4m1!1i2!8m2!3d29.7932308!4d-95.5242071!16s%2Fg%2F11cm0kck5h?entry=ttu&amp;g_ep=EgoyMDI1MDUxMS4wIKXMDSoASAFQAw%3D%3D</v>
      </c>
      <c r="X563" s="10"/>
      <c r="Y563" s="9" t="str">
        <f>IFERROR(__xludf.DUMMYFUNCTION("""COMPUTED_VALUE"""),"Houston")</f>
        <v>Houston</v>
      </c>
      <c r="Z563" s="9" t="str">
        <f>IFERROR(__xludf.DUMMYFUNCTION("""COMPUTED_VALUE"""),"Hilshire Village, Montrose, Northwest Houston, Spring Branch East, Washington Avenue Coalition / Memorial Park")</f>
        <v>Hilshire Village, Montrose, Northwest Houston, Spring Branch East, Washington Avenue Coalition / Memorial Park</v>
      </c>
      <c r="AA563" s="9" t="str">
        <f>IFERROR(__xludf.DUMMYFUNCTION("""COMPUTED_VALUE"""),"Living Hope Wheelchair Association")</f>
        <v>Living Hope Wheelchair Association</v>
      </c>
      <c r="AB563" s="9" t="str">
        <f>IFERROR(__xludf.DUMMYFUNCTION("""COMPUTED_VALUE"""),"Northwest Houston")</f>
        <v>Northwest Houston</v>
      </c>
    </row>
    <row r="564" ht="30.0" customHeight="1">
      <c r="A564" s="17">
        <v>563.0</v>
      </c>
      <c r="B564" s="8" t="str">
        <f>IFERROR(__xludf.DUMMYFUNCTION("""COMPUTED_VALUE"""),"[""99999""]")</f>
        <v>["99999"]</v>
      </c>
      <c r="C564" s="9" t="str">
        <f>IFERROR(__xludf.DUMMYFUNCTION("""COMPUTED_VALUE"""),"Lonestar Legal Aid")</f>
        <v>Lonestar Legal Aid</v>
      </c>
      <c r="D564" s="9" t="str">
        <f>IFERROR(__xludf.DUMMYFUNCTION("""COMPUTED_VALUE"""),"1415 Fannin Street")</f>
        <v>1415 Fannin Street</v>
      </c>
      <c r="E564" s="9"/>
      <c r="F564" s="9" t="str">
        <f>IFERROR(__xludf.DUMMYFUNCTION("""COMPUTED_VALUE"""),"Houston")</f>
        <v>Houston</v>
      </c>
      <c r="G564" s="9" t="str">
        <f>IFERROR(__xludf.DUMMYFUNCTION("""COMPUTED_VALUE"""),"TX")</f>
        <v>TX</v>
      </c>
      <c r="H564" s="9" t="str">
        <f>IFERROR(__xludf.DUMMYFUNCTION("""COMPUTED_VALUE"""),"77002")</f>
        <v>77002</v>
      </c>
      <c r="I564" s="9" t="str">
        <f>IFERROR(__xludf.DUMMYFUNCTION("""COMPUTED_VALUE"""),"713-652-0077
713-652-5911")</f>
        <v>713-652-0077
713-652-5911</v>
      </c>
      <c r="J564" s="9" t="str">
        <f>IFERROR(__xludf.DUMMYFUNCTION("""COMPUTED_VALUE"""),"29.7527619, -95.3665744858516")</f>
        <v>29.7527619, -95.3665744858516</v>
      </c>
      <c r="K564" s="9" t="str">
        <f>IFERROR(__xludf.DUMMYFUNCTION("""COMPUTED_VALUE"""),"{""regular"":[{""days"":[""Mo"",""Tu"",""We"",""Th"",""Fr""],""open"":""08:30"",""close"":""12:30""}]}")</f>
        <v>{"regular":[{"days":["Mo","Tu","We","Th","Fr"],"open":"08:30","close":"12:30"}]}</v>
      </c>
      <c r="L564" s="9"/>
      <c r="M564" s="10">
        <f>IFERROR(__xludf.DUMMYFUNCTION("""COMPUTED_VALUE"""),35.0)</f>
        <v>35</v>
      </c>
      <c r="N564" s="10" t="str">
        <f>IFERROR(__xludf.DUMMYFUNCTION("""COMPUTED_VALUE"""),"Medical - Program Enrollment")</f>
        <v>Medical - Program Enrollment</v>
      </c>
      <c r="O564" s="10">
        <f>IFERROR(__xludf.DUMMYFUNCTION("""COMPUTED_VALUE"""),1.0)</f>
        <v>1</v>
      </c>
      <c r="P564" s="10" t="str">
        <f>IFERROR(__xludf.DUMMYFUNCTION("""COMPUTED_VALUE"""),"ACTIVE")</f>
        <v>ACTIVE</v>
      </c>
      <c r="Q564" s="11"/>
      <c r="R564" s="9"/>
      <c r="S564" s="9" t="str">
        <f>IFERROR(__xludf.DUMMYFUNCTION("""COMPUTED_VALUE"""),"TX Health &amp; Human Services Level 3 Community Partner. Help with enrollment, document uploads, benefit renewals and case management.")</f>
        <v>TX Health &amp; Human Services Level 3 Community Partner. Help with enrollment, document uploads, benefit renewals and case management.</v>
      </c>
      <c r="T564" s="12" t="b">
        <f>IFERROR(__xludf.DUMMYFUNCTION("""COMPUTED_VALUE"""),FALSE)</f>
        <v>0</v>
      </c>
      <c r="U564" s="12" t="b">
        <f>IFERROR(__xludf.DUMMYFUNCTION("""COMPUTED_VALUE"""),FALSE)</f>
        <v>0</v>
      </c>
      <c r="V564" s="13" t="str">
        <f>IFERROR(__xludf.DUMMYFUNCTION("""COMPUTED_VALUE"""),"https://www.lonestarlegal.org/")</f>
        <v>https://www.lonestarlegal.org/</v>
      </c>
      <c r="W564" s="14" t="str">
        <f>IFERROR(__xludf.DUMMYFUNCTION("""COMPUTED_VALUE"""),"https://maps.google.com/?q=Lonestar%20Legal%20Aid%201415%20Fannin%20Houston%20TX%2077002")</f>
        <v>https://maps.google.com/?q=Lonestar%20Legal%20Aid%201415%20Fannin%20Houston%20TX%2077002</v>
      </c>
      <c r="X564" s="10"/>
      <c r="Y564" s="9" t="str">
        <f>IFERROR(__xludf.DUMMYFUNCTION("""COMPUTED_VALUE"""),"Houston")</f>
        <v>Houston</v>
      </c>
      <c r="Z564"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64" s="9" t="str">
        <f>IFERROR(__xludf.DUMMYFUNCTION("""COMPUTED_VALUE"""),"Lonestar Legal Aid")</f>
        <v>Lonestar Legal Aid</v>
      </c>
      <c r="AB564" s="9" t="str">
        <f>IFERROR(__xludf.DUMMYFUNCTION("""COMPUTED_VALUE"""),"Downtown Houston")</f>
        <v>Downtown Houston</v>
      </c>
    </row>
    <row r="565" ht="30.0" customHeight="1">
      <c r="A565" s="17">
        <v>564.0</v>
      </c>
      <c r="B565" s="8" t="str">
        <f>IFERROR(__xludf.DUMMYFUNCTION("""COMPUTED_VALUE"""),"[""99999""]")</f>
        <v>["99999"]</v>
      </c>
      <c r="C565" s="9" t="str">
        <f>IFERROR(__xludf.DUMMYFUNCTION("""COMPUTED_VALUE"""),"Lonestar Legal Aid")</f>
        <v>Lonestar Legal Aid</v>
      </c>
      <c r="D565" s="9" t="str">
        <f>IFERROR(__xludf.DUMMYFUNCTION("""COMPUTED_VALUE"""),"1415 Fannin Street")</f>
        <v>1415 Fannin Street</v>
      </c>
      <c r="E565" s="9"/>
      <c r="F565" s="9" t="str">
        <f>IFERROR(__xludf.DUMMYFUNCTION("""COMPUTED_VALUE"""),"Houston")</f>
        <v>Houston</v>
      </c>
      <c r="G565" s="9" t="str">
        <f>IFERROR(__xludf.DUMMYFUNCTION("""COMPUTED_VALUE"""),"TX")</f>
        <v>TX</v>
      </c>
      <c r="H565" s="9" t="str">
        <f>IFERROR(__xludf.DUMMYFUNCTION("""COMPUTED_VALUE"""),"77002")</f>
        <v>77002</v>
      </c>
      <c r="I565" s="9" t="str">
        <f>IFERROR(__xludf.DUMMYFUNCTION("""COMPUTED_VALUE"""),"713-652-0077
713-652-5911")</f>
        <v>713-652-0077
713-652-5911</v>
      </c>
      <c r="J565" s="9" t="str">
        <f>IFERROR(__xludf.DUMMYFUNCTION("""COMPUTED_VALUE"""),"29.7527619, -95.3665744858516")</f>
        <v>29.7527619, -95.3665744858516</v>
      </c>
      <c r="K565" s="9" t="str">
        <f>IFERROR(__xludf.DUMMYFUNCTION("""COMPUTED_VALUE"""),"{""regular"":[{""days"":[""Mo"",""Tu"",""We"",""Th"",""Fr""],""open"":""08:30"",""close"":""12:30""}]}")</f>
        <v>{"regular":[{"days":["Mo","Tu","We","Th","Fr"],"open":"08:30","close":"12:30"}]}</v>
      </c>
      <c r="L565" s="9"/>
      <c r="M565" s="10">
        <f>IFERROR(__xludf.DUMMYFUNCTION("""COMPUTED_VALUE"""),54.0)</f>
        <v>54</v>
      </c>
      <c r="N565" s="10" t="str">
        <f>IFERROR(__xludf.DUMMYFUNCTION("""COMPUTED_VALUE"""),"Legal")</f>
        <v>Legal</v>
      </c>
      <c r="O565" s="10">
        <f>IFERROR(__xludf.DUMMYFUNCTION("""COMPUTED_VALUE"""),1.0)</f>
        <v>1</v>
      </c>
      <c r="P565" s="10" t="str">
        <f>IFERROR(__xludf.DUMMYFUNCTION("""COMPUTED_VALUE"""),"ACTIVE")</f>
        <v>ACTIVE</v>
      </c>
      <c r="Q565" s="11"/>
      <c r="R565" s="9"/>
      <c r="S565" s="9" t="str">
        <f>IFERROR(__xludf.DUMMYFUNCTION("""COMPUTED_VALUE"""),"Must meet financial and legal status eligibility requirements.
However, may still be able to help even if you earn more than 125% of the Federal Poverty Guidelines.
Service 76 counties. See website for location near you.
May apply online.
Consumer, Crime "&amp;"Victims Unit, Disaster Relief, Education, Employment, Eviction Defense, Fair Housing, Family Law, Financial Assistance &amp; Public Benefits, Foreclosure Prevention, Sexual Assault Project, Children's Health and Security, Low Income Taxpayer, Neighborhood Pro"&amp;"blems, Medical and Military &amp; Veterans.")</f>
        <v>Must meet financial and legal status eligibility requirements.
However, may still be able to help even if you earn more than 125% of the Federal Poverty Guidelines.
Service 76 counties. See website for location near you.
May apply online.
Consumer, Crime Victims Unit, Disaster Relief, Education, Employment, Eviction Defense, Fair Housing, Family Law, Financial Assistance &amp; Public Benefits, Foreclosure Prevention, Sexual Assault Project, Children's Health and Security, Low Income Taxpayer, Neighborhood Problems, Medical and Military &amp; Veterans.</v>
      </c>
      <c r="T565" s="12" t="b">
        <f>IFERROR(__xludf.DUMMYFUNCTION("""COMPUTED_VALUE"""),FALSE)</f>
        <v>0</v>
      </c>
      <c r="U565" s="12" t="b">
        <f>IFERROR(__xludf.DUMMYFUNCTION("""COMPUTED_VALUE"""),FALSE)</f>
        <v>0</v>
      </c>
      <c r="V565" s="13" t="str">
        <f>IFERROR(__xludf.DUMMYFUNCTION("""COMPUTED_VALUE"""),"https://www.lonestarlegal.org/")</f>
        <v>https://www.lonestarlegal.org/</v>
      </c>
      <c r="W565" s="14" t="str">
        <f>IFERROR(__xludf.DUMMYFUNCTION("""COMPUTED_VALUE"""),"https://maps.google.com/?q=Lonestar%20Legal%20Aid%201415%20Fannin%20Houston%20TX%2077002")</f>
        <v>https://maps.google.com/?q=Lonestar%20Legal%20Aid%201415%20Fannin%20Houston%20TX%2077002</v>
      </c>
      <c r="X565" s="10"/>
      <c r="Y565" s="9" t="str">
        <f>IFERROR(__xludf.DUMMYFUNCTION("""COMPUTED_VALUE"""),"Houston")</f>
        <v>Houston</v>
      </c>
      <c r="Z565"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65" s="9" t="str">
        <f>IFERROR(__xludf.DUMMYFUNCTION("""COMPUTED_VALUE"""),"Lonestar Legal Aid")</f>
        <v>Lonestar Legal Aid</v>
      </c>
      <c r="AB565" s="9" t="str">
        <f>IFERROR(__xludf.DUMMYFUNCTION("""COMPUTED_VALUE"""),"Downtown Houston")</f>
        <v>Downtown Houston</v>
      </c>
    </row>
    <row r="566" ht="30.0" customHeight="1">
      <c r="A566" s="17">
        <v>565.0</v>
      </c>
      <c r="B566" s="8" t="str">
        <f>IFERROR(__xludf.DUMMYFUNCTION("""COMPUTED_VALUE"""),"[""99999""]")</f>
        <v>["99999"]</v>
      </c>
      <c r="C566" s="9" t="str">
        <f>IFERROR(__xludf.DUMMYFUNCTION("""COMPUTED_VALUE"""),"Lord of the Streets")</f>
        <v>Lord of the Streets</v>
      </c>
      <c r="D566" s="9" t="str">
        <f>IFERROR(__xludf.DUMMYFUNCTION("""COMPUTED_VALUE"""),"3401 Fannin Street")</f>
        <v>3401 Fannin Street</v>
      </c>
      <c r="E566" s="9"/>
      <c r="F566" s="9" t="str">
        <f>IFERROR(__xludf.DUMMYFUNCTION("""COMPUTED_VALUE"""),"Houston")</f>
        <v>Houston</v>
      </c>
      <c r="G566" s="9" t="str">
        <f>IFERROR(__xludf.DUMMYFUNCTION("""COMPUTED_VALUE"""),"TX")</f>
        <v>TX</v>
      </c>
      <c r="H566" s="9" t="str">
        <f>IFERROR(__xludf.DUMMYFUNCTION("""COMPUTED_VALUE"""),"77004")</f>
        <v>77004</v>
      </c>
      <c r="I566" s="9" t="str">
        <f>IFERROR(__xludf.DUMMYFUNCTION("""COMPUTED_VALUE"""),"713-526-0311")</f>
        <v>713-526-0311</v>
      </c>
      <c r="J566" s="9" t="str">
        <f>IFERROR(__xludf.DUMMYFUNCTION("""COMPUTED_VALUE"""),"29.739835373225258, -95.37717821243359")</f>
        <v>29.739835373225258, -95.37717821243359</v>
      </c>
      <c r="K566" s="9" t="str">
        <f>IFERROR(__xludf.DUMMYFUNCTION("""COMPUTED_VALUE"""),"{""regular"":[{""days"":[""Mo"",""Tu"",""We"",""Th"",""Fr""],""open"":""08:00"",""close"":""12:00""}]}")</f>
        <v>{"regular":[{"days":["Mo","Tu","We","Th","Fr"],"open":"08:00","close":"12:00"}]}</v>
      </c>
      <c r="L566" s="9"/>
      <c r="M566" s="10">
        <f>IFERROR(__xludf.DUMMYFUNCTION("""COMPUTED_VALUE"""),22.0)</f>
        <v>22</v>
      </c>
      <c r="N566" s="10" t="str">
        <f>IFERROR(__xludf.DUMMYFUNCTION("""COMPUTED_VALUE"""),"Homeless - Day Centers")</f>
        <v>Homeless - Day Centers</v>
      </c>
      <c r="O566" s="10">
        <f>IFERROR(__xludf.DUMMYFUNCTION("""COMPUTED_VALUE"""),1.0)</f>
        <v>1</v>
      </c>
      <c r="P566" s="10" t="str">
        <f>IFERROR(__xludf.DUMMYFUNCTION("""COMPUTED_VALUE"""),"ACTIVE")</f>
        <v>ACTIVE</v>
      </c>
      <c r="Q566" s="11">
        <f>IFERROR(__xludf.DUMMYFUNCTION("""COMPUTED_VALUE"""),45941.0)</f>
        <v>45941</v>
      </c>
      <c r="R566" s="9"/>
      <c r="S566" s="9" t="str">
        <f>IFERROR(__xludf.DUMMYFUNCTION("""COMPUTED_VALUE"""),"Coalition for the Homeless (CFTH) Partner/Rapid Rehousing
Clothing and hygiene kits.
Partnership with UofH School of Optometry provides loaner glasses, eye exams and voucher for glasses.
Mobile showers once a week
")</f>
        <v>Coalition for the Homeless (CFTH) Partner/Rapid Rehousing
Clothing and hygiene kits.
Partnership with UofH School of Optometry provides loaner glasses, eye exams and voucher for glasses.
Mobile showers once a week
</v>
      </c>
      <c r="T566" s="12" t="b">
        <f>IFERROR(__xludf.DUMMYFUNCTION("""COMPUTED_VALUE"""),FALSE)</f>
        <v>0</v>
      </c>
      <c r="U566" s="12" t="b">
        <f>IFERROR(__xludf.DUMMYFUNCTION("""COMPUTED_VALUE"""),FALSE)</f>
        <v>0</v>
      </c>
      <c r="V566" s="13" t="str">
        <f>IFERROR(__xludf.DUMMYFUNCTION("""COMPUTED_VALUE"""),"https://www.lotshouston.org/services-we-offer.html")</f>
        <v>https://www.lotshouston.org/services-we-offer.html</v>
      </c>
      <c r="W566" s="14" t="str">
        <f>IFERROR(__xludf.DUMMYFUNCTION("""COMPUTED_VALUE"""),"https://www.google.com/maps/place/Lord+of+the+Streets/@29.7395326,-95.37956,17z/data=!3m1!4b1!4m6!3m5!1s0x8640bf6dc0907353:0x66d6db853817e704!8m2!3d29.739528!4d-95.3769851!16s%2Fg%2F11kbyknd41?entry=ttu&amp;g_ep=EgoyMDI1MTAwOC4wIKXMDSoASAFQAw%3D%3D")</f>
        <v>https://www.google.com/maps/place/Lord+of+the+Streets/@29.7395326,-95.37956,17z/data=!3m1!4b1!4m6!3m5!1s0x8640bf6dc0907353:0x66d6db853817e704!8m2!3d29.739528!4d-95.3769851!16s%2Fg%2F11kbyknd41?entry=ttu&amp;g_ep=EgoyMDI1MTAwOC4wIKXMDSoASAFQAw%3D%3D</v>
      </c>
      <c r="X566" s="10"/>
      <c r="Y566" s="9" t="str">
        <f>IFERROR(__xludf.DUMMYFUNCTION("""COMPUTED_VALUE"""),"Houston")</f>
        <v>Houston</v>
      </c>
      <c r="Z566"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566" s="9" t="str">
        <f>IFERROR(__xludf.DUMMYFUNCTION("""COMPUTED_VALUE"""),"Lord of the Streets")</f>
        <v>Lord of the Streets</v>
      </c>
      <c r="AB566" s="9" t="str">
        <f>IFERROR(__xludf.DUMMYFUNCTION("""COMPUTED_VALUE"""),"South Central Houston")</f>
        <v>South Central Houston</v>
      </c>
    </row>
    <row r="567" ht="30.0" customHeight="1">
      <c r="A567" s="17">
        <v>566.0</v>
      </c>
      <c r="B567" s="8" t="str">
        <f>IFERROR(__xludf.DUMMYFUNCTION("""COMPUTED_VALUE"""),"[""99999""]")</f>
        <v>["99999"]</v>
      </c>
      <c r="C567" s="9" t="str">
        <f>IFERROR(__xludf.DUMMYFUNCTION("""COMPUTED_VALUE"""),"Lord of the Streets")</f>
        <v>Lord of the Streets</v>
      </c>
      <c r="D567" s="9" t="str">
        <f>IFERROR(__xludf.DUMMYFUNCTION("""COMPUTED_VALUE"""),"3401 Fannin Street")</f>
        <v>3401 Fannin Street</v>
      </c>
      <c r="E567" s="9"/>
      <c r="F567" s="9" t="str">
        <f>IFERROR(__xludf.DUMMYFUNCTION("""COMPUTED_VALUE"""),"Houston")</f>
        <v>Houston</v>
      </c>
      <c r="G567" s="9" t="str">
        <f>IFERROR(__xludf.DUMMYFUNCTION("""COMPUTED_VALUE"""),"TX")</f>
        <v>TX</v>
      </c>
      <c r="H567" s="9" t="str">
        <f>IFERROR(__xludf.DUMMYFUNCTION("""COMPUTED_VALUE"""),"77004")</f>
        <v>77004</v>
      </c>
      <c r="I567" s="9" t="str">
        <f>IFERROR(__xludf.DUMMYFUNCTION("""COMPUTED_VALUE"""),"713-526-0311")</f>
        <v>713-526-0311</v>
      </c>
      <c r="J567" s="9" t="str">
        <f>IFERROR(__xludf.DUMMYFUNCTION("""COMPUTED_VALUE"""),"29.739835373225258, -95.37717821243359")</f>
        <v>29.739835373225258, -95.37717821243359</v>
      </c>
      <c r="K567" s="9" t="str">
        <f>IFERROR(__xludf.DUMMYFUNCTION("""COMPUTED_VALUE"""),"{""regular"":[{""days"":[""Mo"",""Tu"",""We"",""Th"",""Fr""],""open"":""08:00"",""close"":""12:00""}]}")</f>
        <v>{"regular":[{"days":["Mo","Tu","We","Th","Fr"],"open":"08:00","close":"12:00"}]}</v>
      </c>
      <c r="L567" s="9"/>
      <c r="M567" s="10">
        <f>IFERROR(__xludf.DUMMYFUNCTION("""COMPUTED_VALUE"""),32.0)</f>
        <v>32</v>
      </c>
      <c r="N567" s="10" t="str">
        <f>IFERROR(__xludf.DUMMYFUNCTION("""COMPUTED_VALUE"""),"Medical - Dental &amp; Vision")</f>
        <v>Medical - Dental &amp; Vision</v>
      </c>
      <c r="O567" s="10">
        <f>IFERROR(__xludf.DUMMYFUNCTION("""COMPUTED_VALUE"""),1.0)</f>
        <v>1</v>
      </c>
      <c r="P567" s="10" t="str">
        <f>IFERROR(__xludf.DUMMYFUNCTION("""COMPUTED_VALUE"""),"ACTIVE")</f>
        <v>ACTIVE</v>
      </c>
      <c r="Q567" s="11">
        <f>IFERROR(__xludf.DUMMYFUNCTION("""COMPUTED_VALUE"""),45941.0)</f>
        <v>45941</v>
      </c>
      <c r="R567" s="9"/>
      <c r="S567" s="9" t="str">
        <f>IFERROR(__xludf.DUMMYFUNCTION("""COMPUTED_VALUE"""),"Vision
Partnership with UofH School of Optometry provides loaner glasses, eye exams and voucher for glasses.
")</f>
        <v>Vision
Partnership with UofH School of Optometry provides loaner glasses, eye exams and voucher for glasses.
</v>
      </c>
      <c r="T567" s="12" t="b">
        <f>IFERROR(__xludf.DUMMYFUNCTION("""COMPUTED_VALUE"""),TRUE)</f>
        <v>1</v>
      </c>
      <c r="U567" s="12" t="b">
        <f>IFERROR(__xludf.DUMMYFUNCTION("""COMPUTED_VALUE"""),FALSE)</f>
        <v>0</v>
      </c>
      <c r="V567" s="13" t="str">
        <f>IFERROR(__xludf.DUMMYFUNCTION("""COMPUTED_VALUE"""),"https://www.lotshouston.org/services-we-offer.html")</f>
        <v>https://www.lotshouston.org/services-we-offer.html</v>
      </c>
      <c r="W567" s="14" t="str">
        <f>IFERROR(__xludf.DUMMYFUNCTION("""COMPUTED_VALUE"""),"https://www.google.com/maps/place/Lord+of+the+Streets/@29.7395326,-95.37956,17z/data=!3m1!4b1!4m6!3m5!1s0x8640bf6dc0907353:0x66d6db853817e704!8m2!3d29.739528!4d-95.3769851!16s%2Fg%2F11kbyknd41?entry=ttu&amp;g_ep=EgoyMDI1MTAwOC4wIKXMDSoASAFQAw%3D%3D")</f>
        <v>https://www.google.com/maps/place/Lord+of+the+Streets/@29.7395326,-95.37956,17z/data=!3m1!4b1!4m6!3m5!1s0x8640bf6dc0907353:0x66d6db853817e704!8m2!3d29.739528!4d-95.3769851!16s%2Fg%2F11kbyknd41?entry=ttu&amp;g_ep=EgoyMDI1MTAwOC4wIKXMDSoASAFQAw%3D%3D</v>
      </c>
      <c r="X567" s="10"/>
      <c r="Y567" s="9" t="str">
        <f>IFERROR(__xludf.DUMMYFUNCTION("""COMPUTED_VALUE"""),"Houston")</f>
        <v>Houston</v>
      </c>
      <c r="Z567"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567" s="9" t="str">
        <f>IFERROR(__xludf.DUMMYFUNCTION("""COMPUTED_VALUE"""),"Lord of the Streets")</f>
        <v>Lord of the Streets</v>
      </c>
      <c r="AB567" s="9" t="str">
        <f>IFERROR(__xludf.DUMMYFUNCTION("""COMPUTED_VALUE"""),"South Central Houston")</f>
        <v>South Central Houston</v>
      </c>
    </row>
    <row r="568" ht="30.0" customHeight="1">
      <c r="A568" s="17">
        <v>567.0</v>
      </c>
      <c r="B568" s="8" t="str">
        <f>IFERROR(__xludf.DUMMYFUNCTION("""COMPUTED_VALUE"""),"[""99999""]")</f>
        <v>["99999"]</v>
      </c>
      <c r="C568" s="9" t="str">
        <f>IFERROR(__xludf.DUMMYFUNCTION("""COMPUTED_VALUE"""),"Low Cost Pet Vax")</f>
        <v>Low Cost Pet Vax</v>
      </c>
      <c r="D568" s="9" t="str">
        <f>IFERROR(__xludf.DUMMYFUNCTION("""COMPUTED_VALUE"""),"3202 West Irving Blvd")</f>
        <v>3202 West Irving Blvd</v>
      </c>
      <c r="E568" s="9"/>
      <c r="F568" s="9" t="str">
        <f>IFERROR(__xludf.DUMMYFUNCTION("""COMPUTED_VALUE"""),"Irving")</f>
        <v>Irving</v>
      </c>
      <c r="G568" s="9" t="str">
        <f>IFERROR(__xludf.DUMMYFUNCTION("""COMPUTED_VALUE"""),"TX")</f>
        <v>TX</v>
      </c>
      <c r="H568" s="9" t="str">
        <f>IFERROR(__xludf.DUMMYFUNCTION("""COMPUTED_VALUE"""),"75061")</f>
        <v>75061</v>
      </c>
      <c r="I568" s="9" t="str">
        <f>IFERROR(__xludf.DUMMYFUNCTION("""COMPUTED_VALUE"""),"817-282-1000")</f>
        <v>817-282-1000</v>
      </c>
      <c r="J568" s="9" t="str">
        <f>IFERROR(__xludf.DUMMYFUNCTION("""COMPUTED_VALUE"""),"29.7594, -95.3594")</f>
        <v>29.7594, -95.3594</v>
      </c>
      <c r="K568" s="9" t="str">
        <f>IFERROR(__xludf.DUMMYFUNCTION("""COMPUTED_VALUE"""),"{""regular"":[{""days"":[""Sa"",""Su""],""open"":null,""close"":null}]}")</f>
        <v>{"regular":[{"days":["Sa","Su"],"open":null,"close":null}]}</v>
      </c>
      <c r="L568" s="9" t="str">
        <f>IFERROR(__xludf.DUMMYFUNCTION("""COMPUTED_VALUE"""),"Check website for locations, dates and times.")</f>
        <v>Check website for locations, dates and times.</v>
      </c>
      <c r="M568" s="10">
        <f>IFERROR(__xludf.DUMMYFUNCTION("""COMPUTED_VALUE"""),63.0)</f>
        <v>63</v>
      </c>
      <c r="N568" s="10" t="str">
        <f>IFERROR(__xludf.DUMMYFUNCTION("""COMPUTED_VALUE"""),"Animals")</f>
        <v>Animals</v>
      </c>
      <c r="O568" s="10">
        <f>IFERROR(__xludf.DUMMYFUNCTION("""COMPUTED_VALUE"""),1.0)</f>
        <v>1</v>
      </c>
      <c r="P568" s="10" t="str">
        <f>IFERROR(__xludf.DUMMYFUNCTION("""COMPUTED_VALUE"""),"ACTIVE")</f>
        <v>ACTIVE</v>
      </c>
      <c r="Q568" s="11">
        <f>IFERROR(__xludf.DUMMYFUNCTION("""COMPUTED_VALUE"""),45925.0)</f>
        <v>45925</v>
      </c>
      <c r="R568" s="9"/>
      <c r="S568" s="9" t="str">
        <f>IFERROR(__xludf.DUMMYFUNCTION("""COMPUTED_VALUE"""),"Mobile clinic at various locations.
Not free but low cost.
Check website for prices location, days and hours.")</f>
        <v>Mobile clinic at various locations.
Not free but low cost.
Check website for prices location, days and hours.</v>
      </c>
      <c r="T568" s="12" t="b">
        <f>IFERROR(__xludf.DUMMYFUNCTION("""COMPUTED_VALUE"""),FALSE)</f>
        <v>0</v>
      </c>
      <c r="U568" s="12" t="b">
        <f>IFERROR(__xludf.DUMMYFUNCTION("""COMPUTED_VALUE"""),FALSE)</f>
        <v>0</v>
      </c>
      <c r="V568" s="13" t="str">
        <f>IFERROR(__xludf.DUMMYFUNCTION("""COMPUTED_VALUE"""),"https://www.lowcostpetvaccinations.net/texas-pet-vaccination-clinics/houston/")</f>
        <v>https://www.lowcostpetvaccinations.net/texas-pet-vaccination-clinics/houston/</v>
      </c>
      <c r="W568" s="10"/>
      <c r="X568" s="10"/>
      <c r="Y568" s="9" t="str">
        <f>IFERROR(__xludf.DUMMYFUNCTION("""COMPUTED_VALUE"""),"Irving")</f>
        <v>Irving</v>
      </c>
      <c r="Z568" s="9" t="str">
        <f>IFERROR(__xludf.DUMMYFUNCTION("""COMPUTED_VALUE"""),"Irving")</f>
        <v>Irving</v>
      </c>
      <c r="AA568" s="9" t="str">
        <f>IFERROR(__xludf.DUMMYFUNCTION("""COMPUTED_VALUE"""),"Low Cost Pet Vax")</f>
        <v>Low Cost Pet Vax</v>
      </c>
      <c r="AB568" s="9" t="str">
        <f>IFERROR(__xludf.DUMMYFUNCTION("""COMPUTED_VALUE"""),"Irving")</f>
        <v>Irving</v>
      </c>
    </row>
    <row r="569" ht="30.0" customHeight="1">
      <c r="A569" s="17">
        <v>568.0</v>
      </c>
      <c r="B569" s="8" t="str">
        <f>IFERROR(__xludf.DUMMYFUNCTION("""COMPUTED_VALUE"""),"[""77539""]")</f>
        <v>["77539"]</v>
      </c>
      <c r="C569" s="9" t="str">
        <f>IFERROR(__xludf.DUMMYFUNCTION("""COMPUTED_VALUE"""),"M I Lewis Social Service Center")</f>
        <v>M I Lewis Social Service Center</v>
      </c>
      <c r="D569" s="9" t="str">
        <f>IFERROR(__xludf.DUMMYFUNCTION("""COMPUTED_VALUE"""),"245 FM 517 E")</f>
        <v>245 FM 517 E</v>
      </c>
      <c r="E569" s="9"/>
      <c r="F569" s="9" t="str">
        <f>IFERROR(__xludf.DUMMYFUNCTION("""COMPUTED_VALUE"""),"Dickinson")</f>
        <v>Dickinson</v>
      </c>
      <c r="G569" s="9" t="str">
        <f>IFERROR(__xludf.DUMMYFUNCTION("""COMPUTED_VALUE"""),"TX")</f>
        <v>TX</v>
      </c>
      <c r="H569" s="9" t="str">
        <f>IFERROR(__xludf.DUMMYFUNCTION("""COMPUTED_VALUE"""),"77539")</f>
        <v>77539</v>
      </c>
      <c r="I569" s="9" t="str">
        <f>IFERROR(__xludf.DUMMYFUNCTION("""COMPUTED_VALUE"""),"281-534-2043")</f>
        <v>281-534-2043</v>
      </c>
      <c r="J569" s="9" t="str">
        <f>IFERROR(__xludf.DUMMYFUNCTION("""COMPUTED_VALUE"""),"29.450984610214718, -95.07535712077423")</f>
        <v>29.450984610214718, -95.07535712077423</v>
      </c>
      <c r="K569" s="9" t="str">
        <f>IFERROR(__xludf.DUMMYFUNCTION("""COMPUTED_VALUE"""),"{""regular"":[{""days"":[""Tu"",""We"",""Th"",""Fr""],""open"":""08:30"",""close"":""13:00""}]}")</f>
        <v>{"regular":[{"days":["Tu","We","Th","Fr"],"open":"08:30","close":"13:00"}]}</v>
      </c>
      <c r="L569" s="9"/>
      <c r="M569" s="10">
        <f>IFERROR(__xludf.DUMMYFUNCTION("""COMPUTED_VALUE"""),11.0)</f>
        <v>11</v>
      </c>
      <c r="N569" s="10" t="str">
        <f>IFERROR(__xludf.DUMMYFUNCTION("""COMPUTED_VALUE"""),"Rent")</f>
        <v>Rent</v>
      </c>
      <c r="O569" s="10">
        <f>IFERROR(__xludf.DUMMYFUNCTION("""COMPUTED_VALUE"""),1.0)</f>
        <v>1</v>
      </c>
      <c r="P569" s="10" t="str">
        <f>IFERROR(__xludf.DUMMYFUNCTION("""COMPUTED_VALUE"""),"ACTIVE")</f>
        <v>ACTIVE</v>
      </c>
      <c r="Q569" s="11">
        <f>IFERROR(__xludf.DUMMYFUNCTION("""COMPUTED_VALUE"""),45853.0)</f>
        <v>45853</v>
      </c>
      <c r="R569" s="9" t="str">
        <f>IFERROR(__xludf.DUMMYFUNCTION("""COMPUTED_VALUE"""),"Verified online")</f>
        <v>Verified online</v>
      </c>
      <c r="S569" s="9" t="str">
        <f>IFERROR(__xludf.DUMMYFUNCTION("""COMPUTED_VALUE"""),"US Citizens or legal residents")</f>
        <v>US Citizens or legal residents</v>
      </c>
      <c r="T569" s="12" t="b">
        <f>IFERROR(__xludf.DUMMYFUNCTION("""COMPUTED_VALUE"""),FALSE)</f>
        <v>0</v>
      </c>
      <c r="U569" s="12" t="b">
        <f>IFERROR(__xludf.DUMMYFUNCTION("""COMPUTED_VALUE"""),FALSE)</f>
        <v>0</v>
      </c>
      <c r="V569" s="13" t="str">
        <f>IFERROR(__xludf.DUMMYFUNCTION("""COMPUTED_VALUE"""),"https://www.milewisctr.org/emergency-assistance")</f>
        <v>https://www.milewisctr.org/emergency-assistance</v>
      </c>
      <c r="W569" s="14" t="str">
        <f>IFERROR(__xludf.DUMMYFUNCTION("""COMPUTED_VALUE"""),"https://www.google.com/maps/place/M.I.+Lewis+Social+Service+Center/@29.4507511,-95.0780018,17z/data=!3m1!4b1!4m6!3m5!1s0x863f7d828ad418a1:0x21267f366390e618!8m2!3d29.4507511!4d-95.0754215!16s%2Fg%2F1tk6w8v7?entry=ttu&amp;g_ep=EgoyMDI1MDcwOS4wIKXMDSoASAFQAw%3D"&amp;"%3D")</f>
        <v>https://www.google.com/maps/place/M.I.+Lewis+Social+Service+Center/@29.4507511,-95.0780018,17z/data=!3m1!4b1!4m6!3m5!1s0x863f7d828ad418a1:0x21267f366390e618!8m2!3d29.4507511!4d-95.0754215!16s%2Fg%2F1tk6w8v7?entry=ttu&amp;g_ep=EgoyMDI1MDcwOS4wIKXMDSoASAFQAw%3D%3D</v>
      </c>
      <c r="X569" s="10"/>
      <c r="Y569" s="9" t="str">
        <f>IFERROR(__xludf.DUMMYFUNCTION("""COMPUTED_VALUE"""),"Dickinson")</f>
        <v>Dickinson</v>
      </c>
      <c r="Z569" s="9" t="str">
        <f>IFERROR(__xludf.DUMMYFUNCTION("""COMPUTED_VALUE"""),"Dickinson")</f>
        <v>Dickinson</v>
      </c>
      <c r="AA569" s="9" t="str">
        <f>IFERROR(__xludf.DUMMYFUNCTION("""COMPUTED_VALUE"""),"M I Lewis Social Service Center")</f>
        <v>M I Lewis Social Service Center</v>
      </c>
      <c r="AB569" s="9" t="str">
        <f>IFERROR(__xludf.DUMMYFUNCTION("""COMPUTED_VALUE"""),"Dickinson")</f>
        <v>Dickinson</v>
      </c>
    </row>
    <row r="570" ht="30.0" customHeight="1">
      <c r="A570" s="17">
        <v>569.0</v>
      </c>
      <c r="B570" s="8" t="str">
        <f>IFERROR(__xludf.DUMMYFUNCTION("""COMPUTED_VALUE"""),"[""77539""]")</f>
        <v>["77539"]</v>
      </c>
      <c r="C570" s="9" t="str">
        <f>IFERROR(__xludf.DUMMYFUNCTION("""COMPUTED_VALUE"""),"M I Lewis Social Service Center")</f>
        <v>M I Lewis Social Service Center</v>
      </c>
      <c r="D570" s="9" t="str">
        <f>IFERROR(__xludf.DUMMYFUNCTION("""COMPUTED_VALUE"""),"245 FM 517 E")</f>
        <v>245 FM 517 E</v>
      </c>
      <c r="E570" s="9"/>
      <c r="F570" s="9" t="str">
        <f>IFERROR(__xludf.DUMMYFUNCTION("""COMPUTED_VALUE"""),"Dickinson")</f>
        <v>Dickinson</v>
      </c>
      <c r="G570" s="9" t="str">
        <f>IFERROR(__xludf.DUMMYFUNCTION("""COMPUTED_VALUE"""),"TX")</f>
        <v>TX</v>
      </c>
      <c r="H570" s="9" t="str">
        <f>IFERROR(__xludf.DUMMYFUNCTION("""COMPUTED_VALUE"""),"77539")</f>
        <v>77539</v>
      </c>
      <c r="I570" s="9" t="str">
        <f>IFERROR(__xludf.DUMMYFUNCTION("""COMPUTED_VALUE"""),"281-534-2043")</f>
        <v>281-534-2043</v>
      </c>
      <c r="J570" s="9" t="str">
        <f>IFERROR(__xludf.DUMMYFUNCTION("""COMPUTED_VALUE"""),"29.450984610214718, -95.07535712077423")</f>
        <v>29.450984610214718, -95.07535712077423</v>
      </c>
      <c r="K570" s="9" t="str">
        <f>IFERROR(__xludf.DUMMYFUNCTION("""COMPUTED_VALUE"""),"{""regular"":[{""days"":[""Tu"",""We"",""Th"",""Fr""],""open"":""08:30"",""close"":""13:00""}]}")</f>
        <v>{"regular":[{"days":["Tu","We","Th","Fr"],"open":"08:30","close":"13:00"}]}</v>
      </c>
      <c r="L570" s="9"/>
      <c r="M570" s="10">
        <f>IFERROR(__xludf.DUMMYFUNCTION("""COMPUTED_VALUE"""),12.0)</f>
        <v>12</v>
      </c>
      <c r="N570" s="10" t="str">
        <f>IFERROR(__xludf.DUMMYFUNCTION("""COMPUTED_VALUE"""),"Utilities")</f>
        <v>Utilities</v>
      </c>
      <c r="O570" s="10">
        <f>IFERROR(__xludf.DUMMYFUNCTION("""COMPUTED_VALUE"""),1.0)</f>
        <v>1</v>
      </c>
      <c r="P570" s="10" t="str">
        <f>IFERROR(__xludf.DUMMYFUNCTION("""COMPUTED_VALUE"""),"ACTIVE")</f>
        <v>ACTIVE</v>
      </c>
      <c r="Q570" s="11">
        <f>IFERROR(__xludf.DUMMYFUNCTION("""COMPUTED_VALUE"""),45853.0)</f>
        <v>45853</v>
      </c>
      <c r="R570" s="9" t="str">
        <f>IFERROR(__xludf.DUMMYFUNCTION("""COMPUTED_VALUE"""),"Verified online")</f>
        <v>Verified online</v>
      </c>
      <c r="S570" s="9" t="str">
        <f>IFERROR(__xludf.DUMMYFUNCTION("""COMPUTED_VALUE"""),"US Citizens or legal residents")</f>
        <v>US Citizens or legal residents</v>
      </c>
      <c r="T570" s="12" t="b">
        <f>IFERROR(__xludf.DUMMYFUNCTION("""COMPUTED_VALUE"""),FALSE)</f>
        <v>0</v>
      </c>
      <c r="U570" s="12" t="b">
        <f>IFERROR(__xludf.DUMMYFUNCTION("""COMPUTED_VALUE"""),FALSE)</f>
        <v>0</v>
      </c>
      <c r="V570" s="13" t="str">
        <f>IFERROR(__xludf.DUMMYFUNCTION("""COMPUTED_VALUE"""),"https://www.milewisctr.org/emergency-assistance")</f>
        <v>https://www.milewisctr.org/emergency-assistance</v>
      </c>
      <c r="W570" s="14" t="str">
        <f>IFERROR(__xludf.DUMMYFUNCTION("""COMPUTED_VALUE"""),"https://www.google.com/maps/place/M.I.+Lewis+Social+Service+Center/@29.4507511,-95.0780018,17z/data=!3m1!4b1!4m6!3m5!1s0x863f7d828ad418a1:0x21267f366390e618!8m2!3d29.4507511!4d-95.0754215!16s%2Fg%2F1tk6w8v7?entry=ttu&amp;g_ep=EgoyMDI1MDcwOS4wIKXMDSoASAFQAw%3D"&amp;"%3D")</f>
        <v>https://www.google.com/maps/place/M.I.+Lewis+Social+Service+Center/@29.4507511,-95.0780018,17z/data=!3m1!4b1!4m6!3m5!1s0x863f7d828ad418a1:0x21267f366390e618!8m2!3d29.4507511!4d-95.0754215!16s%2Fg%2F1tk6w8v7?entry=ttu&amp;g_ep=EgoyMDI1MDcwOS4wIKXMDSoASAFQAw%3D%3D</v>
      </c>
      <c r="X570" s="10"/>
      <c r="Y570" s="9" t="str">
        <f>IFERROR(__xludf.DUMMYFUNCTION("""COMPUTED_VALUE"""),"Dickinson")</f>
        <v>Dickinson</v>
      </c>
      <c r="Z570" s="9" t="str">
        <f>IFERROR(__xludf.DUMMYFUNCTION("""COMPUTED_VALUE"""),"Dickinson")</f>
        <v>Dickinson</v>
      </c>
      <c r="AA570" s="9" t="str">
        <f>IFERROR(__xludf.DUMMYFUNCTION("""COMPUTED_VALUE"""),"M I Lewis Social Service Center")</f>
        <v>M I Lewis Social Service Center</v>
      </c>
      <c r="AB570" s="9" t="str">
        <f>IFERROR(__xludf.DUMMYFUNCTION("""COMPUTED_VALUE"""),"Dickinson")</f>
        <v>Dickinson</v>
      </c>
    </row>
    <row r="571" ht="30.0" customHeight="1">
      <c r="A571" s="17">
        <v>570.0</v>
      </c>
      <c r="B571" s="8" t="str">
        <f>IFERROR(__xludf.DUMMYFUNCTION("""COMPUTED_VALUE"""),"[""77539""]")</f>
        <v>["77539"]</v>
      </c>
      <c r="C571" s="9" t="str">
        <f>IFERROR(__xludf.DUMMYFUNCTION("""COMPUTED_VALUE"""),"M I Lewis Social Service Center")</f>
        <v>M I Lewis Social Service Center</v>
      </c>
      <c r="D571" s="9" t="str">
        <f>IFERROR(__xludf.DUMMYFUNCTION("""COMPUTED_VALUE"""),"245 FM 517 E")</f>
        <v>245 FM 517 E</v>
      </c>
      <c r="E571" s="9"/>
      <c r="F571" s="9" t="str">
        <f>IFERROR(__xludf.DUMMYFUNCTION("""COMPUTED_VALUE"""),"Dickinson")</f>
        <v>Dickinson</v>
      </c>
      <c r="G571" s="9" t="str">
        <f>IFERROR(__xludf.DUMMYFUNCTION("""COMPUTED_VALUE"""),"TX")</f>
        <v>TX</v>
      </c>
      <c r="H571" s="9" t="str">
        <f>IFERROR(__xludf.DUMMYFUNCTION("""COMPUTED_VALUE"""),"77539")</f>
        <v>77539</v>
      </c>
      <c r="I571" s="9" t="str">
        <f>IFERROR(__xludf.DUMMYFUNCTION("""COMPUTED_VALUE"""),"281-534-2043")</f>
        <v>281-534-2043</v>
      </c>
      <c r="J571" s="9" t="str">
        <f>IFERROR(__xludf.DUMMYFUNCTION("""COMPUTED_VALUE"""),"29.450984610214718, -95.07535712077423")</f>
        <v>29.450984610214718, -95.07535712077423</v>
      </c>
      <c r="K571" s="9" t="str">
        <f>IFERROR(__xludf.DUMMYFUNCTION("""COMPUTED_VALUE"""),"{""regular"":[{""days"":[""Tu"",""We"",""Th"",""Fr""],""open"":""08:30"",""close"":""13:00""}]}")</f>
        <v>{"regular":[{"days":["Tu","We","Th","Fr"],"open":"08:30","close":"13:00"}]}</v>
      </c>
      <c r="L571" s="9"/>
      <c r="M571" s="10">
        <f>IFERROR(__xludf.DUMMYFUNCTION("""COMPUTED_VALUE"""),13.0)</f>
        <v>13</v>
      </c>
      <c r="N571" s="10" t="str">
        <f>IFERROR(__xludf.DUMMYFUNCTION("""COMPUTED_VALUE"""),"Food")</f>
        <v>Food</v>
      </c>
      <c r="O571" s="10">
        <f>IFERROR(__xludf.DUMMYFUNCTION("""COMPUTED_VALUE"""),1.0)</f>
        <v>1</v>
      </c>
      <c r="P571" s="10" t="str">
        <f>IFERROR(__xludf.DUMMYFUNCTION("""COMPUTED_VALUE"""),"ACTIVE")</f>
        <v>ACTIVE</v>
      </c>
      <c r="Q571" s="11">
        <f>IFERROR(__xludf.DUMMYFUNCTION("""COMPUTED_VALUE"""),45853.0)</f>
        <v>45853</v>
      </c>
      <c r="R571" s="9" t="str">
        <f>IFERROR(__xludf.DUMMYFUNCTION("""COMPUTED_VALUE"""),"Verified online")</f>
        <v>Verified online</v>
      </c>
      <c r="S571" s="9" t="str">
        <f>IFERROR(__xludf.DUMMYFUNCTION("""COMPUTED_VALUE"""),"US Citizens or legal residents.
Pre Registration required.
")</f>
        <v>US Citizens or legal residents.
Pre Registration required.
</v>
      </c>
      <c r="T571" s="12" t="b">
        <f>IFERROR(__xludf.DUMMYFUNCTION("""COMPUTED_VALUE"""),FALSE)</f>
        <v>0</v>
      </c>
      <c r="U571" s="12" t="b">
        <f>IFERROR(__xludf.DUMMYFUNCTION("""COMPUTED_VALUE"""),FALSE)</f>
        <v>0</v>
      </c>
      <c r="V571" s="13" t="str">
        <f>IFERROR(__xludf.DUMMYFUNCTION("""COMPUTED_VALUE"""),"https://www.milewisctr.org/food-assistance")</f>
        <v>https://www.milewisctr.org/food-assistance</v>
      </c>
      <c r="W571" s="14" t="str">
        <f>IFERROR(__xludf.DUMMYFUNCTION("""COMPUTED_VALUE"""),"https://www.google.com/maps/place/M.I.+Lewis+Social+Service+Center/@29.4507511,-95.0780018,17z/data=!3m1!4b1!4m6!3m5!1s0x863f7d828ad418a1:0x21267f366390e618!8m2!3d29.4507511!4d-95.0754215!16s%2Fg%2F1tk6w8v7?entry=ttu&amp;g_ep=EgoyMDI1MDcwOS4wIKXMDSoASAFQAw%3D"&amp;"%3D")</f>
        <v>https://www.google.com/maps/place/M.I.+Lewis+Social+Service+Center/@29.4507511,-95.0780018,17z/data=!3m1!4b1!4m6!3m5!1s0x863f7d828ad418a1:0x21267f366390e618!8m2!3d29.4507511!4d-95.0754215!16s%2Fg%2F1tk6w8v7?entry=ttu&amp;g_ep=EgoyMDI1MDcwOS4wIKXMDSoASAFQAw%3D%3D</v>
      </c>
      <c r="X571" s="10"/>
      <c r="Y571" s="9" t="str">
        <f>IFERROR(__xludf.DUMMYFUNCTION("""COMPUTED_VALUE"""),"Dickinson")</f>
        <v>Dickinson</v>
      </c>
      <c r="Z571" s="9" t="str">
        <f>IFERROR(__xludf.DUMMYFUNCTION("""COMPUTED_VALUE"""),"Dickinson")</f>
        <v>Dickinson</v>
      </c>
      <c r="AA571" s="9" t="str">
        <f>IFERROR(__xludf.DUMMYFUNCTION("""COMPUTED_VALUE"""),"M I Lewis Social Service Center")</f>
        <v>M I Lewis Social Service Center</v>
      </c>
      <c r="AB571" s="9" t="str">
        <f>IFERROR(__xludf.DUMMYFUNCTION("""COMPUTED_VALUE"""),"Dickinson")</f>
        <v>Dickinson</v>
      </c>
    </row>
    <row r="572" ht="30.0" customHeight="1">
      <c r="A572" s="17">
        <v>571.0</v>
      </c>
      <c r="B572" s="8" t="str">
        <f>IFERROR(__xludf.DUMMYFUNCTION("""COMPUTED_VALUE"""),"[""77539""]")</f>
        <v>["77539"]</v>
      </c>
      <c r="C572" s="9" t="str">
        <f>IFERROR(__xludf.DUMMYFUNCTION("""COMPUTED_VALUE"""),"M I Lewis Social Service Center")</f>
        <v>M I Lewis Social Service Center</v>
      </c>
      <c r="D572" s="9" t="str">
        <f>IFERROR(__xludf.DUMMYFUNCTION("""COMPUTED_VALUE"""),"245 FM 517 E")</f>
        <v>245 FM 517 E</v>
      </c>
      <c r="E572" s="9"/>
      <c r="F572" s="9" t="str">
        <f>IFERROR(__xludf.DUMMYFUNCTION("""COMPUTED_VALUE"""),"Dickinson")</f>
        <v>Dickinson</v>
      </c>
      <c r="G572" s="9" t="str">
        <f>IFERROR(__xludf.DUMMYFUNCTION("""COMPUTED_VALUE"""),"TX")</f>
        <v>TX</v>
      </c>
      <c r="H572" s="9" t="str">
        <f>IFERROR(__xludf.DUMMYFUNCTION("""COMPUTED_VALUE"""),"77539")</f>
        <v>77539</v>
      </c>
      <c r="I572" s="9" t="str">
        <f>IFERROR(__xludf.DUMMYFUNCTION("""COMPUTED_VALUE"""),"281-534-2043")</f>
        <v>281-534-2043</v>
      </c>
      <c r="J572" s="9" t="str">
        <f>IFERROR(__xludf.DUMMYFUNCTION("""COMPUTED_VALUE"""),"29.450984610214718, -95.07535712077423")</f>
        <v>29.450984610214718, -95.07535712077423</v>
      </c>
      <c r="K572" s="9" t="str">
        <f>IFERROR(__xludf.DUMMYFUNCTION("""COMPUTED_VALUE"""),"{""regular"":[{""days"":[""Tu"",""We"",""Th"",""Fr""],""open"":""08:30"",""close"":""13:00""}]}")</f>
        <v>{"regular":[{"days":["Tu","We","Th","Fr"],"open":"08:30","close":"13:00"}]}</v>
      </c>
      <c r="L572" s="9"/>
      <c r="M572" s="10">
        <f>IFERROR(__xludf.DUMMYFUNCTION("""COMPUTED_VALUE"""),61.0)</f>
        <v>61</v>
      </c>
      <c r="N572" s="10" t="str">
        <f>IFERROR(__xludf.DUMMYFUNCTION("""COMPUTED_VALUE"""),"Seniors")</f>
        <v>Seniors</v>
      </c>
      <c r="O572" s="10">
        <f>IFERROR(__xludf.DUMMYFUNCTION("""COMPUTED_VALUE"""),1.0)</f>
        <v>1</v>
      </c>
      <c r="P572" s="10" t="str">
        <f>IFERROR(__xludf.DUMMYFUNCTION("""COMPUTED_VALUE"""),"ACTIVE")</f>
        <v>ACTIVE</v>
      </c>
      <c r="Q572" s="11">
        <f>IFERROR(__xludf.DUMMYFUNCTION("""COMPUTED_VALUE"""),45853.0)</f>
        <v>45853</v>
      </c>
      <c r="R572" s="9" t="str">
        <f>IFERROR(__xludf.DUMMYFUNCTION("""COMPUTED_VALUE"""),"Verified online")</f>
        <v>Verified online</v>
      </c>
      <c r="S572" s="9" t="str">
        <f>IFERROR(__xludf.DUMMYFUNCTION("""COMPUTED_VALUE"""),"Once a month home delivery of groceries.
Must be 60+ years or disabled.
Homebound with no means of transportation.
Meet income eligibility.
Pre Registration required.
US Citizens or legal residents")</f>
        <v>Once a month home delivery of groceries.
Must be 60+ years or disabled.
Homebound with no means of transportation.
Meet income eligibility.
Pre Registration required.
US Citizens or legal residents</v>
      </c>
      <c r="T572" s="12" t="b">
        <f>IFERROR(__xludf.DUMMYFUNCTION("""COMPUTED_VALUE"""),FALSE)</f>
        <v>0</v>
      </c>
      <c r="U572" s="12" t="b">
        <f>IFERROR(__xludf.DUMMYFUNCTION("""COMPUTED_VALUE"""),FALSE)</f>
        <v>0</v>
      </c>
      <c r="V572" s="13" t="str">
        <f>IFERROR(__xludf.DUMMYFUNCTION("""COMPUTED_VALUE"""),"https://www.milewisctr.org/senior-delivieries")</f>
        <v>https://www.milewisctr.org/senior-delivieries</v>
      </c>
      <c r="W572" s="14" t="str">
        <f>IFERROR(__xludf.DUMMYFUNCTION("""COMPUTED_VALUE"""),"https://www.google.com/maps/place/M.I.+Lewis+Social+Service+Center/@29.4507511,-95.0780018,17z/data=!3m1!4b1!4m6!3m5!1s0x863f7d828ad418a1:0x21267f366390e618!8m2!3d29.4507511!4d-95.0754215!16s%2Fg%2F1tk6w8v7?entry=ttu&amp;g_ep=EgoyMDI1MDcwOS4wIKXMDSoASAFQAw%3D"&amp;"%3D")</f>
        <v>https://www.google.com/maps/place/M.I.+Lewis+Social+Service+Center/@29.4507511,-95.0780018,17z/data=!3m1!4b1!4m6!3m5!1s0x863f7d828ad418a1:0x21267f366390e618!8m2!3d29.4507511!4d-95.0754215!16s%2Fg%2F1tk6w8v7?entry=ttu&amp;g_ep=EgoyMDI1MDcwOS4wIKXMDSoASAFQAw%3D%3D</v>
      </c>
      <c r="X572" s="10"/>
      <c r="Y572" s="9" t="str">
        <f>IFERROR(__xludf.DUMMYFUNCTION("""COMPUTED_VALUE"""),"Dickinson")</f>
        <v>Dickinson</v>
      </c>
      <c r="Z572" s="9" t="str">
        <f>IFERROR(__xludf.DUMMYFUNCTION("""COMPUTED_VALUE"""),"Dickinson")</f>
        <v>Dickinson</v>
      </c>
      <c r="AA572" s="9" t="str">
        <f>IFERROR(__xludf.DUMMYFUNCTION("""COMPUTED_VALUE"""),"M I Lewis Social Service Center")</f>
        <v>M I Lewis Social Service Center</v>
      </c>
      <c r="AB572" s="9" t="str">
        <f>IFERROR(__xludf.DUMMYFUNCTION("""COMPUTED_VALUE"""),"Dickinson")</f>
        <v>Dickinson</v>
      </c>
    </row>
    <row r="573" ht="30.0" customHeight="1">
      <c r="A573" s="17">
        <v>572.0</v>
      </c>
      <c r="B573" s="8" t="str">
        <f>IFERROR(__xludf.DUMMYFUNCTION("""COMPUTED_VALUE"""),"[""77539""]")</f>
        <v>["77539"]</v>
      </c>
      <c r="C573" s="9" t="str">
        <f>IFERROR(__xludf.DUMMYFUNCTION("""COMPUTED_VALUE"""),"M I Lewis Social Service Center")</f>
        <v>M I Lewis Social Service Center</v>
      </c>
      <c r="D573" s="9" t="str">
        <f>IFERROR(__xludf.DUMMYFUNCTION("""COMPUTED_VALUE"""),"245 FM 517 E")</f>
        <v>245 FM 517 E</v>
      </c>
      <c r="E573" s="9"/>
      <c r="F573" s="9" t="str">
        <f>IFERROR(__xludf.DUMMYFUNCTION("""COMPUTED_VALUE"""),"Dickinson")</f>
        <v>Dickinson</v>
      </c>
      <c r="G573" s="9" t="str">
        <f>IFERROR(__xludf.DUMMYFUNCTION("""COMPUTED_VALUE"""),"TX")</f>
        <v>TX</v>
      </c>
      <c r="H573" s="9" t="str">
        <f>IFERROR(__xludf.DUMMYFUNCTION("""COMPUTED_VALUE"""),"77539")</f>
        <v>77539</v>
      </c>
      <c r="I573" s="9" t="str">
        <f>IFERROR(__xludf.DUMMYFUNCTION("""COMPUTED_VALUE"""),"281-534-2043")</f>
        <v>281-534-2043</v>
      </c>
      <c r="J573" s="9" t="str">
        <f>IFERROR(__xludf.DUMMYFUNCTION("""COMPUTED_VALUE"""),"29.450984610214718, -95.07535712077423")</f>
        <v>29.450984610214718, -95.07535712077423</v>
      </c>
      <c r="K573" s="9" t="str">
        <f>IFERROR(__xludf.DUMMYFUNCTION("""COMPUTED_VALUE"""),"{""regular"":[{""days"":[""Tu"",""We"",""Th"",""Fr""],""open"":""08:30"",""close"":""13:00""}]}")</f>
        <v>{"regular":[{"days":["Tu","We","Th","Fr"],"open":"08:30","close":"13:00"}]}</v>
      </c>
      <c r="L573" s="9"/>
      <c r="M573" s="10">
        <f>IFERROR(__xludf.DUMMYFUNCTION("""COMPUTED_VALUE"""),65.0)</f>
        <v>65</v>
      </c>
      <c r="N573" s="10" t="str">
        <f>IFERROR(__xludf.DUMMYFUNCTION("""COMPUTED_VALUE"""),"Other")</f>
        <v>Other</v>
      </c>
      <c r="O573" s="10">
        <f>IFERROR(__xludf.DUMMYFUNCTION("""COMPUTED_VALUE"""),1.0)</f>
        <v>1</v>
      </c>
      <c r="P573" s="10" t="str">
        <f>IFERROR(__xludf.DUMMYFUNCTION("""COMPUTED_VALUE"""),"ACTIVE")</f>
        <v>ACTIVE</v>
      </c>
      <c r="Q573" s="11">
        <f>IFERROR(__xludf.DUMMYFUNCTION("""COMPUTED_VALUE"""),45853.0)</f>
        <v>45853</v>
      </c>
      <c r="R573" s="9" t="str">
        <f>IFERROR(__xludf.DUMMYFUNCTION("""COMPUTED_VALUE"""),"Verified online")</f>
        <v>Verified online</v>
      </c>
      <c r="S573" s="9" t="str">
        <f>IFERROR(__xludf.DUMMYFUNCTION("""COMPUTED_VALUE"""),"School supplies in August.
DISD students who qualify for free or reduced lunch.
Pre Registration required.")</f>
        <v>School supplies in August.
DISD students who qualify for free or reduced lunch.
Pre Registration required.</v>
      </c>
      <c r="T573" s="12" t="b">
        <f>IFERROR(__xludf.DUMMYFUNCTION("""COMPUTED_VALUE"""),FALSE)</f>
        <v>0</v>
      </c>
      <c r="U573" s="12" t="b">
        <f>IFERROR(__xludf.DUMMYFUNCTION("""COMPUTED_VALUE"""),FALSE)</f>
        <v>0</v>
      </c>
      <c r="V573" s="13" t="str">
        <f>IFERROR(__xludf.DUMMYFUNCTION("""COMPUTED_VALUE"""),"https://www.milewisctr.org/school-supplies")</f>
        <v>https://www.milewisctr.org/school-supplies</v>
      </c>
      <c r="W573" s="14" t="str">
        <f>IFERROR(__xludf.DUMMYFUNCTION("""COMPUTED_VALUE"""),"https://www.google.com/maps/place/M.I.+Lewis+Social+Service+Center/@29.4507511,-95.0780018,17z/data=!3m1!4b1!4m6!3m5!1s0x863f7d828ad418a1:0x21267f366390e618!8m2!3d29.4507511!4d-95.0754215!16s%2Fg%2F1tk6w8v7?entry=ttu&amp;g_ep=EgoyMDI1MDcwOS4wIKXMDSoASAFQAw%3D"&amp;"%3D")</f>
        <v>https://www.google.com/maps/place/M.I.+Lewis+Social+Service+Center/@29.4507511,-95.0780018,17z/data=!3m1!4b1!4m6!3m5!1s0x863f7d828ad418a1:0x21267f366390e618!8m2!3d29.4507511!4d-95.0754215!16s%2Fg%2F1tk6w8v7?entry=ttu&amp;g_ep=EgoyMDI1MDcwOS4wIKXMDSoASAFQAw%3D%3D</v>
      </c>
      <c r="X573" s="10"/>
      <c r="Y573" s="9" t="str">
        <f>IFERROR(__xludf.DUMMYFUNCTION("""COMPUTED_VALUE"""),"Dickinson")</f>
        <v>Dickinson</v>
      </c>
      <c r="Z573" s="9" t="str">
        <f>IFERROR(__xludf.DUMMYFUNCTION("""COMPUTED_VALUE"""),"Dickinson")</f>
        <v>Dickinson</v>
      </c>
      <c r="AA573" s="9" t="str">
        <f>IFERROR(__xludf.DUMMYFUNCTION("""COMPUTED_VALUE"""),"M I Lewis Social Service Center")</f>
        <v>M I Lewis Social Service Center</v>
      </c>
      <c r="AB573" s="9" t="str">
        <f>IFERROR(__xludf.DUMMYFUNCTION("""COMPUTED_VALUE"""),"Dickinson")</f>
        <v>Dickinson</v>
      </c>
    </row>
    <row r="574" ht="30.0" customHeight="1">
      <c r="A574" s="17">
        <v>573.0</v>
      </c>
      <c r="B574" s="8" t="str">
        <f>IFERROR(__xludf.DUMMYFUNCTION("""COMPUTED_VALUE"""),"[""99999""]")</f>
        <v>["99999"]</v>
      </c>
      <c r="C574" s="9" t="str">
        <f>IFERROR(__xludf.DUMMYFUNCTION("""COMPUTED_VALUE"""),"Magnificat Houses")</f>
        <v>Magnificat Houses</v>
      </c>
      <c r="D574" s="9" t="str">
        <f>IFERROR(__xludf.DUMMYFUNCTION("""COMPUTED_VALUE"""),"2009 Congress Street")</f>
        <v>2009 Congress Street</v>
      </c>
      <c r="E574" s="9"/>
      <c r="F574" s="9" t="str">
        <f>IFERROR(__xludf.DUMMYFUNCTION("""COMPUTED_VALUE"""),"Houston")</f>
        <v>Houston</v>
      </c>
      <c r="G574" s="9" t="str">
        <f>IFERROR(__xludf.DUMMYFUNCTION("""COMPUTED_VALUE"""),"TX")</f>
        <v>TX</v>
      </c>
      <c r="H574" s="9" t="str">
        <f>IFERROR(__xludf.DUMMYFUNCTION("""COMPUTED_VALUE"""),"77004")</f>
        <v>77004</v>
      </c>
      <c r="I574" s="9" t="str">
        <f>IFERROR(__xludf.DUMMYFUNCTION("""COMPUTED_VALUE"""),"713-529-4231")</f>
        <v>713-529-4231</v>
      </c>
      <c r="J574" s="9" t="str">
        <f>IFERROR(__xludf.DUMMYFUNCTION("""COMPUTED_VALUE"""),"29.757046877551, -95.3518886938776")</f>
        <v>29.757046877551, -95.3518886938776</v>
      </c>
      <c r="K574" s="9" t="str">
        <f>IFERROR(__xludf.DUMMYFUNCTION("""COMPUTED_VALUE"""),"{""regular"":[{""days"":[""Tu"",""We"",""Th"",""Fr"",""Sa""],""open"":""11:00"",""close"":null},{""days"":[""Su""],""open"":""08:30"",""close"":null}]}")</f>
        <v>{"regular":[{"days":["Tu","We","Th","Fr","Sa"],"open":"11:00","close":null},{"days":["Su"],"open":"08:30","close":null}]}</v>
      </c>
      <c r="L574" s="9"/>
      <c r="M574" s="10">
        <f>IFERROR(__xludf.DUMMYFUNCTION("""COMPUTED_VALUE"""),13.0)</f>
        <v>13</v>
      </c>
      <c r="N574" s="10" t="str">
        <f>IFERROR(__xludf.DUMMYFUNCTION("""COMPUTED_VALUE"""),"Food")</f>
        <v>Food</v>
      </c>
      <c r="O574" s="10">
        <f>IFERROR(__xludf.DUMMYFUNCTION("""COMPUTED_VALUE"""),1.0)</f>
        <v>1</v>
      </c>
      <c r="P574" s="10" t="str">
        <f>IFERROR(__xludf.DUMMYFUNCTION("""COMPUTED_VALUE"""),"ACTIVE")</f>
        <v>ACTIVE</v>
      </c>
      <c r="Q574" s="11">
        <f>IFERROR(__xludf.DUMMYFUNCTION("""COMPUTED_VALUE"""),45761.0)</f>
        <v>45761</v>
      </c>
      <c r="R574" s="9" t="str">
        <f>IFERROR(__xludf.DUMMYFUNCTION("""COMPUTED_VALUE"""),"SVdP Church Help for Moms Ministry")</f>
        <v>SVdP Church Help for Moms Ministry</v>
      </c>
      <c r="S574" s="9" t="str">
        <f>IFERROR(__xludf.DUMMYFUNCTION("""COMPUTED_VALUE"""),"Hot, home cooked meals served six days a week
Lunch Mo-Sa and Breakfast on Su")</f>
        <v>Hot, home cooked meals served six days a week
Lunch Mo-Sa and Breakfast on Su</v>
      </c>
      <c r="T574" s="12" t="b">
        <f>IFERROR(__xludf.DUMMYFUNCTION("""COMPUTED_VALUE"""),FALSE)</f>
        <v>0</v>
      </c>
      <c r="U574" s="12" t="b">
        <f>IFERROR(__xludf.DUMMYFUNCTION("""COMPUTED_VALUE"""),FALSE)</f>
        <v>0</v>
      </c>
      <c r="V574" s="13" t="str">
        <f>IFERROR(__xludf.DUMMYFUNCTION("""COMPUTED_VALUE"""),"https://mhihouston.org/what-we-do/meals/")</f>
        <v>https://mhihouston.org/what-we-do/meals/</v>
      </c>
      <c r="W574" s="14" t="str">
        <f>IFERROR(__xludf.DUMMYFUNCTION("""COMPUTED_VALUE"""),"https://www.google.com/maps/place/Loaves+%26+Fishes+Soup+Kitchen+(Magnificat+Houses)/@29.7570348,-95.3543245,16z/data=!3m1!4b1!4m6!3m5!1s0x8640bed8a687e55f:0xd108073051089752!8m2!3d29.7570348!4d-95.3517496!16s%2Fg%2F1hc90fjsx?entry=ttu&amp;g_ep=EgoyMDI1MDQwOS"&amp;"4wIKXMDSoASAFQAw%3D%3D")</f>
        <v>https://www.google.com/maps/place/Loaves+%26+Fishes+Soup+Kitchen+(Magnificat+Houses)/@29.7570348,-95.3543245,16z/data=!3m1!4b1!4m6!3m5!1s0x8640bed8a687e55f:0xd108073051089752!8m2!3d29.7570348!4d-95.3517496!16s%2Fg%2F1hc90fjsx?entry=ttu&amp;g_ep=EgoyMDI1MDQwOS4wIKXMDSoASAFQAw%3D%3D</v>
      </c>
      <c r="X574" s="10"/>
      <c r="Y574" s="9" t="str">
        <f>IFERROR(__xludf.DUMMYFUNCTION("""COMPUTED_VALUE"""),"Houston")</f>
        <v>Houston</v>
      </c>
      <c r="Z574"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574" s="9" t="str">
        <f>IFERROR(__xludf.DUMMYFUNCTION("""COMPUTED_VALUE"""),"Magnificat Houses")</f>
        <v>Magnificat Houses</v>
      </c>
      <c r="AB574" s="9" t="str">
        <f>IFERROR(__xludf.DUMMYFUNCTION("""COMPUTED_VALUE"""),"East Downtown")</f>
        <v>East Downtown</v>
      </c>
    </row>
    <row r="575" ht="30.0" customHeight="1">
      <c r="A575" s="17">
        <v>574.0</v>
      </c>
      <c r="B575" s="8" t="str">
        <f>IFERROR(__xludf.DUMMYFUNCTION("""COMPUTED_VALUE"""),"[""99999""]")</f>
        <v>["99999"]</v>
      </c>
      <c r="C575" s="9" t="str">
        <f>IFERROR(__xludf.DUMMYFUNCTION("""COMPUTED_VALUE"""),"Magnificat Houses")</f>
        <v>Magnificat Houses</v>
      </c>
      <c r="D575" s="9" t="str">
        <f>IFERROR(__xludf.DUMMYFUNCTION("""COMPUTED_VALUE"""),"1410 Elgin Street")</f>
        <v>1410 Elgin Street</v>
      </c>
      <c r="E575" s="9"/>
      <c r="F575" s="9" t="str">
        <f>IFERROR(__xludf.DUMMYFUNCTION("""COMPUTED_VALUE"""),"Houston")</f>
        <v>Houston</v>
      </c>
      <c r="G575" s="9" t="str">
        <f>IFERROR(__xludf.DUMMYFUNCTION("""COMPUTED_VALUE"""),"TX")</f>
        <v>TX</v>
      </c>
      <c r="H575" s="9" t="str">
        <f>IFERROR(__xludf.DUMMYFUNCTION("""COMPUTED_VALUE"""),"77004")</f>
        <v>77004</v>
      </c>
      <c r="I575" s="9" t="str">
        <f>IFERROR(__xludf.DUMMYFUNCTION("""COMPUTED_VALUE"""),"713-529-4231")</f>
        <v>713-529-4231</v>
      </c>
      <c r="J575" s="9" t="str">
        <f>IFERROR(__xludf.DUMMYFUNCTION("""COMPUTED_VALUE"""),"29.739391122449, -95.3734663265306")</f>
        <v>29.739391122449, -95.3734663265306</v>
      </c>
      <c r="K575" s="9" t="str">
        <f>IFERROR(__xludf.DUMMYFUNCTION("""COMPUTED_VALUE"""),"{""regular"":[{""days"":[""Mo"",""Tu"",""We"",""Th"",""Fr""],""open"":null,""close"":null}]}")</f>
        <v>{"regular":[{"days":["Mo","Tu","We","Th","Fr"],"open":null,"close":null}]}</v>
      </c>
      <c r="L575" s="9"/>
      <c r="M575" s="10">
        <f>IFERROR(__xludf.DUMMYFUNCTION("""COMPUTED_VALUE"""),21.0)</f>
        <v>21</v>
      </c>
      <c r="N575" s="10" t="str">
        <f>IFERROR(__xludf.DUMMYFUNCTION("""COMPUTED_VALUE"""),"Homeless - Shelters")</f>
        <v>Homeless - Shelters</v>
      </c>
      <c r="O575" s="10">
        <f>IFERROR(__xludf.DUMMYFUNCTION("""COMPUTED_VALUE"""),1.0)</f>
        <v>1</v>
      </c>
      <c r="P575" s="10" t="str">
        <f>IFERROR(__xludf.DUMMYFUNCTION("""COMPUTED_VALUE"""),"ACTIVE")</f>
        <v>ACTIVE</v>
      </c>
      <c r="Q575" s="11">
        <f>IFERROR(__xludf.DUMMYFUNCTION("""COMPUTED_VALUE"""),45761.0)</f>
        <v>45761</v>
      </c>
      <c r="R575" s="9" t="str">
        <f>IFERROR(__xludf.DUMMYFUNCTION("""COMPUTED_VALUE"""),"SVdP Church Help for Moms Ministry")</f>
        <v>SVdP Church Help for Moms Ministry</v>
      </c>
      <c r="S575" s="9" t="str">
        <f>IFERROR(__xludf.DUMMYFUNCTION("""COMPUTED_VALUE"""),"Coalition for the Homeless (CFTH) Partner/Rapid Rehousing
Intake interviews in person, limited walk-in availability
Three meals a day
Work clothing
On-campus jobs, skills training")</f>
        <v>Coalition for the Homeless (CFTH) Partner/Rapid Rehousing
Intake interviews in person, limited walk-in availability
Three meals a day
Work clothing
On-campus jobs, skills training</v>
      </c>
      <c r="T575" s="12" t="b">
        <f>IFERROR(__xludf.DUMMYFUNCTION("""COMPUTED_VALUE"""),FALSE)</f>
        <v>0</v>
      </c>
      <c r="U575" s="12" t="b">
        <f>IFERROR(__xludf.DUMMYFUNCTION("""COMPUTED_VALUE"""),FALSE)</f>
        <v>0</v>
      </c>
      <c r="V575" s="13" t="str">
        <f>IFERROR(__xludf.DUMMYFUNCTION("""COMPUTED_VALUE"""),"https://mhihouston.org/what-we-do/housing/")</f>
        <v>https://mhihouston.org/what-we-do/housing/</v>
      </c>
      <c r="W575" s="14" t="str">
        <f>IFERROR(__xludf.DUMMYFUNCTION("""COMPUTED_VALUE"""),"https://www.google.com/maps/place/Magnificat+Houses,+Inc.+(Admissions+and+Supportive+Services)/@29.7389347,-95.3756947,16z/data=!3m1!4b1!4m6!3m5!1s0x8640bf6d4a1761bf:0x6615d6c658102de!8m2!3d29.7389347!4d-95.3731198!16s%2Fg%2F1hc2bj425?entry=ttu&amp;g_ep=EgoyM"&amp;"DI1MDQwOS4wIKXMDSoASAFQAw%3D%3D")</f>
        <v>https://www.google.com/maps/place/Magnificat+Houses,+Inc.+(Admissions+and+Supportive+Services)/@29.7389347,-95.3756947,16z/data=!3m1!4b1!4m6!3m5!1s0x8640bf6d4a1761bf:0x6615d6c658102de!8m2!3d29.7389347!4d-95.3731198!16s%2Fg%2F1hc2bj425?entry=ttu&amp;g_ep=EgoyMDI1MDQwOS4wIKXMDSoASAFQAw%3D%3D</v>
      </c>
      <c r="X575" s="10"/>
      <c r="Y575" s="9" t="str">
        <f>IFERROR(__xludf.DUMMYFUNCTION("""COMPUTED_VALUE"""),"Houston")</f>
        <v>Houston</v>
      </c>
      <c r="Z575"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575" s="9" t="str">
        <f>IFERROR(__xludf.DUMMYFUNCTION("""COMPUTED_VALUE"""),"Magnificat Houses")</f>
        <v>Magnificat Houses</v>
      </c>
      <c r="AB575" s="9" t="str">
        <f>IFERROR(__xludf.DUMMYFUNCTION("""COMPUTED_VALUE"""),"South Central Houston")</f>
        <v>South Central Houston</v>
      </c>
    </row>
    <row r="576" ht="30.0" customHeight="1">
      <c r="A576" s="17">
        <v>575.0</v>
      </c>
      <c r="B576" s="8" t="str">
        <f>IFERROR(__xludf.DUMMYFUNCTION("""COMPUTED_VALUE"""),"[""99999""]")</f>
        <v>["99999"]</v>
      </c>
      <c r="C576" s="9" t="str">
        <f>IFERROR(__xludf.DUMMYFUNCTION("""COMPUTED_VALUE"""),"Magnificat Houses")</f>
        <v>Magnificat Houses</v>
      </c>
      <c r="D576" s="9" t="str">
        <f>IFERROR(__xludf.DUMMYFUNCTION("""COMPUTED_VALUE"""),"1410 Elgin Street")</f>
        <v>1410 Elgin Street</v>
      </c>
      <c r="E576" s="9"/>
      <c r="F576" s="9" t="str">
        <f>IFERROR(__xludf.DUMMYFUNCTION("""COMPUTED_VALUE"""),"Houston")</f>
        <v>Houston</v>
      </c>
      <c r="G576" s="9" t="str">
        <f>IFERROR(__xludf.DUMMYFUNCTION("""COMPUTED_VALUE"""),"TX")</f>
        <v>TX</v>
      </c>
      <c r="H576" s="9" t="str">
        <f>IFERROR(__xludf.DUMMYFUNCTION("""COMPUTED_VALUE"""),"77004")</f>
        <v>77004</v>
      </c>
      <c r="I576" s="9" t="str">
        <f>IFERROR(__xludf.DUMMYFUNCTION("""COMPUTED_VALUE"""),"713-529-4231")</f>
        <v>713-529-4231</v>
      </c>
      <c r="J576" s="9" t="str">
        <f>IFERROR(__xludf.DUMMYFUNCTION("""COMPUTED_VALUE"""),"29.739391122449, -95.3734663265306")</f>
        <v>29.739391122449, -95.3734663265306</v>
      </c>
      <c r="K576" s="9" t="str">
        <f>IFERROR(__xludf.DUMMYFUNCTION("""COMPUTED_VALUE"""),"{""regular"":[{""days"":[""Tu"",""We"",""Th"",""Fr"",""Sa""],""open"":""11:00"",""close"":null},{""days"":[""Su""],""open"":""08:30"",""close"":null}]}")</f>
        <v>{"regular":[{"days":["Tu","We","Th","Fr","Sa"],"open":"11:00","close":null},{"days":["Su"],"open":"08:30","close":null}]}</v>
      </c>
      <c r="L576" s="9"/>
      <c r="M576" s="10">
        <f>IFERROR(__xludf.DUMMYFUNCTION("""COMPUTED_VALUE"""),31.0)</f>
        <v>31</v>
      </c>
      <c r="N576" s="10" t="str">
        <f>IFERROR(__xludf.DUMMYFUNCTION("""COMPUTED_VALUE"""),"Medical - Primary Care")</f>
        <v>Medical - Primary Care</v>
      </c>
      <c r="O576" s="10">
        <f>IFERROR(__xludf.DUMMYFUNCTION("""COMPUTED_VALUE"""),1.0)</f>
        <v>1</v>
      </c>
      <c r="P576" s="10" t="str">
        <f>IFERROR(__xludf.DUMMYFUNCTION("""COMPUTED_VALUE"""),"ACTIVE")</f>
        <v>ACTIVE</v>
      </c>
      <c r="Q576" s="11">
        <f>IFERROR(__xludf.DUMMYFUNCTION("""COMPUTED_VALUE"""),45761.0)</f>
        <v>45761</v>
      </c>
      <c r="R576" s="9" t="str">
        <f>IFERROR(__xludf.DUMMYFUNCTION("""COMPUTED_VALUE"""),"SVdP Church Help for Moms Ministry")</f>
        <v>SVdP Church Help for Moms Ministry</v>
      </c>
      <c r="S576" s="9" t="str">
        <f>IFERROR(__xludf.DUMMYFUNCTION("""COMPUTED_VALUE"""),"Annual health assessment and flu shot
Assistance finding doctors and dentists
Transportation to medical appointments")</f>
        <v>Annual health assessment and flu shot
Assistance finding doctors and dentists
Transportation to medical appointments</v>
      </c>
      <c r="T576" s="12" t="b">
        <f>IFERROR(__xludf.DUMMYFUNCTION("""COMPUTED_VALUE"""),FALSE)</f>
        <v>0</v>
      </c>
      <c r="U576" s="12" t="b">
        <f>IFERROR(__xludf.DUMMYFUNCTION("""COMPUTED_VALUE"""),FALSE)</f>
        <v>0</v>
      </c>
      <c r="V576" s="13" t="str">
        <f>IFERROR(__xludf.DUMMYFUNCTION("""COMPUTED_VALUE"""),"https://mhihouston.org/what-we-do/meals/")</f>
        <v>https://mhihouston.org/what-we-do/meals/</v>
      </c>
      <c r="W576" s="14" t="str">
        <f>IFERROR(__xludf.DUMMYFUNCTION("""COMPUTED_VALUE"""),"https://www.google.com/maps/place/Magnificat+Houses,+Inc.+(Admissions+and+Supportive+Services)/@29.7389347,-95.3756947,16z/data=!3m1!4b1!4m6!3m5!1s0x8640bf6d4a1761bf:0x6615d6c658102de!8m2!3d29.7389347!4d-95.3731198!16s%2Fg%2F1hc2bj425?entry=ttu&amp;g_ep=EgoyM"&amp;"DI1MDQwOS4wIKXMDSoASAFQAw%3D%3D")</f>
        <v>https://www.google.com/maps/place/Magnificat+Houses,+Inc.+(Admissions+and+Supportive+Services)/@29.7389347,-95.3756947,16z/data=!3m1!4b1!4m6!3m5!1s0x8640bf6d4a1761bf:0x6615d6c658102de!8m2!3d29.7389347!4d-95.3731198!16s%2Fg%2F1hc2bj425?entry=ttu&amp;g_ep=EgoyMDI1MDQwOS4wIKXMDSoASAFQAw%3D%3D</v>
      </c>
      <c r="X576" s="10"/>
      <c r="Y576" s="9" t="str">
        <f>IFERROR(__xludf.DUMMYFUNCTION("""COMPUTED_VALUE"""),"Houston")</f>
        <v>Houston</v>
      </c>
      <c r="Z576"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576" s="9" t="str">
        <f>IFERROR(__xludf.DUMMYFUNCTION("""COMPUTED_VALUE"""),"Magnificat Houses")</f>
        <v>Magnificat Houses</v>
      </c>
      <c r="AB576" s="9" t="str">
        <f>IFERROR(__xludf.DUMMYFUNCTION("""COMPUTED_VALUE"""),"South Central Houston")</f>
        <v>South Central Houston</v>
      </c>
    </row>
    <row r="577" ht="30.0" customHeight="1">
      <c r="A577" s="17">
        <v>576.0</v>
      </c>
      <c r="B57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577" s="9" t="str">
        <f>IFERROR(__xludf.DUMMYFUNCTION("""COMPUTED_VALUE"""),"Magnolia Multi-Service Center")</f>
        <v>Magnolia Multi-Service Center</v>
      </c>
      <c r="D577" s="9" t="str">
        <f>IFERROR(__xludf.DUMMYFUNCTION("""COMPUTED_VALUE"""),"7037 Capitol Street")</f>
        <v>7037 Capitol Street</v>
      </c>
      <c r="E577" s="9"/>
      <c r="F577" s="9" t="str">
        <f>IFERROR(__xludf.DUMMYFUNCTION("""COMPUTED_VALUE"""),"Houston")</f>
        <v>Houston</v>
      </c>
      <c r="G577" s="9" t="str">
        <f>IFERROR(__xludf.DUMMYFUNCTION("""COMPUTED_VALUE"""),"TX")</f>
        <v>TX</v>
      </c>
      <c r="H577" s="9" t="str">
        <f>IFERROR(__xludf.DUMMYFUNCTION("""COMPUTED_VALUE"""),"77011")</f>
        <v>77011</v>
      </c>
      <c r="I577" s="9" t="str">
        <f>IFERROR(__xludf.DUMMYFUNCTION("""COMPUTED_VALUE"""),"713-743-2773")</f>
        <v>713-743-2773</v>
      </c>
      <c r="J577" s="9" t="str">
        <f>IFERROR(__xludf.DUMMYFUNCTION("""COMPUTED_VALUE"""),"29.734713974086542, -95.30085223475542")</f>
        <v>29.734713974086542, -95.30085223475542</v>
      </c>
      <c r="K577" s="9" t="str">
        <f>IFERROR(__xludf.DUMMYFUNCTION("""COMPUTED_VALUE"""),"{""regular"":[{""days"":[""Mo"",""Tu"",""We"",""Th""],""open"":""08:00"",""close"":""17:00""}]}")</f>
        <v>{"regular":[{"days":["Mo","Tu","We","Th"],"open":"08:00","close":"17:00"}]}</v>
      </c>
      <c r="L577" s="9" t="str">
        <f>IFERROR(__xludf.DUMMYFUNCTION("""COMPUTED_VALUE"""),"Appointment only")</f>
        <v>Appointment only</v>
      </c>
      <c r="M577" s="10">
        <f>IFERROR(__xludf.DUMMYFUNCTION("""COMPUTED_VALUE"""),31.0)</f>
        <v>31</v>
      </c>
      <c r="N577" s="10" t="str">
        <f>IFERROR(__xludf.DUMMYFUNCTION("""COMPUTED_VALUE"""),"Medical - Primary Care")</f>
        <v>Medical - Primary Care</v>
      </c>
      <c r="O577" s="10">
        <f>IFERROR(__xludf.DUMMYFUNCTION("""COMPUTED_VALUE"""),1.0)</f>
        <v>1</v>
      </c>
      <c r="P577" s="10" t="str">
        <f>IFERROR(__xludf.DUMMYFUNCTION("""COMPUTED_VALUE"""),"ACTIVE")</f>
        <v>ACTIVE</v>
      </c>
      <c r="Q577" s="11">
        <f>IFERROR(__xludf.DUMMYFUNCTION("""COMPUTED_VALUE"""),46057.0)</f>
        <v>46057</v>
      </c>
      <c r="R577" s="9" t="str">
        <f>IFERROR(__xludf.DUMMYFUNCTION("""COMPUTED_VALUE"""),"Verified online")</f>
        <v>Verified online</v>
      </c>
      <c r="S577" s="9" t="str">
        <f>IFERROR(__xludf.DUMMYFUNCTION("""COMPUTED_VALUE"""),"Speech, Language and Hearing Clinic
University of Houston and United Way run services providing evaluation, screening and treatment for children with speech, language and/or hearing problems")</f>
        <v>Speech, Language and Hearing Clinic
University of Houston and United Way run services providing evaluation, screening and treatment for children with speech, language and/or hearing problems</v>
      </c>
      <c r="T577" s="12" t="b">
        <f>IFERROR(__xludf.DUMMYFUNCTION("""COMPUTED_VALUE"""),FALSE)</f>
        <v>0</v>
      </c>
      <c r="U577" s="12" t="b">
        <f>IFERROR(__xludf.DUMMYFUNCTION("""COMPUTED_VALUE"""),FALSE)</f>
        <v>0</v>
      </c>
      <c r="V577" s="13" t="str">
        <f>IFERROR(__xludf.DUMMYFUNCTION("""COMPUTED_VALUE"""),"https://www.houstonhealth.org/services/multi-service-centers/magnolia-multi-service-center")</f>
        <v>https://www.houstonhealth.org/services/multi-service-centers/magnolia-multi-service-center</v>
      </c>
      <c r="W577" s="14" t="str">
        <f>IFERROR(__xludf.DUMMYFUNCTION("""COMPUTED_VALUE"""),"https://www.google.com/maps/place/Houston+Health+Department+Magnolia+Multi-Service+Center/@29.732484,-95.3032207,16.64z/data=!4m6!3m5!1s0x8640bc2de78f87a3:0x1235e8616601823b!8m2!3d29.7345178!4d-95.3009019!16s%2Fg%2F1tg870nd?entry=ttu&amp;g_ep=EgoyMDI2MDIwMS4w"&amp;"IKXMDSoKLDEwMDc5MjA2OUgBUAM%3D")</f>
        <v>https://www.google.com/maps/place/Houston+Health+Department+Magnolia+Multi-Service+Center/@29.732484,-95.3032207,16.64z/data=!4m6!3m5!1s0x8640bc2de78f87a3:0x1235e8616601823b!8m2!3d29.7345178!4d-95.3009019!16s%2Fg%2F1tg870nd?entry=ttu&amp;g_ep=EgoyMDI2MDIwMS4wIKXMDSoKLDEwMDc5MjA2OUgBUAM%3D</v>
      </c>
      <c r="X577" s="10"/>
      <c r="Y577" s="9" t="str">
        <f>IFERROR(__xludf.DUMMYFUNCTION("""COMPUTED_VALUE"""),"Houston")</f>
        <v>Houston</v>
      </c>
      <c r="Z577" s="9" t="str">
        <f>IFERROR(__xludf.DUMMYFUNCTION("""COMPUTED_VALUE"""),"Eastwood, Magnolia Park, Second Ward, South Central Houston")</f>
        <v>Eastwood, Magnolia Park, Second Ward, South Central Houston</v>
      </c>
      <c r="AA577" s="9" t="str">
        <f>IFERROR(__xludf.DUMMYFUNCTION("""COMPUTED_VALUE"""),"City of Houston")</f>
        <v>City of Houston</v>
      </c>
      <c r="AB577" s="9" t="str">
        <f>IFERROR(__xludf.DUMMYFUNCTION("""COMPUTED_VALUE"""),"Magnolia Park")</f>
        <v>Magnolia Park</v>
      </c>
    </row>
    <row r="578" ht="30.0" customHeight="1">
      <c r="A578" s="17">
        <v>577.0</v>
      </c>
      <c r="B57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578" s="9" t="str">
        <f>IFERROR(__xludf.DUMMYFUNCTION("""COMPUTED_VALUE"""),"Magnolia Multi-Service Center")</f>
        <v>Magnolia Multi-Service Center</v>
      </c>
      <c r="D578" s="9" t="str">
        <f>IFERROR(__xludf.DUMMYFUNCTION("""COMPUTED_VALUE"""),"7037 Capitol Street")</f>
        <v>7037 Capitol Street</v>
      </c>
      <c r="E578" s="9"/>
      <c r="F578" s="9" t="str">
        <f>IFERROR(__xludf.DUMMYFUNCTION("""COMPUTED_VALUE"""),"Houston")</f>
        <v>Houston</v>
      </c>
      <c r="G578" s="9" t="str">
        <f>IFERROR(__xludf.DUMMYFUNCTION("""COMPUTED_VALUE"""),"TX")</f>
        <v>TX</v>
      </c>
      <c r="H578" s="9" t="str">
        <f>IFERROR(__xludf.DUMMYFUNCTION("""COMPUTED_VALUE"""),"77011")</f>
        <v>77011</v>
      </c>
      <c r="I578" s="9" t="str">
        <f>IFERROR(__xludf.DUMMYFUNCTION("""COMPUTED_VALUE"""),"832-395-3408")</f>
        <v>832-395-3408</v>
      </c>
      <c r="J578" s="9" t="str">
        <f>IFERROR(__xludf.DUMMYFUNCTION("""COMPUTED_VALUE"""),"29.734713974086542, -95.30085223475542")</f>
        <v>29.734713974086542, -95.30085223475542</v>
      </c>
      <c r="K578" s="9" t="str">
        <f>IFERROR(__xludf.DUMMYFUNCTION("""COMPUTED_VALUE"""),"{""regular"":[{""days"":[""Mo""],""open"":""08:00"",""close"":""17:00""},{""days"":[""Tu"",""We"",""Th"",""Fr""],""open"":""07:00"",""close"":""16:00""}]}")</f>
        <v>{"regular":[{"days":["Mo"],"open":"08:00","close":"17:00"},{"days":["Tu","We","Th","Fr"],"open":"07:00","close":"16:00"}]}</v>
      </c>
      <c r="L578" s="9"/>
      <c r="M578" s="10">
        <f>IFERROR(__xludf.DUMMYFUNCTION("""COMPUTED_VALUE"""),32.0)</f>
        <v>32</v>
      </c>
      <c r="N578" s="10" t="str">
        <f>IFERROR(__xludf.DUMMYFUNCTION("""COMPUTED_VALUE"""),"Medical - Dental &amp; Vision")</f>
        <v>Medical - Dental &amp; Vision</v>
      </c>
      <c r="O578" s="10">
        <f>IFERROR(__xludf.DUMMYFUNCTION("""COMPUTED_VALUE"""),1.0)</f>
        <v>1</v>
      </c>
      <c r="P578" s="10" t="str">
        <f>IFERROR(__xludf.DUMMYFUNCTION("""COMPUTED_VALUE"""),"ACTIVE")</f>
        <v>ACTIVE</v>
      </c>
      <c r="Q578" s="11">
        <f>IFERROR(__xludf.DUMMYFUNCTION("""COMPUTED_VALUE"""),46057.0)</f>
        <v>46057</v>
      </c>
      <c r="R578" s="9" t="str">
        <f>IFERROR(__xludf.DUMMYFUNCTION("""COMPUTED_VALUE"""),"Verified online")</f>
        <v>Verified online</v>
      </c>
      <c r="S578" s="9" t="str">
        <f>IFERROR(__xludf.DUMMYFUNCTION("""COMPUTED_VALUE"""),"Dental
Preventative and restorative services for adults and children.
Medicaid:  6 months through 21 years old
Chip Card:  1 year through 18 years old
Title V:  6 months through 21 years and do not have dental insurance.  Pregnant women during pregnancy a"&amp;"nd through 90 days after delivery.")</f>
        <v>Dental
Preventative and restorative services for adults and children.
Medicaid:  6 months through 21 years old
Chip Card:  1 year through 18 years old
Title V:  6 months through 21 years and do not have dental insurance.  Pregnant women during pregnancy and through 90 days after delivery.</v>
      </c>
      <c r="T578" s="12" t="b">
        <f>IFERROR(__xludf.DUMMYFUNCTION("""COMPUTED_VALUE"""),TRUE)</f>
        <v>1</v>
      </c>
      <c r="U578" s="12" t="b">
        <f>IFERROR(__xludf.DUMMYFUNCTION("""COMPUTED_VALUE"""),FALSE)</f>
        <v>0</v>
      </c>
      <c r="V578" s="13" t="str">
        <f>IFERROR(__xludf.DUMMYFUNCTION("""COMPUTED_VALUE"""),"https://www.houstonhealth.org/services/multi-service-centers/magnolia-multi-service-center")</f>
        <v>https://www.houstonhealth.org/services/multi-service-centers/magnolia-multi-service-center</v>
      </c>
      <c r="W578" s="14" t="str">
        <f>IFERROR(__xludf.DUMMYFUNCTION("""COMPUTED_VALUE"""),"https://www.google.com/maps/place/Houston+Health+Department+Magnolia+Multi-Service+Center/@29.732484,-95.3032207,16.64z/data=!4m6!3m5!1s0x8640bc2de78f87a3:0x1235e8616601823b!8m2!3d29.7345178!4d-95.3009019!16s%2Fg%2F1tg870nd?entry=ttu&amp;g_ep=EgoyMDI2MDIwMS4w"&amp;"IKXMDSoKLDEwMDc5MjA2OUgBUAM%3D")</f>
        <v>https://www.google.com/maps/place/Houston+Health+Department+Magnolia+Multi-Service+Center/@29.732484,-95.3032207,16.64z/data=!4m6!3m5!1s0x8640bc2de78f87a3:0x1235e8616601823b!8m2!3d29.7345178!4d-95.3009019!16s%2Fg%2F1tg870nd?entry=ttu&amp;g_ep=EgoyMDI2MDIwMS4wIKXMDSoKLDEwMDc5MjA2OUgBUAM%3D</v>
      </c>
      <c r="X578" s="10"/>
      <c r="Y578" s="9" t="str">
        <f>IFERROR(__xludf.DUMMYFUNCTION("""COMPUTED_VALUE"""),"Houston")</f>
        <v>Houston</v>
      </c>
      <c r="Z578" s="9" t="str">
        <f>IFERROR(__xludf.DUMMYFUNCTION("""COMPUTED_VALUE"""),"Eastwood, Magnolia Park, Second Ward, South Central Houston")</f>
        <v>Eastwood, Magnolia Park, Second Ward, South Central Houston</v>
      </c>
      <c r="AA578" s="9" t="str">
        <f>IFERROR(__xludf.DUMMYFUNCTION("""COMPUTED_VALUE"""),"City of Houston")</f>
        <v>City of Houston</v>
      </c>
      <c r="AB578" s="9" t="str">
        <f>IFERROR(__xludf.DUMMYFUNCTION("""COMPUTED_VALUE"""),"Magnolia Park")</f>
        <v>Magnolia Park</v>
      </c>
    </row>
    <row r="579" ht="30.0" customHeight="1">
      <c r="A579" s="17">
        <v>578.0</v>
      </c>
      <c r="B579"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579" s="9" t="str">
        <f>IFERROR(__xludf.DUMMYFUNCTION("""COMPUTED_VALUE"""),"Magnolia Multi-Service Center")</f>
        <v>Magnolia Multi-Service Center</v>
      </c>
      <c r="D579" s="9" t="str">
        <f>IFERROR(__xludf.DUMMYFUNCTION("""COMPUTED_VALUE"""),"7037 Capitol Street")</f>
        <v>7037 Capitol Street</v>
      </c>
      <c r="E579" s="9"/>
      <c r="F579" s="9" t="str">
        <f>IFERROR(__xludf.DUMMYFUNCTION("""COMPUTED_VALUE"""),"Houston")</f>
        <v>Houston</v>
      </c>
      <c r="G579" s="9" t="str">
        <f>IFERROR(__xludf.DUMMYFUNCTION("""COMPUTED_VALUE"""),"TX")</f>
        <v>TX</v>
      </c>
      <c r="H579" s="9" t="str">
        <f>IFERROR(__xludf.DUMMYFUNCTION("""COMPUTED_VALUE"""),"77011")</f>
        <v>77011</v>
      </c>
      <c r="I579" s="9" t="str">
        <f>IFERROR(__xludf.DUMMYFUNCTION("""COMPUTED_VALUE"""),"713-295-2255")</f>
        <v>713-295-2255</v>
      </c>
      <c r="J579" s="9" t="str">
        <f>IFERROR(__xludf.DUMMYFUNCTION("""COMPUTED_VALUE"""),"29.734713974086542, -95.30085223475542")</f>
        <v>29.734713974086542, -95.30085223475542</v>
      </c>
      <c r="K579" s="9" t="str">
        <f>IFERROR(__xludf.DUMMYFUNCTION("""COMPUTED_VALUE"""),"{""regular"":[{""days"":[""Mo""],""open"":""08:00"",""close"":""16:00""}]}")</f>
        <v>{"regular":[{"days":["Mo"],"open":"08:00","close":"16:00"}]}</v>
      </c>
      <c r="L579" s="9"/>
      <c r="M579" s="10">
        <f>IFERROR(__xludf.DUMMYFUNCTION("""COMPUTED_VALUE"""),35.0)</f>
        <v>35</v>
      </c>
      <c r="N579" s="10" t="str">
        <f>IFERROR(__xludf.DUMMYFUNCTION("""COMPUTED_VALUE"""),"Medical - Program Enrollment")</f>
        <v>Medical - Program Enrollment</v>
      </c>
      <c r="O579" s="10">
        <f>IFERROR(__xludf.DUMMYFUNCTION("""COMPUTED_VALUE"""),1.0)</f>
        <v>1</v>
      </c>
      <c r="P579" s="10" t="str">
        <f>IFERROR(__xludf.DUMMYFUNCTION("""COMPUTED_VALUE"""),"ACTIVE")</f>
        <v>ACTIVE</v>
      </c>
      <c r="Q579" s="11">
        <f>IFERROR(__xludf.DUMMYFUNCTION("""COMPUTED_VALUE"""),46057.0)</f>
        <v>46057</v>
      </c>
      <c r="R579" s="9" t="str">
        <f>IFERROR(__xludf.DUMMYFUNCTION("""COMPUTED_VALUE"""),"Verified online")</f>
        <v>Verified online</v>
      </c>
      <c r="S579" s="9" t="str">
        <f>IFERROR(__xludf.DUMMYFUNCTION("""COMPUTED_VALUE"""),"Help applying for health and other benefits")</f>
        <v>Help applying for health and other benefits</v>
      </c>
      <c r="T579" s="12" t="b">
        <f>IFERROR(__xludf.DUMMYFUNCTION("""COMPUTED_VALUE"""),FALSE)</f>
        <v>0</v>
      </c>
      <c r="U579" s="12" t="b">
        <f>IFERROR(__xludf.DUMMYFUNCTION("""COMPUTED_VALUE"""),FALSE)</f>
        <v>0</v>
      </c>
      <c r="V579" s="13" t="str">
        <f>IFERROR(__xludf.DUMMYFUNCTION("""COMPUTED_VALUE"""),"https://www.houstonhealth.org/services/multi-service-centers/magnolia-multi-service-center")</f>
        <v>https://www.houstonhealth.org/services/multi-service-centers/magnolia-multi-service-center</v>
      </c>
      <c r="W579" s="14" t="str">
        <f>IFERROR(__xludf.DUMMYFUNCTION("""COMPUTED_VALUE"""),"https://www.google.com/maps/place/Houston+Health+Department+Magnolia+Multi-Service+Center/@29.732484,-95.3032207,16.64z/data=!4m6!3m5!1s0x8640bc2de78f87a3:0x1235e8616601823b!8m2!3d29.7345178!4d-95.3009019!16s%2Fg%2F1tg870nd?entry=ttu&amp;g_ep=EgoyMDI2MDIwMS4w"&amp;"IKXMDSoKLDEwMDc5MjA2OUgBUAM%3D")</f>
        <v>https://www.google.com/maps/place/Houston+Health+Department+Magnolia+Multi-Service+Center/@29.732484,-95.3032207,16.64z/data=!4m6!3m5!1s0x8640bc2de78f87a3:0x1235e8616601823b!8m2!3d29.7345178!4d-95.3009019!16s%2Fg%2F1tg870nd?entry=ttu&amp;g_ep=EgoyMDI2MDIwMS4wIKXMDSoKLDEwMDc5MjA2OUgBUAM%3D</v>
      </c>
      <c r="X579" s="10"/>
      <c r="Y579" s="9" t="str">
        <f>IFERROR(__xludf.DUMMYFUNCTION("""COMPUTED_VALUE"""),"Houston")</f>
        <v>Houston</v>
      </c>
      <c r="Z579" s="9" t="str">
        <f>IFERROR(__xludf.DUMMYFUNCTION("""COMPUTED_VALUE"""),"Eastwood, Magnolia Park, Second Ward, South Central Houston")</f>
        <v>Eastwood, Magnolia Park, Second Ward, South Central Houston</v>
      </c>
      <c r="AA579" s="9" t="str">
        <f>IFERROR(__xludf.DUMMYFUNCTION("""COMPUTED_VALUE"""),"City of Houston")</f>
        <v>City of Houston</v>
      </c>
      <c r="AB579" s="9" t="str">
        <f>IFERROR(__xludf.DUMMYFUNCTION("""COMPUTED_VALUE"""),"Magnolia Park")</f>
        <v>Magnolia Park</v>
      </c>
    </row>
    <row r="580" ht="30.0" customHeight="1">
      <c r="A580" s="17">
        <v>579.0</v>
      </c>
      <c r="B58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580" s="9" t="str">
        <f>IFERROR(__xludf.DUMMYFUNCTION("""COMPUTED_VALUE"""),"Magnolia Multi-Service Center")</f>
        <v>Magnolia Multi-Service Center</v>
      </c>
      <c r="D580" s="9" t="str">
        <f>IFERROR(__xludf.DUMMYFUNCTION("""COMPUTED_VALUE"""),"7037 Capitol Street")</f>
        <v>7037 Capitol Street</v>
      </c>
      <c r="E580" s="9"/>
      <c r="F580" s="9" t="str">
        <f>IFERROR(__xludf.DUMMYFUNCTION("""COMPUTED_VALUE"""),"Houston")</f>
        <v>Houston</v>
      </c>
      <c r="G580" s="9" t="str">
        <f>IFERROR(__xludf.DUMMYFUNCTION("""COMPUTED_VALUE"""),"TX")</f>
        <v>TX</v>
      </c>
      <c r="H580" s="9" t="str">
        <f>IFERROR(__xludf.DUMMYFUNCTION("""COMPUTED_VALUE"""),"77011")</f>
        <v>77011</v>
      </c>
      <c r="I580" s="9" t="str">
        <f>IFERROR(__xludf.DUMMYFUNCTION("""COMPUTED_VALUE"""),"832-395-3422")</f>
        <v>832-395-3422</v>
      </c>
      <c r="J580" s="9" t="str">
        <f>IFERROR(__xludf.DUMMYFUNCTION("""COMPUTED_VALUE"""),"29.734713974086542, -95.30085223475542")</f>
        <v>29.734713974086542, -95.30085223475542</v>
      </c>
      <c r="K580" s="9" t="str">
        <f>IFERROR(__xludf.DUMMYFUNCTION("""COMPUTED_VALUE"""),"{""regular"":[{""days"":[""Mo"",""Tu"",""We"",""Th""],""open"":""08:00"",""close"":""17:00""}]}")</f>
        <v>{"regular":[{"days":["Mo","Tu","We","Th"],"open":"08:00","close":"17:00"}]}</v>
      </c>
      <c r="L580" s="9"/>
      <c r="M580" s="10">
        <f>IFERROR(__xludf.DUMMYFUNCTION("""COMPUTED_VALUE"""),44.0)</f>
        <v>44</v>
      </c>
      <c r="N580" s="10" t="str">
        <f>IFERROR(__xludf.DUMMYFUNCTION("""COMPUTED_VALUE"""),"Mother &amp; Child")</f>
        <v>Mother &amp; Child</v>
      </c>
      <c r="O580" s="10">
        <f>IFERROR(__xludf.DUMMYFUNCTION("""COMPUTED_VALUE"""),1.0)</f>
        <v>1</v>
      </c>
      <c r="P580" s="10" t="str">
        <f>IFERROR(__xludf.DUMMYFUNCTION("""COMPUTED_VALUE"""),"ACTIVE")</f>
        <v>ACTIVE</v>
      </c>
      <c r="Q580" s="11">
        <f>IFERROR(__xludf.DUMMYFUNCTION("""COMPUTED_VALUE"""),46057.0)</f>
        <v>46057</v>
      </c>
      <c r="R580" s="9" t="str">
        <f>IFERROR(__xludf.DUMMYFUNCTION("""COMPUTED_VALUE"""),"Verified online")</f>
        <v>Verified online</v>
      </c>
      <c r="S580"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580" s="12" t="b">
        <f>IFERROR(__xludf.DUMMYFUNCTION("""COMPUTED_VALUE"""),FALSE)</f>
        <v>0</v>
      </c>
      <c r="U580" s="12" t="b">
        <f>IFERROR(__xludf.DUMMYFUNCTION("""COMPUTED_VALUE"""),FALSE)</f>
        <v>0</v>
      </c>
      <c r="V580" s="13" t="str">
        <f>IFERROR(__xludf.DUMMYFUNCTION("""COMPUTED_VALUE"""),"https://www.houstonhealth.org/services/multi-service-centers/magnolia-multi-service-center")</f>
        <v>https://www.houstonhealth.org/services/multi-service-centers/magnolia-multi-service-center</v>
      </c>
      <c r="W580" s="14" t="str">
        <f>IFERROR(__xludf.DUMMYFUNCTION("""COMPUTED_VALUE"""),"https://www.google.com/maps/place/Houston+Health+Department+Magnolia+Multi-Service+Center/@29.732484,-95.3032207,16.64z/data=!4m6!3m5!1s0x8640bc2de78f87a3:0x1235e8616601823b!8m2!3d29.7345178!4d-95.3009019!16s%2Fg%2F1tg870nd?entry=ttu&amp;g_ep=EgoyMDI2MDIwMS4w"&amp;"IKXMDSoKLDEwMDc5MjA2OUgBUAM%3D")</f>
        <v>https://www.google.com/maps/place/Houston+Health+Department+Magnolia+Multi-Service+Center/@29.732484,-95.3032207,16.64z/data=!4m6!3m5!1s0x8640bc2de78f87a3:0x1235e8616601823b!8m2!3d29.7345178!4d-95.3009019!16s%2Fg%2F1tg870nd?entry=ttu&amp;g_ep=EgoyMDI2MDIwMS4wIKXMDSoKLDEwMDc5MjA2OUgBUAM%3D</v>
      </c>
      <c r="X580" s="10"/>
      <c r="Y580" s="9" t="str">
        <f>IFERROR(__xludf.DUMMYFUNCTION("""COMPUTED_VALUE"""),"Houston")</f>
        <v>Houston</v>
      </c>
      <c r="Z580" s="9" t="str">
        <f>IFERROR(__xludf.DUMMYFUNCTION("""COMPUTED_VALUE"""),"Eastwood, Magnolia Park, Second Ward, South Central Houston")</f>
        <v>Eastwood, Magnolia Park, Second Ward, South Central Houston</v>
      </c>
      <c r="AA580" s="9" t="str">
        <f>IFERROR(__xludf.DUMMYFUNCTION("""COMPUTED_VALUE"""),"City of Houston")</f>
        <v>City of Houston</v>
      </c>
      <c r="AB580" s="9" t="str">
        <f>IFERROR(__xludf.DUMMYFUNCTION("""COMPUTED_VALUE"""),"Magnolia Park")</f>
        <v>Magnolia Park</v>
      </c>
    </row>
    <row r="581" ht="30.0" customHeight="1">
      <c r="A581" s="17">
        <v>580.0</v>
      </c>
      <c r="B58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581" s="9" t="str">
        <f>IFERROR(__xludf.DUMMYFUNCTION("""COMPUTED_VALUE"""),"Magnolia Multi-Service Center")</f>
        <v>Magnolia Multi-Service Center</v>
      </c>
      <c r="D581" s="9" t="str">
        <f>IFERROR(__xludf.DUMMYFUNCTION("""COMPUTED_VALUE"""),"7037 Capitol Street")</f>
        <v>7037 Capitol Street</v>
      </c>
      <c r="E581" s="9"/>
      <c r="F581" s="9" t="str">
        <f>IFERROR(__xludf.DUMMYFUNCTION("""COMPUTED_VALUE"""),"Houston")</f>
        <v>Houston</v>
      </c>
      <c r="G581" s="9" t="str">
        <f>IFERROR(__xludf.DUMMYFUNCTION("""COMPUTED_VALUE"""),"TX")</f>
        <v>TX</v>
      </c>
      <c r="H581" s="9" t="str">
        <f>IFERROR(__xludf.DUMMYFUNCTION("""COMPUTED_VALUE"""),"77011")</f>
        <v>77011</v>
      </c>
      <c r="I581" s="9" t="str">
        <f>IFERROR(__xludf.DUMMYFUNCTION("""COMPUTED_VALUE"""),"832-395-3437")</f>
        <v>832-395-3437</v>
      </c>
      <c r="J581" s="9" t="str">
        <f>IFERROR(__xludf.DUMMYFUNCTION("""COMPUTED_VALUE"""),"29.734713974086542, -95.30085223475542")</f>
        <v>29.734713974086542, -95.30085223475542</v>
      </c>
      <c r="K581" s="9" t="str">
        <f>IFERROR(__xludf.DUMMYFUNCTION("""COMPUTED_VALUE"""),"{""special"":[{""pattern"":""2nd Mo"",""open"":""08:00"",""close"":""11:00""}]}")</f>
        <v>{"special":[{"pattern":"2nd Mo","open":"08:00","close":"11:00"}]}</v>
      </c>
      <c r="L581" s="9"/>
      <c r="M581" s="10">
        <f>IFERROR(__xludf.DUMMYFUNCTION("""COMPUTED_VALUE"""),61.0)</f>
        <v>61</v>
      </c>
      <c r="N581" s="10" t="str">
        <f>IFERROR(__xludf.DUMMYFUNCTION("""COMPUTED_VALUE"""),"Seniors")</f>
        <v>Seniors</v>
      </c>
      <c r="O581" s="10">
        <f>IFERROR(__xludf.DUMMYFUNCTION("""COMPUTED_VALUE"""),1.0)</f>
        <v>1</v>
      </c>
      <c r="P581" s="10" t="str">
        <f>IFERROR(__xludf.DUMMYFUNCTION("""COMPUTED_VALUE"""),"ACTIVE")</f>
        <v>ACTIVE</v>
      </c>
      <c r="Q581" s="11">
        <f>IFERROR(__xludf.DUMMYFUNCTION("""COMPUTED_VALUE"""),46057.0)</f>
        <v>46057</v>
      </c>
      <c r="R581" s="9" t="str">
        <f>IFERROR(__xludf.DUMMYFUNCTION("""COMPUTED_VALUE"""),"Verified online")</f>
        <v>Verified online</v>
      </c>
      <c r="S581" s="9" t="str">
        <f>IFERROR(__xludf.DUMMYFUNCTION("""COMPUTED_VALUE"""),"Food Distribution
by the Houston Food Bank for low income seniors only")</f>
        <v>Food Distribution
by the Houston Food Bank for low income seniors only</v>
      </c>
      <c r="T581" s="12" t="b">
        <f>IFERROR(__xludf.DUMMYFUNCTION("""COMPUTED_VALUE"""),FALSE)</f>
        <v>0</v>
      </c>
      <c r="U581" s="12" t="b">
        <f>IFERROR(__xludf.DUMMYFUNCTION("""COMPUTED_VALUE"""),FALSE)</f>
        <v>0</v>
      </c>
      <c r="V581" s="13" t="str">
        <f>IFERROR(__xludf.DUMMYFUNCTION("""COMPUTED_VALUE"""),"https://www.houstonhealth.org/services/multi-service-centers/magnolia-multi-service-center")</f>
        <v>https://www.houstonhealth.org/services/multi-service-centers/magnolia-multi-service-center</v>
      </c>
      <c r="W581" s="14" t="str">
        <f>IFERROR(__xludf.DUMMYFUNCTION("""COMPUTED_VALUE"""),"https://www.google.com/maps/place/Houston+Health+Department+Magnolia+Multi-Service+Center/@29.732484,-95.3032207,16.64z/data=!4m6!3m5!1s0x8640bc2de78f87a3:0x1235e8616601823b!8m2!3d29.7345178!4d-95.3009019!16s%2Fg%2F1tg870nd?entry=ttu&amp;g_ep=EgoyMDI2MDIwMS4w"&amp;"IKXMDSoKLDEwMDc5MjA2OUgBUAM%3D")</f>
        <v>https://www.google.com/maps/place/Houston+Health+Department+Magnolia+Multi-Service+Center/@29.732484,-95.3032207,16.64z/data=!4m6!3m5!1s0x8640bc2de78f87a3:0x1235e8616601823b!8m2!3d29.7345178!4d-95.3009019!16s%2Fg%2F1tg870nd?entry=ttu&amp;g_ep=EgoyMDI2MDIwMS4wIKXMDSoKLDEwMDc5MjA2OUgBUAM%3D</v>
      </c>
      <c r="X581" s="10"/>
      <c r="Y581" s="9" t="str">
        <f>IFERROR(__xludf.DUMMYFUNCTION("""COMPUTED_VALUE"""),"Houston")</f>
        <v>Houston</v>
      </c>
      <c r="Z581" s="9" t="str">
        <f>IFERROR(__xludf.DUMMYFUNCTION("""COMPUTED_VALUE"""),"Eastwood, Magnolia Park, Second Ward, South Central Houston")</f>
        <v>Eastwood, Magnolia Park, Second Ward, South Central Houston</v>
      </c>
      <c r="AA581" s="9" t="str">
        <f>IFERROR(__xludf.DUMMYFUNCTION("""COMPUTED_VALUE"""),"City of Houston")</f>
        <v>City of Houston</v>
      </c>
      <c r="AB581" s="9" t="str">
        <f>IFERROR(__xludf.DUMMYFUNCTION("""COMPUTED_VALUE"""),"Magnolia Park")</f>
        <v>Magnolia Park</v>
      </c>
    </row>
    <row r="582" ht="30.0" customHeight="1">
      <c r="A582" s="17">
        <v>581.0</v>
      </c>
      <c r="B582" s="8" t="str">
        <f>IFERROR(__xludf.DUMMYFUNCTION("""COMPUTED_VALUE"""),"[""99999""]")</f>
        <v>["99999"]</v>
      </c>
      <c r="C582" s="9" t="str">
        <f>IFERROR(__xludf.DUMMYFUNCTION("""COMPUTED_VALUE"""),"Main Street Ministries")</f>
        <v>Main Street Ministries</v>
      </c>
      <c r="D582" s="9" t="str">
        <f>IFERROR(__xludf.DUMMYFUNCTION("""COMPUTED_VALUE"""),"5100 Travis Street")</f>
        <v>5100 Travis Street</v>
      </c>
      <c r="E582" s="9"/>
      <c r="F582" s="9" t="str">
        <f>IFERROR(__xludf.DUMMYFUNCTION("""COMPUTED_VALUE"""),"Houston")</f>
        <v>Houston</v>
      </c>
      <c r="G582" s="9" t="str">
        <f>IFERROR(__xludf.DUMMYFUNCTION("""COMPUTED_VALUE"""),"TX")</f>
        <v>TX</v>
      </c>
      <c r="H582" s="9" t="str">
        <f>IFERROR(__xludf.DUMMYFUNCTION("""COMPUTED_VALUE"""),"77002")</f>
        <v>77002</v>
      </c>
      <c r="I582" s="9" t="str">
        <f>IFERROR(__xludf.DUMMYFUNCTION("""COMPUTED_VALUE"""),"281-833-3500")</f>
        <v>281-833-3500</v>
      </c>
      <c r="J582" s="9" t="str">
        <f>IFERROR(__xludf.DUMMYFUNCTION("""COMPUTED_VALUE"""),"29.72925, -95.388211")</f>
        <v>29.72925, -95.388211</v>
      </c>
      <c r="K582" s="9" t="str">
        <f>IFERROR(__xludf.DUMMYFUNCTION("""COMPUTED_VALUE"""),"{""regular"":[{""days"":[""Mo"",""Tu"",""We"",""Th""],""open"":""09:00"",""close"":""14:30""}]}")</f>
        <v>{"regular":[{"days":["Mo","Tu","We","Th"],"open":"09:00","close":"14:30"}]}</v>
      </c>
      <c r="L582" s="9"/>
      <c r="M582" s="10">
        <f>IFERROR(__xludf.DUMMYFUNCTION("""COMPUTED_VALUE"""),11.0)</f>
        <v>11</v>
      </c>
      <c r="N582" s="10" t="str">
        <f>IFERROR(__xludf.DUMMYFUNCTION("""COMPUTED_VALUE"""),"Rent")</f>
        <v>Rent</v>
      </c>
      <c r="O582" s="10">
        <f>IFERROR(__xludf.DUMMYFUNCTION("""COMPUTED_VALUE"""),4.0)</f>
        <v>4</v>
      </c>
      <c r="P582" s="10" t="str">
        <f>IFERROR(__xludf.DUMMYFUNCTION("""COMPUTED_VALUE"""),"CLOSED")</f>
        <v>CLOSED</v>
      </c>
      <c r="Q582" s="11">
        <f>IFERROR(__xludf.DUMMYFUNCTION("""COMPUTED_VALUE"""),45525.0)</f>
        <v>45525</v>
      </c>
      <c r="R582" s="9" t="str">
        <f>IFERROR(__xludf.DUMMYFUNCTION("""COMPUTED_VALUE"""),"No financial assistance. Will tell you to call 211.")</f>
        <v>No financial assistance. Will tell you to call 211.</v>
      </c>
      <c r="S582" s="9"/>
      <c r="T582" s="12" t="b">
        <f>IFERROR(__xludf.DUMMYFUNCTION("""COMPUTED_VALUE"""),FALSE)</f>
        <v>0</v>
      </c>
      <c r="U582" s="12" t="b">
        <f>IFERROR(__xludf.DUMMYFUNCTION("""COMPUTED_VALUE"""),FALSE)</f>
        <v>0</v>
      </c>
      <c r="V582" s="13" t="str">
        <f>IFERROR(__xludf.DUMMYFUNCTION("""COMPUTED_VALUE"""),"https://msmhouston.org/")</f>
        <v>https://msmhouston.org/</v>
      </c>
      <c r="W582" s="14" t="str">
        <f>IFERROR(__xludf.DUMMYFUNCTION("""COMPUTED_VALUE"""),"https://maps.google.com/?q=Main%20Street%20Ministries%20%20%20TX%20")</f>
        <v>https://maps.google.com/?q=Main%20Street%20Ministries%20%20%20TX%20</v>
      </c>
      <c r="X582" s="10"/>
      <c r="Y582" s="9" t="str">
        <f>IFERROR(__xludf.DUMMYFUNCTION("""COMPUTED_VALUE"""),"Houston")</f>
        <v>Houston</v>
      </c>
      <c r="Z58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82" s="9" t="str">
        <f>IFERROR(__xludf.DUMMYFUNCTION("""COMPUTED_VALUE"""),"Main Street Ministries")</f>
        <v>Main Street Ministries</v>
      </c>
      <c r="AB582" s="9" t="str">
        <f>IFERROR(__xludf.DUMMYFUNCTION("""COMPUTED_VALUE"""),"University Place")</f>
        <v>University Place</v>
      </c>
    </row>
    <row r="583" ht="30.0" customHeight="1">
      <c r="A583" s="17">
        <v>582.0</v>
      </c>
      <c r="B583" s="8" t="str">
        <f>IFERROR(__xludf.DUMMYFUNCTION("""COMPUTED_VALUE"""),"[""99999""]")</f>
        <v>["99999"]</v>
      </c>
      <c r="C583" s="9" t="str">
        <f>IFERROR(__xludf.DUMMYFUNCTION("""COMPUTED_VALUE"""),"Main Street Ministries")</f>
        <v>Main Street Ministries</v>
      </c>
      <c r="D583" s="9" t="str">
        <f>IFERROR(__xludf.DUMMYFUNCTION("""COMPUTED_VALUE"""),"5100 Travis Street")</f>
        <v>5100 Travis Street</v>
      </c>
      <c r="E583" s="9"/>
      <c r="F583" s="9" t="str">
        <f>IFERROR(__xludf.DUMMYFUNCTION("""COMPUTED_VALUE"""),"Houston")</f>
        <v>Houston</v>
      </c>
      <c r="G583" s="9" t="str">
        <f>IFERROR(__xludf.DUMMYFUNCTION("""COMPUTED_VALUE"""),"TX")</f>
        <v>TX</v>
      </c>
      <c r="H583" s="9" t="str">
        <f>IFERROR(__xludf.DUMMYFUNCTION("""COMPUTED_VALUE"""),"77002")</f>
        <v>77002</v>
      </c>
      <c r="I583" s="9" t="str">
        <f>IFERROR(__xludf.DUMMYFUNCTION("""COMPUTED_VALUE"""),"281-833-3500")</f>
        <v>281-833-3500</v>
      </c>
      <c r="J583" s="9" t="str">
        <f>IFERROR(__xludf.DUMMYFUNCTION("""COMPUTED_VALUE"""),"29.72925, -95.388211")</f>
        <v>29.72925, -95.388211</v>
      </c>
      <c r="K583" s="9" t="str">
        <f>IFERROR(__xludf.DUMMYFUNCTION("""COMPUTED_VALUE"""),"{""regular"":[{""days"":[""Mo"",""Tu"",""We"",""Th""],""open"":""09:00"",""close"":""14:30""}]}")</f>
        <v>{"regular":[{"days":["Mo","Tu","We","Th"],"open":"09:00","close":"14:30"}]}</v>
      </c>
      <c r="L583" s="9"/>
      <c r="M583" s="10">
        <f>IFERROR(__xludf.DUMMYFUNCTION("""COMPUTED_VALUE"""),12.0)</f>
        <v>12</v>
      </c>
      <c r="N583" s="10" t="str">
        <f>IFERROR(__xludf.DUMMYFUNCTION("""COMPUTED_VALUE"""),"Utilities")</f>
        <v>Utilities</v>
      </c>
      <c r="O583" s="10">
        <f>IFERROR(__xludf.DUMMYFUNCTION("""COMPUTED_VALUE"""),4.0)</f>
        <v>4</v>
      </c>
      <c r="P583" s="10" t="str">
        <f>IFERROR(__xludf.DUMMYFUNCTION("""COMPUTED_VALUE"""),"CLOSED")</f>
        <v>CLOSED</v>
      </c>
      <c r="Q583" s="11">
        <f>IFERROR(__xludf.DUMMYFUNCTION("""COMPUTED_VALUE"""),45525.0)</f>
        <v>45525</v>
      </c>
      <c r="R583" s="9" t="str">
        <f>IFERROR(__xludf.DUMMYFUNCTION("""COMPUTED_VALUE"""),"No financial assistance. Will tell you to call 211.")</f>
        <v>No financial assistance. Will tell you to call 211.</v>
      </c>
      <c r="S583" s="9"/>
      <c r="T583" s="12" t="b">
        <f>IFERROR(__xludf.DUMMYFUNCTION("""COMPUTED_VALUE"""),FALSE)</f>
        <v>0</v>
      </c>
      <c r="U583" s="12" t="b">
        <f>IFERROR(__xludf.DUMMYFUNCTION("""COMPUTED_VALUE"""),FALSE)</f>
        <v>0</v>
      </c>
      <c r="V583" s="13" t="str">
        <f>IFERROR(__xludf.DUMMYFUNCTION("""COMPUTED_VALUE"""),"https://msmhouston.org/")</f>
        <v>https://msmhouston.org/</v>
      </c>
      <c r="W583" s="14" t="str">
        <f>IFERROR(__xludf.DUMMYFUNCTION("""COMPUTED_VALUE"""),"https://maps.google.com/?q=Main%20Street%20Ministries%20%20%20TX%20")</f>
        <v>https://maps.google.com/?q=Main%20Street%20Ministries%20%20%20TX%20</v>
      </c>
      <c r="X583" s="10"/>
      <c r="Y583" s="9" t="str">
        <f>IFERROR(__xludf.DUMMYFUNCTION("""COMPUTED_VALUE"""),"Houston")</f>
        <v>Houston</v>
      </c>
      <c r="Z583"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83" s="9" t="str">
        <f>IFERROR(__xludf.DUMMYFUNCTION("""COMPUTED_VALUE"""),"Main Street Ministries")</f>
        <v>Main Street Ministries</v>
      </c>
      <c r="AB583" s="9" t="str">
        <f>IFERROR(__xludf.DUMMYFUNCTION("""COMPUTED_VALUE"""),"University Place")</f>
        <v>University Place</v>
      </c>
    </row>
    <row r="584" ht="30.0" customHeight="1">
      <c r="A584" s="17">
        <v>583.0</v>
      </c>
      <c r="B584" s="8" t="str">
        <f>IFERROR(__xludf.DUMMYFUNCTION("""COMPUTED_VALUE"""),"[""99999""]")</f>
        <v>["99999"]</v>
      </c>
      <c r="C584" s="9" t="str">
        <f>IFERROR(__xludf.DUMMYFUNCTION("""COMPUTED_VALUE"""),"Main Street Ministries")</f>
        <v>Main Street Ministries</v>
      </c>
      <c r="D584" s="9" t="str">
        <f>IFERROR(__xludf.DUMMYFUNCTION("""COMPUTED_VALUE"""),"5100 Travis Street")</f>
        <v>5100 Travis Street</v>
      </c>
      <c r="E584" s="9"/>
      <c r="F584" s="9" t="str">
        <f>IFERROR(__xludf.DUMMYFUNCTION("""COMPUTED_VALUE"""),"Houston")</f>
        <v>Houston</v>
      </c>
      <c r="G584" s="9" t="str">
        <f>IFERROR(__xludf.DUMMYFUNCTION("""COMPUTED_VALUE"""),"TX")</f>
        <v>TX</v>
      </c>
      <c r="H584" s="9" t="str">
        <f>IFERROR(__xludf.DUMMYFUNCTION("""COMPUTED_VALUE"""),"77002")</f>
        <v>77002</v>
      </c>
      <c r="I584" s="9" t="str">
        <f>IFERROR(__xludf.DUMMYFUNCTION("""COMPUTED_VALUE"""),"281-833-3500")</f>
        <v>281-833-3500</v>
      </c>
      <c r="J584" s="9" t="str">
        <f>IFERROR(__xludf.DUMMYFUNCTION("""COMPUTED_VALUE"""),"29.72925, -95.388211")</f>
        <v>29.72925, -95.388211</v>
      </c>
      <c r="K584" s="9" t="str">
        <f>IFERROR(__xludf.DUMMYFUNCTION("""COMPUTED_VALUE"""),"{""regular"":[{""days"":[""Tu"",""Th""],""open"":null,""close"":null}]}")</f>
        <v>{"regular":[{"days":["Tu","Th"],"open":null,"close":null}]}</v>
      </c>
      <c r="L584" s="9"/>
      <c r="M584" s="10">
        <f>IFERROR(__xludf.DUMMYFUNCTION("""COMPUTED_VALUE"""),23.0)</f>
        <v>23</v>
      </c>
      <c r="N584" s="10" t="str">
        <f>IFERROR(__xludf.DUMMYFUNCTION("""COMPUTED_VALUE"""),"Homeless - Other")</f>
        <v>Homeless - Other</v>
      </c>
      <c r="O584" s="10">
        <f>IFERROR(__xludf.DUMMYFUNCTION("""COMPUTED_VALUE"""),1.0)</f>
        <v>1</v>
      </c>
      <c r="P584" s="10" t="str">
        <f>IFERROR(__xludf.DUMMYFUNCTION("""COMPUTED_VALUE"""),"ACTIVE")</f>
        <v>ACTIVE</v>
      </c>
      <c r="Q584" s="11"/>
      <c r="R584" s="9"/>
      <c r="S584" s="9" t="str">
        <f>IFERROR(__xludf.DUMMYFUNCTION("""COMPUTED_VALUE"""),"Help get state issued IDs.
Life empowerment workshops.
No walk-ins. Need to schedule an appointment.")</f>
        <v>Help get state issued IDs.
Life empowerment workshops.
No walk-ins. Need to schedule an appointment.</v>
      </c>
      <c r="T584" s="12" t="b">
        <f>IFERROR(__xludf.DUMMYFUNCTION("""COMPUTED_VALUE"""),FALSE)</f>
        <v>0</v>
      </c>
      <c r="U584" s="12" t="b">
        <f>IFERROR(__xludf.DUMMYFUNCTION("""COMPUTED_VALUE"""),FALSE)</f>
        <v>0</v>
      </c>
      <c r="V584" s="13" t="str">
        <f>IFERROR(__xludf.DUMMYFUNCTION("""COMPUTED_VALUE"""),"https://msmhouston.org/")</f>
        <v>https://msmhouston.org/</v>
      </c>
      <c r="W584" s="14" t="str">
        <f>IFERROR(__xludf.DUMMYFUNCTION("""COMPUTED_VALUE"""),"https://maps.google.com/?q=Main%20Street%20Ministries%20%20%20TX%20")</f>
        <v>https://maps.google.com/?q=Main%20Street%20Ministries%20%20%20TX%20</v>
      </c>
      <c r="X584" s="10"/>
      <c r="Y584" s="9" t="str">
        <f>IFERROR(__xludf.DUMMYFUNCTION("""COMPUTED_VALUE"""),"Houston")</f>
        <v>Houston</v>
      </c>
      <c r="Z584"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84" s="9" t="str">
        <f>IFERROR(__xludf.DUMMYFUNCTION("""COMPUTED_VALUE"""),"Main Street Ministries")</f>
        <v>Main Street Ministries</v>
      </c>
      <c r="AB584" s="9" t="str">
        <f>IFERROR(__xludf.DUMMYFUNCTION("""COMPUTED_VALUE"""),"University Place")</f>
        <v>University Place</v>
      </c>
    </row>
    <row r="585" ht="30.0" customHeight="1">
      <c r="A585" s="17">
        <v>584.0</v>
      </c>
      <c r="B585" s="8" t="str">
        <f>IFERROR(__xludf.DUMMYFUNCTION("""COMPUTED_VALUE"""),"[""99999""]")</f>
        <v>["99999"]</v>
      </c>
      <c r="C585" s="9" t="str">
        <f>IFERROR(__xludf.DUMMYFUNCTION("""COMPUTED_VALUE"""),"Mamie George Community Center")</f>
        <v>Mamie George Community Center</v>
      </c>
      <c r="D585" s="9" t="str">
        <f>IFERROR(__xludf.DUMMYFUNCTION("""COMPUTED_VALUE"""),"1111 Collins Road")</f>
        <v>1111 Collins Road</v>
      </c>
      <c r="E585" s="9"/>
      <c r="F585" s="9" t="str">
        <f>IFERROR(__xludf.DUMMYFUNCTION("""COMPUTED_VALUE"""),"Richmond")</f>
        <v>Richmond</v>
      </c>
      <c r="G585" s="9" t="str">
        <f>IFERROR(__xludf.DUMMYFUNCTION("""COMPUTED_VALUE"""),"TX")</f>
        <v>TX</v>
      </c>
      <c r="H585" s="9" t="str">
        <f>IFERROR(__xludf.DUMMYFUNCTION("""COMPUTED_VALUE"""),"77469")</f>
        <v>77469</v>
      </c>
      <c r="I585" s="9" t="str">
        <f>IFERROR(__xludf.DUMMYFUNCTION("""COMPUTED_VALUE"""),"281-202-6254
281-202-6200")</f>
        <v>281-202-6254
281-202-6200</v>
      </c>
      <c r="J585" s="9" t="str">
        <f>IFERROR(__xludf.DUMMYFUNCTION("""COMPUTED_VALUE"""),"29.5903713, -95.773278003501")</f>
        <v>29.5903713, -95.773278003501</v>
      </c>
      <c r="K585" s="9" t="str">
        <f>IFERROR(__xludf.DUMMYFUNCTION("""COMPUTED_VALUE"""),"{""regular"":[{""days"":[""Tu""],""open"":""17:00"",""close"":""19:00""},{""days"":[""Th""],""open"":""08:30"",""close"":""11:30""}]}")</f>
        <v>{"regular":[{"days":["Tu"],"open":"17:00","close":"19:00"},{"days":["Th"],"open":"08:30","close":"11:30"}]}</v>
      </c>
      <c r="L585" s="9"/>
      <c r="M585" s="10">
        <f>IFERROR(__xludf.DUMMYFUNCTION("""COMPUTED_VALUE"""),13.0)</f>
        <v>13</v>
      </c>
      <c r="N585" s="10" t="str">
        <f>IFERROR(__xludf.DUMMYFUNCTION("""COMPUTED_VALUE"""),"Food")</f>
        <v>Food</v>
      </c>
      <c r="O585" s="10">
        <f>IFERROR(__xludf.DUMMYFUNCTION("""COMPUTED_VALUE"""),1.0)</f>
        <v>1</v>
      </c>
      <c r="P585" s="10" t="str">
        <f>IFERROR(__xludf.DUMMYFUNCTION("""COMPUTED_VALUE"""),"ACTIVE")</f>
        <v>ACTIVE</v>
      </c>
      <c r="Q585" s="11">
        <f>IFERROR(__xludf.DUMMYFUNCTION("""COMPUTED_VALUE"""),45761.0)</f>
        <v>45761</v>
      </c>
      <c r="R585" s="9" t="str">
        <f>IFERROR(__xludf.DUMMYFUNCTION("""COMPUTED_VALUE"""),"SVdP Church Help for Moms Ministry")</f>
        <v>SVdP Church Help for Moms Ministry</v>
      </c>
      <c r="S585" s="9" t="str">
        <f>IFERROR(__xludf.DUMMYFUNCTION("""COMPUTED_VALUE"""),"No appointment necessary
Periodic food fairs. Check website for dates.
Part of Catholic Charities")</f>
        <v>No appointment necessary
Periodic food fairs. Check website for dates.
Part of Catholic Charities</v>
      </c>
      <c r="T585" s="12" t="b">
        <f>IFERROR(__xludf.DUMMYFUNCTION("""COMPUTED_VALUE"""),FALSE)</f>
        <v>0</v>
      </c>
      <c r="U585" s="12" t="b">
        <f>IFERROR(__xludf.DUMMYFUNCTION("""COMPUTED_VALUE"""),FALSE)</f>
        <v>0</v>
      </c>
      <c r="V585" s="13" t="str">
        <f>IFERROR(__xludf.DUMMYFUNCTION("""COMPUTED_VALUE"""),"https://catholiccharities.org/mgcc/")</f>
        <v>https://catholiccharities.org/mgcc/</v>
      </c>
      <c r="W585" s="14" t="str">
        <f>IFERROR(__xludf.DUMMYFUNCTION("""COMPUTED_VALUE"""),"https://www.google.com/maps/place/Catholic+Charities'+Mamie+George+Community+Center/@29.5902807,-95.7756345,17z/data=!3m1!4b1!4m6!3m5!1s0x86411e8a0b6c3067:0x8f10e7da6befccca!8m2!3d29.5902807!4d-95.7730596!16s%2Fg%2F11bbrmdcs1?entry=ttu&amp;g_ep=EgoyMDI1MDQwOS"&amp;"4wIKXMDSoASAFQAw%3D%3D")</f>
        <v>https://www.google.com/maps/place/Catholic+Charities'+Mamie+George+Community+Center/@29.5902807,-95.7756345,17z/data=!3m1!4b1!4m6!3m5!1s0x86411e8a0b6c3067:0x8f10e7da6befccca!8m2!3d29.5902807!4d-95.7730596!16s%2Fg%2F11bbrmdcs1?entry=ttu&amp;g_ep=EgoyMDI1MDQwOS4wIKXMDSoASAFQAw%3D%3D</v>
      </c>
      <c r="X585" s="10"/>
      <c r="Y585" s="9" t="str">
        <f>IFERROR(__xludf.DUMMYFUNCTION("""COMPUTED_VALUE"""),"Richmond")</f>
        <v>Richmond</v>
      </c>
      <c r="Z585" s="9" t="str">
        <f>IFERROR(__xludf.DUMMYFUNCTION("""COMPUTED_VALUE"""),"Greatwood, Richmond")</f>
        <v>Greatwood, Richmond</v>
      </c>
      <c r="AA585" s="9" t="str">
        <f>IFERROR(__xludf.DUMMYFUNCTION("""COMPUTED_VALUE"""),"Mamie George Community Center")</f>
        <v>Mamie George Community Center</v>
      </c>
      <c r="AB585" s="9" t="str">
        <f>IFERROR(__xludf.DUMMYFUNCTION("""COMPUTED_VALUE"""),"Richmond")</f>
        <v>Richmond</v>
      </c>
    </row>
    <row r="586" ht="30.0" customHeight="1">
      <c r="A586" s="17">
        <v>585.0</v>
      </c>
      <c r="B586" s="8" t="str">
        <f>IFERROR(__xludf.DUMMYFUNCTION("""COMPUTED_VALUE"""),"[""77511"", ""77546"", ""77581""]")</f>
        <v>["77511", "77546", "77581"]</v>
      </c>
      <c r="C586" s="9" t="str">
        <f>IFERROR(__xludf.DUMMYFUNCTION("""COMPUTED_VALUE"""),"Mary Queen Friendswood")</f>
        <v>Mary Queen Friendswood</v>
      </c>
      <c r="D586" s="9" t="str">
        <f>IFERROR(__xludf.DUMMYFUNCTION("""COMPUTED_VALUE"""),"606 Cedarwood Drive")</f>
        <v>606 Cedarwood Drive</v>
      </c>
      <c r="E586" s="9"/>
      <c r="F586" s="9" t="str">
        <f>IFERROR(__xludf.DUMMYFUNCTION("""COMPUTED_VALUE"""),"Friendswood")</f>
        <v>Friendswood</v>
      </c>
      <c r="G586" s="9" t="str">
        <f>IFERROR(__xludf.DUMMYFUNCTION("""COMPUTED_VALUE"""),"TX")</f>
        <v>TX</v>
      </c>
      <c r="H586" s="9" t="str">
        <f>IFERROR(__xludf.DUMMYFUNCTION("""COMPUTED_VALUE"""),"77546")</f>
        <v>77546</v>
      </c>
      <c r="I586" s="9" t="str">
        <f>IFERROR(__xludf.DUMMYFUNCTION("""COMPUTED_VALUE"""),"281-482-1391")</f>
        <v>281-482-1391</v>
      </c>
      <c r="J586" s="9" t="str">
        <f>IFERROR(__xludf.DUMMYFUNCTION("""COMPUTED_VALUE"""),"29.5256381365554, -95.2004493226213")</f>
        <v>29.5256381365554, -95.2004493226213</v>
      </c>
      <c r="K586" s="9"/>
      <c r="L586" s="9"/>
      <c r="M586" s="10">
        <f>IFERROR(__xludf.DUMMYFUNCTION("""COMPUTED_VALUE"""),11.0)</f>
        <v>11</v>
      </c>
      <c r="N586" s="10" t="str">
        <f>IFERROR(__xludf.DUMMYFUNCTION("""COMPUTED_VALUE"""),"Rent")</f>
        <v>Rent</v>
      </c>
      <c r="O586" s="10">
        <f>IFERROR(__xludf.DUMMYFUNCTION("""COMPUTED_VALUE"""),4.0)</f>
        <v>4</v>
      </c>
      <c r="P586" s="10" t="str">
        <f>IFERROR(__xludf.DUMMYFUNCTION("""COMPUTED_VALUE"""),"CLOSED")</f>
        <v>CLOSED</v>
      </c>
      <c r="Q586" s="11">
        <f>IFERROR(__xludf.DUMMYFUNCTION("""COMPUTED_VALUE"""),45519.0)</f>
        <v>45519</v>
      </c>
      <c r="R586" s="9" t="str">
        <f>IFERROR(__xludf.DUMMYFUNCTION("""COMPUTED_VALUE"""),"No indication from their website that they provide any financial assistance.")</f>
        <v>No indication from their website that they provide any financial assistance.</v>
      </c>
      <c r="S586" s="9"/>
      <c r="T586" s="12" t="b">
        <f>IFERROR(__xludf.DUMMYFUNCTION("""COMPUTED_VALUE"""),FALSE)</f>
        <v>0</v>
      </c>
      <c r="U586" s="12" t="b">
        <f>IFERROR(__xludf.DUMMYFUNCTION("""COMPUTED_VALUE"""),FALSE)</f>
        <v>0</v>
      </c>
      <c r="V586" s="13" t="str">
        <f>IFERROR(__xludf.DUMMYFUNCTION("""COMPUTED_VALUE"""),"https://www.maryqueencatholicchurch.org/social-concerns")</f>
        <v>https://www.maryqueencatholicchurch.org/social-concerns</v>
      </c>
      <c r="W586" s="14" t="str">
        <f>IFERROR(__xludf.DUMMYFUNCTION("""COMPUTED_VALUE"""),"https://maps.google.com/?q=Mary%20Queen%20Friendswood%20%20%20TX%20")</f>
        <v>https://maps.google.com/?q=Mary%20Queen%20Friendswood%20%20%20TX%20</v>
      </c>
      <c r="X586" s="10"/>
      <c r="Y586" s="9" t="str">
        <f>IFERROR(__xludf.DUMMYFUNCTION("""COMPUTED_VALUE"""),"Friendswood")</f>
        <v>Friendswood</v>
      </c>
      <c r="Z586" s="9" t="str">
        <f>IFERROR(__xludf.DUMMYFUNCTION("""COMPUTED_VALUE"""),"Friendswood")</f>
        <v>Friendswood</v>
      </c>
      <c r="AA586" s="9" t="str">
        <f>IFERROR(__xludf.DUMMYFUNCTION("""COMPUTED_VALUE"""),"Mary Queen Friendswood")</f>
        <v>Mary Queen Friendswood</v>
      </c>
      <c r="AB586" s="9" t="str">
        <f>IFERROR(__xludf.DUMMYFUNCTION("""COMPUTED_VALUE"""),"Friendswood")</f>
        <v>Friendswood</v>
      </c>
    </row>
    <row r="587" ht="30.0" customHeight="1">
      <c r="A587" s="17">
        <v>586.0</v>
      </c>
      <c r="B587" s="8" t="str">
        <f>IFERROR(__xludf.DUMMYFUNCTION("""COMPUTED_VALUE"""),"[""77511"", ""77546"", ""77581""]")</f>
        <v>["77511", "77546", "77581"]</v>
      </c>
      <c r="C587" s="9" t="str">
        <f>IFERROR(__xludf.DUMMYFUNCTION("""COMPUTED_VALUE"""),"Mary Queen Friendswood")</f>
        <v>Mary Queen Friendswood</v>
      </c>
      <c r="D587" s="9" t="str">
        <f>IFERROR(__xludf.DUMMYFUNCTION("""COMPUTED_VALUE"""),"606 Cedarwood Drive")</f>
        <v>606 Cedarwood Drive</v>
      </c>
      <c r="E587" s="9"/>
      <c r="F587" s="9" t="str">
        <f>IFERROR(__xludf.DUMMYFUNCTION("""COMPUTED_VALUE"""),"Friendswood")</f>
        <v>Friendswood</v>
      </c>
      <c r="G587" s="9" t="str">
        <f>IFERROR(__xludf.DUMMYFUNCTION("""COMPUTED_VALUE"""),"TX")</f>
        <v>TX</v>
      </c>
      <c r="H587" s="9" t="str">
        <f>IFERROR(__xludf.DUMMYFUNCTION("""COMPUTED_VALUE"""),"77546")</f>
        <v>77546</v>
      </c>
      <c r="I587" s="9" t="str">
        <f>IFERROR(__xludf.DUMMYFUNCTION("""COMPUTED_VALUE"""),"281-482-1391")</f>
        <v>281-482-1391</v>
      </c>
      <c r="J587" s="9" t="str">
        <f>IFERROR(__xludf.DUMMYFUNCTION("""COMPUTED_VALUE"""),"29.5256381365554, -95.2004493226213")</f>
        <v>29.5256381365554, -95.2004493226213</v>
      </c>
      <c r="K587" s="9"/>
      <c r="L587" s="9"/>
      <c r="M587" s="10">
        <f>IFERROR(__xludf.DUMMYFUNCTION("""COMPUTED_VALUE"""),12.0)</f>
        <v>12</v>
      </c>
      <c r="N587" s="10" t="str">
        <f>IFERROR(__xludf.DUMMYFUNCTION("""COMPUTED_VALUE"""),"Utilities")</f>
        <v>Utilities</v>
      </c>
      <c r="O587" s="10">
        <f>IFERROR(__xludf.DUMMYFUNCTION("""COMPUTED_VALUE"""),4.0)</f>
        <v>4</v>
      </c>
      <c r="P587" s="10" t="str">
        <f>IFERROR(__xludf.DUMMYFUNCTION("""COMPUTED_VALUE"""),"CLOSED")</f>
        <v>CLOSED</v>
      </c>
      <c r="Q587" s="11">
        <f>IFERROR(__xludf.DUMMYFUNCTION("""COMPUTED_VALUE"""),45519.0)</f>
        <v>45519</v>
      </c>
      <c r="R587" s="9" t="str">
        <f>IFERROR(__xludf.DUMMYFUNCTION("""COMPUTED_VALUE"""),"No indication from their website that they provide any financial assistance.")</f>
        <v>No indication from their website that they provide any financial assistance.</v>
      </c>
      <c r="S587" s="9"/>
      <c r="T587" s="12" t="b">
        <f>IFERROR(__xludf.DUMMYFUNCTION("""COMPUTED_VALUE"""),FALSE)</f>
        <v>0</v>
      </c>
      <c r="U587" s="12" t="b">
        <f>IFERROR(__xludf.DUMMYFUNCTION("""COMPUTED_VALUE"""),FALSE)</f>
        <v>0</v>
      </c>
      <c r="V587" s="13" t="str">
        <f>IFERROR(__xludf.DUMMYFUNCTION("""COMPUTED_VALUE"""),"https://www.maryqueencatholicchurch.org/social-concerns")</f>
        <v>https://www.maryqueencatholicchurch.org/social-concerns</v>
      </c>
      <c r="W587" s="14" t="str">
        <f>IFERROR(__xludf.DUMMYFUNCTION("""COMPUTED_VALUE"""),"https://maps.google.com/?q=Mary%20Queen%20Friendswood%20%20%20TX%20")</f>
        <v>https://maps.google.com/?q=Mary%20Queen%20Friendswood%20%20%20TX%20</v>
      </c>
      <c r="X587" s="10"/>
      <c r="Y587" s="9" t="str">
        <f>IFERROR(__xludf.DUMMYFUNCTION("""COMPUTED_VALUE"""),"Friendswood")</f>
        <v>Friendswood</v>
      </c>
      <c r="Z587" s="9" t="str">
        <f>IFERROR(__xludf.DUMMYFUNCTION("""COMPUTED_VALUE"""),"Friendswood")</f>
        <v>Friendswood</v>
      </c>
      <c r="AA587" s="9" t="str">
        <f>IFERROR(__xludf.DUMMYFUNCTION("""COMPUTED_VALUE"""),"Mary Queen Friendswood")</f>
        <v>Mary Queen Friendswood</v>
      </c>
      <c r="AB587" s="9" t="str">
        <f>IFERROR(__xludf.DUMMYFUNCTION("""COMPUTED_VALUE"""),"Friendswood")</f>
        <v>Friendswood</v>
      </c>
    </row>
    <row r="588" ht="30.0" customHeight="1">
      <c r="A588" s="17">
        <v>587.0</v>
      </c>
      <c r="B588" s="8" t="str">
        <f>IFERROR(__xludf.DUMMYFUNCTION("""COMPUTED_VALUE"""),"[""77511"", ""77546"", ""77581""]")</f>
        <v>["77511", "77546", "77581"]</v>
      </c>
      <c r="C588" s="9" t="str">
        <f>IFERROR(__xludf.DUMMYFUNCTION("""COMPUTED_VALUE"""),"Mary Queen Friendswood")</f>
        <v>Mary Queen Friendswood</v>
      </c>
      <c r="D588" s="9" t="str">
        <f>IFERROR(__xludf.DUMMYFUNCTION("""COMPUTED_VALUE"""),"606 Cedarwood Drive")</f>
        <v>606 Cedarwood Drive</v>
      </c>
      <c r="E588" s="9"/>
      <c r="F588" s="9" t="str">
        <f>IFERROR(__xludf.DUMMYFUNCTION("""COMPUTED_VALUE"""),"Friendswood")</f>
        <v>Friendswood</v>
      </c>
      <c r="G588" s="9" t="str">
        <f>IFERROR(__xludf.DUMMYFUNCTION("""COMPUTED_VALUE"""),"TX")</f>
        <v>TX</v>
      </c>
      <c r="H588" s="9" t="str">
        <f>IFERROR(__xludf.DUMMYFUNCTION("""COMPUTED_VALUE"""),"77546")</f>
        <v>77546</v>
      </c>
      <c r="I588" s="9" t="str">
        <f>IFERROR(__xludf.DUMMYFUNCTION("""COMPUTED_VALUE"""),"281-482-1391")</f>
        <v>281-482-1391</v>
      </c>
      <c r="J588" s="9" t="str">
        <f>IFERROR(__xludf.DUMMYFUNCTION("""COMPUTED_VALUE"""),"29.5256381365554, -95.2004493226213")</f>
        <v>29.5256381365554, -95.2004493226213</v>
      </c>
      <c r="K588" s="9" t="str">
        <f>IFERROR(__xludf.DUMMYFUNCTION("""COMPUTED_VALUE"""),"{""regular"":[{""days"":[""Mo"",""Tu"",""We"",""Th"",""Fr""],""open"":""10:00"",""close"":""14:00""}]}")</f>
        <v>{"regular":[{"days":["Mo","Tu","We","Th","Fr"],"open":"10:00","close":"14:00"}]}</v>
      </c>
      <c r="L588" s="9"/>
      <c r="M588" s="10">
        <f>IFERROR(__xludf.DUMMYFUNCTION("""COMPUTED_VALUE"""),13.0)</f>
        <v>13</v>
      </c>
      <c r="N588" s="10" t="str">
        <f>IFERROR(__xludf.DUMMYFUNCTION("""COMPUTED_VALUE"""),"Food")</f>
        <v>Food</v>
      </c>
      <c r="O588" s="10">
        <f>IFERROR(__xludf.DUMMYFUNCTION("""COMPUTED_VALUE"""),1.0)</f>
        <v>1</v>
      </c>
      <c r="P588" s="10" t="str">
        <f>IFERROR(__xludf.DUMMYFUNCTION("""COMPUTED_VALUE"""),"ACTIVE")</f>
        <v>ACTIVE</v>
      </c>
      <c r="Q588" s="11"/>
      <c r="R588" s="9"/>
      <c r="S588" s="9" t="str">
        <f>IFERROR(__xludf.DUMMYFUNCTION("""COMPUTED_VALUE"""),"In addition to a Food Pantry, they also do Meals on Wheels but is very limited; upto 16 meals one day, every nine weeks depending on the number of volunteers.")</f>
        <v>In addition to a Food Pantry, they also do Meals on Wheels but is very limited; upto 16 meals one day, every nine weeks depending on the number of volunteers.</v>
      </c>
      <c r="T588" s="12" t="b">
        <f>IFERROR(__xludf.DUMMYFUNCTION("""COMPUTED_VALUE"""),FALSE)</f>
        <v>0</v>
      </c>
      <c r="U588" s="12" t="b">
        <f>IFERROR(__xludf.DUMMYFUNCTION("""COMPUTED_VALUE"""),FALSE)</f>
        <v>0</v>
      </c>
      <c r="V588" s="13" t="str">
        <f>IFERROR(__xludf.DUMMYFUNCTION("""COMPUTED_VALUE"""),"https://www.maryqueencatholicchurch.org/social-concerns")</f>
        <v>https://www.maryqueencatholicchurch.org/social-concerns</v>
      </c>
      <c r="W588" s="14" t="str">
        <f>IFERROR(__xludf.DUMMYFUNCTION("""COMPUTED_VALUE"""),"https://maps.google.com/?q=Mary%20Queen%20Friendswood%20%20%20TX%20")</f>
        <v>https://maps.google.com/?q=Mary%20Queen%20Friendswood%20%20%20TX%20</v>
      </c>
      <c r="X588" s="10"/>
      <c r="Y588" s="9" t="str">
        <f>IFERROR(__xludf.DUMMYFUNCTION("""COMPUTED_VALUE"""),"Friendswood")</f>
        <v>Friendswood</v>
      </c>
      <c r="Z588" s="9" t="str">
        <f>IFERROR(__xludf.DUMMYFUNCTION("""COMPUTED_VALUE"""),"Friendswood")</f>
        <v>Friendswood</v>
      </c>
      <c r="AA588" s="9" t="str">
        <f>IFERROR(__xludf.DUMMYFUNCTION("""COMPUTED_VALUE"""),"Mary Queen Friendswood")</f>
        <v>Mary Queen Friendswood</v>
      </c>
      <c r="AB588" s="9" t="str">
        <f>IFERROR(__xludf.DUMMYFUNCTION("""COMPUTED_VALUE"""),"Friendswood")</f>
        <v>Friendswood</v>
      </c>
    </row>
    <row r="589" ht="30.0" customHeight="1">
      <c r="A589" s="17">
        <v>588.0</v>
      </c>
      <c r="B589" s="8" t="str">
        <f>IFERROR(__xludf.DUMMYFUNCTION("""COMPUTED_VALUE"""),"[""99999""]")</f>
        <v>["99999"]</v>
      </c>
      <c r="C589" s="9" t="str">
        <f>IFERROR(__xludf.DUMMYFUNCTION("""COMPUTED_VALUE"""),"Masonic Children &amp; Family Services of Texas")</f>
        <v>Masonic Children &amp; Family Services of Texas</v>
      </c>
      <c r="D589" s="9" t="str">
        <f>IFERROR(__xludf.DUMMYFUNCTION("""COMPUTED_VALUE"""),"1240 Keller Pkwy, Suite 200")</f>
        <v>1240 Keller Pkwy, Suite 200</v>
      </c>
      <c r="E589" s="9"/>
      <c r="F589" s="9" t="str">
        <f>IFERROR(__xludf.DUMMYFUNCTION("""COMPUTED_VALUE"""),"Keller")</f>
        <v>Keller</v>
      </c>
      <c r="G589" s="9" t="str">
        <f>IFERROR(__xludf.DUMMYFUNCTION("""COMPUTED_VALUE"""),"TX")</f>
        <v>TX</v>
      </c>
      <c r="H589" s="9" t="str">
        <f>IFERROR(__xludf.DUMMYFUNCTION("""COMPUTED_VALUE"""),"76248")</f>
        <v>76248</v>
      </c>
      <c r="I589" s="9" t="str">
        <f>IFERROR(__xludf.DUMMYFUNCTION("""COMPUTED_VALUE"""),"877-203-9111")</f>
        <v>877-203-9111</v>
      </c>
      <c r="J589" s="9" t="str">
        <f>IFERROR(__xludf.DUMMYFUNCTION("""COMPUTED_VALUE"""),"32.9342661330585, -97.2253077144289")</f>
        <v>32.9342661330585, -97.2253077144289</v>
      </c>
      <c r="K589" s="9"/>
      <c r="L589" s="9" t="str">
        <f>IFERROR(__xludf.DUMMYFUNCTION("""COMPUTED_VALUE"""),"Apply online")</f>
        <v>Apply online</v>
      </c>
      <c r="M589" s="10">
        <f>IFERROR(__xludf.DUMMYFUNCTION("""COMPUTED_VALUE"""),11.0)</f>
        <v>11</v>
      </c>
      <c r="N589" s="10" t="str">
        <f>IFERROR(__xludf.DUMMYFUNCTION("""COMPUTED_VALUE"""),"Rent")</f>
        <v>Rent</v>
      </c>
      <c r="O589" s="10">
        <f>IFERROR(__xludf.DUMMYFUNCTION("""COMPUTED_VALUE"""),1.0)</f>
        <v>1</v>
      </c>
      <c r="P589" s="10" t="str">
        <f>IFERROR(__xludf.DUMMYFUNCTION("""COMPUTED_VALUE"""),"ACTIVE")</f>
        <v>ACTIVE</v>
      </c>
      <c r="Q589" s="11">
        <f>IFERROR(__xludf.DUMMYFUNCTION("""COMPUTED_VALUE"""),45974.0)</f>
        <v>45974</v>
      </c>
      <c r="R589" s="9" t="str">
        <f>IFERROR(__xludf.DUMMYFUNCTION("""COMPUTED_VALUE"""),"Verified by phone")</f>
        <v>Verified by phone</v>
      </c>
      <c r="S589" s="9" t="str">
        <f>IFERROR(__xludf.DUMMYFUNCTION("""COMPUTED_VALUE"""),"Cannot have an eviction notice or be more than one month behind on you rent.
Must have a child 21 years old or under living with you and you must be the legal guardian.
Proof of income, lease and relationship of child required.
Apply online.")</f>
        <v>Cannot have an eviction notice or be more than one month behind on you rent.
Must have a child 21 years old or under living with you and you must be the legal guardian.
Proof of income, lease and relationship of child required.
Apply online.</v>
      </c>
      <c r="T589" s="12" t="b">
        <f>IFERROR(__xludf.DUMMYFUNCTION("""COMPUTED_VALUE"""),FALSE)</f>
        <v>0</v>
      </c>
      <c r="U589" s="12" t="b">
        <f>IFERROR(__xludf.DUMMYFUNCTION("""COMPUTED_VALUE"""),FALSE)</f>
        <v>0</v>
      </c>
      <c r="V589" s="13" t="str">
        <f>IFERROR(__xludf.DUMMYFUNCTION("""COMPUTED_VALUE"""),"https://masonichometx.org/")</f>
        <v>https://masonichometx.org/</v>
      </c>
      <c r="W589" s="10"/>
      <c r="X589" s="10"/>
      <c r="Y589" s="9" t="str">
        <f>IFERROR(__xludf.DUMMYFUNCTION("""COMPUTED_VALUE"""),"Keller")</f>
        <v>Keller</v>
      </c>
      <c r="Z589" s="9" t="str">
        <f>IFERROR(__xludf.DUMMYFUNCTION("""COMPUTED_VALUE"""),"Keller")</f>
        <v>Keller</v>
      </c>
      <c r="AA589" s="9" t="str">
        <f>IFERROR(__xludf.DUMMYFUNCTION("""COMPUTED_VALUE"""),"Masonic Children &amp; Family Services of Texas")</f>
        <v>Masonic Children &amp; Family Services of Texas</v>
      </c>
      <c r="AB589" s="9" t="str">
        <f>IFERROR(__xludf.DUMMYFUNCTION("""COMPUTED_VALUE"""),"Keller")</f>
        <v>Keller</v>
      </c>
    </row>
    <row r="590" ht="30.0" customHeight="1">
      <c r="A590" s="17">
        <v>589.0</v>
      </c>
      <c r="B590" s="8" t="str">
        <f>IFERROR(__xludf.DUMMYFUNCTION("""COMPUTED_VALUE"""),"[""99999""]")</f>
        <v>["99999"]</v>
      </c>
      <c r="C590" s="9" t="str">
        <f>IFERROR(__xludf.DUMMYFUNCTION("""COMPUTED_VALUE"""),"Masonic Children &amp; Family Services of Texas")</f>
        <v>Masonic Children &amp; Family Services of Texas</v>
      </c>
      <c r="D590" s="9" t="str">
        <f>IFERROR(__xludf.DUMMYFUNCTION("""COMPUTED_VALUE"""),"1240 Keller Pkwy, Suite 200")</f>
        <v>1240 Keller Pkwy, Suite 200</v>
      </c>
      <c r="E590" s="9"/>
      <c r="F590" s="9" t="str">
        <f>IFERROR(__xludf.DUMMYFUNCTION("""COMPUTED_VALUE"""),"Keller")</f>
        <v>Keller</v>
      </c>
      <c r="G590" s="9" t="str">
        <f>IFERROR(__xludf.DUMMYFUNCTION("""COMPUTED_VALUE"""),"TX")</f>
        <v>TX</v>
      </c>
      <c r="H590" s="9" t="str">
        <f>IFERROR(__xludf.DUMMYFUNCTION("""COMPUTED_VALUE"""),"76248")</f>
        <v>76248</v>
      </c>
      <c r="I590" s="9" t="str">
        <f>IFERROR(__xludf.DUMMYFUNCTION("""COMPUTED_VALUE"""),"877-203-9111")</f>
        <v>877-203-9111</v>
      </c>
      <c r="J590" s="9" t="str">
        <f>IFERROR(__xludf.DUMMYFUNCTION("""COMPUTED_VALUE"""),"32.9342661330585, -97.2253077144289")</f>
        <v>32.9342661330585, -97.2253077144289</v>
      </c>
      <c r="K590" s="9"/>
      <c r="L590" s="9" t="str">
        <f>IFERROR(__xludf.DUMMYFUNCTION("""COMPUTED_VALUE"""),"Apply online")</f>
        <v>Apply online</v>
      </c>
      <c r="M590" s="10">
        <f>IFERROR(__xludf.DUMMYFUNCTION("""COMPUTED_VALUE"""),12.0)</f>
        <v>12</v>
      </c>
      <c r="N590" s="10" t="str">
        <f>IFERROR(__xludf.DUMMYFUNCTION("""COMPUTED_VALUE"""),"Utilities")</f>
        <v>Utilities</v>
      </c>
      <c r="O590" s="10">
        <f>IFERROR(__xludf.DUMMYFUNCTION("""COMPUTED_VALUE"""),1.0)</f>
        <v>1</v>
      </c>
      <c r="P590" s="10" t="str">
        <f>IFERROR(__xludf.DUMMYFUNCTION("""COMPUTED_VALUE"""),"ACTIVE")</f>
        <v>ACTIVE</v>
      </c>
      <c r="Q590" s="11">
        <f>IFERROR(__xludf.DUMMYFUNCTION("""COMPUTED_VALUE"""),45974.0)</f>
        <v>45974</v>
      </c>
      <c r="R590" s="9" t="str">
        <f>IFERROR(__xludf.DUMMYFUNCTION("""COMPUTED_VALUE"""),"Verified by phone")</f>
        <v>Verified by phone</v>
      </c>
      <c r="S590" s="9" t="str">
        <f>IFERROR(__xludf.DUMMYFUNCTION("""COMPUTED_VALUE"""),"Cannot have an eviction notice or be more than one month behind on you rent.
Must have a child 21 years old or under living with you and you must be the legal guardian.
Proof of income, lease and relationship of child required.
Apply online.")</f>
        <v>Cannot have an eviction notice or be more than one month behind on you rent.
Must have a child 21 years old or under living with you and you must be the legal guardian.
Proof of income, lease and relationship of child required.
Apply online.</v>
      </c>
      <c r="T590" s="12" t="b">
        <f>IFERROR(__xludf.DUMMYFUNCTION("""COMPUTED_VALUE"""),FALSE)</f>
        <v>0</v>
      </c>
      <c r="U590" s="12" t="b">
        <f>IFERROR(__xludf.DUMMYFUNCTION("""COMPUTED_VALUE"""),FALSE)</f>
        <v>0</v>
      </c>
      <c r="V590" s="13" t="str">
        <f>IFERROR(__xludf.DUMMYFUNCTION("""COMPUTED_VALUE"""),"https://masonichometx.org/")</f>
        <v>https://masonichometx.org/</v>
      </c>
      <c r="W590" s="10"/>
      <c r="X590" s="10"/>
      <c r="Y590" s="9" t="str">
        <f>IFERROR(__xludf.DUMMYFUNCTION("""COMPUTED_VALUE"""),"Keller")</f>
        <v>Keller</v>
      </c>
      <c r="Z590" s="9" t="str">
        <f>IFERROR(__xludf.DUMMYFUNCTION("""COMPUTED_VALUE"""),"Keller")</f>
        <v>Keller</v>
      </c>
      <c r="AA590" s="9" t="str">
        <f>IFERROR(__xludf.DUMMYFUNCTION("""COMPUTED_VALUE"""),"Masonic Children &amp; Family Services of Texas")</f>
        <v>Masonic Children &amp; Family Services of Texas</v>
      </c>
      <c r="AB590" s="9" t="str">
        <f>IFERROR(__xludf.DUMMYFUNCTION("""COMPUTED_VALUE"""),"Keller")</f>
        <v>Keller</v>
      </c>
    </row>
    <row r="591" ht="30.0" customHeight="1">
      <c r="A591" s="17">
        <v>590.0</v>
      </c>
      <c r="B591" s="8" t="str">
        <f>IFERROR(__xludf.DUMMYFUNCTION("""COMPUTED_VALUE"""),"[""99999""]")</f>
        <v>["99999"]</v>
      </c>
      <c r="C591" s="9" t="str">
        <f>IFERROR(__xludf.DUMMYFUNCTION("""COMPUTED_VALUE"""),"Masonic Children &amp; Family Services of Texas")</f>
        <v>Masonic Children &amp; Family Services of Texas</v>
      </c>
      <c r="D591" s="9" t="str">
        <f>IFERROR(__xludf.DUMMYFUNCTION("""COMPUTED_VALUE"""),"1240 Keller Pkwy, Suite 200")</f>
        <v>1240 Keller Pkwy, Suite 200</v>
      </c>
      <c r="E591" s="9"/>
      <c r="F591" s="9" t="str">
        <f>IFERROR(__xludf.DUMMYFUNCTION("""COMPUTED_VALUE"""),"Keller")</f>
        <v>Keller</v>
      </c>
      <c r="G591" s="9" t="str">
        <f>IFERROR(__xludf.DUMMYFUNCTION("""COMPUTED_VALUE"""),"TX")</f>
        <v>TX</v>
      </c>
      <c r="H591" s="9" t="str">
        <f>IFERROR(__xludf.DUMMYFUNCTION("""COMPUTED_VALUE"""),"76248")</f>
        <v>76248</v>
      </c>
      <c r="I591" s="9" t="str">
        <f>IFERROR(__xludf.DUMMYFUNCTION("""COMPUTED_VALUE"""),"877-203-9111
817-503-1500")</f>
        <v>877-203-9111
817-503-1500</v>
      </c>
      <c r="J591" s="9" t="str">
        <f>IFERROR(__xludf.DUMMYFUNCTION("""COMPUTED_VALUE"""),"32.9342661330585, -97.2253077144289")</f>
        <v>32.9342661330585, -97.2253077144289</v>
      </c>
      <c r="K591" s="9"/>
      <c r="L591" s="9" t="str">
        <f>IFERROR(__xludf.DUMMYFUNCTION("""COMPUTED_VALUE"""),"Apply online")</f>
        <v>Apply online</v>
      </c>
      <c r="M591" s="10">
        <f>IFERROR(__xludf.DUMMYFUNCTION("""COMPUTED_VALUE"""),36.0)</f>
        <v>36</v>
      </c>
      <c r="N591" s="10" t="str">
        <f>IFERROR(__xludf.DUMMYFUNCTION("""COMPUTED_VALUE"""),"Medical - Bill Payment")</f>
        <v>Medical - Bill Payment</v>
      </c>
      <c r="O591" s="10">
        <f>IFERROR(__xludf.DUMMYFUNCTION("""COMPUTED_VALUE"""),1.0)</f>
        <v>1</v>
      </c>
      <c r="P591" s="10" t="str">
        <f>IFERROR(__xludf.DUMMYFUNCTION("""COMPUTED_VALUE"""),"ACTIVE")</f>
        <v>ACTIVE</v>
      </c>
      <c r="Q591" s="11">
        <f>IFERROR(__xludf.DUMMYFUNCTION("""COMPUTED_VALUE"""),45974.0)</f>
        <v>45974</v>
      </c>
      <c r="R591" s="9" t="str">
        <f>IFERROR(__xludf.DUMMYFUNCTION("""COMPUTED_VALUE"""),"Verified by phone")</f>
        <v>Verified by phone</v>
      </c>
      <c r="S591" s="9" t="str">
        <f>IFERROR(__xludf.DUMMYFUNCTION("""COMPUTED_VALUE"""),"Must have a child 21 years old or under living with you and you must be the legal guardian.
Funding for dental and medical treatment or medical supplies for your child.
Proof of income and relationship of child required.
Completed Referral Form from docto"&amp;"r with treatment plan and insurance coverage details.
Apply online.")</f>
        <v>Must have a child 21 years old or under living with you and you must be the legal guardian.
Funding for dental and medical treatment or medical supplies for your child.
Proof of income and relationship of child required.
Completed Referral Form from doctor with treatment plan and insurance coverage details.
Apply online.</v>
      </c>
      <c r="T591" s="12" t="b">
        <f>IFERROR(__xludf.DUMMYFUNCTION("""COMPUTED_VALUE"""),FALSE)</f>
        <v>0</v>
      </c>
      <c r="U591" s="12" t="b">
        <f>IFERROR(__xludf.DUMMYFUNCTION("""COMPUTED_VALUE"""),FALSE)</f>
        <v>0</v>
      </c>
      <c r="V591" s="13" t="str">
        <f>IFERROR(__xludf.DUMMYFUNCTION("""COMPUTED_VALUE"""),"https://masonichometx.org/")</f>
        <v>https://masonichometx.org/</v>
      </c>
      <c r="W591" s="10"/>
      <c r="X591" s="10"/>
      <c r="Y591" s="9" t="str">
        <f>IFERROR(__xludf.DUMMYFUNCTION("""COMPUTED_VALUE"""),"Keller")</f>
        <v>Keller</v>
      </c>
      <c r="Z591" s="9" t="str">
        <f>IFERROR(__xludf.DUMMYFUNCTION("""COMPUTED_VALUE"""),"Keller")</f>
        <v>Keller</v>
      </c>
      <c r="AA591" s="9" t="str">
        <f>IFERROR(__xludf.DUMMYFUNCTION("""COMPUTED_VALUE"""),"Masonic Children &amp; Family Services of Texas")</f>
        <v>Masonic Children &amp; Family Services of Texas</v>
      </c>
      <c r="AB591" s="9" t="str">
        <f>IFERROR(__xludf.DUMMYFUNCTION("""COMPUTED_VALUE"""),"Keller")</f>
        <v>Keller</v>
      </c>
    </row>
    <row r="592" ht="30.0" customHeight="1">
      <c r="A592" s="17">
        <v>591.0</v>
      </c>
      <c r="B592" s="8" t="str">
        <f>IFERROR(__xludf.DUMMYFUNCTION("""COMPUTED_VALUE"""),"[""99999""]")</f>
        <v>["99999"]</v>
      </c>
      <c r="C592" s="9" t="str">
        <f>IFERROR(__xludf.DUMMYFUNCTION("""COMPUTED_VALUE"""),"Masonic Children &amp; Family Services of Texas")</f>
        <v>Masonic Children &amp; Family Services of Texas</v>
      </c>
      <c r="D592" s="9" t="str">
        <f>IFERROR(__xludf.DUMMYFUNCTION("""COMPUTED_VALUE"""),"1240 Keller Pkwy, Suite 200")</f>
        <v>1240 Keller Pkwy, Suite 200</v>
      </c>
      <c r="E592" s="9"/>
      <c r="F592" s="9" t="str">
        <f>IFERROR(__xludf.DUMMYFUNCTION("""COMPUTED_VALUE"""),"Keller")</f>
        <v>Keller</v>
      </c>
      <c r="G592" s="9" t="str">
        <f>IFERROR(__xludf.DUMMYFUNCTION("""COMPUTED_VALUE"""),"TX")</f>
        <v>TX</v>
      </c>
      <c r="H592" s="9" t="str">
        <f>IFERROR(__xludf.DUMMYFUNCTION("""COMPUTED_VALUE"""),"76248")</f>
        <v>76248</v>
      </c>
      <c r="I592" s="9" t="str">
        <f>IFERROR(__xludf.DUMMYFUNCTION("""COMPUTED_VALUE"""),"877-203-9111")</f>
        <v>877-203-9111</v>
      </c>
      <c r="J592" s="9" t="str">
        <f>IFERROR(__xludf.DUMMYFUNCTION("""COMPUTED_VALUE"""),"32.9342661330585, -97.2253077144289")</f>
        <v>32.9342661330585, -97.2253077144289</v>
      </c>
      <c r="K592" s="9"/>
      <c r="L592" s="9" t="str">
        <f>IFERROR(__xludf.DUMMYFUNCTION("""COMPUTED_VALUE"""),"Apply online")</f>
        <v>Apply online</v>
      </c>
      <c r="M592" s="10">
        <f>IFERROR(__xludf.DUMMYFUNCTION("""COMPUTED_VALUE"""),43.0)</f>
        <v>43</v>
      </c>
      <c r="N592" s="10" t="str">
        <f>IFERROR(__xludf.DUMMYFUNCTION("""COMPUTED_VALUE"""),"Education - Children")</f>
        <v>Education - Children</v>
      </c>
      <c r="O592" s="10">
        <f>IFERROR(__xludf.DUMMYFUNCTION("""COMPUTED_VALUE"""),1.0)</f>
        <v>1</v>
      </c>
      <c r="P592" s="10" t="str">
        <f>IFERROR(__xludf.DUMMYFUNCTION("""COMPUTED_VALUE"""),"ACTIVE")</f>
        <v>ACTIVE</v>
      </c>
      <c r="Q592" s="11">
        <f>IFERROR(__xludf.DUMMYFUNCTION("""COMPUTED_VALUE"""),45974.0)</f>
        <v>45974</v>
      </c>
      <c r="R592" s="9" t="str">
        <f>IFERROR(__xludf.DUMMYFUNCTION("""COMPUTED_VALUE"""),"Verified by phone")</f>
        <v>Verified by phone</v>
      </c>
      <c r="S592" s="9" t="str">
        <f>IFERROR(__xludf.DUMMYFUNCTION("""COMPUTED_VALUE"""),"Scholarships for Texas high school seniors who plan to attend an accredited college or trade school.
$2500 award paid directly to the school.  200 awards per year.
Application deadline is October 1st thru March 1st.  Winners notified on April 15th.")</f>
        <v>Scholarships for Texas high school seniors who plan to attend an accredited college or trade school.
$2500 award paid directly to the school.  200 awards per year.
Application deadline is October 1st thru March 1st.  Winners notified on April 15th.</v>
      </c>
      <c r="T592" s="12" t="b">
        <f>IFERROR(__xludf.DUMMYFUNCTION("""COMPUTED_VALUE"""),FALSE)</f>
        <v>0</v>
      </c>
      <c r="U592" s="12" t="b">
        <f>IFERROR(__xludf.DUMMYFUNCTION("""COMPUTED_VALUE"""),FALSE)</f>
        <v>0</v>
      </c>
      <c r="V592" s="13" t="str">
        <f>IFERROR(__xludf.DUMMYFUNCTION("""COMPUTED_VALUE"""),"https://masonichometx.org/")</f>
        <v>https://masonichometx.org/</v>
      </c>
      <c r="W592" s="10"/>
      <c r="X592" s="10"/>
      <c r="Y592" s="9" t="str">
        <f>IFERROR(__xludf.DUMMYFUNCTION("""COMPUTED_VALUE"""),"Keller")</f>
        <v>Keller</v>
      </c>
      <c r="Z592" s="9" t="str">
        <f>IFERROR(__xludf.DUMMYFUNCTION("""COMPUTED_VALUE"""),"Keller")</f>
        <v>Keller</v>
      </c>
      <c r="AA592" s="9" t="str">
        <f>IFERROR(__xludf.DUMMYFUNCTION("""COMPUTED_VALUE"""),"Masonic Children &amp; Family Services of Texas")</f>
        <v>Masonic Children &amp; Family Services of Texas</v>
      </c>
      <c r="AB592" s="9" t="str">
        <f>IFERROR(__xludf.DUMMYFUNCTION("""COMPUTED_VALUE"""),"Keller")</f>
        <v>Keller</v>
      </c>
    </row>
    <row r="593" ht="30.0" customHeight="1">
      <c r="A593" s="17">
        <v>592.0</v>
      </c>
      <c r="B59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593" s="9" t="str">
        <f>IFERROR(__xludf.DUMMYFUNCTION("""COMPUTED_VALUE"""),"Maternal &amp; Child Health Program")</f>
        <v>Maternal &amp; Child Health Program</v>
      </c>
      <c r="D593" s="9" t="str">
        <f>IFERROR(__xludf.DUMMYFUNCTION("""COMPUTED_VALUE"""),"1111 Fannin Street")</f>
        <v>1111 Fannin Street</v>
      </c>
      <c r="E593" s="9"/>
      <c r="F593" s="9" t="str">
        <f>IFERROR(__xludf.DUMMYFUNCTION("""COMPUTED_VALUE"""),"Houston")</f>
        <v>Houston</v>
      </c>
      <c r="G593" s="9" t="str">
        <f>IFERROR(__xludf.DUMMYFUNCTION("""COMPUTED_VALUE"""),"TX")</f>
        <v>TX</v>
      </c>
      <c r="H593" s="9" t="str">
        <f>IFERROR(__xludf.DUMMYFUNCTION("""COMPUTED_VALUE"""),"77002")</f>
        <v>77002</v>
      </c>
      <c r="I593" s="9" t="str">
        <f>IFERROR(__xludf.DUMMYFUNCTION("""COMPUTED_VALUE"""),"713-368-6667")</f>
        <v>713-368-6667</v>
      </c>
      <c r="J593" s="9" t="str">
        <f>IFERROR(__xludf.DUMMYFUNCTION("""COMPUTED_VALUE"""),"29.758778071543638, -95.36439811507474")</f>
        <v>29.758778071543638, -95.36439811507474</v>
      </c>
      <c r="K593" s="9" t="str">
        <f>IFERROR(__xludf.DUMMYFUNCTION("""COMPUTED_VALUE"""),"{""regular"":[{""days"":[""Mo"",""Tu"",""We"",""Th"",""Fr""],""open"":""08:00"",""close"":""17:00""}]}")</f>
        <v>{"regular":[{"days":["Mo","Tu","We","Th","Fr"],"open":"08:00","close":"17:00"}]}</v>
      </c>
      <c r="L593" s="9" t="str">
        <f>IFERROR(__xludf.DUMMYFUNCTION("""COMPUTED_VALUE"""),"Call to enroll")</f>
        <v>Call to enroll</v>
      </c>
      <c r="M593" s="10">
        <f>IFERROR(__xludf.DUMMYFUNCTION("""COMPUTED_VALUE"""),44.0)</f>
        <v>44</v>
      </c>
      <c r="N593" s="10" t="str">
        <f>IFERROR(__xludf.DUMMYFUNCTION("""COMPUTED_VALUE"""),"Mother &amp; Child")</f>
        <v>Mother &amp; Child</v>
      </c>
      <c r="O593" s="10">
        <f>IFERROR(__xludf.DUMMYFUNCTION("""COMPUTED_VALUE"""),1.0)</f>
        <v>1</v>
      </c>
      <c r="P593" s="10" t="str">
        <f>IFERROR(__xludf.DUMMYFUNCTION("""COMPUTED_VALUE"""),"ACTIVE")</f>
        <v>ACTIVE</v>
      </c>
      <c r="Q593" s="11">
        <f>IFERROR(__xludf.DUMMYFUNCTION("""COMPUTED_VALUE"""),46050.0)</f>
        <v>46050</v>
      </c>
      <c r="R593" s="9" t="str">
        <f>IFERROR(__xludf.DUMMYFUNCTION("""COMPUTED_VALUE"""),"Verified online")</f>
        <v>Verified online</v>
      </c>
      <c r="S593" s="9" t="str">
        <f>IFERROR(__xludf.DUMMYFUNCTION("""COMPUTED_VALUE"""),"Program to reduce maternal and infant mortality rates.
Trained professionals provide one-on-one in-home assistance for up to three years.
Personalized support for emotional well-being during pregnancy and ensure a healthy bond between mother and child.
In"&amp;"formation and assistance in finding prenatal and postpartum care.  Resources include counseling, mental health services, substance use disorder, job placement support, pregnancy and after pregnancy care services, food assistance and educational advancemen"&amp;"t assistance.
Must be Harris County resident and currently pregnant or delivered or lost a baby within the last 12 months.")</f>
        <v>Program to reduce maternal and infant mortality rates.
Trained professionals provide one-on-one in-home assistance for up to three years.
Personalized support for emotional well-being during pregnancy and ensure a healthy bond between mother and child.
Information and assistance in finding prenatal and postpartum care.  Resources include counseling, mental health services, substance use disorder, job placement support, pregnancy and after pregnancy care services, food assistance and educational advancement assistance.
Must be Harris County resident and currently pregnant or delivered or lost a baby within the last 12 months.</v>
      </c>
      <c r="T593" s="12" t="b">
        <f>IFERROR(__xludf.DUMMYFUNCTION("""COMPUTED_VALUE"""),FALSE)</f>
        <v>0</v>
      </c>
      <c r="U593" s="12" t="b">
        <f>IFERROR(__xludf.DUMMYFUNCTION("""COMPUTED_VALUE"""),FALSE)</f>
        <v>0</v>
      </c>
      <c r="V593" s="13" t="str">
        <f>IFERROR(__xludf.DUMMYFUNCTION("""COMPUTED_VALUE"""),"https://publichealth.harriscountytx.gov/Divisions-Offices/Divisions/Community-Health-Wellness-Division/Maternal-Child-Health")</f>
        <v>https://publichealth.harriscountytx.gov/Divisions-Offices/Divisions/Community-Health-Wellness-Division/Maternal-Child-Health</v>
      </c>
      <c r="W593" s="14" t="str">
        <f>IFERROR(__xludf.DUMMYFUNCTION("""COMPUTED_VALUE"""),"https://www.google.com/maps/place/Harris+County+Public+Health/@29.7263836,-95.4519715,13.01z/data=!4m10!1m2!2m1!1sharris+county+public+health+clinic!3m6!1s0x8640c11553c34fe1:0x455d350513ba73ef!8m2!3d29.7549995!4d-95.3645572!15sCiJoYXJyaXMgY291bnR5IHB1Ymxp"&amp;"YyBoZWFsdGggY2xpbmljWiQiImhhcnJpcyBjb3VudHkgcHVibGljIGhlYWx0aCBjbGluaWOSARhwdWJsaWNfaGVhbHRoX2RlcGFydG1lbnSaASNDaFpEU1VoTk1HOW5TMFZKUTBGblRVTlplR1JNTlU5bkVBReABAPoBBAgAEBA!16s%2Fg%2F1tyyxhfh?entry=ttu&amp;g_ep=EgoyMDI2MDEyNi4wIKXMDSoKLDEwMDc5MjA2OUgBUAM%3D")</f>
        <v>https://www.google.com/maps/place/Harris+County+Public+Health/@29.7263836,-95.4519715,13.01z/data=!4m10!1m2!2m1!1sharris+county+public+health+clinic!3m6!1s0x8640c11553c34fe1:0x455d350513ba73ef!8m2!3d29.7549995!4d-95.3645572!15sCiJoYXJyaXMgY291bnR5IHB1YmxpYyBoZWFsdGggY2xpbmljWiQiImhhcnJpcyBjb3VudHkgcHVibGljIGhlYWx0aCBjbGluaWOSARhwdWJsaWNfaGVhbHRoX2RlcGFydG1lbnSaASNDaFpEU1VoTk1HOW5TMFZKUTBGblRVTlplR1JNTlU5bkVBReABAPoBBAgAEBA!16s%2Fg%2F1tyyxhfh?entry=ttu&amp;g_ep=EgoyMDI2MDEyNi4wIKXMDSoKLDEwMDc5MjA2OUgBUAM%3D</v>
      </c>
      <c r="X593" s="10"/>
      <c r="Y593" s="9" t="str">
        <f>IFERROR(__xludf.DUMMYFUNCTION("""COMPUTED_VALUE"""),"Houston")</f>
        <v>Houston</v>
      </c>
      <c r="Z593"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593" s="9" t="str">
        <f>IFERROR(__xludf.DUMMYFUNCTION("""COMPUTED_VALUE"""),"Harris County Public Health")</f>
        <v>Harris County Public Health</v>
      </c>
      <c r="AB593" s="9" t="str">
        <f>IFERROR(__xludf.DUMMYFUNCTION("""COMPUTED_VALUE"""),"Downtown Houston")</f>
        <v>Downtown Houston</v>
      </c>
    </row>
    <row r="594" ht="30.0" customHeight="1">
      <c r="A594" s="17">
        <v>593.0</v>
      </c>
      <c r="B594" s="8" t="str">
        <f>IFERROR(__xludf.DUMMYFUNCTION("""COMPUTED_VALUE"""),"[""77008"", ""77009"", ""77018"", ""77022"", ""77024"", ""77037"", ""77039"", ""77040"", ""77041"", ""77043"", ""77055"", ""77076"", ""77088"", ""77091"", ""77092""]")</f>
        <v>["77008", "77009", "77018", "77022", "77024", "77037", "77039", "77040", "77041", "77043", "77055", "77076", "77088", "77091", "77092"]</v>
      </c>
      <c r="C594" s="9" t="str">
        <f>IFERROR(__xludf.DUMMYFUNCTION("""COMPUTED_VALUE"""),"Memorial Assistance Ministries (MAM)")</f>
        <v>Memorial Assistance Ministries (MAM)</v>
      </c>
      <c r="D594" s="9" t="str">
        <f>IFERROR(__xludf.DUMMYFUNCTION("""COMPUTED_VALUE"""),"1625 Blalock Road")</f>
        <v>1625 Blalock Road</v>
      </c>
      <c r="E594" s="9"/>
      <c r="F594" s="9" t="str">
        <f>IFERROR(__xludf.DUMMYFUNCTION("""COMPUTED_VALUE"""),"Houston")</f>
        <v>Houston</v>
      </c>
      <c r="G594" s="9" t="str">
        <f>IFERROR(__xludf.DUMMYFUNCTION("""COMPUTED_VALUE"""),"TX")</f>
        <v>TX</v>
      </c>
      <c r="H594" s="9" t="str">
        <f>IFERROR(__xludf.DUMMYFUNCTION("""COMPUTED_VALUE"""),"77080")</f>
        <v>77080</v>
      </c>
      <c r="I594" s="9" t="str">
        <f>IFERROR(__xludf.DUMMYFUNCTION("""COMPUTED_VALUE"""),"713-468-4516")</f>
        <v>713-468-4516</v>
      </c>
      <c r="J594" s="9" t="str">
        <f>IFERROR(__xludf.DUMMYFUNCTION("""COMPUTED_VALUE"""),"29.8007285, -95.5248507")</f>
        <v>29.8007285, -95.5248507</v>
      </c>
      <c r="K594" s="9" t="str">
        <f>IFERROR(__xludf.DUMMYFUNCTION("""COMPUTED_VALUE"""),"{""regular"":[{""days"":[""Mo"",""Tu"",""We"",""Th""],""open"":""08:30"",""close"":""16:30""},{""days"":[""Fr""],""open"":""08:30"",""close"":""13:30""}]}")</f>
        <v>{"regular":[{"days":["Mo","Tu","We","Th"],"open":"08:30","close":"16:30"},{"days":["Fr"],"open":"08:30","close":"13:30"}]}</v>
      </c>
      <c r="L594" s="9"/>
      <c r="M594" s="10">
        <f>IFERROR(__xludf.DUMMYFUNCTION("""COMPUTED_VALUE"""),11.0)</f>
        <v>11</v>
      </c>
      <c r="N594" s="10" t="str">
        <f>IFERROR(__xludf.DUMMYFUNCTION("""COMPUTED_VALUE"""),"Rent")</f>
        <v>Rent</v>
      </c>
      <c r="O594" s="10">
        <f>IFERROR(__xludf.DUMMYFUNCTION("""COMPUTED_VALUE"""),1.0)</f>
        <v>1</v>
      </c>
      <c r="P594" s="10" t="str">
        <f>IFERROR(__xludf.DUMMYFUNCTION("""COMPUTED_VALUE"""),"ACTIVE")</f>
        <v>ACTIVE</v>
      </c>
      <c r="Q594" s="11">
        <f>IFERROR(__xludf.DUMMYFUNCTION("""COMPUTED_VALUE"""),45853.0)</f>
        <v>45853</v>
      </c>
      <c r="R594" s="9" t="str">
        <f>IFERROR(__xludf.DUMMYFUNCTION("""COMPUTED_VALUE"""),"Verified in person")</f>
        <v>Verified in person</v>
      </c>
      <c r="S594" s="9" t="str">
        <f>IFERROR(__xludf.DUMMYFUNCTION("""COMPUTED_VALUE"""),"Seek assistance in person at the Blalock location but call to verify they have funding for  current month.  It is not unusual for them to run out of funds early in the month.
Priority is given to clients enrolled in programs that help ensure financial sta"&amp;"bility.")</f>
        <v>Seek assistance in person at the Blalock location but call to verify they have funding for  current month.  It is not unusual for them to run out of funds early in the month.
Priority is given to clients enrolled in programs that help ensure financial stability.</v>
      </c>
      <c r="T594" s="12" t="b">
        <f>IFERROR(__xludf.DUMMYFUNCTION("""COMPUTED_VALUE"""),FALSE)</f>
        <v>0</v>
      </c>
      <c r="U594" s="12" t="b">
        <f>IFERROR(__xludf.DUMMYFUNCTION("""COMPUTED_VALUE"""),FALSE)</f>
        <v>0</v>
      </c>
      <c r="V594" s="13" t="str">
        <f>IFERROR(__xludf.DUMMYFUNCTION("""COMPUTED_VALUE"""),"https://www.mamhouston.org/services")</f>
        <v>https://www.mamhouston.org/services</v>
      </c>
      <c r="W594" s="14" t="str">
        <f>IFERROR(__xludf.DUMMYFUNCTION("""COMPUTED_VALUE"""),"https://maps.google.com/?q=Memorial%20Assistance%20Ministries%201625%20Blalock%20Rd%20Houston%20TX%2077080")</f>
        <v>https://maps.google.com/?q=Memorial%20Assistance%20Ministries%201625%20Blalock%20Rd%20Houston%20TX%2077080</v>
      </c>
      <c r="X594" s="10"/>
      <c r="Y594" s="9" t="str">
        <f>IFERROR(__xludf.DUMMYFUNCTION("""COMPUTED_VALUE"""),"Houston")</f>
        <v>Houston</v>
      </c>
      <c r="Z594" s="9" t="str">
        <f>IFERROR(__xludf.DUMMYFUNCTION("""COMPUTED_VALUE"""),"Northwest Houston, Spring Branch Central")</f>
        <v>Northwest Houston, Spring Branch Central</v>
      </c>
      <c r="AA594" s="9" t="str">
        <f>IFERROR(__xludf.DUMMYFUNCTION("""COMPUTED_VALUE"""),"Memorial Assistance Ministries")</f>
        <v>Memorial Assistance Ministries</v>
      </c>
      <c r="AB594" s="9" t="str">
        <f>IFERROR(__xludf.DUMMYFUNCTION("""COMPUTED_VALUE"""),"Northwest Houston")</f>
        <v>Northwest Houston</v>
      </c>
    </row>
    <row r="595" ht="30.0" customHeight="1">
      <c r="A595" s="17">
        <v>594.0</v>
      </c>
      <c r="B595" s="8" t="str">
        <f>IFERROR(__xludf.DUMMYFUNCTION("""COMPUTED_VALUE"""),"[""77008"", ""77009"", ""77018"", ""77022"", ""77024"", ""77037"", ""77039"", ""77040"", ""77041"", ""77043"", ""77055"", ""77076"", ""77088"", ""77091"", ""77092""]")</f>
        <v>["77008", "77009", "77018", "77022", "77024", "77037", "77039", "77040", "77041", "77043", "77055", "77076", "77088", "77091", "77092"]</v>
      </c>
      <c r="C595" s="9" t="str">
        <f>IFERROR(__xludf.DUMMYFUNCTION("""COMPUTED_VALUE"""),"Memorial Assistance Ministries (MAM)")</f>
        <v>Memorial Assistance Ministries (MAM)</v>
      </c>
      <c r="D595" s="9" t="str">
        <f>IFERROR(__xludf.DUMMYFUNCTION("""COMPUTED_VALUE"""),"1625 Blalock Road")</f>
        <v>1625 Blalock Road</v>
      </c>
      <c r="E595" s="9"/>
      <c r="F595" s="9" t="str">
        <f>IFERROR(__xludf.DUMMYFUNCTION("""COMPUTED_VALUE"""),"Houston")</f>
        <v>Houston</v>
      </c>
      <c r="G595" s="9" t="str">
        <f>IFERROR(__xludf.DUMMYFUNCTION("""COMPUTED_VALUE"""),"TX")</f>
        <v>TX</v>
      </c>
      <c r="H595" s="9" t="str">
        <f>IFERROR(__xludf.DUMMYFUNCTION("""COMPUTED_VALUE"""),"77080")</f>
        <v>77080</v>
      </c>
      <c r="I595" s="9" t="str">
        <f>IFERROR(__xludf.DUMMYFUNCTION("""COMPUTED_VALUE"""),"713-468-4516")</f>
        <v>713-468-4516</v>
      </c>
      <c r="J595" s="9" t="str">
        <f>IFERROR(__xludf.DUMMYFUNCTION("""COMPUTED_VALUE"""),"29.8007285, -95.5248507")</f>
        <v>29.8007285, -95.5248507</v>
      </c>
      <c r="K595" s="9" t="str">
        <f>IFERROR(__xludf.DUMMYFUNCTION("""COMPUTED_VALUE"""),"{""regular"":[{""days"":[""Mo"",""Tu"",""We"",""Th""],""open"":""08:30"",""close"":""16:30""},{""days"":[""Fr""],""open"":""08:30"",""close"":""13:30""}]}")</f>
        <v>{"regular":[{"days":["Mo","Tu","We","Th"],"open":"08:30","close":"16:30"},{"days":["Fr"],"open":"08:30","close":"13:30"}]}</v>
      </c>
      <c r="L595" s="9"/>
      <c r="M595" s="10">
        <f>IFERROR(__xludf.DUMMYFUNCTION("""COMPUTED_VALUE"""),12.0)</f>
        <v>12</v>
      </c>
      <c r="N595" s="10" t="str">
        <f>IFERROR(__xludf.DUMMYFUNCTION("""COMPUTED_VALUE"""),"Utilities")</f>
        <v>Utilities</v>
      </c>
      <c r="O595" s="10">
        <f>IFERROR(__xludf.DUMMYFUNCTION("""COMPUTED_VALUE"""),1.0)</f>
        <v>1</v>
      </c>
      <c r="P595" s="10" t="str">
        <f>IFERROR(__xludf.DUMMYFUNCTION("""COMPUTED_VALUE"""),"ACTIVE")</f>
        <v>ACTIVE</v>
      </c>
      <c r="Q595" s="11">
        <f>IFERROR(__xludf.DUMMYFUNCTION("""COMPUTED_VALUE"""),45848.0)</f>
        <v>45848</v>
      </c>
      <c r="R595" s="9" t="str">
        <f>IFERROR(__xludf.DUMMYFUNCTION("""COMPUTED_VALUE"""),"Verified in person")</f>
        <v>Verified in person</v>
      </c>
      <c r="S595" s="9" t="str">
        <f>IFERROR(__xludf.DUMMYFUNCTION("""COMPUTED_VALUE"""),"Seek assistance in person at the Blalock location but call to verify they have funding for  current month.  It is not unusual for them to run out of funds early in the month.
Priority is given to clients enrolled in programs that help ensure financial sta"&amp;"bility.")</f>
        <v>Seek assistance in person at the Blalock location but call to verify they have funding for  current month.  It is not unusual for them to run out of funds early in the month.
Priority is given to clients enrolled in programs that help ensure financial stability.</v>
      </c>
      <c r="T595" s="12" t="b">
        <f>IFERROR(__xludf.DUMMYFUNCTION("""COMPUTED_VALUE"""),FALSE)</f>
        <v>0</v>
      </c>
      <c r="U595" s="12" t="b">
        <f>IFERROR(__xludf.DUMMYFUNCTION("""COMPUTED_VALUE"""),FALSE)</f>
        <v>0</v>
      </c>
      <c r="V595" s="13" t="str">
        <f>IFERROR(__xludf.DUMMYFUNCTION("""COMPUTED_VALUE"""),"https://www.mamhouston.org/services")</f>
        <v>https://www.mamhouston.org/services</v>
      </c>
      <c r="W595" s="14" t="str">
        <f>IFERROR(__xludf.DUMMYFUNCTION("""COMPUTED_VALUE"""),"https://maps.google.com/?q=Memorial%20Assistance%20Ministries%201625%20Blalock%20Rd%20Houston%20TX%2077080")</f>
        <v>https://maps.google.com/?q=Memorial%20Assistance%20Ministries%201625%20Blalock%20Rd%20Houston%20TX%2077080</v>
      </c>
      <c r="X595" s="10"/>
      <c r="Y595" s="9" t="str">
        <f>IFERROR(__xludf.DUMMYFUNCTION("""COMPUTED_VALUE"""),"Houston")</f>
        <v>Houston</v>
      </c>
      <c r="Z595" s="9" t="str">
        <f>IFERROR(__xludf.DUMMYFUNCTION("""COMPUTED_VALUE"""),"Northwest Houston, Spring Branch Central")</f>
        <v>Northwest Houston, Spring Branch Central</v>
      </c>
      <c r="AA595" s="9" t="str">
        <f>IFERROR(__xludf.DUMMYFUNCTION("""COMPUTED_VALUE"""),"Memorial Assistance Ministries")</f>
        <v>Memorial Assistance Ministries</v>
      </c>
      <c r="AB595" s="9" t="str">
        <f>IFERROR(__xludf.DUMMYFUNCTION("""COMPUTED_VALUE"""),"Northwest Houston")</f>
        <v>Northwest Houston</v>
      </c>
    </row>
    <row r="596" ht="30.0" customHeight="1">
      <c r="A596" s="17">
        <v>595.0</v>
      </c>
      <c r="B596" s="8" t="str">
        <f>IFERROR(__xludf.DUMMYFUNCTION("""COMPUTED_VALUE"""),"[""77008"", ""77009"", ""77018"", ""77022"", ""77024"", ""77037"", ""77039"", ""77040"", ""77041"", ""77043"", ""77055"", ""77076"", ""77088"", ""77091"", ""77092""]")</f>
        <v>["77008", "77009", "77018", "77022", "77024", "77037", "77039", "77040", "77041", "77043", "77055", "77076", "77088", "77091", "77092"]</v>
      </c>
      <c r="C596" s="9" t="str">
        <f>IFERROR(__xludf.DUMMYFUNCTION("""COMPUTED_VALUE"""),"Memorial Assistance Ministries (MAM)")</f>
        <v>Memorial Assistance Ministries (MAM)</v>
      </c>
      <c r="D596" s="9" t="str">
        <f>IFERROR(__xludf.DUMMYFUNCTION("""COMPUTED_VALUE"""),"1625 Blalock Road")</f>
        <v>1625 Blalock Road</v>
      </c>
      <c r="E596" s="9"/>
      <c r="F596" s="9" t="str">
        <f>IFERROR(__xludf.DUMMYFUNCTION("""COMPUTED_VALUE"""),"Houston")</f>
        <v>Houston</v>
      </c>
      <c r="G596" s="9" t="str">
        <f>IFERROR(__xludf.DUMMYFUNCTION("""COMPUTED_VALUE"""),"TX")</f>
        <v>TX</v>
      </c>
      <c r="H596" s="9" t="str">
        <f>IFERROR(__xludf.DUMMYFUNCTION("""COMPUTED_VALUE"""),"77080")</f>
        <v>77080</v>
      </c>
      <c r="I596" s="9" t="str">
        <f>IFERROR(__xludf.DUMMYFUNCTION("""COMPUTED_VALUE"""),"713-468-4516")</f>
        <v>713-468-4516</v>
      </c>
      <c r="J596" s="9" t="str">
        <f>IFERROR(__xludf.DUMMYFUNCTION("""COMPUTED_VALUE"""),"29.8007285, -95.5248507")</f>
        <v>29.8007285, -95.5248507</v>
      </c>
      <c r="K596" s="9" t="str">
        <f>IFERROR(__xludf.DUMMYFUNCTION("""COMPUTED_VALUE"""),"{""regular"":[{""days"":[""Mo"",""Tu"",""We"",""Fr""],""open"":""10:00"",""close"":""18:00""},{""days"":[""Th""],""open"":""10:00"",""close"":""20:00""},{""days"":[""Sa""],""open"":""10:00"",""close"":""16:30""}]}")</f>
        <v>{"regular":[{"days":["Mo","Tu","We","Fr"],"open":"10:00","close":"18:00"},{"days":["Th"],"open":"10:00","close":"20:00"},{"days":["Sa"],"open":"10:00","close":"16:30"}]}</v>
      </c>
      <c r="L596" s="9"/>
      <c r="M596" s="10">
        <f>IFERROR(__xludf.DUMMYFUNCTION("""COMPUTED_VALUE"""),14.0)</f>
        <v>14</v>
      </c>
      <c r="N596" s="10" t="str">
        <f>IFERROR(__xludf.DUMMYFUNCTION("""COMPUTED_VALUE"""),"Clothing")</f>
        <v>Clothing</v>
      </c>
      <c r="O596" s="10">
        <f>IFERROR(__xludf.DUMMYFUNCTION("""COMPUTED_VALUE"""),1.0)</f>
        <v>1</v>
      </c>
      <c r="P596" s="10" t="str">
        <f>IFERROR(__xludf.DUMMYFUNCTION("""COMPUTED_VALUE"""),"ACTIVE")</f>
        <v>ACTIVE</v>
      </c>
      <c r="Q596" s="11">
        <f>IFERROR(__xludf.DUMMYFUNCTION("""COMPUTED_VALUE"""),45853.0)</f>
        <v>45853</v>
      </c>
      <c r="R596" s="9" t="str">
        <f>IFERROR(__xludf.DUMMYFUNCTION("""COMPUTED_VALUE"""),"Verified in person")</f>
        <v>Verified in person</v>
      </c>
      <c r="S596" s="9" t="str">
        <f>IFERROR(__xludf.DUMMYFUNCTION("""COMPUTED_VALUE"""),"Vouchers to the MAM Resale Store.")</f>
        <v>Vouchers to the MAM Resale Store.</v>
      </c>
      <c r="T596" s="12" t="b">
        <f>IFERROR(__xludf.DUMMYFUNCTION("""COMPUTED_VALUE"""),FALSE)</f>
        <v>0</v>
      </c>
      <c r="U596" s="12" t="b">
        <f>IFERROR(__xludf.DUMMYFUNCTION("""COMPUTED_VALUE"""),FALSE)</f>
        <v>0</v>
      </c>
      <c r="V596" s="13" t="str">
        <f>IFERROR(__xludf.DUMMYFUNCTION("""COMPUTED_VALUE"""),"https://www.mamhouston.org/services")</f>
        <v>https://www.mamhouston.org/services</v>
      </c>
      <c r="W596" s="14" t="str">
        <f>IFERROR(__xludf.DUMMYFUNCTION("""COMPUTED_VALUE"""),"https://maps.google.com/?q=Memorial%20Assistance%20Ministries%201625%20Blalock%20Rd%20Houston%20TX%2077080")</f>
        <v>https://maps.google.com/?q=Memorial%20Assistance%20Ministries%201625%20Blalock%20Rd%20Houston%20TX%2077080</v>
      </c>
      <c r="X596" s="10"/>
      <c r="Y596" s="9" t="str">
        <f>IFERROR(__xludf.DUMMYFUNCTION("""COMPUTED_VALUE"""),"Houston")</f>
        <v>Houston</v>
      </c>
      <c r="Z596" s="9" t="str">
        <f>IFERROR(__xludf.DUMMYFUNCTION("""COMPUTED_VALUE"""),"Northwest Houston, Spring Branch Central")</f>
        <v>Northwest Houston, Spring Branch Central</v>
      </c>
      <c r="AA596" s="9" t="str">
        <f>IFERROR(__xludf.DUMMYFUNCTION("""COMPUTED_VALUE"""),"Memorial Assistance Ministries")</f>
        <v>Memorial Assistance Ministries</v>
      </c>
      <c r="AB596" s="9" t="str">
        <f>IFERROR(__xludf.DUMMYFUNCTION("""COMPUTED_VALUE"""),"Northwest Houston")</f>
        <v>Northwest Houston</v>
      </c>
    </row>
    <row r="597" ht="30.0" customHeight="1">
      <c r="A597" s="17">
        <v>596.0</v>
      </c>
      <c r="B597" s="8" t="str">
        <f>IFERROR(__xludf.DUMMYFUNCTION("""COMPUTED_VALUE"""),"[""99999""]")</f>
        <v>["99999"]</v>
      </c>
      <c r="C597" s="9" t="str">
        <f>IFERROR(__xludf.DUMMYFUNCTION("""COMPUTED_VALUE"""),"Memorial Assistance Ministries (MAM)")</f>
        <v>Memorial Assistance Ministries (MAM)</v>
      </c>
      <c r="D597" s="9" t="str">
        <f>IFERROR(__xludf.DUMMYFUNCTION("""COMPUTED_VALUE"""),"1625 Blalock Road")</f>
        <v>1625 Blalock Road</v>
      </c>
      <c r="E597" s="9"/>
      <c r="F597" s="9" t="str">
        <f>IFERROR(__xludf.DUMMYFUNCTION("""COMPUTED_VALUE"""),"Houston")</f>
        <v>Houston</v>
      </c>
      <c r="G597" s="9" t="str">
        <f>IFERROR(__xludf.DUMMYFUNCTION("""COMPUTED_VALUE"""),"TX")</f>
        <v>TX</v>
      </c>
      <c r="H597" s="9" t="str">
        <f>IFERROR(__xludf.DUMMYFUNCTION("""COMPUTED_VALUE"""),"77080")</f>
        <v>77080</v>
      </c>
      <c r="I597" s="9" t="str">
        <f>IFERROR(__xludf.DUMMYFUNCTION("""COMPUTED_VALUE"""),"713-468-4516")</f>
        <v>713-468-4516</v>
      </c>
      <c r="J597" s="9" t="str">
        <f>IFERROR(__xludf.DUMMYFUNCTION("""COMPUTED_VALUE"""),"29.8007285, -95.5248507")</f>
        <v>29.8007285, -95.5248507</v>
      </c>
      <c r="K597" s="9" t="str">
        <f>IFERROR(__xludf.DUMMYFUNCTION("""COMPUTED_VALUE"""),"{""regular"":[{""days"":[""Mo"",""Tu"",""We"",""Th""],""open"":""08:30"",""close"":""16:30""},{""days"":[""Fr""],""open"":""08:30"",""close"":""13:30""}]}")</f>
        <v>{"regular":[{"days":["Mo","Tu","We","Th"],"open":"08:30","close":"16:30"},{"days":["Fr"],"open":"08:30","close":"13:30"}]}</v>
      </c>
      <c r="L597" s="9"/>
      <c r="M597" s="10">
        <f>IFERROR(__xludf.DUMMYFUNCTION("""COMPUTED_VALUE"""),31.0)</f>
        <v>31</v>
      </c>
      <c r="N597" s="10" t="str">
        <f>IFERROR(__xludf.DUMMYFUNCTION("""COMPUTED_VALUE"""),"Medical - Primary Care")</f>
        <v>Medical - Primary Care</v>
      </c>
      <c r="O597" s="10">
        <f>IFERROR(__xludf.DUMMYFUNCTION("""COMPUTED_VALUE"""),1.0)</f>
        <v>1</v>
      </c>
      <c r="P597" s="10" t="str">
        <f>IFERROR(__xludf.DUMMYFUNCTION("""COMPUTED_VALUE"""),"ACTIVE")</f>
        <v>ACTIVE</v>
      </c>
      <c r="Q597" s="11">
        <f>IFERROR(__xludf.DUMMYFUNCTION("""COMPUTED_VALUE"""),46049.0)</f>
        <v>46049</v>
      </c>
      <c r="R597" s="9" t="str">
        <f>IFERROR(__xludf.DUMMYFUNCTION("""COMPUTED_VALUE"""),"Verified online")</f>
        <v>Verified online</v>
      </c>
      <c r="S597" s="9" t="str">
        <f>IFERROR(__xludf.DUMMYFUNCTION("""COMPUTED_VALUE"""),"Free immunizations for children
Free health screenings for HIV/STI, cholesterol, glucose and blood pressure.")</f>
        <v>Free immunizations for children
Free health screenings for HIV/STI, cholesterol, glucose and blood pressure.</v>
      </c>
      <c r="T597" s="12" t="b">
        <f>IFERROR(__xludf.DUMMYFUNCTION("""COMPUTED_VALUE"""),FALSE)</f>
        <v>0</v>
      </c>
      <c r="U597" s="12" t="b">
        <f>IFERROR(__xludf.DUMMYFUNCTION("""COMPUTED_VALUE"""),FALSE)</f>
        <v>0</v>
      </c>
      <c r="V597" s="13" t="str">
        <f>IFERROR(__xludf.DUMMYFUNCTION("""COMPUTED_VALUE"""),"https://www.mamhouston.org/services")</f>
        <v>https://www.mamhouston.org/services</v>
      </c>
      <c r="W597" s="14" t="str">
        <f>IFERROR(__xludf.DUMMYFUNCTION("""COMPUTED_VALUE"""),"https://maps.google.com/?q=Memorial%20Assistance%20Ministries%201625%20Blalock%20Rd%20Houston%20TX%2077080")</f>
        <v>https://maps.google.com/?q=Memorial%20Assistance%20Ministries%201625%20Blalock%20Rd%20Houston%20TX%2077080</v>
      </c>
      <c r="X597" s="10"/>
      <c r="Y597" s="9" t="str">
        <f>IFERROR(__xludf.DUMMYFUNCTION("""COMPUTED_VALUE"""),"Houston")</f>
        <v>Houston</v>
      </c>
      <c r="Z597" s="9" t="str">
        <f>IFERROR(__xludf.DUMMYFUNCTION("""COMPUTED_VALUE"""),"Northwest Houston, Spring Branch Central")</f>
        <v>Northwest Houston, Spring Branch Central</v>
      </c>
      <c r="AA597" s="9" t="str">
        <f>IFERROR(__xludf.DUMMYFUNCTION("""COMPUTED_VALUE"""),"Memorial Assistance Ministries")</f>
        <v>Memorial Assistance Ministries</v>
      </c>
      <c r="AB597" s="9" t="str">
        <f>IFERROR(__xludf.DUMMYFUNCTION("""COMPUTED_VALUE"""),"Northwest Houston")</f>
        <v>Northwest Houston</v>
      </c>
    </row>
    <row r="598" ht="30.0" customHeight="1">
      <c r="A598" s="17">
        <v>597.0</v>
      </c>
      <c r="B598" s="8" t="str">
        <f>IFERROR(__xludf.DUMMYFUNCTION("""COMPUTED_VALUE"""),"[""99999""]")</f>
        <v>["99999"]</v>
      </c>
      <c r="C598" s="9" t="str">
        <f>IFERROR(__xludf.DUMMYFUNCTION("""COMPUTED_VALUE"""),"Memorial Assistance Ministries (MAM)")</f>
        <v>Memorial Assistance Ministries (MAM)</v>
      </c>
      <c r="D598" s="9" t="str">
        <f>IFERROR(__xludf.DUMMYFUNCTION("""COMPUTED_VALUE"""),"1625 Blalock Road")</f>
        <v>1625 Blalock Road</v>
      </c>
      <c r="E598" s="9"/>
      <c r="F598" s="9" t="str">
        <f>IFERROR(__xludf.DUMMYFUNCTION("""COMPUTED_VALUE"""),"Houston")</f>
        <v>Houston</v>
      </c>
      <c r="G598" s="9" t="str">
        <f>IFERROR(__xludf.DUMMYFUNCTION("""COMPUTED_VALUE"""),"TX")</f>
        <v>TX</v>
      </c>
      <c r="H598" s="9" t="str">
        <f>IFERROR(__xludf.DUMMYFUNCTION("""COMPUTED_VALUE"""),"77080")</f>
        <v>77080</v>
      </c>
      <c r="I598" s="9" t="str">
        <f>IFERROR(__xludf.DUMMYFUNCTION("""COMPUTED_VALUE"""),"713-468-4516")</f>
        <v>713-468-4516</v>
      </c>
      <c r="J598" s="9" t="str">
        <f>IFERROR(__xludf.DUMMYFUNCTION("""COMPUTED_VALUE"""),"29.8007285, -95.5248507")</f>
        <v>29.8007285, -95.5248507</v>
      </c>
      <c r="K598" s="9" t="str">
        <f>IFERROR(__xludf.DUMMYFUNCTION("""COMPUTED_VALUE"""),"{""regular"":[{""days"":[""Mo"",""Tu"",""We"",""Th""],""open"":""08:30"",""close"":""16:30""},{""days"":[""Fr""],""open"":""08:30"",""close"":""13:30""}]}")</f>
        <v>{"regular":[{"days":["Mo","Tu","We","Th"],"open":"08:30","close":"16:30"},{"days":["Fr"],"open":"08:30","close":"13:30"}]}</v>
      </c>
      <c r="L598" s="9"/>
      <c r="M598" s="10">
        <f>IFERROR(__xludf.DUMMYFUNCTION("""COMPUTED_VALUE"""),32.0)</f>
        <v>32</v>
      </c>
      <c r="N598" s="10" t="str">
        <f>IFERROR(__xludf.DUMMYFUNCTION("""COMPUTED_VALUE"""),"Medical - Dental &amp; Vision")</f>
        <v>Medical - Dental &amp; Vision</v>
      </c>
      <c r="O598" s="10">
        <f>IFERROR(__xludf.DUMMYFUNCTION("""COMPUTED_VALUE"""),1.0)</f>
        <v>1</v>
      </c>
      <c r="P598" s="10" t="str">
        <f>IFERROR(__xludf.DUMMYFUNCTION("""COMPUTED_VALUE"""),"ACTIVE")</f>
        <v>ACTIVE</v>
      </c>
      <c r="Q598" s="11">
        <f>IFERROR(__xludf.DUMMYFUNCTION("""COMPUTED_VALUE"""),46049.0)</f>
        <v>46049</v>
      </c>
      <c r="R598" s="9" t="str">
        <f>IFERROR(__xludf.DUMMYFUNCTION("""COMPUTED_VALUE"""),"Verified online")</f>
        <v>Verified online</v>
      </c>
      <c r="S598" s="9" t="str">
        <f>IFERROR(__xludf.DUMMYFUNCTION("""COMPUTED_VALUE"""),"Vision
Free eye exams")</f>
        <v>Vision
Free eye exams</v>
      </c>
      <c r="T598" s="12" t="b">
        <f>IFERROR(__xludf.DUMMYFUNCTION("""COMPUTED_VALUE"""),TRUE)</f>
        <v>1</v>
      </c>
      <c r="U598" s="12" t="b">
        <f>IFERROR(__xludf.DUMMYFUNCTION("""COMPUTED_VALUE"""),FALSE)</f>
        <v>0</v>
      </c>
      <c r="V598" s="13" t="str">
        <f>IFERROR(__xludf.DUMMYFUNCTION("""COMPUTED_VALUE"""),"https://www.mamhouston.org/services")</f>
        <v>https://www.mamhouston.org/services</v>
      </c>
      <c r="W598" s="14" t="str">
        <f>IFERROR(__xludf.DUMMYFUNCTION("""COMPUTED_VALUE"""),"https://maps.google.com/?q=Memorial%20Assistance%20Ministries%201625%20Blalock%20Rd%20Houston%20TX%2077080")</f>
        <v>https://maps.google.com/?q=Memorial%20Assistance%20Ministries%201625%20Blalock%20Rd%20Houston%20TX%2077080</v>
      </c>
      <c r="X598" s="10"/>
      <c r="Y598" s="9" t="str">
        <f>IFERROR(__xludf.DUMMYFUNCTION("""COMPUTED_VALUE"""),"Houston")</f>
        <v>Houston</v>
      </c>
      <c r="Z598" s="9" t="str">
        <f>IFERROR(__xludf.DUMMYFUNCTION("""COMPUTED_VALUE"""),"Northwest Houston, Spring Branch Central")</f>
        <v>Northwest Houston, Spring Branch Central</v>
      </c>
      <c r="AA598" s="9" t="str">
        <f>IFERROR(__xludf.DUMMYFUNCTION("""COMPUTED_VALUE"""),"Memorial Assistance Ministries")</f>
        <v>Memorial Assistance Ministries</v>
      </c>
      <c r="AB598" s="9" t="str">
        <f>IFERROR(__xludf.DUMMYFUNCTION("""COMPUTED_VALUE"""),"Northwest Houston")</f>
        <v>Northwest Houston</v>
      </c>
    </row>
    <row r="599" ht="30.0" customHeight="1">
      <c r="A599" s="17">
        <v>598.0</v>
      </c>
      <c r="B599" s="8" t="str">
        <f>IFERROR(__xludf.DUMMYFUNCTION("""COMPUTED_VALUE"""),"[""77008"", ""77009"", ""77018"", ""77022"", ""77024"", ""77037"", ""77039"", ""77040"", ""77041"", ""77043"", ""77055"", ""77076"", ""77088"", ""77091"", ""77092""]")</f>
        <v>["77008", "77009", "77018", "77022", "77024", "77037", "77039", "77040", "77041", "77043", "77055", "77076", "77088", "77091", "77092"]</v>
      </c>
      <c r="C599" s="9" t="str">
        <f>IFERROR(__xludf.DUMMYFUNCTION("""COMPUTED_VALUE"""),"Memorial Assistance Ministries (MAM)")</f>
        <v>Memorial Assistance Ministries (MAM)</v>
      </c>
      <c r="D599" s="9" t="str">
        <f>IFERROR(__xludf.DUMMYFUNCTION("""COMPUTED_VALUE"""),"1625 Blalock Road")</f>
        <v>1625 Blalock Road</v>
      </c>
      <c r="E599" s="9"/>
      <c r="F599" s="9" t="str">
        <f>IFERROR(__xludf.DUMMYFUNCTION("""COMPUTED_VALUE"""),"Houston")</f>
        <v>Houston</v>
      </c>
      <c r="G599" s="9" t="str">
        <f>IFERROR(__xludf.DUMMYFUNCTION("""COMPUTED_VALUE"""),"TX")</f>
        <v>TX</v>
      </c>
      <c r="H599" s="9" t="str">
        <f>IFERROR(__xludf.DUMMYFUNCTION("""COMPUTED_VALUE"""),"77080")</f>
        <v>77080</v>
      </c>
      <c r="I599" s="9" t="str">
        <f>IFERROR(__xludf.DUMMYFUNCTION("""COMPUTED_VALUE"""),"346-145-6153 or 346-415-4260")</f>
        <v>346-145-6153 or 346-415-4260</v>
      </c>
      <c r="J599" s="9" t="str">
        <f>IFERROR(__xludf.DUMMYFUNCTION("""COMPUTED_VALUE"""),"29.8007285, -95.5248507")</f>
        <v>29.8007285, -95.5248507</v>
      </c>
      <c r="K599" s="9" t="str">
        <f>IFERROR(__xludf.DUMMYFUNCTION("""COMPUTED_VALUE"""),"{""regular"":[{""days"":[""Mo"",""Tu"",""We"",""Th""],""open"":""08:30"",""close"":""16:30""},{""days"":[""Fr""],""open"":""08:30"",""close"":""13:30""}]}")</f>
        <v>{"regular":[{"days":["Mo","Tu","We","Th"],"open":"08:30","close":"16:30"},{"days":["Fr"],"open":"08:30","close":"13:30"}]}</v>
      </c>
      <c r="L599" s="9" t="str">
        <f>IFERROR(__xludf.DUMMYFUNCTION("""COMPUTED_VALUE"""),"Appointment required")</f>
        <v>Appointment required</v>
      </c>
      <c r="M599" s="10">
        <f>IFERROR(__xludf.DUMMYFUNCTION("""COMPUTED_VALUE"""),33.0)</f>
        <v>33</v>
      </c>
      <c r="N599" s="10" t="str">
        <f>IFERROR(__xludf.DUMMYFUNCTION("""COMPUTED_VALUE"""),"Medical - Behavioral Health")</f>
        <v>Medical - Behavioral Health</v>
      </c>
      <c r="O599" s="10">
        <f>IFERROR(__xludf.DUMMYFUNCTION("""COMPUTED_VALUE"""),1.0)</f>
        <v>1</v>
      </c>
      <c r="P599" s="10" t="str">
        <f>IFERROR(__xludf.DUMMYFUNCTION("""COMPUTED_VALUE"""),"ACTIVE")</f>
        <v>ACTIVE</v>
      </c>
      <c r="Q599" s="11">
        <f>IFERROR(__xludf.DUMMYFUNCTION("""COMPUTED_VALUE"""),46049.0)</f>
        <v>46049</v>
      </c>
      <c r="R599" s="9" t="str">
        <f>IFERROR(__xludf.DUMMYFUNCTION("""COMPUTED_VALUE"""),"Verified online")</f>
        <v>Verified online</v>
      </c>
      <c r="S599" s="9" t="str">
        <f>IFERROR(__xludf.DUMMYFUNCTION("""COMPUTED_VALUE"""),"Individual and family counseling for depression, anxiety, trauma, parenting skills, grief, behavior issues and coping skills")</f>
        <v>Individual and family counseling for depression, anxiety, trauma, parenting skills, grief, behavior issues and coping skills</v>
      </c>
      <c r="T599" s="12" t="b">
        <f>IFERROR(__xludf.DUMMYFUNCTION("""COMPUTED_VALUE"""),FALSE)</f>
        <v>0</v>
      </c>
      <c r="U599" s="12" t="b">
        <f>IFERROR(__xludf.DUMMYFUNCTION("""COMPUTED_VALUE"""),FALSE)</f>
        <v>0</v>
      </c>
      <c r="V599" s="13" t="str">
        <f>IFERROR(__xludf.DUMMYFUNCTION("""COMPUTED_VALUE"""),"https://www.mamhouston.org/services")</f>
        <v>https://www.mamhouston.org/services</v>
      </c>
      <c r="W599" s="14" t="str">
        <f>IFERROR(__xludf.DUMMYFUNCTION("""COMPUTED_VALUE"""),"https://maps.google.com/?q=Memorial%20Assistance%20Ministries%201625%20Blalock%20Rd%20Houston%20TX%2077080")</f>
        <v>https://maps.google.com/?q=Memorial%20Assistance%20Ministries%201625%20Blalock%20Rd%20Houston%20TX%2077080</v>
      </c>
      <c r="X599" s="10"/>
      <c r="Y599" s="9" t="str">
        <f>IFERROR(__xludf.DUMMYFUNCTION("""COMPUTED_VALUE"""),"Houston")</f>
        <v>Houston</v>
      </c>
      <c r="Z599" s="9" t="str">
        <f>IFERROR(__xludf.DUMMYFUNCTION("""COMPUTED_VALUE"""),"Northwest Houston, Spring Branch Central")</f>
        <v>Northwest Houston, Spring Branch Central</v>
      </c>
      <c r="AA599" s="9" t="str">
        <f>IFERROR(__xludf.DUMMYFUNCTION("""COMPUTED_VALUE"""),"Memorial Assistance Ministries")</f>
        <v>Memorial Assistance Ministries</v>
      </c>
      <c r="AB599" s="9" t="str">
        <f>IFERROR(__xludf.DUMMYFUNCTION("""COMPUTED_VALUE"""),"Northwest Houston")</f>
        <v>Northwest Houston</v>
      </c>
    </row>
    <row r="600" ht="30.0" customHeight="1">
      <c r="A600" s="17">
        <v>599.0</v>
      </c>
      <c r="B600" s="8" t="str">
        <f>IFERROR(__xludf.DUMMYFUNCTION("""COMPUTED_VALUE"""),"[""99999""]")</f>
        <v>["99999"]</v>
      </c>
      <c r="C600" s="9" t="str">
        <f>IFERROR(__xludf.DUMMYFUNCTION("""COMPUTED_VALUE"""),"Memorial Assistance Ministries (MAM)")</f>
        <v>Memorial Assistance Ministries (MAM)</v>
      </c>
      <c r="D600" s="9" t="str">
        <f>IFERROR(__xludf.DUMMYFUNCTION("""COMPUTED_VALUE"""),"1625 Blalock Road")</f>
        <v>1625 Blalock Road</v>
      </c>
      <c r="E600" s="9"/>
      <c r="F600" s="9" t="str">
        <f>IFERROR(__xludf.DUMMYFUNCTION("""COMPUTED_VALUE"""),"Houston")</f>
        <v>Houston</v>
      </c>
      <c r="G600" s="9" t="str">
        <f>IFERROR(__xludf.DUMMYFUNCTION("""COMPUTED_VALUE"""),"TX")</f>
        <v>TX</v>
      </c>
      <c r="H600" s="9" t="str">
        <f>IFERROR(__xludf.DUMMYFUNCTION("""COMPUTED_VALUE"""),"77080")</f>
        <v>77080</v>
      </c>
      <c r="I600" s="9" t="str">
        <f>IFERROR(__xludf.DUMMYFUNCTION("""COMPUTED_VALUE"""),"713-468-4516")</f>
        <v>713-468-4516</v>
      </c>
      <c r="J600" s="9" t="str">
        <f>IFERROR(__xludf.DUMMYFUNCTION("""COMPUTED_VALUE"""),"29.8007285, -95.5248507")</f>
        <v>29.8007285, -95.5248507</v>
      </c>
      <c r="K600" s="9" t="str">
        <f>IFERROR(__xludf.DUMMYFUNCTION("""COMPUTED_VALUE"""),"{""regular"":[{""days"":[""Mo"",""Tu"",""We"",""Th""],""open"":""08:30"",""close"":""16:30""},{""days"":[""Fr""],""open"":""08:30"",""close"":""13:30""}]}")</f>
        <v>{"regular":[{"days":["Mo","Tu","We","Th"],"open":"08:30","close":"16:30"},{"days":["Fr"],"open":"08:30","close":"13:30"}]}</v>
      </c>
      <c r="L600" s="9"/>
      <c r="M600" s="10">
        <f>IFERROR(__xludf.DUMMYFUNCTION("""COMPUTED_VALUE"""),35.0)</f>
        <v>35</v>
      </c>
      <c r="N600" s="10" t="str">
        <f>IFERROR(__xludf.DUMMYFUNCTION("""COMPUTED_VALUE"""),"Medical - Program Enrollment")</f>
        <v>Medical - Program Enrollment</v>
      </c>
      <c r="O600" s="10">
        <f>IFERROR(__xludf.DUMMYFUNCTION("""COMPUTED_VALUE"""),1.0)</f>
        <v>1</v>
      </c>
      <c r="P600" s="10" t="str">
        <f>IFERROR(__xludf.DUMMYFUNCTION("""COMPUTED_VALUE"""),"ACTIVE")</f>
        <v>ACTIVE</v>
      </c>
      <c r="Q600" s="11">
        <f>IFERROR(__xludf.DUMMYFUNCTION("""COMPUTED_VALUE"""),45853.0)</f>
        <v>45853</v>
      </c>
      <c r="R600" s="9" t="str">
        <f>IFERROR(__xludf.DUMMYFUNCTION("""COMPUTED_VALUE"""),"Verified in person")</f>
        <v>Verified in person</v>
      </c>
      <c r="S600" s="9" t="str">
        <f>IFERROR(__xludf.DUMMYFUNCTION("""COMPUTED_VALUE"""),"Assistance with state or county benefits enrollment.
This includes SNAP, CHIP, Medicaid, TANF, etc.
Apply in person at the Blalock location.")</f>
        <v>Assistance with state or county benefits enrollment.
This includes SNAP, CHIP, Medicaid, TANF, etc.
Apply in person at the Blalock location.</v>
      </c>
      <c r="T600" s="12" t="b">
        <f>IFERROR(__xludf.DUMMYFUNCTION("""COMPUTED_VALUE"""),FALSE)</f>
        <v>0</v>
      </c>
      <c r="U600" s="12" t="b">
        <f>IFERROR(__xludf.DUMMYFUNCTION("""COMPUTED_VALUE"""),FALSE)</f>
        <v>0</v>
      </c>
      <c r="V600" s="13" t="str">
        <f>IFERROR(__xludf.DUMMYFUNCTION("""COMPUTED_VALUE"""),"https://www.mamhouston.org/services")</f>
        <v>https://www.mamhouston.org/services</v>
      </c>
      <c r="W600" s="14" t="str">
        <f>IFERROR(__xludf.DUMMYFUNCTION("""COMPUTED_VALUE"""),"https://maps.google.com/?q=Memorial%20Assistance%20Ministries%201625%20Blalock%20Rd%20Houston%20TX%2077080")</f>
        <v>https://maps.google.com/?q=Memorial%20Assistance%20Ministries%201625%20Blalock%20Rd%20Houston%20TX%2077080</v>
      </c>
      <c r="X600" s="10"/>
      <c r="Y600" s="9" t="str">
        <f>IFERROR(__xludf.DUMMYFUNCTION("""COMPUTED_VALUE"""),"Houston")</f>
        <v>Houston</v>
      </c>
      <c r="Z600" s="9" t="str">
        <f>IFERROR(__xludf.DUMMYFUNCTION("""COMPUTED_VALUE"""),"Northwest Houston, Spring Branch Central")</f>
        <v>Northwest Houston, Spring Branch Central</v>
      </c>
      <c r="AA600" s="9" t="str">
        <f>IFERROR(__xludf.DUMMYFUNCTION("""COMPUTED_VALUE"""),"Memorial Assistance Ministries")</f>
        <v>Memorial Assistance Ministries</v>
      </c>
      <c r="AB600" s="9" t="str">
        <f>IFERROR(__xludf.DUMMYFUNCTION("""COMPUTED_VALUE"""),"Northwest Houston")</f>
        <v>Northwest Houston</v>
      </c>
    </row>
    <row r="601" ht="30.0" customHeight="1">
      <c r="A601" s="17">
        <v>600.0</v>
      </c>
      <c r="B601" s="8" t="str">
        <f>IFERROR(__xludf.DUMMYFUNCTION("""COMPUTED_VALUE"""),"[""77008"", ""77009"", ""77018"", ""77022"", ""77024"", ""77037"", ""77039"", ""77040"", ""77041"", ""77043"", ""77055"", ""77076"", ""77088"", ""77091"", ""77092""]")</f>
        <v>["77008", "77009", "77018", "77022", "77024", "77037", "77039", "77040", "77041", "77043", "77055", "77076", "77088", "77091", "77092"]</v>
      </c>
      <c r="C601" s="9" t="str">
        <f>IFERROR(__xludf.DUMMYFUNCTION("""COMPUTED_VALUE"""),"Memorial Assistance Ministries (MAM)")</f>
        <v>Memorial Assistance Ministries (MAM)</v>
      </c>
      <c r="D601" s="9" t="str">
        <f>IFERROR(__xludf.DUMMYFUNCTION("""COMPUTED_VALUE"""),"1625 Blalock Road")</f>
        <v>1625 Blalock Road</v>
      </c>
      <c r="E601" s="9"/>
      <c r="F601" s="9" t="str">
        <f>IFERROR(__xludf.DUMMYFUNCTION("""COMPUTED_VALUE"""),"Houston")</f>
        <v>Houston</v>
      </c>
      <c r="G601" s="9" t="str">
        <f>IFERROR(__xludf.DUMMYFUNCTION("""COMPUTED_VALUE"""),"TX")</f>
        <v>TX</v>
      </c>
      <c r="H601" s="9" t="str">
        <f>IFERROR(__xludf.DUMMYFUNCTION("""COMPUTED_VALUE"""),"77080")</f>
        <v>77080</v>
      </c>
      <c r="I601" s="9" t="str">
        <f>IFERROR(__xludf.DUMMYFUNCTION("""COMPUTED_VALUE"""),"713-468-4516")</f>
        <v>713-468-4516</v>
      </c>
      <c r="J601" s="9" t="str">
        <f>IFERROR(__xludf.DUMMYFUNCTION("""COMPUTED_VALUE"""),"29.8007285, -95.5248507")</f>
        <v>29.8007285, -95.5248507</v>
      </c>
      <c r="K601" s="9" t="str">
        <f>IFERROR(__xludf.DUMMYFUNCTION("""COMPUTED_VALUE"""),"{""regular"":[{""days"":[""Mo"",""Tu"",""We"",""Th""],""open"":""08:30"",""close"":""16:30""},{""days"":[""Fr""],""open"":""08:30"",""close"":""13:30""}]}")</f>
        <v>{"regular":[{"days":["Mo","Tu","We","Th"],"open":"08:30","close":"16:30"},{"days":["Fr"],"open":"08:30","close":"13:30"}]}</v>
      </c>
      <c r="L601" s="9"/>
      <c r="M601" s="10">
        <f>IFERROR(__xludf.DUMMYFUNCTION("""COMPUTED_VALUE"""),36.0)</f>
        <v>36</v>
      </c>
      <c r="N601" s="10" t="str">
        <f>IFERROR(__xludf.DUMMYFUNCTION("""COMPUTED_VALUE"""),"Medical - Bill Payment")</f>
        <v>Medical - Bill Payment</v>
      </c>
      <c r="O601" s="10">
        <f>IFERROR(__xludf.DUMMYFUNCTION("""COMPUTED_VALUE"""),1.0)</f>
        <v>1</v>
      </c>
      <c r="P601" s="10" t="str">
        <f>IFERROR(__xludf.DUMMYFUNCTION("""COMPUTED_VALUE"""),"ACTIVE")</f>
        <v>ACTIVE</v>
      </c>
      <c r="Q601" s="11">
        <f>IFERROR(__xludf.DUMMYFUNCTION("""COMPUTED_VALUE"""),45853.0)</f>
        <v>45853</v>
      </c>
      <c r="R601" s="9" t="str">
        <f>IFERROR(__xludf.DUMMYFUNCTION("""COMPUTED_VALUE"""),"Verified in person")</f>
        <v>Verified in person</v>
      </c>
      <c r="S601" s="9" t="str">
        <f>IFERROR(__xludf.DUMMYFUNCTION("""COMPUTED_VALUE"""),"Assist with urgent physical and mental illness to prevent loss of work.
Immunizations and eye exams for children
Medical screenings and eye exams for adults
Flu shots
")</f>
        <v>Assist with urgent physical and mental illness to prevent loss of work.
Immunizations and eye exams for children
Medical screenings and eye exams for adults
Flu shots
</v>
      </c>
      <c r="T601" s="12" t="b">
        <f>IFERROR(__xludf.DUMMYFUNCTION("""COMPUTED_VALUE"""),FALSE)</f>
        <v>0</v>
      </c>
      <c r="U601" s="12" t="b">
        <f>IFERROR(__xludf.DUMMYFUNCTION("""COMPUTED_VALUE"""),FALSE)</f>
        <v>0</v>
      </c>
      <c r="V601" s="13" t="str">
        <f>IFERROR(__xludf.DUMMYFUNCTION("""COMPUTED_VALUE"""),"https://www.mamhouston.org/services")</f>
        <v>https://www.mamhouston.org/services</v>
      </c>
      <c r="W601" s="14" t="str">
        <f>IFERROR(__xludf.DUMMYFUNCTION("""COMPUTED_VALUE"""),"https://maps.google.com/?q=Memorial%20Assistance%20Ministries%201625%20Blalock%20Rd%20Houston%20TX%2077080")</f>
        <v>https://maps.google.com/?q=Memorial%20Assistance%20Ministries%201625%20Blalock%20Rd%20Houston%20TX%2077080</v>
      </c>
      <c r="X601" s="10"/>
      <c r="Y601" s="9" t="str">
        <f>IFERROR(__xludf.DUMMYFUNCTION("""COMPUTED_VALUE"""),"Houston")</f>
        <v>Houston</v>
      </c>
      <c r="Z601" s="9" t="str">
        <f>IFERROR(__xludf.DUMMYFUNCTION("""COMPUTED_VALUE"""),"Northwest Houston, Spring Branch Central")</f>
        <v>Northwest Houston, Spring Branch Central</v>
      </c>
      <c r="AA601" s="9" t="str">
        <f>IFERROR(__xludf.DUMMYFUNCTION("""COMPUTED_VALUE"""),"Memorial Assistance Ministries")</f>
        <v>Memorial Assistance Ministries</v>
      </c>
      <c r="AB601" s="9" t="str">
        <f>IFERROR(__xludf.DUMMYFUNCTION("""COMPUTED_VALUE"""),"Northwest Houston")</f>
        <v>Northwest Houston</v>
      </c>
    </row>
    <row r="602" ht="30.0" customHeight="1">
      <c r="A602" s="17">
        <v>601.0</v>
      </c>
      <c r="B602" s="8" t="str">
        <f>IFERROR(__xludf.DUMMYFUNCTION("""COMPUTED_VALUE"""),"[""99999""]")</f>
        <v>["99999"]</v>
      </c>
      <c r="C602" s="9" t="str">
        <f>IFERROR(__xludf.DUMMYFUNCTION("""COMPUTED_VALUE"""),"Memorial Assistance Ministries (MAM)")</f>
        <v>Memorial Assistance Ministries (MAM)</v>
      </c>
      <c r="D602" s="9" t="str">
        <f>IFERROR(__xludf.DUMMYFUNCTION("""COMPUTED_VALUE"""),"1625 Blalock Road")</f>
        <v>1625 Blalock Road</v>
      </c>
      <c r="E602" s="9"/>
      <c r="F602" s="9" t="str">
        <f>IFERROR(__xludf.DUMMYFUNCTION("""COMPUTED_VALUE"""),"Houston")</f>
        <v>Houston</v>
      </c>
      <c r="G602" s="9" t="str">
        <f>IFERROR(__xludf.DUMMYFUNCTION("""COMPUTED_VALUE"""),"TX")</f>
        <v>TX</v>
      </c>
      <c r="H602" s="9" t="str">
        <f>IFERROR(__xludf.DUMMYFUNCTION("""COMPUTED_VALUE"""),"77080")</f>
        <v>77080</v>
      </c>
      <c r="I602" s="9" t="str">
        <f>IFERROR(__xludf.DUMMYFUNCTION("""COMPUTED_VALUE"""),"713-468-4516")</f>
        <v>713-468-4516</v>
      </c>
      <c r="J602" s="9" t="str">
        <f>IFERROR(__xludf.DUMMYFUNCTION("""COMPUTED_VALUE"""),"29.8007285, -95.5248507")</f>
        <v>29.8007285, -95.5248507</v>
      </c>
      <c r="K602" s="9" t="str">
        <f>IFERROR(__xludf.DUMMYFUNCTION("""COMPUTED_VALUE"""),"{""regular"":[{""days"":[""Mo"",""Tu"",""We"",""Th""],""open"":""08:30"",""close"":""16:30""},{""days"":[""Fr""],""open"":""08:30"",""close"":""13:30""}]}")</f>
        <v>{"regular":[{"days":["Mo","Tu","We","Th"],"open":"08:30","close":"16:30"},{"days":["Fr"],"open":"08:30","close":"13:30"}]}</v>
      </c>
      <c r="L602" s="9"/>
      <c r="M602" s="10">
        <f>IFERROR(__xludf.DUMMYFUNCTION("""COMPUTED_VALUE"""),51.0)</f>
        <v>51</v>
      </c>
      <c r="N602" s="10" t="str">
        <f>IFERROR(__xludf.DUMMYFUNCTION("""COMPUTED_VALUE"""),"Education - Adults")</f>
        <v>Education - Adults</v>
      </c>
      <c r="O602" s="10">
        <f>IFERROR(__xludf.DUMMYFUNCTION("""COMPUTED_VALUE"""),1.0)</f>
        <v>1</v>
      </c>
      <c r="P602" s="10" t="str">
        <f>IFERROR(__xludf.DUMMYFUNCTION("""COMPUTED_VALUE"""),"ACTIVE")</f>
        <v>ACTIVE</v>
      </c>
      <c r="Q602" s="11">
        <f>IFERROR(__xludf.DUMMYFUNCTION("""COMPUTED_VALUE"""),45853.0)</f>
        <v>45853</v>
      </c>
      <c r="R602" s="9" t="str">
        <f>IFERROR(__xludf.DUMMYFUNCTION("""COMPUTED_VALUE"""),"Verified in person")</f>
        <v>Verified in person</v>
      </c>
      <c r="S602" s="9" t="str">
        <f>IFERROR(__xludf.DUMMYFUNCTION("""COMPUTED_VALUE"""),"Numerous classes on ESL, financial education, job coaching, vocational training, computer literacy, citizenship, employment for young adults, tax preparation, etc.
Tremendous focus on helping families be financially stable")</f>
        <v>Numerous classes on ESL, financial education, job coaching, vocational training, computer literacy, citizenship, employment for young adults, tax preparation, etc.
Tremendous focus on helping families be financially stable</v>
      </c>
      <c r="T602" s="12" t="b">
        <f>IFERROR(__xludf.DUMMYFUNCTION("""COMPUTED_VALUE"""),FALSE)</f>
        <v>0</v>
      </c>
      <c r="U602" s="12" t="b">
        <f>IFERROR(__xludf.DUMMYFUNCTION("""COMPUTED_VALUE"""),FALSE)</f>
        <v>0</v>
      </c>
      <c r="V602" s="13" t="str">
        <f>IFERROR(__xludf.DUMMYFUNCTION("""COMPUTED_VALUE"""),"https://www.mamhouston.org/services")</f>
        <v>https://www.mamhouston.org/services</v>
      </c>
      <c r="W602" s="14" t="str">
        <f>IFERROR(__xludf.DUMMYFUNCTION("""COMPUTED_VALUE"""),"https://maps.google.com/?q=Memorial%20Assistance%20Ministries%201625%20Blalock%20Rd%20Houston%20TX%2077080")</f>
        <v>https://maps.google.com/?q=Memorial%20Assistance%20Ministries%201625%20Blalock%20Rd%20Houston%20TX%2077080</v>
      </c>
      <c r="X602" s="10"/>
      <c r="Y602" s="9" t="str">
        <f>IFERROR(__xludf.DUMMYFUNCTION("""COMPUTED_VALUE"""),"Houston")</f>
        <v>Houston</v>
      </c>
      <c r="Z602" s="9" t="str">
        <f>IFERROR(__xludf.DUMMYFUNCTION("""COMPUTED_VALUE"""),"Northwest Houston, Spring Branch Central")</f>
        <v>Northwest Houston, Spring Branch Central</v>
      </c>
      <c r="AA602" s="9" t="str">
        <f>IFERROR(__xludf.DUMMYFUNCTION("""COMPUTED_VALUE"""),"Memorial Assistance Ministries")</f>
        <v>Memorial Assistance Ministries</v>
      </c>
      <c r="AB602" s="9" t="str">
        <f>IFERROR(__xludf.DUMMYFUNCTION("""COMPUTED_VALUE"""),"Northwest Houston")</f>
        <v>Northwest Houston</v>
      </c>
    </row>
    <row r="603" ht="30.0" customHeight="1">
      <c r="A603" s="17">
        <v>602.0</v>
      </c>
      <c r="B603" s="8" t="str">
        <f>IFERROR(__xludf.DUMMYFUNCTION("""COMPUTED_VALUE"""),"[""77008"", ""77009"", ""77018"", ""77022"", ""77024"", ""77037"", ""77039"", ""77040"", ""77041"", ""77043"", ""77055"", ""77076"", ""77088"", ""77091"", ""77092""]")</f>
        <v>["77008", "77009", "77018", "77022", "77024", "77037", "77039", "77040", "77041", "77043", "77055", "77076", "77088", "77091", "77092"]</v>
      </c>
      <c r="C603" s="9" t="str">
        <f>IFERROR(__xludf.DUMMYFUNCTION("""COMPUTED_VALUE"""),"Memorial Assistance Ministries (MAM)")</f>
        <v>Memorial Assistance Ministries (MAM)</v>
      </c>
      <c r="D603" s="9" t="str">
        <f>IFERROR(__xludf.DUMMYFUNCTION("""COMPUTED_VALUE"""),"1625 Blalock Road")</f>
        <v>1625 Blalock Road</v>
      </c>
      <c r="E603" s="9"/>
      <c r="F603" s="9" t="str">
        <f>IFERROR(__xludf.DUMMYFUNCTION("""COMPUTED_VALUE"""),"Houston")</f>
        <v>Houston</v>
      </c>
      <c r="G603" s="9" t="str">
        <f>IFERROR(__xludf.DUMMYFUNCTION("""COMPUTED_VALUE"""),"TX")</f>
        <v>TX</v>
      </c>
      <c r="H603" s="9" t="str">
        <f>IFERROR(__xludf.DUMMYFUNCTION("""COMPUTED_VALUE"""),"77080")</f>
        <v>77080</v>
      </c>
      <c r="I603" s="9" t="str">
        <f>IFERROR(__xludf.DUMMYFUNCTION("""COMPUTED_VALUE"""),"713-468-4516")</f>
        <v>713-468-4516</v>
      </c>
      <c r="J603" s="9" t="str">
        <f>IFERROR(__xludf.DUMMYFUNCTION("""COMPUTED_VALUE"""),"29.8007285, -95.5248507")</f>
        <v>29.8007285, -95.5248507</v>
      </c>
      <c r="K603" s="9" t="str">
        <f>IFERROR(__xludf.DUMMYFUNCTION("""COMPUTED_VALUE"""),"{""regular"":[{""days"":[""Mo"",""Tu"",""We"",""Th""],""open"":""08:30"",""close"":""16:30""},{""days"":[""Fr""],""open"":""08:30"",""close"":""13:30""}]}")</f>
        <v>{"regular":[{"days":["Mo","Tu","We","Th"],"open":"08:30","close":"16:30"},{"days":["Fr"],"open":"08:30","close":"13:30"}]}</v>
      </c>
      <c r="L603" s="9"/>
      <c r="M603" s="10">
        <f>IFERROR(__xludf.DUMMYFUNCTION("""COMPUTED_VALUE"""),64.0)</f>
        <v>64</v>
      </c>
      <c r="N603" s="10" t="str">
        <f>IFERROR(__xludf.DUMMYFUNCTION("""COMPUTED_VALUE"""),"Christmas")</f>
        <v>Christmas</v>
      </c>
      <c r="O603" s="10">
        <f>IFERROR(__xludf.DUMMYFUNCTION("""COMPUTED_VALUE"""),1.0)</f>
        <v>1</v>
      </c>
      <c r="P603" s="10" t="str">
        <f>IFERROR(__xludf.DUMMYFUNCTION("""COMPUTED_VALUE"""),"ACTIVE")</f>
        <v>ACTIVE</v>
      </c>
      <c r="Q603" s="11">
        <f>IFERROR(__xludf.DUMMYFUNCTION("""COMPUTED_VALUE"""),45853.0)</f>
        <v>45853</v>
      </c>
      <c r="R603" s="9" t="str">
        <f>IFERROR(__xludf.DUMMYFUNCTION("""COMPUTED_VALUE"""),"Verified in person")</f>
        <v>Verified in person</v>
      </c>
      <c r="S603" s="9" t="str">
        <f>IFERROR(__xludf.DUMMYFUNCTION("""COMPUTED_VALUE"""),"Gifts for children for families who received assistance that year.")</f>
        <v>Gifts for children for families who received assistance that year.</v>
      </c>
      <c r="T603" s="12" t="b">
        <f>IFERROR(__xludf.DUMMYFUNCTION("""COMPUTED_VALUE"""),FALSE)</f>
        <v>0</v>
      </c>
      <c r="U603" s="12" t="b">
        <f>IFERROR(__xludf.DUMMYFUNCTION("""COMPUTED_VALUE"""),FALSE)</f>
        <v>0</v>
      </c>
      <c r="V603" s="13" t="str">
        <f>IFERROR(__xludf.DUMMYFUNCTION("""COMPUTED_VALUE"""),"https://www.mamhouston.org/services")</f>
        <v>https://www.mamhouston.org/services</v>
      </c>
      <c r="W603" s="14" t="str">
        <f>IFERROR(__xludf.DUMMYFUNCTION("""COMPUTED_VALUE"""),"https://maps.google.com/?q=Memorial%20Assistance%20Ministries%201625%20Blalock%20Rd%20Houston%20TX%2077080")</f>
        <v>https://maps.google.com/?q=Memorial%20Assistance%20Ministries%201625%20Blalock%20Rd%20Houston%20TX%2077080</v>
      </c>
      <c r="X603" s="10"/>
      <c r="Y603" s="9" t="str">
        <f>IFERROR(__xludf.DUMMYFUNCTION("""COMPUTED_VALUE"""),"Houston")</f>
        <v>Houston</v>
      </c>
      <c r="Z603" s="9" t="str">
        <f>IFERROR(__xludf.DUMMYFUNCTION("""COMPUTED_VALUE"""),"Northwest Houston, Spring Branch Central")</f>
        <v>Northwest Houston, Spring Branch Central</v>
      </c>
      <c r="AA603" s="9" t="str">
        <f>IFERROR(__xludf.DUMMYFUNCTION("""COMPUTED_VALUE"""),"Memorial Assistance Ministries")</f>
        <v>Memorial Assistance Ministries</v>
      </c>
      <c r="AB603" s="9" t="str">
        <f>IFERROR(__xludf.DUMMYFUNCTION("""COMPUTED_VALUE"""),"Northwest Houston")</f>
        <v>Northwest Houston</v>
      </c>
    </row>
    <row r="604" ht="30.0" customHeight="1">
      <c r="A604" s="17">
        <v>603.0</v>
      </c>
      <c r="B604" s="8" t="str">
        <f>IFERROR(__xludf.DUMMYFUNCTION("""COMPUTED_VALUE"""),"[""77041"", ""77043"", ""77079"", ""77084"", ""77094"", ""77095"", ""77433"", ""77449""]")</f>
        <v>["77041", "77043", "77079", "77084", "77094", "77095", "77433", "77449"]</v>
      </c>
      <c r="C604" s="9" t="str">
        <f>IFERROR(__xludf.DUMMYFUNCTION("""COMPUTED_VALUE"""),"Mesa-Outreach Inc")</f>
        <v>Mesa-Outreach Inc</v>
      </c>
      <c r="D604" s="9" t="str">
        <f>IFERROR(__xludf.DUMMYFUNCTION("""COMPUTED_VALUE"""),"16000 Rippling Water Drive")</f>
        <v>16000 Rippling Water Drive</v>
      </c>
      <c r="E604" s="9"/>
      <c r="F604" s="9" t="str">
        <f>IFERROR(__xludf.DUMMYFUNCTION("""COMPUTED_VALUE"""),"Houston")</f>
        <v>Houston</v>
      </c>
      <c r="G604" s="9" t="str">
        <f>IFERROR(__xludf.DUMMYFUNCTION("""COMPUTED_VALUE"""),"TX")</f>
        <v>TX</v>
      </c>
      <c r="H604" s="9" t="str">
        <f>IFERROR(__xludf.DUMMYFUNCTION("""COMPUTED_VALUE"""),"77084")</f>
        <v>77084</v>
      </c>
      <c r="I604" s="9" t="str">
        <f>IFERROR(__xludf.DUMMYFUNCTION("""COMPUTED_VALUE"""),"281-599-8536")</f>
        <v>281-599-8536</v>
      </c>
      <c r="J604" s="9" t="str">
        <f>IFERROR(__xludf.DUMMYFUNCTION("""COMPUTED_VALUE"""),"29.848869278374163, -95.64152806588")</f>
        <v>29.848869278374163, -95.64152806588</v>
      </c>
      <c r="K604" s="9" t="str">
        <f>IFERROR(__xludf.DUMMYFUNCTION("""COMPUTED_VALUE"""),"{""regular"":[{""days"":[""Mo""],""open"":""10:00"",""close"":""14:00""}]}")</f>
        <v>{"regular":[{"days":["Mo"],"open":"10:00","close":"14:00"}]}</v>
      </c>
      <c r="L604" s="9" t="str">
        <f>IFERROR(__xludf.DUMMYFUNCTION("""COMPUTED_VALUE"""),"Th by appointment only.  No appointment for Sa.")</f>
        <v>Th by appointment only.  No appointment for Sa.</v>
      </c>
      <c r="M604" s="10">
        <f>IFERROR(__xludf.DUMMYFUNCTION("""COMPUTED_VALUE"""),13.0)</f>
        <v>13</v>
      </c>
      <c r="N604" s="10" t="str">
        <f>IFERROR(__xludf.DUMMYFUNCTION("""COMPUTED_VALUE"""),"Food")</f>
        <v>Food</v>
      </c>
      <c r="O604" s="10">
        <f>IFERROR(__xludf.DUMMYFUNCTION("""COMPUTED_VALUE"""),1.0)</f>
        <v>1</v>
      </c>
      <c r="P604" s="10" t="str">
        <f>IFERROR(__xludf.DUMMYFUNCTION("""COMPUTED_VALUE"""),"ACTIVE")</f>
        <v>ACTIVE</v>
      </c>
      <c r="Q604" s="11">
        <f>IFERROR(__xludf.DUMMYFUNCTION("""COMPUTED_VALUE"""),45884.0)</f>
        <v>45884</v>
      </c>
      <c r="R604" s="9" t="str">
        <f>IFERROR(__xludf.DUMMYFUNCTION("""COMPUTED_VALUE"""),"Verified online")</f>
        <v>Verified online</v>
      </c>
      <c r="S604" s="9" t="str">
        <f>IFERROR(__xludf.DUMMYFUNCTION("""COMPUTED_VALUE"""),"Current photo ID.
Proof of income and address.
Located north side of Bear Creek United Methodist Church.
Complete online registration.
")</f>
        <v>Current photo ID.
Proof of income and address.
Located north side of Bear Creek United Methodist Church.
Complete online registration.
</v>
      </c>
      <c r="T604" s="12" t="b">
        <f>IFERROR(__xludf.DUMMYFUNCTION("""COMPUTED_VALUE"""),FALSE)</f>
        <v>0</v>
      </c>
      <c r="U604" s="12" t="b">
        <f>IFERROR(__xludf.DUMMYFUNCTION("""COMPUTED_VALUE"""),FALSE)</f>
        <v>0</v>
      </c>
      <c r="V604" s="13" t="str">
        <f>IFERROR(__xludf.DUMMYFUNCTION("""COMPUTED_VALUE"""),"https://www.mesa-outreach.org/programs/food-pantry/")</f>
        <v>https://www.mesa-outreach.org/programs/food-pantry/</v>
      </c>
      <c r="W604" s="14" t="str">
        <f>IFERROR(__xludf.DUMMYFUNCTION("""COMPUTED_VALUE"""),"https://www.google.com/maps/place/MESA-OUTREACH,+INC./@29.8486599,-95.6441137,17z/data=!3m1!4b1!4m6!3m5!1s0x8640dbca6ec278cf:0xa9c7052bf6bc8d8d!8m2!3d29.8486553!4d-95.6415388!16s%2Fg%2F11yfnrwhjz?entry=ttu&amp;g_ep=EgoyMDI1MDgxMy4wIKXMDSoASAFQAw%3D%3D")</f>
        <v>https://www.google.com/maps/place/MESA-OUTREACH,+INC./@29.8486599,-95.6441137,17z/data=!3m1!4b1!4m6!3m5!1s0x8640dbca6ec278cf:0xa9c7052bf6bc8d8d!8m2!3d29.8486553!4d-95.6415388!16s%2Fg%2F11yfnrwhjz?entry=ttu&amp;g_ep=EgoyMDI1MDgxMy4wIKXMDSoASAFQAw%3D%3D</v>
      </c>
      <c r="X604" s="10"/>
      <c r="Y604" s="9" t="str">
        <f>IFERROR(__xludf.DUMMYFUNCTION("""COMPUTED_VALUE"""),"Houston")</f>
        <v>Houston</v>
      </c>
      <c r="Z604" s="9" t="str">
        <f>IFERROR(__xludf.DUMMYFUNCTION("""COMPUTED_VALUE"""),"Addicks Park Ten, Bear Creek, Copperfield")</f>
        <v>Addicks Park Ten, Bear Creek, Copperfield</v>
      </c>
      <c r="AA604" s="9" t="str">
        <f>IFERROR(__xludf.DUMMYFUNCTION("""COMPUTED_VALUE"""),"Mesa-Outreach Inc")</f>
        <v>Mesa-Outreach Inc</v>
      </c>
      <c r="AB604" s="9" t="str">
        <f>IFERROR(__xludf.DUMMYFUNCTION("""COMPUTED_VALUE"""),"Bear Creek")</f>
        <v>Bear Creek</v>
      </c>
    </row>
    <row r="605" ht="30.0" customHeight="1">
      <c r="A605" s="17">
        <v>604.0</v>
      </c>
      <c r="B605" s="8" t="str">
        <f>IFERROR(__xludf.DUMMYFUNCTION("""COMPUTED_VALUE"""),"[""99999""]")</f>
        <v>["99999"]</v>
      </c>
      <c r="C605" s="9" t="str">
        <f>IFERROR(__xludf.DUMMYFUNCTION("""COMPUTED_VALUE"""),"Mission Bells Food Pantry")</f>
        <v>Mission Bells Food Pantry</v>
      </c>
      <c r="D605" s="9" t="str">
        <f>IFERROR(__xludf.DUMMYFUNCTION("""COMPUTED_VALUE"""),"15325 Bellaire Blvd")</f>
        <v>15325 Bellaire Blvd</v>
      </c>
      <c r="E605" s="9"/>
      <c r="F605" s="9" t="str">
        <f>IFERROR(__xludf.DUMMYFUNCTION("""COMPUTED_VALUE"""),"Houston")</f>
        <v>Houston</v>
      </c>
      <c r="G605" s="9" t="str">
        <f>IFERROR(__xludf.DUMMYFUNCTION("""COMPUTED_VALUE"""),"TX")</f>
        <v>TX</v>
      </c>
      <c r="H605" s="9" t="str">
        <f>IFERROR(__xludf.DUMMYFUNCTION("""COMPUTED_VALUE"""),"77083")</f>
        <v>77083</v>
      </c>
      <c r="I605" s="9" t="str">
        <f>IFERROR(__xludf.DUMMYFUNCTION("""COMPUTED_VALUE"""),"281-850-0213")</f>
        <v>281-850-0213</v>
      </c>
      <c r="J605" s="9" t="str">
        <f>IFERROR(__xludf.DUMMYFUNCTION("""COMPUTED_VALUE"""),"29.700729, -95.6551105241936")</f>
        <v>29.700729, -95.6551105241936</v>
      </c>
      <c r="K605" s="9" t="str">
        <f>IFERROR(__xludf.DUMMYFUNCTION("""COMPUTED_VALUE"""),"{""regular"":[{""days"":[""Tu""],""open"":""09:00"",""close"":""11:00""},{""days"":[""We""],""open"":""18:00"",""close"":""19:00""},{""days"":[""Sa""],""open"":""09:00"",""close"":""11:00""}]}")</f>
        <v>{"regular":[{"days":["Tu"],"open":"09:00","close":"11:00"},{"days":["We"],"open":"18:00","close":"19:00"},{"days":["Sa"],"open":"09:00","close":"11:00"}]}</v>
      </c>
      <c r="L605" s="9" t="str">
        <f>IFERROR(__xludf.DUMMYFUNCTION("""COMPUTED_VALUE"""),"Apply online")</f>
        <v>Apply online</v>
      </c>
      <c r="M605" s="10">
        <f>IFERROR(__xludf.DUMMYFUNCTION("""COMPUTED_VALUE"""),13.0)</f>
        <v>13</v>
      </c>
      <c r="N605" s="10" t="str">
        <f>IFERROR(__xludf.DUMMYFUNCTION("""COMPUTED_VALUE"""),"Food")</f>
        <v>Food</v>
      </c>
      <c r="O605" s="10">
        <f>IFERROR(__xludf.DUMMYFUNCTION("""COMPUTED_VALUE"""),1.0)</f>
        <v>1</v>
      </c>
      <c r="P605" s="10" t="str">
        <f>IFERROR(__xludf.DUMMYFUNCTION("""COMPUTED_VALUE"""),"ACTIVE")</f>
        <v>ACTIVE</v>
      </c>
      <c r="Q605" s="11">
        <f>IFERROR(__xludf.DUMMYFUNCTION("""COMPUTED_VALUE"""),45813.0)</f>
        <v>45813</v>
      </c>
      <c r="R605" s="9" t="str">
        <f>IFERROR(__xludf.DUMMYFUNCTION("""COMPUTED_VALUE"""),"Verified online")</f>
        <v>Verified online</v>
      </c>
      <c r="S605" s="9" t="str">
        <f>IFERROR(__xludf.DUMMYFUNCTION("""COMPUTED_VALUE"""),"Located at Christ the King Episcopal Church.
Need to register online beforehand.
Registration card pickup every Wednesday from 6 p.m. to 7 p.m..
Valid ID required.")</f>
        <v>Located at Christ the King Episcopal Church.
Need to register online beforehand.
Registration card pickup every Wednesday from 6 p.m. to 7 p.m..
Valid ID required.</v>
      </c>
      <c r="T605" s="12" t="b">
        <f>IFERROR(__xludf.DUMMYFUNCTION("""COMPUTED_VALUE"""),FALSE)</f>
        <v>0</v>
      </c>
      <c r="U605" s="12" t="b">
        <f>IFERROR(__xludf.DUMMYFUNCTION("""COMPUTED_VALUE"""),FALSE)</f>
        <v>0</v>
      </c>
      <c r="V605" s="13" t="str">
        <f>IFERROR(__xludf.DUMMYFUNCTION("""COMPUTED_VALUE"""),"https://www.missionbells.org/about-us.html")</f>
        <v>https://www.missionbells.org/about-us.html</v>
      </c>
      <c r="W605" s="14" t="str">
        <f>IFERROR(__xludf.DUMMYFUNCTION("""COMPUTED_VALUE"""),"https://www.google.com/maps/place/Christ+the+King+Episcopal+Church/@29.6992298,-95.6592692,17z/data=!3m1!4b1!4m6!3m5!1s0x8640de6e3113efc1:0xfe2e3c8442ac15ef!8m2!3d29.6992252!4d-95.6566889!16s%2Fg%2F1tcv6pz3?entry=ttu&amp;g_ep=EgoyMDI1MDYwMy4wIKXMDSoASAFQAw%3D"&amp;"%3D")</f>
        <v>https://www.google.com/maps/place/Christ+the+King+Episcopal+Church/@29.6992298,-95.6592692,17z/data=!3m1!4b1!4m6!3m5!1s0x8640de6e3113efc1:0xfe2e3c8442ac15ef!8m2!3d29.6992252!4d-95.6566889!16s%2Fg%2F1tcv6pz3?entry=ttu&amp;g_ep=EgoyMDI1MDYwMy4wIKXMDSoASAFQAw%3D%3D</v>
      </c>
      <c r="X605" s="10"/>
      <c r="Y605" s="9" t="str">
        <f>IFERROR(__xludf.DUMMYFUNCTION("""COMPUTED_VALUE"""),"Houston")</f>
        <v>Houston</v>
      </c>
      <c r="Z605" s="9" t="str">
        <f>IFERROR(__xludf.DUMMYFUNCTION("""COMPUTED_VALUE"""),"Alief, Mission Bend")</f>
        <v>Alief, Mission Bend</v>
      </c>
      <c r="AA605" s="9" t="str">
        <f>IFERROR(__xludf.DUMMYFUNCTION("""COMPUTED_VALUE"""),"Mission Bells Food Pantry")</f>
        <v>Mission Bells Food Pantry</v>
      </c>
      <c r="AB605" s="9" t="str">
        <f>IFERROR(__xludf.DUMMYFUNCTION("""COMPUTED_VALUE"""),"Mission Bend")</f>
        <v>Mission Bend</v>
      </c>
    </row>
    <row r="606" ht="30.0" customHeight="1">
      <c r="A606" s="17">
        <v>605.0</v>
      </c>
      <c r="B606" s="8" t="str">
        <f>IFERROR(__xludf.DUMMYFUNCTION("""COMPUTED_VALUE"""),"[""77302"", ""77303"", ""77306"", ""77327"", ""77328"", ""77336"", ""77339"", ""77345"", ""77357"", ""77365"", ""77372""]")</f>
        <v>["77302", "77303", "77306", "77327", "77328", "77336", "77339", "77345", "77357", "77365", "77372"]</v>
      </c>
      <c r="C606" s="9" t="str">
        <f>IFERROR(__xludf.DUMMYFUNCTION("""COMPUTED_VALUE"""),"Mission Northeast")</f>
        <v>Mission Northeast</v>
      </c>
      <c r="D606" s="9" t="str">
        <f>IFERROR(__xludf.DUMMYFUNCTION("""COMPUTED_VALUE"""),"22098 Loop 494")</f>
        <v>22098 Loop 494</v>
      </c>
      <c r="E606" s="9"/>
      <c r="F606" s="9" t="str">
        <f>IFERROR(__xludf.DUMMYFUNCTION("""COMPUTED_VALUE"""),"New Caney")</f>
        <v>New Caney</v>
      </c>
      <c r="G606" s="9" t="str">
        <f>IFERROR(__xludf.DUMMYFUNCTION("""COMPUTED_VALUE"""),"TX")</f>
        <v>TX</v>
      </c>
      <c r="H606" s="9" t="str">
        <f>IFERROR(__xludf.DUMMYFUNCTION("""COMPUTED_VALUE"""),"77357")</f>
        <v>77357</v>
      </c>
      <c r="I606" s="9" t="str">
        <f>IFERROR(__xludf.DUMMYFUNCTION("""COMPUTED_VALUE"""),"281-354-1200")</f>
        <v>281-354-1200</v>
      </c>
      <c r="J606" s="9" t="str">
        <f>IFERROR(__xludf.DUMMYFUNCTION("""COMPUTED_VALUE"""),"30.1281568926175, -95.220987147651")</f>
        <v>30.1281568926175, -95.220987147651</v>
      </c>
      <c r="K606" s="9" t="str">
        <f>IFERROR(__xludf.DUMMYFUNCTION("""COMPUTED_VALUE"""),"{""regular"":[{""days"":[""Tu"",""We"",""Th""],""open"":""09:00"",""close"":""11:00""}]}")</f>
        <v>{"regular":[{"days":["Tu","We","Th"],"open":"09:00","close":"11:00"}]}</v>
      </c>
      <c r="L606" s="9"/>
      <c r="M606" s="10">
        <f>IFERROR(__xludf.DUMMYFUNCTION("""COMPUTED_VALUE"""),13.0)</f>
        <v>13</v>
      </c>
      <c r="N606" s="10" t="str">
        <f>IFERROR(__xludf.DUMMYFUNCTION("""COMPUTED_VALUE"""),"Food")</f>
        <v>Food</v>
      </c>
      <c r="O606" s="10">
        <f>IFERROR(__xludf.DUMMYFUNCTION("""COMPUTED_VALUE"""),1.0)</f>
        <v>1</v>
      </c>
      <c r="P606" s="10" t="str">
        <f>IFERROR(__xludf.DUMMYFUNCTION("""COMPUTED_VALUE"""),"ACTIVE")</f>
        <v>ACTIVE</v>
      </c>
      <c r="Q606" s="11"/>
      <c r="R606" s="9"/>
      <c r="S606" s="9" t="str">
        <f>IFERROR(__xludf.DUMMYFUNCTION("""COMPUTED_VALUE"""),"Apply in person.
Proof of residence in the form of valid driver's license, current utility bill, current mail or lease agreement.
Proof of income in the form of current pay stub, latest tax return or current Disability Income award Letter.
For each child "&amp;"one of the following 
Medicaid Letter, CHIPS card, Shot record, Letter from doctor, school enrollment letter, Crib card for babies.
Monthly home delivery of food and other assistance for senior and disabled persons.
Lunch delivery program.")</f>
        <v>Apply in person.
Proof of residence in the form of valid driver's license, current utility bill, current mail or lease agreement.
Proof of income in the form of current pay stub, latest tax return or current Disability Income award Letter.
For each child one of the following 
Medicaid Letter, CHIPS card, Shot record, Letter from doctor, school enrollment letter, Crib card for babies.
Monthly home delivery of food and other assistance for senior and disabled persons.
Lunch delivery program.</v>
      </c>
      <c r="T606" s="12" t="b">
        <f>IFERROR(__xludf.DUMMYFUNCTION("""COMPUTED_VALUE"""),FALSE)</f>
        <v>0</v>
      </c>
      <c r="U606" s="12" t="b">
        <f>IFERROR(__xludf.DUMMYFUNCTION("""COMPUTED_VALUE"""),FALSE)</f>
        <v>0</v>
      </c>
      <c r="V606" s="13" t="str">
        <f>IFERROR(__xludf.DUMMYFUNCTION("""COMPUTED_VALUE"""),"https://www.missionne.org/")</f>
        <v>https://www.missionne.org/</v>
      </c>
      <c r="W606" s="14" t="str">
        <f>IFERROR(__xludf.DUMMYFUNCTION("""COMPUTED_VALUE"""),"https://www.google.com/maps/place/Mission+Northeast/@30.1263271,-95.2247416,16z/data=!3m1!4b1!4m6!3m5!1s0x8647520b68943d01:0xb7c7a71ecf753c14!8m2!3d30.1263225!4d-95.2221667!16s%2Fg%2F1td6n14m?entry=ttu&amp;g_ep=EgoyMDI0MTAwOS4wIKXMDSoASAFQAw%3D%3D")</f>
        <v>https://www.google.com/maps/place/Mission+Northeast/@30.1263271,-95.2247416,16z/data=!3m1!4b1!4m6!3m5!1s0x8647520b68943d01:0xb7c7a71ecf753c14!8m2!3d30.1263225!4d-95.2221667!16s%2Fg%2F1td6n14m?entry=ttu&amp;g_ep=EgoyMDI0MTAwOS4wIKXMDSoASAFQAw%3D%3D</v>
      </c>
      <c r="X606" s="10"/>
      <c r="Y606" s="9" t="str">
        <f>IFERROR(__xludf.DUMMYFUNCTION("""COMPUTED_VALUE"""),"New Caney")</f>
        <v>New Caney</v>
      </c>
      <c r="Z606" s="9" t="str">
        <f>IFERROR(__xludf.DUMMYFUNCTION("""COMPUTED_VALUE"""),"New Caney")</f>
        <v>New Caney</v>
      </c>
      <c r="AA606" s="9" t="str">
        <f>IFERROR(__xludf.DUMMYFUNCTION("""COMPUTED_VALUE"""),"Mission Northeast")</f>
        <v>Mission Northeast</v>
      </c>
      <c r="AB606" s="9" t="str">
        <f>IFERROR(__xludf.DUMMYFUNCTION("""COMPUTED_VALUE"""),"New Caney")</f>
        <v>New Caney</v>
      </c>
    </row>
    <row r="607" ht="30.0" customHeight="1">
      <c r="A607" s="17">
        <v>606.0</v>
      </c>
      <c r="B607" s="8" t="str">
        <f>IFERROR(__xludf.DUMMYFUNCTION("""COMPUTED_VALUE"""),"[""77302"", ""77303"", ""77306"", ""77327"", ""77328"", ""77336"", ""77339"", ""77345"", ""77357"", ""77365"", ""77372""]")</f>
        <v>["77302", "77303", "77306", "77327", "77328", "77336", "77339", "77345", "77357", "77365", "77372"]</v>
      </c>
      <c r="C607" s="9" t="str">
        <f>IFERROR(__xludf.DUMMYFUNCTION("""COMPUTED_VALUE"""),"Mission Northeast")</f>
        <v>Mission Northeast</v>
      </c>
      <c r="D607" s="9" t="str">
        <f>IFERROR(__xludf.DUMMYFUNCTION("""COMPUTED_VALUE"""),"22098 Loop 494")</f>
        <v>22098 Loop 494</v>
      </c>
      <c r="E607" s="9"/>
      <c r="F607" s="9" t="str">
        <f>IFERROR(__xludf.DUMMYFUNCTION("""COMPUTED_VALUE"""),"New Caney")</f>
        <v>New Caney</v>
      </c>
      <c r="G607" s="9" t="str">
        <f>IFERROR(__xludf.DUMMYFUNCTION("""COMPUTED_VALUE"""),"TX")</f>
        <v>TX</v>
      </c>
      <c r="H607" s="9" t="str">
        <f>IFERROR(__xludf.DUMMYFUNCTION("""COMPUTED_VALUE"""),"77357")</f>
        <v>77357</v>
      </c>
      <c r="I607" s="9" t="str">
        <f>IFERROR(__xludf.DUMMYFUNCTION("""COMPUTED_VALUE"""),"281-354-1200")</f>
        <v>281-354-1200</v>
      </c>
      <c r="J607" s="9" t="str">
        <f>IFERROR(__xludf.DUMMYFUNCTION("""COMPUTED_VALUE"""),"30.1281568926175, -95.220987147651")</f>
        <v>30.1281568926175, -95.220987147651</v>
      </c>
      <c r="K607" s="9" t="str">
        <f>IFERROR(__xludf.DUMMYFUNCTION("""COMPUTED_VALUE"""),"{""regular"":[{""days"":[""Tu"",""We"",""Th""],""open"":""09:00"",""close"":""11:00""}]}")</f>
        <v>{"regular":[{"days":["Tu","We","Th"],"open":"09:00","close":"11:00"}]}</v>
      </c>
      <c r="L607" s="9"/>
      <c r="M607" s="10">
        <f>IFERROR(__xludf.DUMMYFUNCTION("""COMPUTED_VALUE"""),51.0)</f>
        <v>51</v>
      </c>
      <c r="N607" s="10" t="str">
        <f>IFERROR(__xludf.DUMMYFUNCTION("""COMPUTED_VALUE"""),"Education - Adults")</f>
        <v>Education - Adults</v>
      </c>
      <c r="O607" s="10">
        <f>IFERROR(__xludf.DUMMYFUNCTION("""COMPUTED_VALUE"""),1.0)</f>
        <v>1</v>
      </c>
      <c r="P607" s="10" t="str">
        <f>IFERROR(__xludf.DUMMYFUNCTION("""COMPUTED_VALUE"""),"ACTIVE")</f>
        <v>ACTIVE</v>
      </c>
      <c r="Q607" s="11"/>
      <c r="R607" s="9"/>
      <c r="S607" s="9" t="str">
        <f>IFERROR(__xludf.DUMMYFUNCTION("""COMPUTED_VALUE"""),"Adult GED and ESL classes onsite.")</f>
        <v>Adult GED and ESL classes onsite.</v>
      </c>
      <c r="T607" s="12" t="b">
        <f>IFERROR(__xludf.DUMMYFUNCTION("""COMPUTED_VALUE"""),FALSE)</f>
        <v>0</v>
      </c>
      <c r="U607" s="12" t="b">
        <f>IFERROR(__xludf.DUMMYFUNCTION("""COMPUTED_VALUE"""),FALSE)</f>
        <v>0</v>
      </c>
      <c r="V607" s="13" t="str">
        <f>IFERROR(__xludf.DUMMYFUNCTION("""COMPUTED_VALUE"""),"https://www.missionne.org/")</f>
        <v>https://www.missionne.org/</v>
      </c>
      <c r="W607" s="14" t="str">
        <f>IFERROR(__xludf.DUMMYFUNCTION("""COMPUTED_VALUE"""),"https://www.google.com/maps/place/Mission+Northeast/@30.1263271,-95.2247416,16z/data=!3m1!4b1!4m6!3m5!1s0x8647520b68943d01:0xb7c7a71ecf753c14!8m2!3d30.1263225!4d-95.2221667!16s%2Fg%2F1td6n14m?entry=ttu&amp;g_ep=EgoyMDI0MTAwOS4wIKXMDSoASAFQAw%3D%3D")</f>
        <v>https://www.google.com/maps/place/Mission+Northeast/@30.1263271,-95.2247416,16z/data=!3m1!4b1!4m6!3m5!1s0x8647520b68943d01:0xb7c7a71ecf753c14!8m2!3d30.1263225!4d-95.2221667!16s%2Fg%2F1td6n14m?entry=ttu&amp;g_ep=EgoyMDI0MTAwOS4wIKXMDSoASAFQAw%3D%3D</v>
      </c>
      <c r="X607" s="10"/>
      <c r="Y607" s="9" t="str">
        <f>IFERROR(__xludf.DUMMYFUNCTION("""COMPUTED_VALUE"""),"New Caney")</f>
        <v>New Caney</v>
      </c>
      <c r="Z607" s="9" t="str">
        <f>IFERROR(__xludf.DUMMYFUNCTION("""COMPUTED_VALUE"""),"New Caney")</f>
        <v>New Caney</v>
      </c>
      <c r="AA607" s="9" t="str">
        <f>IFERROR(__xludf.DUMMYFUNCTION("""COMPUTED_VALUE"""),"Mission Northeast")</f>
        <v>Mission Northeast</v>
      </c>
      <c r="AB607" s="9" t="str">
        <f>IFERROR(__xludf.DUMMYFUNCTION("""COMPUTED_VALUE"""),"New Caney")</f>
        <v>New Caney</v>
      </c>
    </row>
    <row r="608" ht="30.0" customHeight="1">
      <c r="A608" s="17">
        <v>607.0</v>
      </c>
      <c r="B608" s="8" t="str">
        <f>IFERROR(__xludf.DUMMYFUNCTION("""COMPUTED_VALUE"""),"[""77302"", ""77303"", ""77306"", ""77327"", ""77328"", ""77336"", ""77339"", ""77345"", ""77357"", ""77365"", ""77372""]")</f>
        <v>["77302", "77303", "77306", "77327", "77328", "77336", "77339", "77345", "77357", "77365", "77372"]</v>
      </c>
      <c r="C608" s="9" t="str">
        <f>IFERROR(__xludf.DUMMYFUNCTION("""COMPUTED_VALUE"""),"Mission Northeast")</f>
        <v>Mission Northeast</v>
      </c>
      <c r="D608" s="9" t="str">
        <f>IFERROR(__xludf.DUMMYFUNCTION("""COMPUTED_VALUE"""),"22098 Loop 494")</f>
        <v>22098 Loop 494</v>
      </c>
      <c r="E608" s="9"/>
      <c r="F608" s="9" t="str">
        <f>IFERROR(__xludf.DUMMYFUNCTION("""COMPUTED_VALUE"""),"New Caney")</f>
        <v>New Caney</v>
      </c>
      <c r="G608" s="9" t="str">
        <f>IFERROR(__xludf.DUMMYFUNCTION("""COMPUTED_VALUE"""),"TX")</f>
        <v>TX</v>
      </c>
      <c r="H608" s="9" t="str">
        <f>IFERROR(__xludf.DUMMYFUNCTION("""COMPUTED_VALUE"""),"77357")</f>
        <v>77357</v>
      </c>
      <c r="I608" s="9" t="str">
        <f>IFERROR(__xludf.DUMMYFUNCTION("""COMPUTED_VALUE"""),"281-354-1200")</f>
        <v>281-354-1200</v>
      </c>
      <c r="J608" s="9" t="str">
        <f>IFERROR(__xludf.DUMMYFUNCTION("""COMPUTED_VALUE"""),"30.1281568926175, -95.220987147651")</f>
        <v>30.1281568926175, -95.220987147651</v>
      </c>
      <c r="K608" s="9" t="str">
        <f>IFERROR(__xludf.DUMMYFUNCTION("""COMPUTED_VALUE"""),"{""regular"":[{""days"":[""Tu"",""We"",""Th""],""open"":""09:00"",""close"":""11:00""}]}")</f>
        <v>{"regular":[{"days":["Tu","We","Th"],"open":"09:00","close":"11:00"}]}</v>
      </c>
      <c r="L608" s="9"/>
      <c r="M608" s="10">
        <f>IFERROR(__xludf.DUMMYFUNCTION("""COMPUTED_VALUE"""),52.0)</f>
        <v>52</v>
      </c>
      <c r="N608" s="10" t="str">
        <f>IFERROR(__xludf.DUMMYFUNCTION("""COMPUTED_VALUE"""),"Jobs")</f>
        <v>Jobs</v>
      </c>
      <c r="O608" s="10">
        <f>IFERROR(__xludf.DUMMYFUNCTION("""COMPUTED_VALUE"""),1.0)</f>
        <v>1</v>
      </c>
      <c r="P608" s="10" t="str">
        <f>IFERROR(__xludf.DUMMYFUNCTION("""COMPUTED_VALUE"""),"ACTIVE")</f>
        <v>ACTIVE</v>
      </c>
      <c r="Q608" s="11"/>
      <c r="R608" s="9"/>
      <c r="S608" s="9" t="str">
        <f>IFERROR(__xludf.DUMMYFUNCTION("""COMPUTED_VALUE"""),"Job training and jobs ministry.")</f>
        <v>Job training and jobs ministry.</v>
      </c>
      <c r="T608" s="12" t="b">
        <f>IFERROR(__xludf.DUMMYFUNCTION("""COMPUTED_VALUE"""),FALSE)</f>
        <v>0</v>
      </c>
      <c r="U608" s="12" t="b">
        <f>IFERROR(__xludf.DUMMYFUNCTION("""COMPUTED_VALUE"""),FALSE)</f>
        <v>0</v>
      </c>
      <c r="V608" s="13" t="str">
        <f>IFERROR(__xludf.DUMMYFUNCTION("""COMPUTED_VALUE"""),"https://www.missionne.org/")</f>
        <v>https://www.missionne.org/</v>
      </c>
      <c r="W608" s="14" t="str">
        <f>IFERROR(__xludf.DUMMYFUNCTION("""COMPUTED_VALUE"""),"https://www.google.com/maps/place/Mission+Northeast/@30.1263271,-95.2247416,16z/data=!3m1!4b1!4m6!3m5!1s0x8647520b68943d01:0xb7c7a71ecf753c14!8m2!3d30.1263225!4d-95.2221667!16s%2Fg%2F1td6n14m?entry=ttu&amp;g_ep=EgoyMDI0MTAwOS4wIKXMDSoASAFQAw%3D%3D")</f>
        <v>https://www.google.com/maps/place/Mission+Northeast/@30.1263271,-95.2247416,16z/data=!3m1!4b1!4m6!3m5!1s0x8647520b68943d01:0xb7c7a71ecf753c14!8m2!3d30.1263225!4d-95.2221667!16s%2Fg%2F1td6n14m?entry=ttu&amp;g_ep=EgoyMDI0MTAwOS4wIKXMDSoASAFQAw%3D%3D</v>
      </c>
      <c r="X608" s="10"/>
      <c r="Y608" s="9" t="str">
        <f>IFERROR(__xludf.DUMMYFUNCTION("""COMPUTED_VALUE"""),"New Caney")</f>
        <v>New Caney</v>
      </c>
      <c r="Z608" s="9" t="str">
        <f>IFERROR(__xludf.DUMMYFUNCTION("""COMPUTED_VALUE"""),"New Caney")</f>
        <v>New Caney</v>
      </c>
      <c r="AA608" s="9" t="str">
        <f>IFERROR(__xludf.DUMMYFUNCTION("""COMPUTED_VALUE"""),"Mission Northeast")</f>
        <v>Mission Northeast</v>
      </c>
      <c r="AB608" s="9" t="str">
        <f>IFERROR(__xludf.DUMMYFUNCTION("""COMPUTED_VALUE"""),"New Caney")</f>
        <v>New Caney</v>
      </c>
    </row>
    <row r="609" ht="30.0" customHeight="1">
      <c r="A609" s="17">
        <v>608.0</v>
      </c>
      <c r="B609" s="8" t="str">
        <f>IFERROR(__xludf.DUMMYFUNCTION("""COMPUTED_VALUE"""),"[""77302"", ""77303"", ""77306"", ""77327"", ""77328"", ""77336"", ""77339"", ""77345"", ""77357"", ""77365"", ""77372""]")</f>
        <v>["77302", "77303", "77306", "77327", "77328", "77336", "77339", "77345", "77357", "77365", "77372"]</v>
      </c>
      <c r="C609" s="9" t="str">
        <f>IFERROR(__xludf.DUMMYFUNCTION("""COMPUTED_VALUE"""),"Mission Northeast")</f>
        <v>Mission Northeast</v>
      </c>
      <c r="D609" s="9" t="str">
        <f>IFERROR(__xludf.DUMMYFUNCTION("""COMPUTED_VALUE"""),"22098 Loop 494")</f>
        <v>22098 Loop 494</v>
      </c>
      <c r="E609" s="9"/>
      <c r="F609" s="9" t="str">
        <f>IFERROR(__xludf.DUMMYFUNCTION("""COMPUTED_VALUE"""),"New Caney")</f>
        <v>New Caney</v>
      </c>
      <c r="G609" s="9" t="str">
        <f>IFERROR(__xludf.DUMMYFUNCTION("""COMPUTED_VALUE"""),"TX")</f>
        <v>TX</v>
      </c>
      <c r="H609" s="9" t="str">
        <f>IFERROR(__xludf.DUMMYFUNCTION("""COMPUTED_VALUE"""),"77357")</f>
        <v>77357</v>
      </c>
      <c r="I609" s="9" t="str">
        <f>IFERROR(__xludf.DUMMYFUNCTION("""COMPUTED_VALUE"""),"281-354-1200")</f>
        <v>281-354-1200</v>
      </c>
      <c r="J609" s="9" t="str">
        <f>IFERROR(__xludf.DUMMYFUNCTION("""COMPUTED_VALUE"""),"30.1281568926175, -95.220987147651")</f>
        <v>30.1281568926175, -95.220987147651</v>
      </c>
      <c r="K609" s="9" t="str">
        <f>IFERROR(__xludf.DUMMYFUNCTION("""COMPUTED_VALUE"""),"{""regular"":[{""days"":[""Tu"",""We"",""Th""],""open"":""09:00"",""close"":""11:00""}]}")</f>
        <v>{"regular":[{"days":["Tu","We","Th"],"open":"09:00","close":"11:00"}]}</v>
      </c>
      <c r="L609" s="9"/>
      <c r="M609" s="10">
        <f>IFERROR(__xludf.DUMMYFUNCTION("""COMPUTED_VALUE"""),62.0)</f>
        <v>62</v>
      </c>
      <c r="N609" s="10" t="str">
        <f>IFERROR(__xludf.DUMMYFUNCTION("""COMPUTED_VALUE"""),"Handyman")</f>
        <v>Handyman</v>
      </c>
      <c r="O609" s="10">
        <f>IFERROR(__xludf.DUMMYFUNCTION("""COMPUTED_VALUE"""),1.0)</f>
        <v>1</v>
      </c>
      <c r="P609" s="10" t="str">
        <f>IFERROR(__xludf.DUMMYFUNCTION("""COMPUTED_VALUE"""),"ACTIVE")</f>
        <v>ACTIVE</v>
      </c>
      <c r="Q609" s="11"/>
      <c r="R609" s="9"/>
      <c r="S609" s="9" t="str">
        <f>IFERROR(__xludf.DUMMYFUNCTION("""COMPUTED_VALUE"""),"Assistance with home repairs, yard cleanup, wheelchair ramps, utilities and more based on available funds and volunteers.")</f>
        <v>Assistance with home repairs, yard cleanup, wheelchair ramps, utilities and more based on available funds and volunteers.</v>
      </c>
      <c r="T609" s="12" t="b">
        <f>IFERROR(__xludf.DUMMYFUNCTION("""COMPUTED_VALUE"""),FALSE)</f>
        <v>0</v>
      </c>
      <c r="U609" s="12" t="b">
        <f>IFERROR(__xludf.DUMMYFUNCTION("""COMPUTED_VALUE"""),FALSE)</f>
        <v>0</v>
      </c>
      <c r="V609" s="13" t="str">
        <f>IFERROR(__xludf.DUMMYFUNCTION("""COMPUTED_VALUE"""),"https://www.missionne.org/")</f>
        <v>https://www.missionne.org/</v>
      </c>
      <c r="W609" s="14" t="str">
        <f>IFERROR(__xludf.DUMMYFUNCTION("""COMPUTED_VALUE"""),"https://www.google.com/maps/place/Mission+Northeast/@30.1263271,-95.2247416,16z/data=!3m1!4b1!4m6!3m5!1s0x8647520b68943d01:0xb7c7a71ecf753c14!8m2!3d30.1263225!4d-95.2221667!16s%2Fg%2F1td6n14m?entry=ttu&amp;g_ep=EgoyMDI0MTAwOS4wIKXMDSoASAFQAw%3D%3D")</f>
        <v>https://www.google.com/maps/place/Mission+Northeast/@30.1263271,-95.2247416,16z/data=!3m1!4b1!4m6!3m5!1s0x8647520b68943d01:0xb7c7a71ecf753c14!8m2!3d30.1263225!4d-95.2221667!16s%2Fg%2F1td6n14m?entry=ttu&amp;g_ep=EgoyMDI0MTAwOS4wIKXMDSoASAFQAw%3D%3D</v>
      </c>
      <c r="X609" s="10"/>
      <c r="Y609" s="9" t="str">
        <f>IFERROR(__xludf.DUMMYFUNCTION("""COMPUTED_VALUE"""),"New Caney")</f>
        <v>New Caney</v>
      </c>
      <c r="Z609" s="9" t="str">
        <f>IFERROR(__xludf.DUMMYFUNCTION("""COMPUTED_VALUE"""),"New Caney")</f>
        <v>New Caney</v>
      </c>
      <c r="AA609" s="9" t="str">
        <f>IFERROR(__xludf.DUMMYFUNCTION("""COMPUTED_VALUE"""),"Mission Northeast")</f>
        <v>Mission Northeast</v>
      </c>
      <c r="AB609" s="9" t="str">
        <f>IFERROR(__xludf.DUMMYFUNCTION("""COMPUTED_VALUE"""),"New Caney")</f>
        <v>New Caney</v>
      </c>
    </row>
    <row r="610" ht="30.0" customHeight="1">
      <c r="A610" s="17">
        <v>609.0</v>
      </c>
      <c r="B610" s="8" t="str">
        <f>IFERROR(__xludf.DUMMYFUNCTION("""COMPUTED_VALUE"""),"[""77302"", ""77303"", ""77306"", ""77327"", ""77328"", ""77336"", ""77339"", ""77345"", ""77357"", ""77365"", ""77372""]")</f>
        <v>["77302", "77303", "77306", "77327", "77328", "77336", "77339", "77345", "77357", "77365", "77372"]</v>
      </c>
      <c r="C610" s="9" t="str">
        <f>IFERROR(__xludf.DUMMYFUNCTION("""COMPUTED_VALUE"""),"Mission Northeast")</f>
        <v>Mission Northeast</v>
      </c>
      <c r="D610" s="9" t="str">
        <f>IFERROR(__xludf.DUMMYFUNCTION("""COMPUTED_VALUE"""),"22098 Loop 494")</f>
        <v>22098 Loop 494</v>
      </c>
      <c r="E610" s="9"/>
      <c r="F610" s="9" t="str">
        <f>IFERROR(__xludf.DUMMYFUNCTION("""COMPUTED_VALUE"""),"New Caney")</f>
        <v>New Caney</v>
      </c>
      <c r="G610" s="9" t="str">
        <f>IFERROR(__xludf.DUMMYFUNCTION("""COMPUTED_VALUE"""),"TX")</f>
        <v>TX</v>
      </c>
      <c r="H610" s="9" t="str">
        <f>IFERROR(__xludf.DUMMYFUNCTION("""COMPUTED_VALUE"""),"77357")</f>
        <v>77357</v>
      </c>
      <c r="I610" s="9" t="str">
        <f>IFERROR(__xludf.DUMMYFUNCTION("""COMPUTED_VALUE"""),"281-354-1200")</f>
        <v>281-354-1200</v>
      </c>
      <c r="J610" s="9" t="str">
        <f>IFERROR(__xludf.DUMMYFUNCTION("""COMPUTED_VALUE"""),"30.1281568926175, -95.220987147651")</f>
        <v>30.1281568926175, -95.220987147651</v>
      </c>
      <c r="K610" s="9" t="str">
        <f>IFERROR(__xludf.DUMMYFUNCTION("""COMPUTED_VALUE"""),"{""regular"":[{""days"":[""Tu"",""We"",""Th""],""open"":""09:00"",""close"":""11:00""}]}")</f>
        <v>{"regular":[{"days":["Tu","We","Th"],"open":"09:00","close":"11:00"}]}</v>
      </c>
      <c r="L610" s="9"/>
      <c r="M610" s="10">
        <f>IFERROR(__xludf.DUMMYFUNCTION("""COMPUTED_VALUE"""),64.0)</f>
        <v>64</v>
      </c>
      <c r="N610" s="10" t="str">
        <f>IFERROR(__xludf.DUMMYFUNCTION("""COMPUTED_VALUE"""),"Christmas")</f>
        <v>Christmas</v>
      </c>
      <c r="O610" s="10">
        <f>IFERROR(__xludf.DUMMYFUNCTION("""COMPUTED_VALUE"""),1.0)</f>
        <v>1</v>
      </c>
      <c r="P610" s="10" t="str">
        <f>IFERROR(__xludf.DUMMYFUNCTION("""COMPUTED_VALUE"""),"ACTIVE")</f>
        <v>ACTIVE</v>
      </c>
      <c r="Q610" s="11"/>
      <c r="R610" s="9"/>
      <c r="S610" s="9" t="str">
        <f>IFERROR(__xludf.DUMMYFUNCTION("""COMPUTED_VALUE"""),"Toys &amp; Food.")</f>
        <v>Toys &amp; Food.</v>
      </c>
      <c r="T610" s="12" t="b">
        <f>IFERROR(__xludf.DUMMYFUNCTION("""COMPUTED_VALUE"""),FALSE)</f>
        <v>0</v>
      </c>
      <c r="U610" s="12" t="b">
        <f>IFERROR(__xludf.DUMMYFUNCTION("""COMPUTED_VALUE"""),FALSE)</f>
        <v>0</v>
      </c>
      <c r="V610" s="13" t="str">
        <f>IFERROR(__xludf.DUMMYFUNCTION("""COMPUTED_VALUE"""),"https://www.missionne.org/")</f>
        <v>https://www.missionne.org/</v>
      </c>
      <c r="W610" s="14" t="str">
        <f>IFERROR(__xludf.DUMMYFUNCTION("""COMPUTED_VALUE"""),"https://www.google.com/maps/place/Mission+Northeast/@30.1263271,-95.2247416,16z/data=!3m1!4b1!4m6!3m5!1s0x8647520b68943d01:0xb7c7a71ecf753c14!8m2!3d30.1263225!4d-95.2221667!16s%2Fg%2F1td6n14m?entry=ttu&amp;g_ep=EgoyMDI0MTAwOS4wIKXMDSoASAFQAw%3D%3D")</f>
        <v>https://www.google.com/maps/place/Mission+Northeast/@30.1263271,-95.2247416,16z/data=!3m1!4b1!4m6!3m5!1s0x8647520b68943d01:0xb7c7a71ecf753c14!8m2!3d30.1263225!4d-95.2221667!16s%2Fg%2F1td6n14m?entry=ttu&amp;g_ep=EgoyMDI0MTAwOS4wIKXMDSoASAFQAw%3D%3D</v>
      </c>
      <c r="X610" s="10"/>
      <c r="Y610" s="9" t="str">
        <f>IFERROR(__xludf.DUMMYFUNCTION("""COMPUTED_VALUE"""),"New Caney")</f>
        <v>New Caney</v>
      </c>
      <c r="Z610" s="9" t="str">
        <f>IFERROR(__xludf.DUMMYFUNCTION("""COMPUTED_VALUE"""),"New Caney")</f>
        <v>New Caney</v>
      </c>
      <c r="AA610" s="9" t="str">
        <f>IFERROR(__xludf.DUMMYFUNCTION("""COMPUTED_VALUE"""),"Mission Northeast")</f>
        <v>Mission Northeast</v>
      </c>
      <c r="AB610" s="9" t="str">
        <f>IFERROR(__xludf.DUMMYFUNCTION("""COMPUTED_VALUE"""),"New Caney")</f>
        <v>New Caney</v>
      </c>
    </row>
    <row r="611" ht="30.0" customHeight="1">
      <c r="A611" s="17">
        <v>610.0</v>
      </c>
      <c r="B611" s="8" t="str">
        <f>IFERROR(__xludf.DUMMYFUNCTION("""COMPUTED_VALUE"""),"[""99999""]")</f>
        <v>["99999"]</v>
      </c>
      <c r="C611" s="9" t="str">
        <f>IFERROR(__xludf.DUMMYFUNCTION("""COMPUTED_VALUE"""),"Mission of Yahweh")</f>
        <v>Mission of Yahweh</v>
      </c>
      <c r="D611" s="9" t="str">
        <f>IFERROR(__xludf.DUMMYFUNCTION("""COMPUTED_VALUE"""),"10247 Algiers Road")</f>
        <v>10247 Algiers Road</v>
      </c>
      <c r="E611" s="9"/>
      <c r="F611" s="9" t="str">
        <f>IFERROR(__xludf.DUMMYFUNCTION("""COMPUTED_VALUE"""),"Houston")</f>
        <v>Houston</v>
      </c>
      <c r="G611" s="9" t="str">
        <f>IFERROR(__xludf.DUMMYFUNCTION("""COMPUTED_VALUE"""),"TX")</f>
        <v>TX</v>
      </c>
      <c r="H611" s="9" t="str">
        <f>IFERROR(__xludf.DUMMYFUNCTION("""COMPUTED_VALUE"""),"77041")</f>
        <v>77041</v>
      </c>
      <c r="I611" s="9" t="str">
        <f>IFERROR(__xludf.DUMMYFUNCTION("""COMPUTED_VALUE"""),"713-466-4785")</f>
        <v>713-466-4785</v>
      </c>
      <c r="J611" s="9" t="str">
        <f>IFERROR(__xludf.DUMMYFUNCTION("""COMPUTED_VALUE"""),"29.8452550201898, -95.5468253522972")</f>
        <v>29.8452550201898, -95.5468253522972</v>
      </c>
      <c r="K611" s="9" t="str">
        <f>IFERROR(__xludf.DUMMYFUNCTION("""COMPUTED_VALUE"""),"{""regular"":[{""days"":[""Mo"",""Tu"",""We"",""Th"",""Fr""],""open"":""09:00"",""close"":""17:00""}]}")</f>
        <v>{"regular":[{"days":["Mo","Tu","We","Th","Fr"],"open":"09:00","close":"17:00"}]}</v>
      </c>
      <c r="L611" s="9"/>
      <c r="M611" s="10">
        <f>IFERROR(__xludf.DUMMYFUNCTION("""COMPUTED_VALUE"""),21.0)</f>
        <v>21</v>
      </c>
      <c r="N611" s="10" t="str">
        <f>IFERROR(__xludf.DUMMYFUNCTION("""COMPUTED_VALUE"""),"Homeless - Shelters")</f>
        <v>Homeless - Shelters</v>
      </c>
      <c r="O611" s="10">
        <f>IFERROR(__xludf.DUMMYFUNCTION("""COMPUTED_VALUE"""),1.0)</f>
        <v>1</v>
      </c>
      <c r="P611" s="10" t="str">
        <f>IFERROR(__xludf.DUMMYFUNCTION("""COMPUTED_VALUE"""),"ACTIVE")</f>
        <v>ACTIVE</v>
      </c>
      <c r="Q611" s="11"/>
      <c r="R611" s="9"/>
      <c r="S611" s="9" t="str">
        <f>IFERROR(__xludf.DUMMYFUNCTION("""COMPUTED_VALUE"""),"Coalition for the Homeless (CFTH) Partner/Rapid Rehousing
Emergency Shelter for Women &amp; Children
Case management, spiritual counseling, after school tutoring for children.")</f>
        <v>Coalition for the Homeless (CFTH) Partner/Rapid Rehousing
Emergency Shelter for Women &amp; Children
Case management, spiritual counseling, after school tutoring for children.</v>
      </c>
      <c r="T611" s="12" t="b">
        <f>IFERROR(__xludf.DUMMYFUNCTION("""COMPUTED_VALUE"""),FALSE)</f>
        <v>0</v>
      </c>
      <c r="U611" s="12" t="b">
        <f>IFERROR(__xludf.DUMMYFUNCTION("""COMPUTED_VALUE"""),FALSE)</f>
        <v>0</v>
      </c>
      <c r="V611" s="13" t="str">
        <f>IFERROR(__xludf.DUMMYFUNCTION("""COMPUTED_VALUE"""),"https://missionofyahweh.org")</f>
        <v>https://missionofyahweh.org</v>
      </c>
      <c r="W611" s="10"/>
      <c r="X611" s="10"/>
      <c r="Y611" s="9" t="str">
        <f>IFERROR(__xludf.DUMMYFUNCTION("""COMPUTED_VALUE"""),"Houston")</f>
        <v>Houston</v>
      </c>
      <c r="Z611" s="9" t="str">
        <f>IFERROR(__xludf.DUMMYFUNCTION("""COMPUTED_VALUE"""),"Northwest Houston, Spring Branch North")</f>
        <v>Northwest Houston, Spring Branch North</v>
      </c>
      <c r="AA611" s="9" t="str">
        <f>IFERROR(__xludf.DUMMYFUNCTION("""COMPUTED_VALUE"""),"Mission of Yahweh")</f>
        <v>Mission of Yahweh</v>
      </c>
      <c r="AB611" s="9" t="str">
        <f>IFERROR(__xludf.DUMMYFUNCTION("""COMPUTED_VALUE"""),"Northwest Houston")</f>
        <v>Northwest Houston</v>
      </c>
    </row>
    <row r="612" ht="30.0" customHeight="1">
      <c r="A612" s="17">
        <v>611.0</v>
      </c>
      <c r="B612" s="8" t="str">
        <f>IFERROR(__xludf.DUMMYFUNCTION("""COMPUTED_VALUE"""),"[""99999""]")</f>
        <v>["99999"]</v>
      </c>
      <c r="C612" s="9" t="str">
        <f>IFERROR(__xludf.DUMMYFUNCTION("""COMPUTED_VALUE"""),"Mission of Yahweh")</f>
        <v>Mission of Yahweh</v>
      </c>
      <c r="D612" s="9" t="str">
        <f>IFERROR(__xludf.DUMMYFUNCTION("""COMPUTED_VALUE"""),"10247 Algiers Road")</f>
        <v>10247 Algiers Road</v>
      </c>
      <c r="E612" s="9"/>
      <c r="F612" s="9" t="str">
        <f>IFERROR(__xludf.DUMMYFUNCTION("""COMPUTED_VALUE"""),"Houston")</f>
        <v>Houston</v>
      </c>
      <c r="G612" s="9" t="str">
        <f>IFERROR(__xludf.DUMMYFUNCTION("""COMPUTED_VALUE"""),"TX")</f>
        <v>TX</v>
      </c>
      <c r="H612" s="9" t="str">
        <f>IFERROR(__xludf.DUMMYFUNCTION("""COMPUTED_VALUE"""),"77041")</f>
        <v>77041</v>
      </c>
      <c r="I612" s="9" t="str">
        <f>IFERROR(__xludf.DUMMYFUNCTION("""COMPUTED_VALUE"""),"713-466-4785")</f>
        <v>713-466-4785</v>
      </c>
      <c r="J612" s="9" t="str">
        <f>IFERROR(__xludf.DUMMYFUNCTION("""COMPUTED_VALUE"""),"29.8452550201898, -95.5468253522972")</f>
        <v>29.8452550201898, -95.5468253522972</v>
      </c>
      <c r="K612" s="9" t="str">
        <f>IFERROR(__xludf.DUMMYFUNCTION("""COMPUTED_VALUE"""),"{""regular"":[{""days"":[""Mo"",""Tu"",""We"",""Th"",""Fr""],""open"":""09:00"",""close"":""17:00""}]}")</f>
        <v>{"regular":[{"days":["Mo","Tu","We","Th","Fr"],"open":"09:00","close":"17:00"}]}</v>
      </c>
      <c r="L612" s="9"/>
      <c r="M612" s="10">
        <f>IFERROR(__xludf.DUMMYFUNCTION("""COMPUTED_VALUE"""),64.0)</f>
        <v>64</v>
      </c>
      <c r="N612" s="10" t="str">
        <f>IFERROR(__xludf.DUMMYFUNCTION("""COMPUTED_VALUE"""),"Christmas")</f>
        <v>Christmas</v>
      </c>
      <c r="O612" s="10">
        <f>IFERROR(__xludf.DUMMYFUNCTION("""COMPUTED_VALUE"""),1.0)</f>
        <v>1</v>
      </c>
      <c r="P612" s="10" t="str">
        <f>IFERROR(__xludf.DUMMYFUNCTION("""COMPUTED_VALUE"""),"ACTIVE")</f>
        <v>ACTIVE</v>
      </c>
      <c r="Q612" s="11"/>
      <c r="R612" s="9"/>
      <c r="S612" s="9" t="str">
        <f>IFERROR(__xludf.DUMMYFUNCTION("""COMPUTED_VALUE"""),"For surrounding neighborhoods
Thanksgiving Dinner
Food and toys distribution for Christmas
Christmas Day celebration")</f>
        <v>For surrounding neighborhoods
Thanksgiving Dinner
Food and toys distribution for Christmas
Christmas Day celebration</v>
      </c>
      <c r="T612" s="12" t="b">
        <f>IFERROR(__xludf.DUMMYFUNCTION("""COMPUTED_VALUE"""),FALSE)</f>
        <v>0</v>
      </c>
      <c r="U612" s="12" t="b">
        <f>IFERROR(__xludf.DUMMYFUNCTION("""COMPUTED_VALUE"""),FALSE)</f>
        <v>0</v>
      </c>
      <c r="V612" s="13" t="str">
        <f>IFERROR(__xludf.DUMMYFUNCTION("""COMPUTED_VALUE"""),"https://missionofyahweh.org")</f>
        <v>https://missionofyahweh.org</v>
      </c>
      <c r="W612" s="10"/>
      <c r="X612" s="10"/>
      <c r="Y612" s="9" t="str">
        <f>IFERROR(__xludf.DUMMYFUNCTION("""COMPUTED_VALUE"""),"Houston")</f>
        <v>Houston</v>
      </c>
      <c r="Z612" s="9" t="str">
        <f>IFERROR(__xludf.DUMMYFUNCTION("""COMPUTED_VALUE"""),"Northwest Houston, Spring Branch North")</f>
        <v>Northwest Houston, Spring Branch North</v>
      </c>
      <c r="AA612" s="9" t="str">
        <f>IFERROR(__xludf.DUMMYFUNCTION("""COMPUTED_VALUE"""),"Mission of Yahweh")</f>
        <v>Mission of Yahweh</v>
      </c>
      <c r="AB612" s="9" t="str">
        <f>IFERROR(__xludf.DUMMYFUNCTION("""COMPUTED_VALUE"""),"Northwest Houston")</f>
        <v>Northwest Houston</v>
      </c>
    </row>
    <row r="613" ht="30.0" customHeight="1">
      <c r="A613" s="17">
        <v>612.0</v>
      </c>
      <c r="B61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613" s="9" t="str">
        <f>IFERROR(__xludf.DUMMYFUNCTION("""COMPUTED_VALUE"""),"Mobile Dental Unit")</f>
        <v>Mobile Dental Unit</v>
      </c>
      <c r="D613" s="9" t="str">
        <f>IFERROR(__xludf.DUMMYFUNCTION("""COMPUTED_VALUE"""),"10918 1/2 Bentley Street")</f>
        <v>10918 1/2 Bentley Street</v>
      </c>
      <c r="E613" s="9"/>
      <c r="F613" s="9" t="str">
        <f>IFERROR(__xludf.DUMMYFUNCTION("""COMPUTED_VALUE"""),"Houston")</f>
        <v>Houston</v>
      </c>
      <c r="G613" s="9" t="str">
        <f>IFERROR(__xludf.DUMMYFUNCTION("""COMPUTED_VALUE"""),"TX")</f>
        <v>TX</v>
      </c>
      <c r="H613" s="9" t="str">
        <f>IFERROR(__xludf.DUMMYFUNCTION("""COMPUTED_VALUE"""),"77093")</f>
        <v>77093</v>
      </c>
      <c r="I613" s="9" t="str">
        <f>IFERROR(__xludf.DUMMYFUNCTION("""COMPUTED_VALUE"""),"832-927-7373")</f>
        <v>832-927-7373</v>
      </c>
      <c r="J613" s="9" t="str">
        <f>IFERROR(__xludf.DUMMYFUNCTION("""COMPUTED_VALUE"""),"29.875149914021442, -95.33361256392786")</f>
        <v>29.875149914021442, -95.33361256392786</v>
      </c>
      <c r="K613" s="9" t="str">
        <f>IFERROR(__xludf.DUMMYFUNCTION("""COMPUTED_VALUE"""),"{""regular"":[{""days"":[""Tu""],""open"":""08:00"",""close"":""15:00""}]}")</f>
        <v>{"regular":[{"days":["Tu"],"open":"08:00","close":"15:00"}]}</v>
      </c>
      <c r="L613" s="9" t="str">
        <f>IFERROR(__xludf.DUMMYFUNCTION("""COMPUTED_VALUE"""),"Call for appointment but walk-ins welcome.")</f>
        <v>Call for appointment but walk-ins welcome.</v>
      </c>
      <c r="M613" s="10">
        <f>IFERROR(__xludf.DUMMYFUNCTION("""COMPUTED_VALUE"""),32.0)</f>
        <v>32</v>
      </c>
      <c r="N613" s="10" t="str">
        <f>IFERROR(__xludf.DUMMYFUNCTION("""COMPUTED_VALUE"""),"Medical - Dental &amp; Vision")</f>
        <v>Medical - Dental &amp; Vision</v>
      </c>
      <c r="O613" s="10">
        <f>IFERROR(__xludf.DUMMYFUNCTION("""COMPUTED_VALUE"""),1.0)</f>
        <v>1</v>
      </c>
      <c r="P613" s="10" t="str">
        <f>IFERROR(__xludf.DUMMYFUNCTION("""COMPUTED_VALUE"""),"ACTIVE")</f>
        <v>ACTIVE</v>
      </c>
      <c r="Q613" s="11">
        <f>IFERROR(__xludf.DUMMYFUNCTION("""COMPUTED_VALUE"""),46050.0)</f>
        <v>46050</v>
      </c>
      <c r="R613" s="9" t="str">
        <f>IFERROR(__xludf.DUMMYFUNCTION("""COMPUTED_VALUE"""),"Verified via CCSC flyer")</f>
        <v>Verified via CCSC flyer</v>
      </c>
      <c r="S613" s="9" t="str">
        <f>IFERROR(__xludf.DUMMYFUNCTION("""COMPUTED_VALUE"""),"Dental
@ James Driver Park
For adults and children
First visit is initial screening; follow-up for cleanings and basic treatment.")</f>
        <v>Dental
@ James Driver Park
For adults and children
First visit is initial screening; follow-up for cleanings and basic treatment.</v>
      </c>
      <c r="T613" s="12" t="b">
        <f>IFERROR(__xludf.DUMMYFUNCTION("""COMPUTED_VALUE"""),TRUE)</f>
        <v>1</v>
      </c>
      <c r="U613" s="12" t="b">
        <f>IFERROR(__xludf.DUMMYFUNCTION("""COMPUTED_VALUE"""),FALSE)</f>
        <v>0</v>
      </c>
      <c r="V613" s="13" t="str">
        <f>IFERROR(__xludf.DUMMYFUNCTION("""COMPUTED_VALUE"""),"https://publichealth.harriscountytx.gov/Divisions-Offices/Divisions/Community-Health-Wellness-Division/Dental-Health-Prevention/Community-Dental-Services")</f>
        <v>https://publichealth.harriscountytx.gov/Divisions-Offices/Divisions/Community-Health-Wellness-Division/Dental-Health-Prevention/Community-Dental-Services</v>
      </c>
      <c r="W613" s="14" t="str">
        <f>IFERROR(__xludf.DUMMYFUNCTION("""COMPUTED_VALUE"""),"https://www.google.com/maps/place/James+Driver+All-Inclusive+Park/@29.8749546,-95.3362787,17z/data=!3m1!4b1!4m6!3m5!1s0x8640b767045b110f:0x5c155ea1c560238c!8m2!3d29.8749546!4d-95.3336984!16s%2Fg%2F11bz08xmpz?entry=ttu&amp;g_ep=EgoyMDI2MDEyNi4wIKXMDSoKLDEwMDc5"&amp;"MjA2OUgBUAM%3D")</f>
        <v>https://www.google.com/maps/place/James+Driver+All-Inclusive+Park/@29.8749546,-95.3362787,17z/data=!3m1!4b1!4m6!3m5!1s0x8640b767045b110f:0x5c155ea1c560238c!8m2!3d29.8749546!4d-95.3336984!16s%2Fg%2F11bz08xmpz?entry=ttu&amp;g_ep=EgoyMDI2MDEyNi4wIKXMDSoKLDEwMDc5MjA2OUgBUAM%3D</v>
      </c>
      <c r="X613" s="10"/>
      <c r="Y613" s="9" t="str">
        <f>IFERROR(__xludf.DUMMYFUNCTION("""COMPUTED_VALUE"""),"Houston")</f>
        <v>Houston</v>
      </c>
      <c r="Z613" s="9" t="str">
        <f>IFERROR(__xludf.DUMMYFUNCTION("""COMPUTED_VALUE"""),"Eastex, Jensen, Northeast Houston")</f>
        <v>Eastex, Jensen, Northeast Houston</v>
      </c>
      <c r="AA613" s="9" t="str">
        <f>IFERROR(__xludf.DUMMYFUNCTION("""COMPUTED_VALUE"""),"Harris County Public Health")</f>
        <v>Harris County Public Health</v>
      </c>
      <c r="AB613" s="9" t="str">
        <f>IFERROR(__xludf.DUMMYFUNCTION("""COMPUTED_VALUE"""),"Northeast Houston")</f>
        <v>Northeast Houston</v>
      </c>
    </row>
    <row r="614" ht="30.0" customHeight="1">
      <c r="A614" s="17">
        <v>613.0</v>
      </c>
      <c r="B61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614" s="9" t="str">
        <f>IFERROR(__xludf.DUMMYFUNCTION("""COMPUTED_VALUE"""),"Mobile Dental Unit")</f>
        <v>Mobile Dental Unit</v>
      </c>
      <c r="D614" s="9" t="str">
        <f>IFERROR(__xludf.DUMMYFUNCTION("""COMPUTED_VALUE"""),"1503 S Houston Avenue")</f>
        <v>1503 S Houston Avenue</v>
      </c>
      <c r="E614" s="9"/>
      <c r="F614" s="9" t="str">
        <f>IFERROR(__xludf.DUMMYFUNCTION("""COMPUTED_VALUE"""),"Humble")</f>
        <v>Humble</v>
      </c>
      <c r="G614" s="9" t="str">
        <f>IFERROR(__xludf.DUMMYFUNCTION("""COMPUTED_VALUE"""),"TX")</f>
        <v>TX</v>
      </c>
      <c r="H614" s="9" t="str">
        <f>IFERROR(__xludf.DUMMYFUNCTION("""COMPUTED_VALUE"""),"77338")</f>
        <v>77338</v>
      </c>
      <c r="I614" s="9" t="str">
        <f>IFERROR(__xludf.DUMMYFUNCTION("""COMPUTED_VALUE"""),"832-927-7373")</f>
        <v>832-927-7373</v>
      </c>
      <c r="J614" s="9" t="str">
        <f>IFERROR(__xludf.DUMMYFUNCTION("""COMPUTED_VALUE"""),"29.98073545267908, -95.26025875723494")</f>
        <v>29.98073545267908, -95.26025875723494</v>
      </c>
      <c r="K614" s="9" t="str">
        <f>IFERROR(__xludf.DUMMYFUNCTION("""COMPUTED_VALUE"""),"{""special"":[{""pattern"":""1st &amp; 3rd Fr"",""open"":""08:00"",""close"":""15:00""}]}")</f>
        <v>{"special":[{"pattern":"1st &amp; 3rd Fr","open":"08:00","close":"15:00"}]}</v>
      </c>
      <c r="L614" s="9" t="str">
        <f>IFERROR(__xludf.DUMMYFUNCTION("""COMPUTED_VALUE"""),"Call for appointment but walk-ins welcome.")</f>
        <v>Call for appointment but walk-ins welcome.</v>
      </c>
      <c r="M614" s="10">
        <f>IFERROR(__xludf.DUMMYFUNCTION("""COMPUTED_VALUE"""),32.0)</f>
        <v>32</v>
      </c>
      <c r="N614" s="10" t="str">
        <f>IFERROR(__xludf.DUMMYFUNCTION("""COMPUTED_VALUE"""),"Medical - Dental &amp; Vision")</f>
        <v>Medical - Dental &amp; Vision</v>
      </c>
      <c r="O614" s="10">
        <f>IFERROR(__xludf.DUMMYFUNCTION("""COMPUTED_VALUE"""),1.0)</f>
        <v>1</v>
      </c>
      <c r="P614" s="10" t="str">
        <f>IFERROR(__xludf.DUMMYFUNCTION("""COMPUTED_VALUE"""),"ACTIVE")</f>
        <v>ACTIVE</v>
      </c>
      <c r="Q614" s="11">
        <f>IFERROR(__xludf.DUMMYFUNCTION("""COMPUTED_VALUE"""),46050.0)</f>
        <v>46050</v>
      </c>
      <c r="R614" s="9" t="str">
        <f>IFERROR(__xludf.DUMMYFUNCTION("""COMPUTED_VALUE"""),"Verified via CCSC flyer")</f>
        <v>Verified via CCSC flyer</v>
      </c>
      <c r="S614" s="9" t="str">
        <f>IFERROR(__xludf.DUMMYFUNCTION("""COMPUTED_VALUE"""),"Dental
@ Octavia Fields Library
For adults and children
First visit is initial screening; follow-up for cleanings and basic treatment.")</f>
        <v>Dental
@ Octavia Fields Library
For adults and children
First visit is initial screening; follow-up for cleanings and basic treatment.</v>
      </c>
      <c r="T614" s="12" t="b">
        <f>IFERROR(__xludf.DUMMYFUNCTION("""COMPUTED_VALUE"""),TRUE)</f>
        <v>1</v>
      </c>
      <c r="U614" s="12" t="b">
        <f>IFERROR(__xludf.DUMMYFUNCTION("""COMPUTED_VALUE"""),FALSE)</f>
        <v>0</v>
      </c>
      <c r="V614" s="13" t="str">
        <f>IFERROR(__xludf.DUMMYFUNCTION("""COMPUTED_VALUE"""),"https://publichealth.harriscountytx.gov/Divisions-Offices/Divisions/Community-Health-Wellness-Division/Dental-Health-Prevention/Community-Dental-Services")</f>
        <v>https://publichealth.harriscountytx.gov/Divisions-Offices/Divisions/Community-Health-Wellness-Division/Dental-Health-Prevention/Community-Dental-Services</v>
      </c>
      <c r="W614" s="14" t="str">
        <f>IFERROR(__xludf.DUMMYFUNCTION("""COMPUTED_VALUE"""),"https://www.google.com/maps/place/Octavia+Fields+Branch+Library/@29.9804567,-95.2625923,17z/data=!3m1!4b1!4m6!3m5!1s0x8640b2371806945d:0xb55b6d463df22b15!8m2!3d29.9804567!4d-95.260012!16s%2Fg%2F1tfk06xz?entry=ttu&amp;g_ep=EgoyMDI2MDEyNi4wIKXMDSoKLDEwMDc5MjA2O"&amp;"UgBUAM%3D")</f>
        <v>https://www.google.com/maps/place/Octavia+Fields+Branch+Library/@29.9804567,-95.2625923,17z/data=!3m1!4b1!4m6!3m5!1s0x8640b2371806945d:0xb55b6d463df22b15!8m2!3d29.9804567!4d-95.260012!16s%2Fg%2F1tfk06xz?entry=ttu&amp;g_ep=EgoyMDI2MDEyNi4wIKXMDSoKLDEwMDc5MjA2OUgBUAM%3D</v>
      </c>
      <c r="X614" s="10"/>
      <c r="Y614" s="9" t="str">
        <f>IFERROR(__xludf.DUMMYFUNCTION("""COMPUTED_VALUE"""),"Humble")</f>
        <v>Humble</v>
      </c>
      <c r="Z614" s="9" t="str">
        <f>IFERROR(__xludf.DUMMYFUNCTION("""COMPUTED_VALUE"""),"Humble, Humble (Old Town), Northshire")</f>
        <v>Humble, Humble (Old Town), Northshire</v>
      </c>
      <c r="AA614" s="9" t="str">
        <f>IFERROR(__xludf.DUMMYFUNCTION("""COMPUTED_VALUE"""),"Harris County Public Health")</f>
        <v>Harris County Public Health</v>
      </c>
      <c r="AB614" s="9" t="str">
        <f>IFERROR(__xludf.DUMMYFUNCTION("""COMPUTED_VALUE"""),"Humble")</f>
        <v>Humble</v>
      </c>
    </row>
    <row r="615" ht="30.0" customHeight="1">
      <c r="A615" s="17">
        <v>614.0</v>
      </c>
      <c r="B61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615" s="9" t="str">
        <f>IFERROR(__xludf.DUMMYFUNCTION("""COMPUTED_VALUE"""),"Mobile Dental Unit")</f>
        <v>Mobile Dental Unit</v>
      </c>
      <c r="D615" s="9" t="str">
        <f>IFERROR(__xludf.DUMMYFUNCTION("""COMPUTED_VALUE"""),"7122 Gessner Road")</f>
        <v>7122 Gessner Road</v>
      </c>
      <c r="E615" s="9"/>
      <c r="F615" s="9" t="str">
        <f>IFERROR(__xludf.DUMMYFUNCTION("""COMPUTED_VALUE"""),"Houston")</f>
        <v>Houston</v>
      </c>
      <c r="G615" s="9" t="str">
        <f>IFERROR(__xludf.DUMMYFUNCTION("""COMPUTED_VALUE"""),"TX")</f>
        <v>TX</v>
      </c>
      <c r="H615" s="9" t="str">
        <f>IFERROR(__xludf.DUMMYFUNCTION("""COMPUTED_VALUE"""),"77040")</f>
        <v>77040</v>
      </c>
      <c r="I615" s="9" t="str">
        <f>IFERROR(__xludf.DUMMYFUNCTION("""COMPUTED_VALUE"""),"832-927-7373")</f>
        <v>832-927-7373</v>
      </c>
      <c r="J615" s="9" t="str">
        <f>IFERROR(__xludf.DUMMYFUNCTION("""COMPUTED_VALUE"""),"29.872233835126703, -95.54117069402113")</f>
        <v>29.872233835126703, -95.54117069402113</v>
      </c>
      <c r="K615" s="9" t="str">
        <f>IFERROR(__xludf.DUMMYFUNCTION("""COMPUTED_VALUE"""),"{""regular"":[{""days"":[""Mo""],""open"":""08:00"",""close"":""15:00""}]}")</f>
        <v>{"regular":[{"days":["Mo"],"open":"08:00","close":"15:00"}]}</v>
      </c>
      <c r="L615" s="9" t="str">
        <f>IFERROR(__xludf.DUMMYFUNCTION("""COMPUTED_VALUE"""),"Call for appointment but walk-ins welcome.")</f>
        <v>Call for appointment but walk-ins welcome.</v>
      </c>
      <c r="M615" s="10">
        <f>IFERROR(__xludf.DUMMYFUNCTION("""COMPUTED_VALUE"""),32.0)</f>
        <v>32</v>
      </c>
      <c r="N615" s="10" t="str">
        <f>IFERROR(__xludf.DUMMYFUNCTION("""COMPUTED_VALUE"""),"Medical - Dental &amp; Vision")</f>
        <v>Medical - Dental &amp; Vision</v>
      </c>
      <c r="O615" s="10">
        <f>IFERROR(__xludf.DUMMYFUNCTION("""COMPUTED_VALUE"""),1.0)</f>
        <v>1</v>
      </c>
      <c r="P615" s="10" t="str">
        <f>IFERROR(__xludf.DUMMYFUNCTION("""COMPUTED_VALUE"""),"ACTIVE")</f>
        <v>ACTIVE</v>
      </c>
      <c r="Q615" s="11">
        <f>IFERROR(__xludf.DUMMYFUNCTION("""COMPUTED_VALUE"""),46050.0)</f>
        <v>46050</v>
      </c>
      <c r="R615" s="9" t="str">
        <f>IFERROR(__xludf.DUMMYFUNCTION("""COMPUTED_VALUE"""),"Verified via CCSC flyer")</f>
        <v>Verified via CCSC flyer</v>
      </c>
      <c r="S615" s="9" t="str">
        <f>IFERROR(__xludf.DUMMYFUNCTION("""COMPUTED_VALUE"""),"Dental
@ Fairbanks Library
For adults and children
First visit is initial screening; follow-up for cleanings and basic treatment.")</f>
        <v>Dental
@ Fairbanks Library
For adults and children
First visit is initial screening; follow-up for cleanings and basic treatment.</v>
      </c>
      <c r="T615" s="12" t="b">
        <f>IFERROR(__xludf.DUMMYFUNCTION("""COMPUTED_VALUE"""),TRUE)</f>
        <v>1</v>
      </c>
      <c r="U615" s="12" t="b">
        <f>IFERROR(__xludf.DUMMYFUNCTION("""COMPUTED_VALUE"""),FALSE)</f>
        <v>0</v>
      </c>
      <c r="V615" s="13" t="str">
        <f>IFERROR(__xludf.DUMMYFUNCTION("""COMPUTED_VALUE"""),"https://publichealth.harriscountytx.gov/Divisions-Offices/Divisions/Community-Health-Wellness-Division/Dental-Health-Prevention/Community-Dental-Services")</f>
        <v>https://publichealth.harriscountytx.gov/Divisions-Offices/Divisions/Community-Health-Wellness-Division/Dental-Health-Prevention/Community-Dental-Services</v>
      </c>
      <c r="W615" s="14" t="str">
        <f>IFERROR(__xludf.DUMMYFUNCTION("""COMPUTED_VALUE"""),"https://www.google.com/maps/place/Fairbanks+Library/@29.8720013,-95.543751,17z/data=!3m1!4b1!4m6!3m5!1s0x8640cf9355146beb:0xcf6f02dd11cda91c!8m2!3d29.8720013!4d-95.5411707!16s%2Fg%2F1tf7bgzt?entry=ttu&amp;g_ep=EgoyMDI2MDEyNi4wIKXMDSoKLDEwMDc5MjA2OUgBUAM%3D")</f>
        <v>https://www.google.com/maps/place/Fairbanks+Library/@29.8720013,-95.543751,17z/data=!3m1!4b1!4m6!3m5!1s0x8640cf9355146beb:0xcf6f02dd11cda91c!8m2!3d29.8720013!4d-95.5411707!16s%2Fg%2F1tf7bgzt?entry=ttu&amp;g_ep=EgoyMDI2MDEyNi4wIKXMDSoKLDEwMDc5MjA2OUgBUAM%3D</v>
      </c>
      <c r="X615" s="10"/>
      <c r="Y615" s="9" t="str">
        <f>IFERROR(__xludf.DUMMYFUNCTION("""COMPUTED_VALUE"""),"Houston")</f>
        <v>Houston</v>
      </c>
      <c r="Z615" s="9" t="str">
        <f>IFERROR(__xludf.DUMMYFUNCTION("""COMPUTED_VALUE"""),"Fairbanks / Northwest Crossing, Jersey Village, Northside, Oak Hollow")</f>
        <v>Fairbanks / Northwest Crossing, Jersey Village, Northside, Oak Hollow</v>
      </c>
      <c r="AA615" s="9" t="str">
        <f>IFERROR(__xludf.DUMMYFUNCTION("""COMPUTED_VALUE"""),"Harris County Public Health")</f>
        <v>Harris County Public Health</v>
      </c>
      <c r="AB615" s="9" t="str">
        <f>IFERROR(__xludf.DUMMYFUNCTION("""COMPUTED_VALUE"""),"Oak Hollow")</f>
        <v>Oak Hollow</v>
      </c>
    </row>
    <row r="616" ht="30.0" customHeight="1">
      <c r="A616" s="17">
        <v>615.0</v>
      </c>
      <c r="B61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616" s="9" t="str">
        <f>IFERROR(__xludf.DUMMYFUNCTION("""COMPUTED_VALUE"""),"Mobile Dental Unit")</f>
        <v>Mobile Dental Unit</v>
      </c>
      <c r="D616" s="9" t="str">
        <f>IFERROR(__xludf.DUMMYFUNCTION("""COMPUTED_VALUE"""),"7340 Spencer Highway")</f>
        <v>7340 Spencer Highway</v>
      </c>
      <c r="E616" s="9"/>
      <c r="F616" s="9" t="str">
        <f>IFERROR(__xludf.DUMMYFUNCTION("""COMPUTED_VALUE"""),"Pasadena")</f>
        <v>Pasadena</v>
      </c>
      <c r="G616" s="9" t="str">
        <f>IFERROR(__xludf.DUMMYFUNCTION("""COMPUTED_VALUE"""),"TX")</f>
        <v>TX</v>
      </c>
      <c r="H616" s="9" t="str">
        <f>IFERROR(__xludf.DUMMYFUNCTION("""COMPUTED_VALUE"""),"77505")</f>
        <v>77505</v>
      </c>
      <c r="I616" s="9" t="str">
        <f>IFERROR(__xludf.DUMMYFUNCTION("""COMPUTED_VALUE"""),"832-927-7373")</f>
        <v>832-927-7373</v>
      </c>
      <c r="J616" s="9" t="str">
        <f>IFERROR(__xludf.DUMMYFUNCTION("""COMPUTED_VALUE"""),"29.660832041079075, -95.12566324839443")</f>
        <v>29.660832041079075, -95.12566324839443</v>
      </c>
      <c r="K616" s="9" t="str">
        <f>IFERROR(__xludf.DUMMYFUNCTION("""COMPUTED_VALUE"""),"{""regular"":[{""days"":[""We""],""open"":""08:00"",""close"":""15:00""}]}")</f>
        <v>{"regular":[{"days":["We"],"open":"08:00","close":"15:00"}]}</v>
      </c>
      <c r="L616" s="9" t="str">
        <f>IFERROR(__xludf.DUMMYFUNCTION("""COMPUTED_VALUE"""),"Call for appointment but walk-ins welcome.")</f>
        <v>Call for appointment but walk-ins welcome.</v>
      </c>
      <c r="M616" s="10">
        <f>IFERROR(__xludf.DUMMYFUNCTION("""COMPUTED_VALUE"""),32.0)</f>
        <v>32</v>
      </c>
      <c r="N616" s="10" t="str">
        <f>IFERROR(__xludf.DUMMYFUNCTION("""COMPUTED_VALUE"""),"Medical - Dental &amp; Vision")</f>
        <v>Medical - Dental &amp; Vision</v>
      </c>
      <c r="O616" s="10">
        <f>IFERROR(__xludf.DUMMYFUNCTION("""COMPUTED_VALUE"""),1.0)</f>
        <v>1</v>
      </c>
      <c r="P616" s="10" t="str">
        <f>IFERROR(__xludf.DUMMYFUNCTION("""COMPUTED_VALUE"""),"ACTIVE")</f>
        <v>ACTIVE</v>
      </c>
      <c r="Q616" s="11">
        <f>IFERROR(__xludf.DUMMYFUNCTION("""COMPUTED_VALUE"""),46050.0)</f>
        <v>46050</v>
      </c>
      <c r="R616" s="9" t="str">
        <f>IFERROR(__xludf.DUMMYFUNCTION("""COMPUTED_VALUE"""),"Verified via CCSC flyer")</f>
        <v>Verified via CCSC flyer</v>
      </c>
      <c r="S616" s="9" t="str">
        <f>IFERROR(__xludf.DUMMYFUNCTION("""COMPUTED_VALUE"""),"Dental
@ Olson Park
For adults and children
First visit is initial screening; follow-up for cleanings and basic treatment.")</f>
        <v>Dental
@ Olson Park
For adults and children
First visit is initial screening; follow-up for cleanings and basic treatment.</v>
      </c>
      <c r="T616" s="12" t="b">
        <f>IFERROR(__xludf.DUMMYFUNCTION("""COMPUTED_VALUE"""),TRUE)</f>
        <v>1</v>
      </c>
      <c r="U616" s="12" t="b">
        <f>IFERROR(__xludf.DUMMYFUNCTION("""COMPUTED_VALUE"""),FALSE)</f>
        <v>0</v>
      </c>
      <c r="V616" s="13" t="str">
        <f>IFERROR(__xludf.DUMMYFUNCTION("""COMPUTED_VALUE"""),"https://publichealth.harriscountytx.gov/Divisions-Offices/Divisions/Community-Health-Wellness-Division/Dental-Health-Prevention/Community-Dental-Services")</f>
        <v>https://publichealth.harriscountytx.gov/Divisions-Offices/Divisions/Community-Health-Wellness-Division/Dental-Health-Prevention/Community-Dental-Services</v>
      </c>
      <c r="W616" s="14" t="str">
        <f>IFERROR(__xludf.DUMMYFUNCTION("""COMPUTED_VALUE"""),"https://www.google.com/maps/place/7340+Spencer+Hwy,+Pasadena,+TX+77505/@29.6605524,-95.1282972,17z/data=!3m1!4b1!4m6!3m5!1s0x86409f3c2513b38b:0x9e8a827402316fcf!8m2!3d29.6605524!4d-95.1257169!16s%2Fg%2F11c43tfbm6?entry=ttu&amp;g_ep=EgoyMDI2MDEyNi4wIKXMDSoKLDE"&amp;"wMDc5MjA2OUgBUAM%3D")</f>
        <v>https://www.google.com/maps/place/7340+Spencer+Hwy,+Pasadena,+TX+77505/@29.6605524,-95.1282972,17z/data=!3m1!4b1!4m6!3m5!1s0x86409f3c2513b38b:0x9e8a827402316fcf!8m2!3d29.6605524!4d-95.1257169!16s%2Fg%2F11c43tfbm6?entry=ttu&amp;g_ep=EgoyMDI2MDEyNi4wIKXMDSoKLDEwMDc5MjA2OUgBUAM%3D</v>
      </c>
      <c r="X616" s="10"/>
      <c r="Y616" s="9" t="str">
        <f>IFERROR(__xludf.DUMMYFUNCTION("""COMPUTED_VALUE"""),"Pasadena")</f>
        <v>Pasadena</v>
      </c>
      <c r="Z616" s="9" t="str">
        <f>IFERROR(__xludf.DUMMYFUNCTION("""COMPUTED_VALUE"""),"Pasadena")</f>
        <v>Pasadena</v>
      </c>
      <c r="AA616" s="9" t="str">
        <f>IFERROR(__xludf.DUMMYFUNCTION("""COMPUTED_VALUE"""),"Harris County Public Health")</f>
        <v>Harris County Public Health</v>
      </c>
      <c r="AB616" s="9" t="str">
        <f>IFERROR(__xludf.DUMMYFUNCTION("""COMPUTED_VALUE"""),"Pasadena")</f>
        <v>Pasadena</v>
      </c>
    </row>
    <row r="617" ht="30.0" customHeight="1">
      <c r="A617" s="17">
        <v>616.0</v>
      </c>
      <c r="B617" s="8" t="str">
        <f>IFERROR(__xludf.DUMMYFUNCTION("""COMPUTED_VALUE"""),"[""99999""]")</f>
        <v>["99999"]</v>
      </c>
      <c r="C617" s="9" t="str">
        <f>IFERROR(__xludf.DUMMYFUNCTION("""COMPUTED_VALUE"""),"Montgomery County Women's Center")</f>
        <v>Montgomery County Women's Center</v>
      </c>
      <c r="D617" s="9" t="str">
        <f>IFERROR(__xludf.DUMMYFUNCTION("""COMPUTED_VALUE"""),"1401 Airport Road")</f>
        <v>1401 Airport Road</v>
      </c>
      <c r="E617" s="9"/>
      <c r="F617" s="9" t="str">
        <f>IFERROR(__xludf.DUMMYFUNCTION("""COMPUTED_VALUE"""),"Conroe")</f>
        <v>Conroe</v>
      </c>
      <c r="G617" s="9" t="str">
        <f>IFERROR(__xludf.DUMMYFUNCTION("""COMPUTED_VALUE"""),"TX")</f>
        <v>TX</v>
      </c>
      <c r="H617" s="9" t="str">
        <f>IFERROR(__xludf.DUMMYFUNCTION("""COMPUTED_VALUE"""),"77301")</f>
        <v>77301</v>
      </c>
      <c r="I617" s="9" t="str">
        <f>IFERROR(__xludf.DUMMYFUNCTION("""COMPUTED_VALUE"""),"936-441-7273")</f>
        <v>936-441-7273</v>
      </c>
      <c r="J617" s="9" t="str">
        <f>IFERROR(__xludf.DUMMYFUNCTION("""COMPUTED_VALUE"""),"30.323814169512, -95.4414064474392")</f>
        <v>30.323814169512, -95.4414064474392</v>
      </c>
      <c r="K617" s="9" t="str">
        <f>IFERROR(__xludf.DUMMYFUNCTION("""COMPUTED_VALUE"""),"{""regular"":[{""days"":[""Mo"",""Tu"",""We"",""Th"",""Fr"",""Sa"",""Su""],""open"":""00:00"",""close"":""23:59""}]}")</f>
        <v>{"regular":[{"days":["Mo","Tu","We","Th","Fr","Sa","Su"],"open":"00:00","close":"23:59"}]}</v>
      </c>
      <c r="L617" s="9"/>
      <c r="M617" s="10">
        <f>IFERROR(__xludf.DUMMYFUNCTION("""COMPUTED_VALUE"""),41.0)</f>
        <v>41</v>
      </c>
      <c r="N617" s="10" t="str">
        <f>IFERROR(__xludf.DUMMYFUNCTION("""COMPUTED_VALUE"""),"Domestic Abuse - Shelters")</f>
        <v>Domestic Abuse - Shelters</v>
      </c>
      <c r="O617" s="10">
        <f>IFERROR(__xludf.DUMMYFUNCTION("""COMPUTED_VALUE"""),1.0)</f>
        <v>1</v>
      </c>
      <c r="P617" s="10" t="str">
        <f>IFERROR(__xludf.DUMMYFUNCTION("""COMPUTED_VALUE"""),"ACTIVE")</f>
        <v>ACTIVE</v>
      </c>
      <c r="Q617" s="11"/>
      <c r="R617" s="9"/>
      <c r="S617" s="9" t="str">
        <f>IFERROR(__xludf.DUMMYFUNCTION("""COMPUTED_VALUE"""),"Coalition for the Homeless (CFTH) Partner/Rapid Rehousing
Counseling &amp; Support
Advocacy &amp; Accompaniment
Legal Services
Transitional Housing
Thrift Store")</f>
        <v>Coalition for the Homeless (CFTH) Partner/Rapid Rehousing
Counseling &amp; Support
Advocacy &amp; Accompaniment
Legal Services
Transitional Housing
Thrift Store</v>
      </c>
      <c r="T617" s="12" t="b">
        <f>IFERROR(__xludf.DUMMYFUNCTION("""COMPUTED_VALUE"""),FALSE)</f>
        <v>0</v>
      </c>
      <c r="U617" s="12" t="b">
        <f>IFERROR(__xludf.DUMMYFUNCTION("""COMPUTED_VALUE"""),FALSE)</f>
        <v>0</v>
      </c>
      <c r="V617" s="13" t="str">
        <f>IFERROR(__xludf.DUMMYFUNCTION("""COMPUTED_VALUE"""),"https://mcwctx.org/our-services/")</f>
        <v>https://mcwctx.org/our-services/</v>
      </c>
      <c r="W617" s="10"/>
      <c r="X617" s="10"/>
      <c r="Y617" s="9" t="str">
        <f>IFERROR(__xludf.DUMMYFUNCTION("""COMPUTED_VALUE"""),"Conroe")</f>
        <v>Conroe</v>
      </c>
      <c r="Z617" s="9" t="str">
        <f>IFERROR(__xludf.DUMMYFUNCTION("""COMPUTED_VALUE"""),"Conroe (Central/Downtown), Panorama Village")</f>
        <v>Conroe (Central/Downtown), Panorama Village</v>
      </c>
      <c r="AA617" s="9" t="str">
        <f>IFERROR(__xludf.DUMMYFUNCTION("""COMPUTED_VALUE"""),"Montgomery County Women's Center")</f>
        <v>Montgomery County Women's Center</v>
      </c>
      <c r="AB617" s="9" t="str">
        <f>IFERROR(__xludf.DUMMYFUNCTION("""COMPUTED_VALUE"""),"Conroe")</f>
        <v>Conroe</v>
      </c>
    </row>
    <row r="618" ht="30.0" customHeight="1">
      <c r="A618" s="17">
        <v>617.0</v>
      </c>
      <c r="B618" s="8" t="str">
        <f>IFERROR(__xludf.DUMMYFUNCTION("""COMPUTED_VALUE"""),"[""99999""]")</f>
        <v>["99999"]</v>
      </c>
      <c r="C618" s="9" t="str">
        <f>IFERROR(__xludf.DUMMYFUNCTION("""COMPUTED_VALUE"""),"Montrose Grace Place")</f>
        <v>Montrose Grace Place</v>
      </c>
      <c r="D618" s="9" t="str">
        <f>IFERROR(__xludf.DUMMYFUNCTION("""COMPUTED_VALUE"""),"2515 Waugh Drive")</f>
        <v>2515 Waugh Drive</v>
      </c>
      <c r="E618" s="9"/>
      <c r="F618" s="9" t="str">
        <f>IFERROR(__xludf.DUMMYFUNCTION("""COMPUTED_VALUE"""),"Houston")</f>
        <v>Houston</v>
      </c>
      <c r="G618" s="9" t="str">
        <f>IFERROR(__xludf.DUMMYFUNCTION("""COMPUTED_VALUE"""),"TX")</f>
        <v>TX</v>
      </c>
      <c r="H618" s="9" t="str">
        <f>IFERROR(__xludf.DUMMYFUNCTION("""COMPUTED_VALUE"""),"77006")</f>
        <v>77006</v>
      </c>
      <c r="I618" s="9" t="str">
        <f>IFERROR(__xludf.DUMMYFUNCTION("""COMPUTED_VALUE"""),"832-239-0824")</f>
        <v>832-239-0824</v>
      </c>
      <c r="J618" s="9" t="str">
        <f>IFERROR(__xludf.DUMMYFUNCTION("""COMPUTED_VALUE"""),"29.746496, -95.3938259443223")</f>
        <v>29.746496, -95.3938259443223</v>
      </c>
      <c r="K618" s="9" t="str">
        <f>IFERROR(__xludf.DUMMYFUNCTION("""COMPUTED_VALUE"""),"{""regular"":[{""days"":[""Mo"",""We"",""Th""],""open"":""18:00"",""close"":null}]}")</f>
        <v>{"regular":[{"days":["Mo","We","Th"],"open":"18:00","close":null}]}</v>
      </c>
      <c r="L618" s="9"/>
      <c r="M618" s="10">
        <f>IFERROR(__xludf.DUMMYFUNCTION("""COMPUTED_VALUE"""),22.0)</f>
        <v>22</v>
      </c>
      <c r="N618" s="10" t="str">
        <f>IFERROR(__xludf.DUMMYFUNCTION("""COMPUTED_VALUE"""),"Homeless - Day Centers")</f>
        <v>Homeless - Day Centers</v>
      </c>
      <c r="O618" s="10">
        <f>IFERROR(__xludf.DUMMYFUNCTION("""COMPUTED_VALUE"""),1.0)</f>
        <v>1</v>
      </c>
      <c r="P618" s="10" t="str">
        <f>IFERROR(__xludf.DUMMYFUNCTION("""COMPUTED_VALUE"""),"ACTIVE")</f>
        <v>ACTIVE</v>
      </c>
      <c r="Q618" s="11">
        <f>IFERROR(__xludf.DUMMYFUNCTION("""COMPUTED_VALUE"""),45801.0)</f>
        <v>45801</v>
      </c>
      <c r="R618" s="9" t="str">
        <f>IFERROR(__xludf.DUMMYFUNCTION("""COMPUTED_VALUE"""),"Verified online")</f>
        <v>Verified online</v>
      </c>
      <c r="S618" s="9" t="str">
        <f>IFERROR(__xludf.DUMMYFUNCTION("""COMPUTED_VALUE"""),"Dinner, served family style, for individuals between 13 and 24 years old.
Clothing and toiletries/hygiene kit.
Access to computer and other services like obtaining identification, government benefits, housing, job readiness and legal aid.
Mentorship.")</f>
        <v>Dinner, served family style, for individuals between 13 and 24 years old.
Clothing and toiletries/hygiene kit.
Access to computer and other services like obtaining identification, government benefits, housing, job readiness and legal aid.
Mentorship.</v>
      </c>
      <c r="T618" s="12" t="b">
        <f>IFERROR(__xludf.DUMMYFUNCTION("""COMPUTED_VALUE"""),FALSE)</f>
        <v>0</v>
      </c>
      <c r="U618" s="12" t="b">
        <f>IFERROR(__xludf.DUMMYFUNCTION("""COMPUTED_VALUE"""),FALSE)</f>
        <v>0</v>
      </c>
      <c r="V618" s="13" t="str">
        <f>IFERROR(__xludf.DUMMYFUNCTION("""COMPUTED_VALUE"""),"https://www.montrosegraceplace.org")</f>
        <v>https://www.montrosegraceplace.org</v>
      </c>
      <c r="W618" s="14" t="str">
        <f>IFERROR(__xludf.DUMMYFUNCTION("""COMPUTED_VALUE"""),"https://www.google.com/maps/place/Montrose+Grace+Place/@29.7464002,-95.3965054,17z/data=!3m1!4b1!4m6!3m5!1s0x8640bf60282edf19:0x114fde4ed42e1be0!8m2!3d29.7464002!4d-95.3939305!16s%2Fg%2F11c0vph0w9?entry=ttu&amp;g_ep=EgoyMDI1MDUyMS4wIKXMDSoASAFQAw%3D%3D")</f>
        <v>https://www.google.com/maps/place/Montrose+Grace+Place/@29.7464002,-95.3965054,17z/data=!3m1!4b1!4m6!3m5!1s0x8640bf60282edf19:0x114fde4ed42e1be0!8m2!3d29.7464002!4d-95.3939305!16s%2Fg%2F11c0vph0w9?entry=ttu&amp;g_ep=EgoyMDI1MDUyMS4wIKXMDSoASAFQAw%3D%3D</v>
      </c>
      <c r="X618" s="10"/>
      <c r="Y618" s="9" t="str">
        <f>IFERROR(__xludf.DUMMYFUNCTION("""COMPUTED_VALUE"""),"Houston")</f>
        <v>Houston</v>
      </c>
      <c r="Z618" s="9" t="str">
        <f>IFERROR(__xludf.DUMMYFUNCTION("""COMPUTED_VALUE"""),"Hyde Park, Montrose, South Central Houston")</f>
        <v>Hyde Park, Montrose, South Central Houston</v>
      </c>
      <c r="AA618" s="9" t="str">
        <f>IFERROR(__xludf.DUMMYFUNCTION("""COMPUTED_VALUE"""),"Montrose Grace Place")</f>
        <v>Montrose Grace Place</v>
      </c>
      <c r="AB618" s="9" t="str">
        <f>IFERROR(__xludf.DUMMYFUNCTION("""COMPUTED_VALUE"""),"Hyde Park")</f>
        <v>Hyde Park</v>
      </c>
    </row>
    <row r="619" ht="30.0" customHeight="1">
      <c r="A619" s="17">
        <v>618.0</v>
      </c>
      <c r="B619" s="8" t="str">
        <f>IFERROR(__xludf.DUMMYFUNCTION("""COMPUTED_VALUE"""),"[""99999""]")</f>
        <v>["99999"]</v>
      </c>
      <c r="C619" s="9" t="str">
        <f>IFERROR(__xludf.DUMMYFUNCTION("""COMPUTED_VALUE"""),"Moving Waters Ecclesia")</f>
        <v>Moving Waters Ecclesia</v>
      </c>
      <c r="D619" s="9" t="str">
        <f>IFERROR(__xludf.DUMMYFUNCTION("""COMPUTED_VALUE"""),"1100 Elder Street")</f>
        <v>1100 Elder Street</v>
      </c>
      <c r="E619" s="9"/>
      <c r="F619" s="9" t="str">
        <f>IFERROR(__xludf.DUMMYFUNCTION("""COMPUTED_VALUE"""),"Houston")</f>
        <v>Houston</v>
      </c>
      <c r="G619" s="9" t="str">
        <f>IFERROR(__xludf.DUMMYFUNCTION("""COMPUTED_VALUE"""),"TX")</f>
        <v>TX</v>
      </c>
      <c r="H619" s="9" t="str">
        <f>IFERROR(__xludf.DUMMYFUNCTION("""COMPUTED_VALUE"""),"77007")</f>
        <v>77007</v>
      </c>
      <c r="I619" s="9" t="str">
        <f>IFERROR(__xludf.DUMMYFUNCTION("""COMPUTED_VALUE"""),"832-790-7499")</f>
        <v>832-790-7499</v>
      </c>
      <c r="J619" s="9" t="str">
        <f>IFERROR(__xludf.DUMMYFUNCTION("""COMPUTED_VALUE"""),"29.7687796, -95.3671576139898")</f>
        <v>29.7687796, -95.3671576139898</v>
      </c>
      <c r="K619" s="9" t="str">
        <f>IFERROR(__xludf.DUMMYFUNCTION("""COMPUTED_VALUE"""),"{""regular"":[{""days"":[""Mo""],""open"":""10:00"",""close"":""14:00""}]}")</f>
        <v>{"regular":[{"days":["Mo"],"open":"10:00","close":"14:00"}]}</v>
      </c>
      <c r="L619" s="9"/>
      <c r="M619" s="10">
        <f>IFERROR(__xludf.DUMMYFUNCTION("""COMPUTED_VALUE"""),23.0)</f>
        <v>23</v>
      </c>
      <c r="N619" s="10" t="str">
        <f>IFERROR(__xludf.DUMMYFUNCTION("""COMPUTED_VALUE"""),"Homeless - Other")</f>
        <v>Homeless - Other</v>
      </c>
      <c r="O619" s="10">
        <f>IFERROR(__xludf.DUMMYFUNCTION("""COMPUTED_VALUE"""),1.0)</f>
        <v>1</v>
      </c>
      <c r="P619" s="10" t="str">
        <f>IFERROR(__xludf.DUMMYFUNCTION("""COMPUTED_VALUE"""),"ACTIVE")</f>
        <v>ACTIVE</v>
      </c>
      <c r="Q619" s="11">
        <f>IFERROR(__xludf.DUMMYFUNCTION("""COMPUTED_VALUE"""),45800.0)</f>
        <v>45800</v>
      </c>
      <c r="R619" s="9" t="str">
        <f>IFERROR(__xludf.DUMMYFUNCTION("""COMPUTED_VALUE"""),"Verified online")</f>
        <v>Verified online</v>
      </c>
      <c r="S619" s="9" t="str">
        <f>IFERROR(__xludf.DUMMYFUNCTION("""COMPUTED_VALUE"""),"Mobile Showers @ Ecclesia Downtown")</f>
        <v>Mobile Showers @ Ecclesia Downtown</v>
      </c>
      <c r="T619" s="12" t="b">
        <f>IFERROR(__xludf.DUMMYFUNCTION("""COMPUTED_VALUE"""),FALSE)</f>
        <v>0</v>
      </c>
      <c r="U619" s="12" t="b">
        <f>IFERROR(__xludf.DUMMYFUNCTION("""COMPUTED_VALUE"""),FALSE)</f>
        <v>0</v>
      </c>
      <c r="V619" s="13" t="str">
        <f>IFERROR(__xludf.DUMMYFUNCTION("""COMPUTED_VALUE"""),"https://www.movingwaters-houston.org/showers")</f>
        <v>https://www.movingwaters-houston.org/showers</v>
      </c>
      <c r="W619" s="14" t="str">
        <f>IFERROR(__xludf.DUMMYFUNCTION("""COMPUTED_VALUE"""),"https://www.google.com/maps/place/Ecclesia+Houston+-+Downtown+Campus/@29.7686528,-95.3697745,16z/data=!3m1!4b1!4m6!3m5!1s0x8640bf338d127f11:0x506bb795c4dd643!8m2!3d29.7686528!4d-95.3671996!16s%2Fg%2F1hhhqtb6n?entry=ttu&amp;g_ep=EgoyMDI1MDUyMS4wIKXMDSoASAFQAw%"&amp;"3D%3D")</f>
        <v>https://www.google.com/maps/place/Ecclesia+Houston+-+Downtown+Campus/@29.7686528,-95.3697745,16z/data=!3m1!4b1!4m6!3m5!1s0x8640bf338d127f11:0x506bb795c4dd643!8m2!3d29.7686528!4d-95.3671996!16s%2Fg%2F1hhhqtb6n?entry=ttu&amp;g_ep=EgoyMDI1MDUyMS4wIKXMDSoASAFQAw%3D%3D</v>
      </c>
      <c r="X619" s="10"/>
      <c r="Y619" s="9" t="str">
        <f>IFERROR(__xludf.DUMMYFUNCTION("""COMPUTED_VALUE"""),"Houston")</f>
        <v>Houston</v>
      </c>
      <c r="Z619"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619" s="9" t="str">
        <f>IFERROR(__xludf.DUMMYFUNCTION("""COMPUTED_VALUE"""),"Moving Waters Ecclesia")</f>
        <v>Moving Waters Ecclesia</v>
      </c>
      <c r="AB619" s="9" t="str">
        <f>IFERROR(__xludf.DUMMYFUNCTION("""COMPUTED_VALUE"""),"Washington Avenue Coalition / Memorial Park")</f>
        <v>Washington Avenue Coalition / Memorial Park</v>
      </c>
    </row>
    <row r="620" ht="30.0" customHeight="1">
      <c r="A620" s="17">
        <v>619.0</v>
      </c>
      <c r="B620" s="8" t="str">
        <f>IFERROR(__xludf.DUMMYFUNCTION("""COMPUTED_VALUE"""),"[""99999""]")</f>
        <v>["99999"]</v>
      </c>
      <c r="C620" s="9" t="str">
        <f>IFERROR(__xludf.DUMMYFUNCTION("""COMPUTED_VALUE"""),"Moving Waters Emergency Aid Coalition")</f>
        <v>Moving Waters Emergency Aid Coalition</v>
      </c>
      <c r="D620" s="9" t="str">
        <f>IFERROR(__xludf.DUMMYFUNCTION("""COMPUTED_VALUE"""),"5401 Fannin Street")</f>
        <v>5401 Fannin Street</v>
      </c>
      <c r="E620" s="9"/>
      <c r="F620" s="9" t="str">
        <f>IFERROR(__xludf.DUMMYFUNCTION("""COMPUTED_VALUE"""),"Houston")</f>
        <v>Houston</v>
      </c>
      <c r="G620" s="9" t="str">
        <f>IFERROR(__xludf.DUMMYFUNCTION("""COMPUTED_VALUE"""),"TX")</f>
        <v>TX</v>
      </c>
      <c r="H620" s="9" t="str">
        <f>IFERROR(__xludf.DUMMYFUNCTION("""COMPUTED_VALUE"""),"77004")</f>
        <v>77004</v>
      </c>
      <c r="I620" s="9" t="str">
        <f>IFERROR(__xludf.DUMMYFUNCTION("""COMPUTED_VALUE"""),"832-790-7499")</f>
        <v>832-790-7499</v>
      </c>
      <c r="J620" s="9" t="str">
        <f>IFERROR(__xludf.DUMMYFUNCTION("""COMPUTED_VALUE"""),"29.72651219388407, -95.38749923534392")</f>
        <v>29.72651219388407, -95.38749923534392</v>
      </c>
      <c r="K620" s="9" t="str">
        <f>IFERROR(__xludf.DUMMYFUNCTION("""COMPUTED_VALUE"""),"{""regular"":[{""days"":[""Th""],""open"":""10:00"",""close"":""13:00""}]}")</f>
        <v>{"regular":[{"days":["Th"],"open":"10:00","close":"13:00"}]}</v>
      </c>
      <c r="L620" s="9"/>
      <c r="M620" s="10">
        <f>IFERROR(__xludf.DUMMYFUNCTION("""COMPUTED_VALUE"""),23.0)</f>
        <v>23</v>
      </c>
      <c r="N620" s="10" t="str">
        <f>IFERROR(__xludf.DUMMYFUNCTION("""COMPUTED_VALUE"""),"Homeless - Other")</f>
        <v>Homeless - Other</v>
      </c>
      <c r="O620" s="10">
        <f>IFERROR(__xludf.DUMMYFUNCTION("""COMPUTED_VALUE"""),1.0)</f>
        <v>1</v>
      </c>
      <c r="P620" s="10" t="str">
        <f>IFERROR(__xludf.DUMMYFUNCTION("""COMPUTED_VALUE"""),"ACTIVE")</f>
        <v>ACTIVE</v>
      </c>
      <c r="Q620" s="11">
        <f>IFERROR(__xludf.DUMMYFUNCTION("""COMPUTED_VALUE"""),45800.0)</f>
        <v>45800</v>
      </c>
      <c r="R620" s="9" t="str">
        <f>IFERROR(__xludf.DUMMYFUNCTION("""COMPUTED_VALUE"""),"Verified online")</f>
        <v>Verified online</v>
      </c>
      <c r="S620" s="9" t="str">
        <f>IFERROR(__xludf.DUMMYFUNCTION("""COMPUTED_VALUE"""),"Mobile Showers @ Emergency Aid Coalition")</f>
        <v>Mobile Showers @ Emergency Aid Coalition</v>
      </c>
      <c r="T620" s="12" t="b">
        <f>IFERROR(__xludf.DUMMYFUNCTION("""COMPUTED_VALUE"""),FALSE)</f>
        <v>0</v>
      </c>
      <c r="U620" s="12" t="b">
        <f>IFERROR(__xludf.DUMMYFUNCTION("""COMPUTED_VALUE"""),FALSE)</f>
        <v>0</v>
      </c>
      <c r="V620" s="13" t="str">
        <f>IFERROR(__xludf.DUMMYFUNCTION("""COMPUTED_VALUE"""),"https://www.movingwaters-houston.org/showers")</f>
        <v>https://www.movingwaters-houston.org/showers</v>
      </c>
      <c r="W620" s="14" t="str">
        <f>IFERROR(__xludf.DUMMYFUNCTION("""COMPUTED_VALUE"""),"https://www.google.com/maps/place/Emergency+Aid+Coalition/@29.7264726,-95.3900795,17z/data=!3m1!4b1!4m6!3m5!1s0x8640bf7f55756945:0xcceb3ea4d7a260ab!8m2!3d29.7264726!4d-95.3875046!16s%2Fg%2F1tf6xqx9?entry=ttu&amp;g_ep=EgoyMDI1MDUyMS4wIKXMDSoASAFQAw%3D%3D")</f>
        <v>https://www.google.com/maps/place/Emergency+Aid+Coalition/@29.7264726,-95.3900795,17z/data=!3m1!4b1!4m6!3m5!1s0x8640bf7f55756945:0xcceb3ea4d7a260ab!8m2!3d29.7264726!4d-95.3875046!16s%2Fg%2F1tf6xqx9?entry=ttu&amp;g_ep=EgoyMDI1MDUyMS4wIKXMDSoASAFQAw%3D%3D</v>
      </c>
      <c r="X620" s="10"/>
      <c r="Y620" s="9" t="str">
        <f>IFERROR(__xludf.DUMMYFUNCTION("""COMPUTED_VALUE"""),"Houston")</f>
        <v>Houston</v>
      </c>
      <c r="Z620"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620" s="9" t="str">
        <f>IFERROR(__xludf.DUMMYFUNCTION("""COMPUTED_VALUE"""),"Moving Waters Emergency Aid Coalition")</f>
        <v>Moving Waters Emergency Aid Coalition</v>
      </c>
      <c r="AB620" s="9" t="str">
        <f>IFERROR(__xludf.DUMMYFUNCTION("""COMPUTED_VALUE"""),"Houston Museum District")</f>
        <v>Houston Museum District</v>
      </c>
    </row>
    <row r="621" ht="30.0" customHeight="1">
      <c r="A621" s="17">
        <v>620.0</v>
      </c>
      <c r="B621" s="8" t="str">
        <f>IFERROR(__xludf.DUMMYFUNCTION("""COMPUTED_VALUE"""),"[""99999""]")</f>
        <v>["99999"]</v>
      </c>
      <c r="C621" s="9" t="str">
        <f>IFERROR(__xludf.DUMMYFUNCTION("""COMPUTED_VALUE"""),"Moving Waters Northwest Assistance Ministries")</f>
        <v>Moving Waters Northwest Assistance Ministries</v>
      </c>
      <c r="D621" s="9" t="str">
        <f>IFERROR(__xludf.DUMMYFUNCTION("""COMPUTED_VALUE"""),"15555 Kuykendahl Road")</f>
        <v>15555 Kuykendahl Road</v>
      </c>
      <c r="E621" s="9"/>
      <c r="F621" s="9" t="str">
        <f>IFERROR(__xludf.DUMMYFUNCTION("""COMPUTED_VALUE"""),"Houston")</f>
        <v>Houston</v>
      </c>
      <c r="G621" s="9" t="str">
        <f>IFERROR(__xludf.DUMMYFUNCTION("""COMPUTED_VALUE"""),"TX")</f>
        <v>TX</v>
      </c>
      <c r="H621" s="9" t="str">
        <f>IFERROR(__xludf.DUMMYFUNCTION("""COMPUTED_VALUE"""),"77090")</f>
        <v>77090</v>
      </c>
      <c r="I621" s="9" t="str">
        <f>IFERROR(__xludf.DUMMYFUNCTION("""COMPUTED_VALUE"""),"832-790-7499")</f>
        <v>832-790-7499</v>
      </c>
      <c r="J621" s="9" t="str">
        <f>IFERROR(__xludf.DUMMYFUNCTION("""COMPUTED_VALUE"""),"30.0056433635391, -95.4623423018708")</f>
        <v>30.0056433635391, -95.4623423018708</v>
      </c>
      <c r="K621" s="9" t="str">
        <f>IFERROR(__xludf.DUMMYFUNCTION("""COMPUTED_VALUE"""),"{""regular"":[{""days"":[""Fr""],""open"":null,""close"":null}]}")</f>
        <v>{"regular":[{"days":["Fr"],"open":null,"close":null}]}</v>
      </c>
      <c r="L621" s="9" t="str">
        <f>IFERROR(__xludf.DUMMYFUNCTION("""COMPUTED_VALUE"""),"Verify hours online")</f>
        <v>Verify hours online</v>
      </c>
      <c r="M621" s="10">
        <f>IFERROR(__xludf.DUMMYFUNCTION("""COMPUTED_VALUE"""),23.0)</f>
        <v>23</v>
      </c>
      <c r="N621" s="10" t="str">
        <f>IFERROR(__xludf.DUMMYFUNCTION("""COMPUTED_VALUE"""),"Homeless - Other")</f>
        <v>Homeless - Other</v>
      </c>
      <c r="O621" s="10">
        <f>IFERROR(__xludf.DUMMYFUNCTION("""COMPUTED_VALUE"""),1.0)</f>
        <v>1</v>
      </c>
      <c r="P621" s="10" t="str">
        <f>IFERROR(__xludf.DUMMYFUNCTION("""COMPUTED_VALUE"""),"ACTIVE")</f>
        <v>ACTIVE</v>
      </c>
      <c r="Q621" s="11">
        <f>IFERROR(__xludf.DUMMYFUNCTION("""COMPUTED_VALUE"""),45800.0)</f>
        <v>45800</v>
      </c>
      <c r="R621" s="9" t="str">
        <f>IFERROR(__xludf.DUMMYFUNCTION("""COMPUTED_VALUE"""),"Verified online")</f>
        <v>Verified online</v>
      </c>
      <c r="S621" s="9" t="str">
        <f>IFERROR(__xludf.DUMMYFUNCTION("""COMPUTED_VALUE"""),"Mobile Showers @ Northwest Assistance Ministries")</f>
        <v>Mobile Showers @ Northwest Assistance Ministries</v>
      </c>
      <c r="T621" s="12" t="b">
        <f>IFERROR(__xludf.DUMMYFUNCTION("""COMPUTED_VALUE"""),FALSE)</f>
        <v>0</v>
      </c>
      <c r="U621" s="12" t="b">
        <f>IFERROR(__xludf.DUMMYFUNCTION("""COMPUTED_VALUE"""),FALSE)</f>
        <v>0</v>
      </c>
      <c r="V621" s="13" t="str">
        <f>IFERROR(__xludf.DUMMYFUNCTION("""COMPUTED_VALUE"""),"https://www.movingwaters-houston.org/showers")</f>
        <v>https://www.movingwaters-houston.org/showers</v>
      </c>
      <c r="W621" s="14" t="str">
        <f>IFERROR(__xludf.DUMMYFUNCTION("""COMPUTED_VALUE"""),"https://www.google.com/maps/place/Northwest+Assistance+Ministries/@30.0037415,-95.4646401,17z/data=!3m2!4b1!5s0x8640cb7564e1e487:0xad353ce1e04558a2!4m6!3m5!1s0x8640cb7417ffa571:0x87e1b18d3f01969b!8m2!3d30.0037415!4d-95.4620652!16s%2Fg%2F1td6135_?entry=ttu"&amp;"&amp;g_ep=EgoyMDI1MDUyMS4wIKXMDSoASAFQAw%3D%3D")</f>
        <v>https://www.google.com/maps/place/Northwest+Assistance+Ministries/@30.0037415,-95.4646401,17z/data=!3m2!4b1!5s0x8640cb7564e1e487:0xad353ce1e04558a2!4m6!3m5!1s0x8640cb7417ffa571:0x87e1b18d3f01969b!8m2!3d30.0037415!4d-95.4620652!16s%2Fg%2F1td6135_?entry=ttu&amp;g_ep=EgoyMDI1MDUyMS4wIKXMDSoASAFQAw%3D%3D</v>
      </c>
      <c r="X621" s="10"/>
      <c r="Y621" s="9" t="str">
        <f>IFERROR(__xludf.DUMMYFUNCTION("""COMPUTED_VALUE"""),"Houston")</f>
        <v>Houston</v>
      </c>
      <c r="Z621" s="9" t="str">
        <f>IFERROR(__xludf.DUMMYFUNCTION("""COMPUTED_VALUE"""),"Cypress Station, Ella Crossing, Westador")</f>
        <v>Cypress Station, Ella Crossing, Westador</v>
      </c>
      <c r="AA621" s="9" t="str">
        <f>IFERROR(__xludf.DUMMYFUNCTION("""COMPUTED_VALUE"""),"Moving Waters Northwest Assistance Ministries")</f>
        <v>Moving Waters Northwest Assistance Ministries</v>
      </c>
      <c r="AB621" s="9" t="str">
        <f>IFERROR(__xludf.DUMMYFUNCTION("""COMPUTED_VALUE"""),"Westador")</f>
        <v>Westador</v>
      </c>
    </row>
    <row r="622" ht="30.0" customHeight="1">
      <c r="A622" s="17">
        <v>621.0</v>
      </c>
      <c r="B622" s="8" t="str">
        <f>IFERROR(__xludf.DUMMYFUNCTION("""COMPUTED_VALUE"""),"[""99999""]")</f>
        <v>["99999"]</v>
      </c>
      <c r="C622" s="9" t="str">
        <f>IFERROR(__xludf.DUMMYFUNCTION("""COMPUTED_VALUE"""),"Moving Waters St Joseph Catholic Church")</f>
        <v>Moving Waters St Joseph Catholic Church</v>
      </c>
      <c r="D622" s="9" t="str">
        <f>IFERROR(__xludf.DUMMYFUNCTION("""COMPUTED_VALUE"""),"1505 Kane Street")</f>
        <v>1505 Kane Street</v>
      </c>
      <c r="E622" s="9"/>
      <c r="F622" s="9" t="str">
        <f>IFERROR(__xludf.DUMMYFUNCTION("""COMPUTED_VALUE"""),"Houston")</f>
        <v>Houston</v>
      </c>
      <c r="G622" s="9" t="str">
        <f>IFERROR(__xludf.DUMMYFUNCTION("""COMPUTED_VALUE"""),"TX")</f>
        <v>TX</v>
      </c>
      <c r="H622" s="9" t="str">
        <f>IFERROR(__xludf.DUMMYFUNCTION("""COMPUTED_VALUE"""),"77007")</f>
        <v>77007</v>
      </c>
      <c r="I622" s="9" t="str">
        <f>IFERROR(__xludf.DUMMYFUNCTION("""COMPUTED_VALUE"""),"832-790-7499")</f>
        <v>832-790-7499</v>
      </c>
      <c r="J622" s="9" t="str">
        <f>IFERROR(__xludf.DUMMYFUNCTION("""COMPUTED_VALUE"""),"29.7660760612245, -95.3725138163265")</f>
        <v>29.7660760612245, -95.3725138163265</v>
      </c>
      <c r="K622" s="9" t="str">
        <f>IFERROR(__xludf.DUMMYFUNCTION("""COMPUTED_VALUE"""),"{""regular"":[{""days"":[""We""],""open"":null,""close"":null}]}")</f>
        <v>{"regular":[{"days":["We"],"open":null,"close":null}]}</v>
      </c>
      <c r="L622" s="9" t="str">
        <f>IFERROR(__xludf.DUMMYFUNCTION("""COMPUTED_VALUE"""),"Call for hours")</f>
        <v>Call for hours</v>
      </c>
      <c r="M622" s="10">
        <f>IFERROR(__xludf.DUMMYFUNCTION("""COMPUTED_VALUE"""),23.0)</f>
        <v>23</v>
      </c>
      <c r="N622" s="10" t="str">
        <f>IFERROR(__xludf.DUMMYFUNCTION("""COMPUTED_VALUE"""),"Homeless - Other")</f>
        <v>Homeless - Other</v>
      </c>
      <c r="O622" s="10">
        <f>IFERROR(__xludf.DUMMYFUNCTION("""COMPUTED_VALUE"""),1.0)</f>
        <v>1</v>
      </c>
      <c r="P622" s="10" t="str">
        <f>IFERROR(__xludf.DUMMYFUNCTION("""COMPUTED_VALUE"""),"ACTIVE")</f>
        <v>ACTIVE</v>
      </c>
      <c r="Q622" s="11">
        <f>IFERROR(__xludf.DUMMYFUNCTION("""COMPUTED_VALUE"""),45800.0)</f>
        <v>45800</v>
      </c>
      <c r="R622" s="9" t="str">
        <f>IFERROR(__xludf.DUMMYFUNCTION("""COMPUTED_VALUE"""),"Verified online")</f>
        <v>Verified online</v>
      </c>
      <c r="S622" s="9" t="str">
        <f>IFERROR(__xludf.DUMMYFUNCTION("""COMPUTED_VALUE"""),"Mobile Showers @ St Joseph Catholic Church")</f>
        <v>Mobile Showers @ St Joseph Catholic Church</v>
      </c>
      <c r="T622" s="12" t="b">
        <f>IFERROR(__xludf.DUMMYFUNCTION("""COMPUTED_VALUE"""),FALSE)</f>
        <v>0</v>
      </c>
      <c r="U622" s="12" t="b">
        <f>IFERROR(__xludf.DUMMYFUNCTION("""COMPUTED_VALUE"""),FALSE)</f>
        <v>0</v>
      </c>
      <c r="V622" s="13" t="str">
        <f>IFERROR(__xludf.DUMMYFUNCTION("""COMPUTED_VALUE"""),"https://www.movingwaters-houston.org/showers")</f>
        <v>https://www.movingwaters-houston.org/showers</v>
      </c>
      <c r="W622" s="14" t="str">
        <f>IFERROR(__xludf.DUMMYFUNCTION("""COMPUTED_VALUE"""),"https://www.google.com/maps/place/St.+Joseph+Catholic+Church/@29.7658333,-95.3756305,17z/data=!3m1!4b1!4m6!3m5!1s0x8640bf49e1fc26f7:0x78f160f62d7822ce!8m2!3d29.7658333!4d-95.3730556!16s%2Fg%2F1tg50tfh?entry=ttu&amp;g_ep=EgoyMDI1MDUyMS4wIKXMDSoASAFQAw%3D%3D")</f>
        <v>https://www.google.com/maps/place/St.+Joseph+Catholic+Church/@29.7658333,-95.3756305,17z/data=!3m1!4b1!4m6!3m5!1s0x8640bf49e1fc26f7:0x78f160f62d7822ce!8m2!3d29.7658333!4d-95.3730556!16s%2Fg%2F1tg50tfh?entry=ttu&amp;g_ep=EgoyMDI1MDUyMS4wIKXMDSoASAFQAw%3D%3D</v>
      </c>
      <c r="X622" s="10"/>
      <c r="Y622" s="9" t="str">
        <f>IFERROR(__xludf.DUMMYFUNCTION("""COMPUTED_VALUE"""),"Houston")</f>
        <v>Houston</v>
      </c>
      <c r="Z622"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622" s="9" t="str">
        <f>IFERROR(__xludf.DUMMYFUNCTION("""COMPUTED_VALUE"""),"Moving Waters St Joseph Catholic Church")</f>
        <v>Moving Waters St Joseph Catholic Church</v>
      </c>
      <c r="AB622" s="9" t="str">
        <f>IFERROR(__xludf.DUMMYFUNCTION("""COMPUTED_VALUE"""),"Washington Avenue Coalition / Memorial Park")</f>
        <v>Washington Avenue Coalition / Memorial Park</v>
      </c>
    </row>
    <row r="623" ht="30.0" customHeight="1">
      <c r="A623" s="17">
        <v>622.0</v>
      </c>
      <c r="B62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C623" s="9" t="str">
        <f>IFERROR(__xludf.DUMMYFUNCTION("""COMPUTED_VALUE"""),"My Brother's Keeper")</f>
        <v>My Brother's Keeper</v>
      </c>
      <c r="D623" s="9" t="str">
        <f>IFERROR(__xludf.DUMMYFUNCTION("""COMPUTED_VALUE"""),"12621 Bissonnet Street")</f>
        <v>12621 Bissonnet Street</v>
      </c>
      <c r="E623" s="9"/>
      <c r="F623" s="9" t="str">
        <f>IFERROR(__xludf.DUMMYFUNCTION("""COMPUTED_VALUE"""),"Houston")</f>
        <v>Houston</v>
      </c>
      <c r="G623" s="9" t="str">
        <f>IFERROR(__xludf.DUMMYFUNCTION("""COMPUTED_VALUE"""),"TX")</f>
        <v>TX</v>
      </c>
      <c r="H623" s="9" t="str">
        <f>IFERROR(__xludf.DUMMYFUNCTION("""COMPUTED_VALUE"""),"77099")</f>
        <v>77099</v>
      </c>
      <c r="I623" s="9" t="str">
        <f>IFERROR(__xludf.DUMMYFUNCTION("""COMPUTED_VALUE"""),"281-498-9933")</f>
        <v>281-498-9933</v>
      </c>
      <c r="J623" s="9" t="str">
        <f>IFERROR(__xludf.DUMMYFUNCTION("""COMPUTED_VALUE"""),"29.677238, -95.600176")</f>
        <v>29.677238, -95.600176</v>
      </c>
      <c r="K623" s="9" t="str">
        <f>IFERROR(__xludf.DUMMYFUNCTION("""COMPUTED_VALUE"""),"{""regular"":[{""days"":[""Mo"",""We"",""Fr""],""open"":""10:00"",""close"":""13:30""}]}")</f>
        <v>{"regular":[{"days":["Mo","We","Fr"],"open":"10:00","close":"13:30"}]}</v>
      </c>
      <c r="L623" s="9"/>
      <c r="M623" s="10">
        <f>IFERROR(__xludf.DUMMYFUNCTION("""COMPUTED_VALUE"""),11.0)</f>
        <v>11</v>
      </c>
      <c r="N623" s="10" t="str">
        <f>IFERROR(__xludf.DUMMYFUNCTION("""COMPUTED_VALUE"""),"Rent")</f>
        <v>Rent</v>
      </c>
      <c r="O623" s="10">
        <f>IFERROR(__xludf.DUMMYFUNCTION("""COMPUTED_VALUE"""),1.0)</f>
        <v>1</v>
      </c>
      <c r="P623" s="10" t="str">
        <f>IFERROR(__xludf.DUMMYFUNCTION("""COMPUTED_VALUE"""),"ACTIVE")</f>
        <v>ACTIVE</v>
      </c>
      <c r="Q623" s="11">
        <f>IFERROR(__xludf.DUMMYFUNCTION("""COMPUTED_VALUE"""),45815.0)</f>
        <v>45815</v>
      </c>
      <c r="R623" s="9" t="str">
        <f>IFERROR(__xludf.DUMMYFUNCTION("""COMPUTED_VALUE"""),"Verified online")</f>
        <v>Verified online</v>
      </c>
      <c r="S623" s="9" t="str">
        <f>IFERROR(__xludf.DUMMYFUNCTION("""COMPUTED_VALUE"""),"Call to make an appointment. No walk-ins.
Assistance provided for documented crisis.
Proof of residency in Harris or Ft Bend counties.
Photo ID.
Late, Vacate or Eviction Notice.
Completion of financial literacy course that they provide.")</f>
        <v>Call to make an appointment. No walk-ins.
Assistance provided for documented crisis.
Proof of residency in Harris or Ft Bend counties.
Photo ID.
Late, Vacate or Eviction Notice.
Completion of financial literacy course that they provide.</v>
      </c>
      <c r="T623" s="12" t="b">
        <f>IFERROR(__xludf.DUMMYFUNCTION("""COMPUTED_VALUE"""),FALSE)</f>
        <v>0</v>
      </c>
      <c r="U623" s="12" t="b">
        <f>IFERROR(__xludf.DUMMYFUNCTION("""COMPUTED_VALUE"""),FALSE)</f>
        <v>0</v>
      </c>
      <c r="V623" s="13" t="str">
        <f>IFERROR(__xludf.DUMMYFUNCTION("""COMPUTED_VALUE"""),"https://www.mybkoutreach.org/programs-and-services")</f>
        <v>https://www.mybkoutreach.org/programs-and-services</v>
      </c>
      <c r="W623" s="14" t="str">
        <f>IFERROR(__xludf.DUMMYFUNCTION("""COMPUTED_VALUE"""),"https://maps.google.com/?q=My%20Brother's%20Keeper%2012621%20Bissonnet%20Street%20Houston%20TX%2077099")</f>
        <v>https://maps.google.com/?q=My%20Brother's%20Keeper%2012621%20Bissonnet%20Street%20Houston%20TX%2077099</v>
      </c>
      <c r="X623" s="10"/>
      <c r="Y623" s="9" t="str">
        <f>IFERROR(__xludf.DUMMYFUNCTION("""COMPUTED_VALUE"""),"Houston")</f>
        <v>Houston</v>
      </c>
      <c r="Z623" s="9" t="str">
        <f>IFERROR(__xludf.DUMMYFUNCTION("""COMPUTED_VALUE"""),"Alief")</f>
        <v>Alief</v>
      </c>
      <c r="AA623" s="9" t="str">
        <f>IFERROR(__xludf.DUMMYFUNCTION("""COMPUTED_VALUE"""),"My Brother's Keeper")</f>
        <v>My Brother's Keeper</v>
      </c>
      <c r="AB623" s="9" t="str">
        <f>IFERROR(__xludf.DUMMYFUNCTION("""COMPUTED_VALUE"""),"Alief")</f>
        <v>Alief</v>
      </c>
    </row>
    <row r="624" ht="30.0" customHeight="1">
      <c r="A624" s="17">
        <v>623.0</v>
      </c>
      <c r="B62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C624" s="9" t="str">
        <f>IFERROR(__xludf.DUMMYFUNCTION("""COMPUTED_VALUE"""),"My Brother's Keeper")</f>
        <v>My Brother's Keeper</v>
      </c>
      <c r="D624" s="9" t="str">
        <f>IFERROR(__xludf.DUMMYFUNCTION("""COMPUTED_VALUE"""),"12621 Bissonnet Street")</f>
        <v>12621 Bissonnet Street</v>
      </c>
      <c r="E624" s="9"/>
      <c r="F624" s="9" t="str">
        <f>IFERROR(__xludf.DUMMYFUNCTION("""COMPUTED_VALUE"""),"Houston")</f>
        <v>Houston</v>
      </c>
      <c r="G624" s="9" t="str">
        <f>IFERROR(__xludf.DUMMYFUNCTION("""COMPUTED_VALUE"""),"TX")</f>
        <v>TX</v>
      </c>
      <c r="H624" s="9" t="str">
        <f>IFERROR(__xludf.DUMMYFUNCTION("""COMPUTED_VALUE"""),"77099")</f>
        <v>77099</v>
      </c>
      <c r="I624" s="9" t="str">
        <f>IFERROR(__xludf.DUMMYFUNCTION("""COMPUTED_VALUE"""),"281-498-9933")</f>
        <v>281-498-9933</v>
      </c>
      <c r="J624" s="9" t="str">
        <f>IFERROR(__xludf.DUMMYFUNCTION("""COMPUTED_VALUE"""),"29.677238, -95.600176")</f>
        <v>29.677238, -95.600176</v>
      </c>
      <c r="K624" s="9" t="str">
        <f>IFERROR(__xludf.DUMMYFUNCTION("""COMPUTED_VALUE"""),"{""regular"":[{""days"":[""Mo"",""We"",""Fr""],""open"":""10:00"",""close"":""13:30""}]}")</f>
        <v>{"regular":[{"days":["Mo","We","Fr"],"open":"10:00","close":"13:30"}]}</v>
      </c>
      <c r="L624" s="9"/>
      <c r="M624" s="10">
        <f>IFERROR(__xludf.DUMMYFUNCTION("""COMPUTED_VALUE"""),12.0)</f>
        <v>12</v>
      </c>
      <c r="N624" s="10" t="str">
        <f>IFERROR(__xludf.DUMMYFUNCTION("""COMPUTED_VALUE"""),"Utilities")</f>
        <v>Utilities</v>
      </c>
      <c r="O624" s="10">
        <f>IFERROR(__xludf.DUMMYFUNCTION("""COMPUTED_VALUE"""),1.0)</f>
        <v>1</v>
      </c>
      <c r="P624" s="10" t="str">
        <f>IFERROR(__xludf.DUMMYFUNCTION("""COMPUTED_VALUE"""),"ACTIVE")</f>
        <v>ACTIVE</v>
      </c>
      <c r="Q624" s="11">
        <f>IFERROR(__xludf.DUMMYFUNCTION("""COMPUTED_VALUE"""),45815.0)</f>
        <v>45815</v>
      </c>
      <c r="R624" s="9" t="str">
        <f>IFERROR(__xludf.DUMMYFUNCTION("""COMPUTED_VALUE"""),"Verified online")</f>
        <v>Verified online</v>
      </c>
      <c r="S624" s="9" t="str">
        <f>IFERROR(__xludf.DUMMYFUNCTION("""COMPUTED_VALUE"""),"Call to make an appointment. No walk-ins.
Assistance provided for documented crisis.
Proof of residency in Harris or Ft Bend counties.
Photo ID.
Late or Disconnect Notice.
Completion of financial literacy course that they provide.")</f>
        <v>Call to make an appointment. No walk-ins.
Assistance provided for documented crisis.
Proof of residency in Harris or Ft Bend counties.
Photo ID.
Late or Disconnect Notice.
Completion of financial literacy course that they provide.</v>
      </c>
      <c r="T624" s="12" t="b">
        <f>IFERROR(__xludf.DUMMYFUNCTION("""COMPUTED_VALUE"""),FALSE)</f>
        <v>0</v>
      </c>
      <c r="U624" s="12" t="b">
        <f>IFERROR(__xludf.DUMMYFUNCTION("""COMPUTED_VALUE"""),FALSE)</f>
        <v>0</v>
      </c>
      <c r="V624" s="13" t="str">
        <f>IFERROR(__xludf.DUMMYFUNCTION("""COMPUTED_VALUE"""),"https://www.mybkoutreach.org/programs-and-services")</f>
        <v>https://www.mybkoutreach.org/programs-and-services</v>
      </c>
      <c r="W624" s="14" t="str">
        <f>IFERROR(__xludf.DUMMYFUNCTION("""COMPUTED_VALUE"""),"https://maps.google.com/?q=My%20Brother's%20Keeper%2012621%20Bissonnet%20Street%20Houston%20TX%2077099")</f>
        <v>https://maps.google.com/?q=My%20Brother's%20Keeper%2012621%20Bissonnet%20Street%20Houston%20TX%2077099</v>
      </c>
      <c r="X624" s="10"/>
      <c r="Y624" s="9" t="str">
        <f>IFERROR(__xludf.DUMMYFUNCTION("""COMPUTED_VALUE"""),"Houston")</f>
        <v>Houston</v>
      </c>
      <c r="Z624" s="9" t="str">
        <f>IFERROR(__xludf.DUMMYFUNCTION("""COMPUTED_VALUE"""),"Alief")</f>
        <v>Alief</v>
      </c>
      <c r="AA624" s="9" t="str">
        <f>IFERROR(__xludf.DUMMYFUNCTION("""COMPUTED_VALUE"""),"My Brother's Keeper")</f>
        <v>My Brother's Keeper</v>
      </c>
      <c r="AB624" s="9" t="str">
        <f>IFERROR(__xludf.DUMMYFUNCTION("""COMPUTED_VALUE"""),"Alief")</f>
        <v>Alief</v>
      </c>
    </row>
    <row r="625" ht="30.0" customHeight="1">
      <c r="A625" s="17">
        <v>624.0</v>
      </c>
      <c r="B62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C625" s="9" t="str">
        <f>IFERROR(__xludf.DUMMYFUNCTION("""COMPUTED_VALUE"""),"My Brother's Keeper")</f>
        <v>My Brother's Keeper</v>
      </c>
      <c r="D625" s="9" t="str">
        <f>IFERROR(__xludf.DUMMYFUNCTION("""COMPUTED_VALUE"""),"12621 Bissonnet Street")</f>
        <v>12621 Bissonnet Street</v>
      </c>
      <c r="E625" s="9"/>
      <c r="F625" s="9" t="str">
        <f>IFERROR(__xludf.DUMMYFUNCTION("""COMPUTED_VALUE"""),"Houston")</f>
        <v>Houston</v>
      </c>
      <c r="G625" s="9" t="str">
        <f>IFERROR(__xludf.DUMMYFUNCTION("""COMPUTED_VALUE"""),"TX")</f>
        <v>TX</v>
      </c>
      <c r="H625" s="9" t="str">
        <f>IFERROR(__xludf.DUMMYFUNCTION("""COMPUTED_VALUE"""),"77099")</f>
        <v>77099</v>
      </c>
      <c r="I625" s="9" t="str">
        <f>IFERROR(__xludf.DUMMYFUNCTION("""COMPUTED_VALUE"""),"281-498-9933")</f>
        <v>281-498-9933</v>
      </c>
      <c r="J625" s="9" t="str">
        <f>IFERROR(__xludf.DUMMYFUNCTION("""COMPUTED_VALUE"""),"29.677238, -95.600176")</f>
        <v>29.677238, -95.600176</v>
      </c>
      <c r="K625" s="9" t="str">
        <f>IFERROR(__xludf.DUMMYFUNCTION("""COMPUTED_VALUE"""),"{""regular"":[{""days"":[""Mo"",""We"",""Fr""],""open"":""10:00"",""close"":""13:30""}]}")</f>
        <v>{"regular":[{"days":["Mo","We","Fr"],"open":"10:00","close":"13:30"}]}</v>
      </c>
      <c r="L625" s="9"/>
      <c r="M625" s="10">
        <f>IFERROR(__xludf.DUMMYFUNCTION("""COMPUTED_VALUE"""),13.0)</f>
        <v>13</v>
      </c>
      <c r="N625" s="10" t="str">
        <f>IFERROR(__xludf.DUMMYFUNCTION("""COMPUTED_VALUE"""),"Food")</f>
        <v>Food</v>
      </c>
      <c r="O625" s="10">
        <f>IFERROR(__xludf.DUMMYFUNCTION("""COMPUTED_VALUE"""),1.0)</f>
        <v>1</v>
      </c>
      <c r="P625" s="10" t="str">
        <f>IFERROR(__xludf.DUMMYFUNCTION("""COMPUTED_VALUE"""),"ACTIVE")</f>
        <v>ACTIVE</v>
      </c>
      <c r="Q625" s="11">
        <f>IFERROR(__xludf.DUMMYFUNCTION("""COMPUTED_VALUE"""),45815.0)</f>
        <v>45815</v>
      </c>
      <c r="R625" s="9" t="str">
        <f>IFERROR(__xludf.DUMMYFUNCTION("""COMPUTED_VALUE"""),"Verified online")</f>
        <v>Verified online</v>
      </c>
      <c r="S625" s="9" t="str">
        <f>IFERROR(__xludf.DUMMYFUNCTION("""COMPUTED_VALUE"""),"Walk-ins welcome on a first come, first served basis.
The Food Pantry supplies food to individuals and families who have established a need through Client Services. 
Proof of residency in Harris or Ft Bend counties.
Photo ID.
Special food packages during "&amp;"Thanksgiving and Christmas.")</f>
        <v>Walk-ins welcome on a first come, first served basis.
The Food Pantry supplies food to individuals and families who have established a need through Client Services. 
Proof of residency in Harris or Ft Bend counties.
Photo ID.
Special food packages during Thanksgiving and Christmas.</v>
      </c>
      <c r="T625" s="12" t="b">
        <f>IFERROR(__xludf.DUMMYFUNCTION("""COMPUTED_VALUE"""),FALSE)</f>
        <v>0</v>
      </c>
      <c r="U625" s="12" t="b">
        <f>IFERROR(__xludf.DUMMYFUNCTION("""COMPUTED_VALUE"""),FALSE)</f>
        <v>0</v>
      </c>
      <c r="V625" s="13" t="str">
        <f>IFERROR(__xludf.DUMMYFUNCTION("""COMPUTED_VALUE"""),"https://www.mybkoutreach.org/programs-and-services")</f>
        <v>https://www.mybkoutreach.org/programs-and-services</v>
      </c>
      <c r="W625" s="14" t="str">
        <f>IFERROR(__xludf.DUMMYFUNCTION("""COMPUTED_VALUE"""),"https://maps.google.com/?q=My%20Brother's%20Keeper%2012621%20Bissonnet%20Street%20Houston%20TX%2077099")</f>
        <v>https://maps.google.com/?q=My%20Brother's%20Keeper%2012621%20Bissonnet%20Street%20Houston%20TX%2077099</v>
      </c>
      <c r="X625" s="10"/>
      <c r="Y625" s="9" t="str">
        <f>IFERROR(__xludf.DUMMYFUNCTION("""COMPUTED_VALUE"""),"Houston")</f>
        <v>Houston</v>
      </c>
      <c r="Z625" s="9" t="str">
        <f>IFERROR(__xludf.DUMMYFUNCTION("""COMPUTED_VALUE"""),"Alief")</f>
        <v>Alief</v>
      </c>
      <c r="AA625" s="9" t="str">
        <f>IFERROR(__xludf.DUMMYFUNCTION("""COMPUTED_VALUE"""),"My Brother's Keeper")</f>
        <v>My Brother's Keeper</v>
      </c>
      <c r="AB625" s="9" t="str">
        <f>IFERROR(__xludf.DUMMYFUNCTION("""COMPUTED_VALUE"""),"Alief")</f>
        <v>Alief</v>
      </c>
    </row>
    <row r="626" ht="30.0" customHeight="1">
      <c r="A626" s="17">
        <v>625.0</v>
      </c>
      <c r="B62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C626" s="9" t="str">
        <f>IFERROR(__xludf.DUMMYFUNCTION("""COMPUTED_VALUE"""),"My Brother's Keeper")</f>
        <v>My Brother's Keeper</v>
      </c>
      <c r="D626" s="9" t="str">
        <f>IFERROR(__xludf.DUMMYFUNCTION("""COMPUTED_VALUE"""),"12621 Bissonnet Street")</f>
        <v>12621 Bissonnet Street</v>
      </c>
      <c r="E626" s="9"/>
      <c r="F626" s="9" t="str">
        <f>IFERROR(__xludf.DUMMYFUNCTION("""COMPUTED_VALUE"""),"Houston")</f>
        <v>Houston</v>
      </c>
      <c r="G626" s="9" t="str">
        <f>IFERROR(__xludf.DUMMYFUNCTION("""COMPUTED_VALUE"""),"TX")</f>
        <v>TX</v>
      </c>
      <c r="H626" s="9" t="str">
        <f>IFERROR(__xludf.DUMMYFUNCTION("""COMPUTED_VALUE"""),"77099")</f>
        <v>77099</v>
      </c>
      <c r="I626" s="9" t="str">
        <f>IFERROR(__xludf.DUMMYFUNCTION("""COMPUTED_VALUE"""),"281-498-9933")</f>
        <v>281-498-9933</v>
      </c>
      <c r="J626" s="9" t="str">
        <f>IFERROR(__xludf.DUMMYFUNCTION("""COMPUTED_VALUE"""),"29.677238, -95.600176")</f>
        <v>29.677238, -95.600176</v>
      </c>
      <c r="K626" s="9" t="str">
        <f>IFERROR(__xludf.DUMMYFUNCTION("""COMPUTED_VALUE"""),"{""regular"":[{""days"":[""Mo"",""We"",""Fr""],""open"":""10:00"",""close"":""13:30""}]}")</f>
        <v>{"regular":[{"days":["Mo","We","Fr"],"open":"10:00","close":"13:30"}]}</v>
      </c>
      <c r="L626" s="9"/>
      <c r="M626" s="10">
        <f>IFERROR(__xludf.DUMMYFUNCTION("""COMPUTED_VALUE"""),43.0)</f>
        <v>43</v>
      </c>
      <c r="N626" s="10" t="str">
        <f>IFERROR(__xludf.DUMMYFUNCTION("""COMPUTED_VALUE"""),"Education - Children")</f>
        <v>Education - Children</v>
      </c>
      <c r="O626" s="10">
        <f>IFERROR(__xludf.DUMMYFUNCTION("""COMPUTED_VALUE"""),1.0)</f>
        <v>1</v>
      </c>
      <c r="P626" s="10" t="str">
        <f>IFERROR(__xludf.DUMMYFUNCTION("""COMPUTED_VALUE"""),"ACTIVE")</f>
        <v>ACTIVE</v>
      </c>
      <c r="Q626" s="11"/>
      <c r="R626" s="9"/>
      <c r="S626" s="9" t="str">
        <f>IFERROR(__xludf.DUMMYFUNCTION("""COMPUTED_VALUE"""),"Registration required.
School supplies for Pre-K thru 12th grade students registered in the Inspiring Minds School Supply Program.
Proof of residency in Harris or Ft Bend counties.
Photo ID for adult applicant and birth certificate for each child.
Enrollm"&amp;"ent period is mid Jun thru 3rd week of July. Call for specific dates.")</f>
        <v>Registration required.
School supplies for Pre-K thru 12th grade students registered in the Inspiring Minds School Supply Program.
Proof of residency in Harris or Ft Bend counties.
Photo ID for adult applicant and birth certificate for each child.
Enrollment period is mid Jun thru 3rd week of July. Call for specific dates.</v>
      </c>
      <c r="T626" s="12" t="b">
        <f>IFERROR(__xludf.DUMMYFUNCTION("""COMPUTED_VALUE"""),FALSE)</f>
        <v>0</v>
      </c>
      <c r="U626" s="12" t="b">
        <f>IFERROR(__xludf.DUMMYFUNCTION("""COMPUTED_VALUE"""),FALSE)</f>
        <v>0</v>
      </c>
      <c r="V626" s="13" t="str">
        <f>IFERROR(__xludf.DUMMYFUNCTION("""COMPUTED_VALUE"""),"https://www.mybkoutreach.org/programs-and-services")</f>
        <v>https://www.mybkoutreach.org/programs-and-services</v>
      </c>
      <c r="W626" s="14" t="str">
        <f>IFERROR(__xludf.DUMMYFUNCTION("""COMPUTED_VALUE"""),"https://maps.google.com/?q=My%20Brother's%20Keeper%2012621%20Bissonnet%20Street%20Houston%20TX%2077099")</f>
        <v>https://maps.google.com/?q=My%20Brother's%20Keeper%2012621%20Bissonnet%20Street%20Houston%20TX%2077099</v>
      </c>
      <c r="X626" s="10"/>
      <c r="Y626" s="9" t="str">
        <f>IFERROR(__xludf.DUMMYFUNCTION("""COMPUTED_VALUE"""),"Houston")</f>
        <v>Houston</v>
      </c>
      <c r="Z626" s="9" t="str">
        <f>IFERROR(__xludf.DUMMYFUNCTION("""COMPUTED_VALUE"""),"Alief")</f>
        <v>Alief</v>
      </c>
      <c r="AA626" s="9" t="str">
        <f>IFERROR(__xludf.DUMMYFUNCTION("""COMPUTED_VALUE"""),"My Brother's Keeper")</f>
        <v>My Brother's Keeper</v>
      </c>
      <c r="AB626" s="9" t="str">
        <f>IFERROR(__xludf.DUMMYFUNCTION("""COMPUTED_VALUE"""),"Alief")</f>
        <v>Alief</v>
      </c>
    </row>
    <row r="627" ht="30.0" customHeight="1">
      <c r="A627" s="17">
        <v>626.0</v>
      </c>
      <c r="B62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C627" s="9" t="str">
        <f>IFERROR(__xludf.DUMMYFUNCTION("""COMPUTED_VALUE"""),"My Brother's Keeper")</f>
        <v>My Brother's Keeper</v>
      </c>
      <c r="D627" s="9" t="str">
        <f>IFERROR(__xludf.DUMMYFUNCTION("""COMPUTED_VALUE"""),"12621 Bissonnet Street")</f>
        <v>12621 Bissonnet Street</v>
      </c>
      <c r="E627" s="9"/>
      <c r="F627" s="9" t="str">
        <f>IFERROR(__xludf.DUMMYFUNCTION("""COMPUTED_VALUE"""),"Houston")</f>
        <v>Houston</v>
      </c>
      <c r="G627" s="9" t="str">
        <f>IFERROR(__xludf.DUMMYFUNCTION("""COMPUTED_VALUE"""),"TX")</f>
        <v>TX</v>
      </c>
      <c r="H627" s="9" t="str">
        <f>IFERROR(__xludf.DUMMYFUNCTION("""COMPUTED_VALUE"""),"77099")</f>
        <v>77099</v>
      </c>
      <c r="I627" s="9" t="str">
        <f>IFERROR(__xludf.DUMMYFUNCTION("""COMPUTED_VALUE"""),"281-498-9933")</f>
        <v>281-498-9933</v>
      </c>
      <c r="J627" s="9" t="str">
        <f>IFERROR(__xludf.DUMMYFUNCTION("""COMPUTED_VALUE"""),"29.677238, -95.600176")</f>
        <v>29.677238, -95.600176</v>
      </c>
      <c r="K627" s="9" t="str">
        <f>IFERROR(__xludf.DUMMYFUNCTION("""COMPUTED_VALUE"""),"{""regular"":[{""days"":[""Mo"",""We"",""Fr""],""open"":""10:00"",""close"":""13:30""}]}")</f>
        <v>{"regular":[{"days":["Mo","We","Fr"],"open":"10:00","close":"13:30"}]}</v>
      </c>
      <c r="L627" s="9"/>
      <c r="M627" s="10">
        <f>IFERROR(__xludf.DUMMYFUNCTION("""COMPUTED_VALUE"""),51.0)</f>
        <v>51</v>
      </c>
      <c r="N627" s="10" t="str">
        <f>IFERROR(__xludf.DUMMYFUNCTION("""COMPUTED_VALUE"""),"Education - Adults")</f>
        <v>Education - Adults</v>
      </c>
      <c r="O627" s="10">
        <f>IFERROR(__xludf.DUMMYFUNCTION("""COMPUTED_VALUE"""),1.0)</f>
        <v>1</v>
      </c>
      <c r="P627" s="10" t="str">
        <f>IFERROR(__xludf.DUMMYFUNCTION("""COMPUTED_VALUE"""),"ACTIVE")</f>
        <v>ACTIVE</v>
      </c>
      <c r="Q627" s="11"/>
      <c r="R627" s="9"/>
      <c r="S627" s="9" t="str">
        <f>IFERROR(__xludf.DUMMYFUNCTION("""COMPUTED_VALUE"""),"Free online course. Call to activate.
Assistance provided for documented crisis.
Proof of residency in Harris or Ft Bend counties.
Photo ID.
Late, Vacate, Eviction or Disconnect Notice.")</f>
        <v>Free online course. Call to activate.
Assistance provided for documented crisis.
Proof of residency in Harris or Ft Bend counties.
Photo ID.
Late, Vacate, Eviction or Disconnect Notice.</v>
      </c>
      <c r="T627" s="12" t="b">
        <f>IFERROR(__xludf.DUMMYFUNCTION("""COMPUTED_VALUE"""),FALSE)</f>
        <v>0</v>
      </c>
      <c r="U627" s="12" t="b">
        <f>IFERROR(__xludf.DUMMYFUNCTION("""COMPUTED_VALUE"""),FALSE)</f>
        <v>0</v>
      </c>
      <c r="V627" s="13" t="str">
        <f>IFERROR(__xludf.DUMMYFUNCTION("""COMPUTED_VALUE"""),"https://www.mybkoutreach.org/programs-and-services")</f>
        <v>https://www.mybkoutreach.org/programs-and-services</v>
      </c>
      <c r="W627" s="14" t="str">
        <f>IFERROR(__xludf.DUMMYFUNCTION("""COMPUTED_VALUE"""),"https://maps.google.com/?q=My%20Brother's%20Keeper%2012621%20Bissonnet%20Street%20Houston%20TX%2077099")</f>
        <v>https://maps.google.com/?q=My%20Brother's%20Keeper%2012621%20Bissonnet%20Street%20Houston%20TX%2077099</v>
      </c>
      <c r="X627" s="10"/>
      <c r="Y627" s="9" t="str">
        <f>IFERROR(__xludf.DUMMYFUNCTION("""COMPUTED_VALUE"""),"Houston")</f>
        <v>Houston</v>
      </c>
      <c r="Z627" s="9" t="str">
        <f>IFERROR(__xludf.DUMMYFUNCTION("""COMPUTED_VALUE"""),"Alief")</f>
        <v>Alief</v>
      </c>
      <c r="AA627" s="9" t="str">
        <f>IFERROR(__xludf.DUMMYFUNCTION("""COMPUTED_VALUE"""),"My Brother's Keeper")</f>
        <v>My Brother's Keeper</v>
      </c>
      <c r="AB627" s="9" t="str">
        <f>IFERROR(__xludf.DUMMYFUNCTION("""COMPUTED_VALUE"""),"Alief")</f>
        <v>Alief</v>
      </c>
    </row>
    <row r="628" ht="30.0" customHeight="1">
      <c r="A628" s="17">
        <v>627.0</v>
      </c>
      <c r="B628"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C628" s="9" t="str">
        <f>IFERROR(__xludf.DUMMYFUNCTION("""COMPUTED_VALUE"""),"My Brother's Keeper")</f>
        <v>My Brother's Keeper</v>
      </c>
      <c r="D628" s="9" t="str">
        <f>IFERROR(__xludf.DUMMYFUNCTION("""COMPUTED_VALUE"""),"12621 Bissonnet Street")</f>
        <v>12621 Bissonnet Street</v>
      </c>
      <c r="E628" s="9"/>
      <c r="F628" s="9" t="str">
        <f>IFERROR(__xludf.DUMMYFUNCTION("""COMPUTED_VALUE"""),"Houston")</f>
        <v>Houston</v>
      </c>
      <c r="G628" s="9" t="str">
        <f>IFERROR(__xludf.DUMMYFUNCTION("""COMPUTED_VALUE"""),"TX")</f>
        <v>TX</v>
      </c>
      <c r="H628" s="9" t="str">
        <f>IFERROR(__xludf.DUMMYFUNCTION("""COMPUTED_VALUE"""),"77099")</f>
        <v>77099</v>
      </c>
      <c r="I628" s="9" t="str">
        <f>IFERROR(__xludf.DUMMYFUNCTION("""COMPUTED_VALUE"""),"281-498-9933")</f>
        <v>281-498-9933</v>
      </c>
      <c r="J628" s="9" t="str">
        <f>IFERROR(__xludf.DUMMYFUNCTION("""COMPUTED_VALUE"""),"29.677238, -95.600176")</f>
        <v>29.677238, -95.600176</v>
      </c>
      <c r="K628" s="9" t="str">
        <f>IFERROR(__xludf.DUMMYFUNCTION("""COMPUTED_VALUE"""),"{""regular"":[{""days"":[""Mo"",""We"",""Fr""],""open"":""10:00"",""close"":""13:30""}]}")</f>
        <v>{"regular":[{"days":["Mo","We","Fr"],"open":"10:00","close":"13:30"}]}</v>
      </c>
      <c r="L628" s="9"/>
      <c r="M628" s="10">
        <f>IFERROR(__xludf.DUMMYFUNCTION("""COMPUTED_VALUE"""),64.0)</f>
        <v>64</v>
      </c>
      <c r="N628" s="10" t="str">
        <f>IFERROR(__xludf.DUMMYFUNCTION("""COMPUTED_VALUE"""),"Christmas")</f>
        <v>Christmas</v>
      </c>
      <c r="O628" s="10">
        <f>IFERROR(__xludf.DUMMYFUNCTION("""COMPUTED_VALUE"""),1.0)</f>
        <v>1</v>
      </c>
      <c r="P628" s="10" t="str">
        <f>IFERROR(__xludf.DUMMYFUNCTION("""COMPUTED_VALUE"""),"ACTIVE")</f>
        <v>ACTIVE</v>
      </c>
      <c r="Q628" s="11">
        <f>IFERROR(__xludf.DUMMYFUNCTION("""COMPUTED_VALUE"""),45815.0)</f>
        <v>45815</v>
      </c>
      <c r="R628" s="9" t="str">
        <f>IFERROR(__xludf.DUMMYFUNCTION("""COMPUTED_VALUE"""),"Verified online")</f>
        <v>Verified online</v>
      </c>
      <c r="S628" s="9" t="str">
        <f>IFERROR(__xludf.DUMMYFUNCTION("""COMPUTED_VALUE"""),"Holiday Outreach. Enrollment required.
Thanksgiving groceries. Enrollment mid-Oct to mid-Nov. Enrollment mid-Nov to mid-Dec.
Christmas gifts for children aged one to ten years.
Proof of residency in Harris or Ft Bend counties.
Photo ID for adult applicant"&amp;" and birth certificate for each child.")</f>
        <v>Holiday Outreach. Enrollment required.
Thanksgiving groceries. Enrollment mid-Oct to mid-Nov. Enrollment mid-Nov to mid-Dec.
Christmas gifts for children aged one to ten years.
Proof of residency in Harris or Ft Bend counties.
Photo ID for adult applicant and birth certificate for each child.</v>
      </c>
      <c r="T628" s="12" t="b">
        <f>IFERROR(__xludf.DUMMYFUNCTION("""COMPUTED_VALUE"""),FALSE)</f>
        <v>0</v>
      </c>
      <c r="U628" s="12" t="b">
        <f>IFERROR(__xludf.DUMMYFUNCTION("""COMPUTED_VALUE"""),FALSE)</f>
        <v>0</v>
      </c>
      <c r="V628" s="13" t="str">
        <f>IFERROR(__xludf.DUMMYFUNCTION("""COMPUTED_VALUE"""),"https://www.mybkoutreach.org/programs-and-services")</f>
        <v>https://www.mybkoutreach.org/programs-and-services</v>
      </c>
      <c r="W628" s="14" t="str">
        <f>IFERROR(__xludf.DUMMYFUNCTION("""COMPUTED_VALUE"""),"https://maps.google.com/?q=My%20Brother's%20Keeper%2012621%20Bissonnet%20Street%20Houston%20TX%2077099")</f>
        <v>https://maps.google.com/?q=My%20Brother's%20Keeper%2012621%20Bissonnet%20Street%20Houston%20TX%2077099</v>
      </c>
      <c r="X628" s="10"/>
      <c r="Y628" s="9" t="str">
        <f>IFERROR(__xludf.DUMMYFUNCTION("""COMPUTED_VALUE"""),"Houston")</f>
        <v>Houston</v>
      </c>
      <c r="Z628" s="9" t="str">
        <f>IFERROR(__xludf.DUMMYFUNCTION("""COMPUTED_VALUE"""),"Alief")</f>
        <v>Alief</v>
      </c>
      <c r="AA628" s="9" t="str">
        <f>IFERROR(__xludf.DUMMYFUNCTION("""COMPUTED_VALUE"""),"My Brother's Keeper")</f>
        <v>My Brother's Keeper</v>
      </c>
      <c r="AB628" s="9" t="str">
        <f>IFERROR(__xludf.DUMMYFUNCTION("""COMPUTED_VALUE"""),"Alief")</f>
        <v>Alief</v>
      </c>
    </row>
    <row r="629" ht="30.0" customHeight="1">
      <c r="A629" s="17">
        <v>628.0</v>
      </c>
      <c r="B629" s="8" t="str">
        <f>IFERROR(__xludf.DUMMYFUNCTION("""COMPUTED_VALUE"""),"[""99999""]")</f>
        <v>["99999"]</v>
      </c>
      <c r="C629" s="9" t="str">
        <f>IFERROR(__xludf.DUMMYFUNCTION("""COMPUTED_VALUE"""),"Nabor House Community - Spring Branch")</f>
        <v>Nabor House Community - Spring Branch</v>
      </c>
      <c r="D629" s="9" t="str">
        <f>IFERROR(__xludf.DUMMYFUNCTION("""COMPUTED_VALUE"""),"8009 Long Point Road")</f>
        <v>8009 Long Point Road</v>
      </c>
      <c r="E629" s="9" t="str">
        <f>IFERROR(__xludf.DUMMYFUNCTION("""COMPUTED_VALUE"""),"Building 1")</f>
        <v>Building 1</v>
      </c>
      <c r="F629" s="9" t="str">
        <f>IFERROR(__xludf.DUMMYFUNCTION("""COMPUTED_VALUE"""),"Houston")</f>
        <v>Houston</v>
      </c>
      <c r="G629" s="9" t="str">
        <f>IFERROR(__xludf.DUMMYFUNCTION("""COMPUTED_VALUE"""),"TX")</f>
        <v>TX</v>
      </c>
      <c r="H629" s="9" t="str">
        <f>IFERROR(__xludf.DUMMYFUNCTION("""COMPUTED_VALUE"""),"77055")</f>
        <v>77055</v>
      </c>
      <c r="I629" s="9" t="str">
        <f>IFERROR(__xludf.DUMMYFUNCTION("""COMPUTED_VALUE"""),"346-718-2186 or 832-908-6803")</f>
        <v>346-718-2186 or 832-908-6803</v>
      </c>
      <c r="J629" s="9" t="str">
        <f>IFERROR(__xludf.DUMMYFUNCTION("""COMPUTED_VALUE"""),"29.801758458110932, -95.48798989307681")</f>
        <v>29.801758458110932, -95.48798989307681</v>
      </c>
      <c r="K629" s="9" t="str">
        <f>IFERROR(__xludf.DUMMYFUNCTION("""COMPUTED_VALUE"""),"{""regular"":[{""days"":[""Mo"",""Tu"",""We"",""Th"",""Fr""],""open"":""08:00"",""close"":""17:00""}]}")</f>
        <v>{"regular":[{"days":["Mo","Tu","We","Th","Fr"],"open":"08:00","close":"17:00"}]}</v>
      </c>
      <c r="L629" s="9"/>
      <c r="M629" s="10">
        <f>IFERROR(__xludf.DUMMYFUNCTION("""COMPUTED_VALUE"""),44.0)</f>
        <v>44</v>
      </c>
      <c r="N629" s="10" t="str">
        <f>IFERROR(__xludf.DUMMYFUNCTION("""COMPUTED_VALUE"""),"Mother &amp; Child")</f>
        <v>Mother &amp; Child</v>
      </c>
      <c r="O629" s="10">
        <f>IFERROR(__xludf.DUMMYFUNCTION("""COMPUTED_VALUE"""),1.0)</f>
        <v>1</v>
      </c>
      <c r="P629" s="10" t="str">
        <f>IFERROR(__xludf.DUMMYFUNCTION("""COMPUTED_VALUE"""),"ACTIVE")</f>
        <v>ACTIVE</v>
      </c>
      <c r="Q629" s="11">
        <f>IFERROR(__xludf.DUMMYFUNCTION("""COMPUTED_VALUE"""),45884.0)</f>
        <v>45884</v>
      </c>
      <c r="R629" s="9" t="str">
        <f>IFERROR(__xludf.DUMMYFUNCTION("""COMPUTED_VALUE"""),"Verified online")</f>
        <v>Verified online</v>
      </c>
      <c r="S629" s="9" t="str">
        <f>IFERROR(__xludf.DUMMYFUNCTION("""COMPUTED_VALUE"""),"Childcare
Monthly cost per child is $200 (check website for current cost).
From 2 months through 3 years old.
Work minimum of 30 hours a week or go to school full time.
Combination of work and school.
")</f>
        <v>Childcare
Monthly cost per child is $200 (check website for current cost).
From 2 months through 3 years old.
Work minimum of 30 hours a week or go to school full time.
Combination of work and school.
</v>
      </c>
      <c r="T629" s="12" t="b">
        <f>IFERROR(__xludf.DUMMYFUNCTION("""COMPUTED_VALUE"""),FALSE)</f>
        <v>0</v>
      </c>
      <c r="U629" s="12" t="b">
        <f>IFERROR(__xludf.DUMMYFUNCTION("""COMPUTED_VALUE"""),FALSE)</f>
        <v>0</v>
      </c>
      <c r="V629" s="13" t="str">
        <f>IFERROR(__xludf.DUMMYFUNCTION("""COMPUTED_VALUE"""),"https://naborhousecommunity.org/enroll")</f>
        <v>https://naborhousecommunity.org/enroll</v>
      </c>
      <c r="W629" s="14" t="str">
        <f>IFERROR(__xludf.DUMMYFUNCTION("""COMPUTED_VALUE"""),"https://www.google.com/maps/place/Nabor+House+Community/@29.8015676,-95.4906399,17z/data=!3m1!4b1!4m6!3m5!1s0x8640c4254c67d2d5:0x886b07f248f8618d!8m2!3d29.801563!4d-95.488065!16s%2Fg%2F11cn8tfdvz?entry=ttu&amp;g_ep=EgoyMDI1MDgxMy4wIKXMDSoASAFQAw%3D%3D")</f>
        <v>https://www.google.com/maps/place/Nabor+House+Community/@29.8015676,-95.4906399,17z/data=!3m1!4b1!4m6!3m5!1s0x8640c4254c67d2d5:0x886b07f248f8618d!8m2!3d29.801563!4d-95.488065!16s%2Fg%2F11cn8tfdvz?entry=ttu&amp;g_ep=EgoyMDI1MDgxMy4wIKXMDSoASAFQAw%3D%3D</v>
      </c>
      <c r="X629" s="10"/>
      <c r="Y629" s="9" t="str">
        <f>IFERROR(__xludf.DUMMYFUNCTION("""COMPUTED_VALUE"""),"Houston")</f>
        <v>Houston</v>
      </c>
      <c r="Z629" s="9" t="str">
        <f>IFERROR(__xludf.DUMMYFUNCTION("""COMPUTED_VALUE"""),"Hilshire Village, Montrose, Northwest Houston, Spring Branch East, Washington Avenue Coalition / Memorial Park")</f>
        <v>Hilshire Village, Montrose, Northwest Houston, Spring Branch East, Washington Avenue Coalition / Memorial Park</v>
      </c>
      <c r="AA629" s="9" t="str">
        <f>IFERROR(__xludf.DUMMYFUNCTION("""COMPUTED_VALUE"""),"Nabor House Community")</f>
        <v>Nabor House Community</v>
      </c>
      <c r="AB629" s="9" t="str">
        <f>IFERROR(__xludf.DUMMYFUNCTION("""COMPUTED_VALUE"""),"Northwest Houston")</f>
        <v>Northwest Houston</v>
      </c>
    </row>
    <row r="630" ht="30.0" customHeight="1">
      <c r="A630" s="17">
        <v>629.0</v>
      </c>
      <c r="B630" s="8" t="str">
        <f>IFERROR(__xludf.DUMMYFUNCTION("""COMPUTED_VALUE"""),"[""99999""]")</f>
        <v>["99999"]</v>
      </c>
      <c r="C630" s="9" t="str">
        <f>IFERROR(__xludf.DUMMYFUNCTION("""COMPUTED_VALUE"""),"Nabor House Community - St Thomas Presbyterian")</f>
        <v>Nabor House Community - St Thomas Presbyterian</v>
      </c>
      <c r="D630" s="9" t="str">
        <f>IFERROR(__xludf.DUMMYFUNCTION("""COMPUTED_VALUE"""),"14100 Memorial Drive")</f>
        <v>14100 Memorial Drive</v>
      </c>
      <c r="E630" s="9"/>
      <c r="F630" s="9" t="str">
        <f>IFERROR(__xludf.DUMMYFUNCTION("""COMPUTED_VALUE"""),"Houston")</f>
        <v>Houston</v>
      </c>
      <c r="G630" s="9" t="str">
        <f>IFERROR(__xludf.DUMMYFUNCTION("""COMPUTED_VALUE"""),"TX")</f>
        <v>TX</v>
      </c>
      <c r="H630" s="9" t="str">
        <f>IFERROR(__xludf.DUMMYFUNCTION("""COMPUTED_VALUE"""),"77079")</f>
        <v>77079</v>
      </c>
      <c r="I630" s="9" t="str">
        <f>IFERROR(__xludf.DUMMYFUNCTION("""COMPUTED_VALUE"""),"281-741-4109 or 832-517-1320")</f>
        <v>281-741-4109 or 832-517-1320</v>
      </c>
      <c r="J630" s="9" t="str">
        <f>IFERROR(__xludf.DUMMYFUNCTION("""COMPUTED_VALUE"""),"29.77063981126969, -95.59313838024084")</f>
        <v>29.77063981126969, -95.59313838024084</v>
      </c>
      <c r="K630" s="9" t="str">
        <f>IFERROR(__xludf.DUMMYFUNCTION("""COMPUTED_VALUE"""),"{""regular"":[{""days"":[""Mo"",""Tu"",""We"",""Th"",""Fr""],""open"":""08:00"",""close"":""17:00""}]}")</f>
        <v>{"regular":[{"days":["Mo","Tu","We","Th","Fr"],"open":"08:00","close":"17:00"}]}</v>
      </c>
      <c r="L630" s="9"/>
      <c r="M630" s="10">
        <f>IFERROR(__xludf.DUMMYFUNCTION("""COMPUTED_VALUE"""),44.0)</f>
        <v>44</v>
      </c>
      <c r="N630" s="10" t="str">
        <f>IFERROR(__xludf.DUMMYFUNCTION("""COMPUTED_VALUE"""),"Mother &amp; Child")</f>
        <v>Mother &amp; Child</v>
      </c>
      <c r="O630" s="10">
        <f>IFERROR(__xludf.DUMMYFUNCTION("""COMPUTED_VALUE"""),1.0)</f>
        <v>1</v>
      </c>
      <c r="P630" s="10" t="str">
        <f>IFERROR(__xludf.DUMMYFUNCTION("""COMPUTED_VALUE"""),"ACTIVE")</f>
        <v>ACTIVE</v>
      </c>
      <c r="Q630" s="11">
        <f>IFERROR(__xludf.DUMMYFUNCTION("""COMPUTED_VALUE"""),45884.0)</f>
        <v>45884</v>
      </c>
      <c r="R630" s="9" t="str">
        <f>IFERROR(__xludf.DUMMYFUNCTION("""COMPUTED_VALUE"""),"Verified online")</f>
        <v>Verified online</v>
      </c>
      <c r="S630" s="9" t="str">
        <f>IFERROR(__xludf.DUMMYFUNCTION("""COMPUTED_VALUE"""),"Childcare
Monthly cost per child is $200 (check website for current cost).
From 2 months through 3 years old.
Work minimum of 30 hours a week or go to school full time.
Combination of work and school.
")</f>
        <v>Childcare
Monthly cost per child is $200 (check website for current cost).
From 2 months through 3 years old.
Work minimum of 30 hours a week or go to school full time.
Combination of work and school.
</v>
      </c>
      <c r="T630" s="12" t="b">
        <f>IFERROR(__xludf.DUMMYFUNCTION("""COMPUTED_VALUE"""),FALSE)</f>
        <v>0</v>
      </c>
      <c r="U630" s="12" t="b">
        <f>IFERROR(__xludf.DUMMYFUNCTION("""COMPUTED_VALUE"""),FALSE)</f>
        <v>0</v>
      </c>
      <c r="V630" s="13" t="str">
        <f>IFERROR(__xludf.DUMMYFUNCTION("""COMPUTED_VALUE"""),"https://naborhousecommunity.org/enroll")</f>
        <v>https://naborhousecommunity.org/enroll</v>
      </c>
      <c r="W630" s="14" t="str">
        <f>IFERROR(__xludf.DUMMYFUNCTION("""COMPUTED_VALUE"""),"https://www.google.com/maps/place/Nabor+House+Community/@29.7703837,-95.5956811,17z/data=!3m1!4b1!4m6!3m5!1s0x8640db005547b721:0x62352b57f2b81935!8m2!3d29.7703791!4d-95.5931062!16s%2Fg%2F11xfr3cp2w?entry=ttu&amp;g_ep=EgoyMDI1MDgxMy4wIKXMDSoASAFQAw%3D%3D")</f>
        <v>https://www.google.com/maps/place/Nabor+House+Community/@29.7703837,-95.5956811,17z/data=!3m1!4b1!4m6!3m5!1s0x8640db005547b721:0x62352b57f2b81935!8m2!3d29.7703791!4d-95.5931062!16s%2Fg%2F11xfr3cp2w?entry=ttu&amp;g_ep=EgoyMDI1MDgxMy4wIKXMDSoASAFQAw%3D%3D</v>
      </c>
      <c r="X630" s="10"/>
      <c r="Y630" s="9" t="str">
        <f>IFERROR(__xludf.DUMMYFUNCTION("""COMPUTED_VALUE"""),"Houston")</f>
        <v>Houston</v>
      </c>
      <c r="Z630" s="9" t="str">
        <f>IFERROR(__xludf.DUMMYFUNCTION("""COMPUTED_VALUE"""),"Fleetwood, Memorial")</f>
        <v>Fleetwood, Memorial</v>
      </c>
      <c r="AA630" s="9" t="str">
        <f>IFERROR(__xludf.DUMMYFUNCTION("""COMPUTED_VALUE"""),"Nabor House Community")</f>
        <v>Nabor House Community</v>
      </c>
      <c r="AB630" s="9" t="str">
        <f>IFERROR(__xludf.DUMMYFUNCTION("""COMPUTED_VALUE"""),"Memorial")</f>
        <v>Memorial</v>
      </c>
    </row>
    <row r="631" ht="30.0" customHeight="1">
      <c r="A631" s="17">
        <v>630.0</v>
      </c>
      <c r="B631" s="8" t="str">
        <f>IFERROR(__xludf.DUMMYFUNCTION("""COMPUTED_VALUE"""),"[""99999""]")</f>
        <v>["99999"]</v>
      </c>
      <c r="C631" s="9" t="str">
        <f>IFERROR(__xludf.DUMMYFUNCTION("""COMPUTED_VALUE"""),"National Organization for Rare Disorders (NORD)")</f>
        <v>National Organization for Rare Disorders (NORD)</v>
      </c>
      <c r="D631" s="9" t="str">
        <f>IFERROR(__xludf.DUMMYFUNCTION("""COMPUTED_VALUE"""),"120 Longwater Drive")</f>
        <v>120 Longwater Drive</v>
      </c>
      <c r="E631" s="9" t="str">
        <f>IFERROR(__xludf.DUMMYFUNCTION("""COMPUTED_VALUE"""),"Suite 105")</f>
        <v>Suite 105</v>
      </c>
      <c r="F631" s="9" t="str">
        <f>IFERROR(__xludf.DUMMYFUNCTION("""COMPUTED_VALUE"""),"Norwell")</f>
        <v>Norwell</v>
      </c>
      <c r="G631" s="9" t="str">
        <f>IFERROR(__xludf.DUMMYFUNCTION("""COMPUTED_VALUE"""),"MA")</f>
        <v>MA</v>
      </c>
      <c r="H631" s="9" t="str">
        <f>IFERROR(__xludf.DUMMYFUNCTION("""COMPUTED_VALUE"""),"02061")</f>
        <v>02061</v>
      </c>
      <c r="I631" s="9" t="str">
        <f>IFERROR(__xludf.DUMMYFUNCTION("""COMPUTED_VALUE"""),"800-999-6673")</f>
        <v>800-999-6673</v>
      </c>
      <c r="J631" s="9" t="str">
        <f>IFERROR(__xludf.DUMMYFUNCTION("""COMPUTED_VALUE"""),"42.156916796752675, -70.8790973948636")</f>
        <v>42.156916796752675, -70.8790973948636</v>
      </c>
      <c r="K631" s="9" t="str">
        <f>IFERROR(__xludf.DUMMYFUNCTION("""COMPUTED_VALUE"""),"{""regular"":[{""days"":[""Mo"",""Tu"",""We"",""Th""],""open"":""08:30"",""close"":""19:00""},{""days"":[""Fr""],""open"":""08:30"",""close"":""18:00""}]}")</f>
        <v>{"regular":[{"days":["Mo","Tu","We","Th"],"open":"08:30","close":"19:00"},{"days":["Fr"],"open":"08:30","close":"18:00"}]}</v>
      </c>
      <c r="L631" s="9" t="str">
        <f>IFERROR(__xludf.DUMMYFUNCTION("""COMPUTED_VALUE"""),"Apply online")</f>
        <v>Apply online</v>
      </c>
      <c r="M631" s="10">
        <f>IFERROR(__xludf.DUMMYFUNCTION("""COMPUTED_VALUE"""),36.0)</f>
        <v>36</v>
      </c>
      <c r="N631" s="10" t="str">
        <f>IFERROR(__xludf.DUMMYFUNCTION("""COMPUTED_VALUE"""),"Medical - Bill Payment")</f>
        <v>Medical - Bill Payment</v>
      </c>
      <c r="O631" s="10">
        <f>IFERROR(__xludf.DUMMYFUNCTION("""COMPUTED_VALUE"""),1.0)</f>
        <v>1</v>
      </c>
      <c r="P631" s="10" t="str">
        <f>IFERROR(__xludf.DUMMYFUNCTION("""COMPUTED_VALUE"""),"ACTIVE")</f>
        <v>ACTIVE</v>
      </c>
      <c r="Q631" s="11"/>
      <c r="R631" s="9" t="str">
        <f>IFERROR(__xludf.DUMMYFUNCTION("""COMPUTED_VALUE"""),"Verified online")</f>
        <v>Verified online</v>
      </c>
      <c r="S631" s="9" t="str">
        <f>IFERROR(__xludf.DUMMYFUNCTION("""COMPUTED_VALUE"""),"Provides financial assistance for patients with rare diseases with copayments, insurance premiums, travel and caregiver respite.
Check availability and eligibility and apply online.
A charitable patient assistance foundation.")</f>
        <v>Provides financial assistance for patients with rare diseases with copayments, insurance premiums, travel and caregiver respite.
Check availability and eligibility and apply online.
A charitable patient assistance foundation.</v>
      </c>
      <c r="T631" s="12" t="b">
        <f>IFERROR(__xludf.DUMMYFUNCTION("""COMPUTED_VALUE"""),FALSE)</f>
        <v>0</v>
      </c>
      <c r="U631" s="12" t="b">
        <f>IFERROR(__xludf.DUMMYFUNCTION("""COMPUTED_VALUE"""),FALSE)</f>
        <v>0</v>
      </c>
      <c r="V631" s="13" t="str">
        <f>IFERROR(__xludf.DUMMYFUNCTION("""COMPUTED_VALUE"""),"https://rarediseases.org/patient-assistance-programs/financial-assistance/")</f>
        <v>https://rarediseases.org/patient-assistance-programs/financial-assistance/</v>
      </c>
      <c r="W631" s="14" t="str">
        <f>IFERROR(__xludf.DUMMYFUNCTION("""COMPUTED_VALUE"""),"https://www.google.com/maps/place/120+Longwater+Dr,+Norwell,+MA+02061/@42.1567896,-70.8816777,17z/data=!3m1!4b1!4m6!3m5!1s0x89e49e3c424bb2b9:0xfa983ef0f37d0da4!8m2!3d42.1567896!4d-70.8790974!16s%2Fg%2F11bw4372cf?entry=ttu&amp;g_ep=EgoyMDI2MDEyMC4wIKXMDSoKLDEw"&amp;"MDc5MjA2OUgBUAM%3D")</f>
        <v>https://www.google.com/maps/place/120+Longwater+Dr,+Norwell,+MA+02061/@42.1567896,-70.8816777,17z/data=!3m1!4b1!4m6!3m5!1s0x89e49e3c424bb2b9:0xfa983ef0f37d0da4!8m2!3d42.1567896!4d-70.8790974!16s%2Fg%2F11bw4372cf?entry=ttu&amp;g_ep=EgoyMDI2MDEyMC4wIKXMDSoKLDEwMDc5MjA2OUgBUAM%3D</v>
      </c>
      <c r="X631" s="10"/>
      <c r="Y631" s="9" t="str">
        <f>IFERROR(__xludf.DUMMYFUNCTION("""COMPUTED_VALUE"""),"Norwell")</f>
        <v>Norwell</v>
      </c>
      <c r="Z631" s="9" t="str">
        <f>IFERROR(__xludf.DUMMYFUNCTION("""COMPUTED_VALUE"""),"#N/A")</f>
        <v>#N/A</v>
      </c>
      <c r="AA631" s="9" t="str">
        <f>IFERROR(__xludf.DUMMYFUNCTION("""COMPUTED_VALUE"""),"National Organization for Rare Disorders (NORD)")</f>
        <v>National Organization for Rare Disorders (NORD)</v>
      </c>
      <c r="AB631" s="9" t="str">
        <f>IFERROR(__xludf.DUMMYFUNCTION("""COMPUTED_VALUE"""),"Norwell")</f>
        <v>Norwell</v>
      </c>
    </row>
    <row r="632" ht="30.0" customHeight="1">
      <c r="A632" s="17">
        <v>631.0</v>
      </c>
      <c r="B632" s="8" t="str">
        <f>IFERROR(__xludf.DUMMYFUNCTION("""COMPUTED_VALUE"""),"[""99999""]")</f>
        <v>["99999"]</v>
      </c>
      <c r="C632" s="9" t="str">
        <f>IFERROR(__xludf.DUMMYFUNCTION("""COMPUTED_VALUE"""),"NeedyMeds")</f>
        <v>NeedyMeds</v>
      </c>
      <c r="D632" s="9" t="str">
        <f>IFERROR(__xludf.DUMMYFUNCTION("""COMPUTED_VALUE"""),"50 Whittemore Street")</f>
        <v>50 Whittemore Street</v>
      </c>
      <c r="E632" s="9"/>
      <c r="F632" s="9" t="str">
        <f>IFERROR(__xludf.DUMMYFUNCTION("""COMPUTED_VALUE"""),"Gloucester")</f>
        <v>Gloucester</v>
      </c>
      <c r="G632" s="9" t="str">
        <f>IFERROR(__xludf.DUMMYFUNCTION("""COMPUTED_VALUE"""),"MA")</f>
        <v>MA</v>
      </c>
      <c r="H632" s="9" t="str">
        <f>IFERROR(__xludf.DUMMYFUNCTION("""COMPUTED_VALUE"""),"01930")</f>
        <v>01930</v>
      </c>
      <c r="I632" s="9" t="str">
        <f>IFERROR(__xludf.DUMMYFUNCTION("""COMPUTED_VALUE"""),"800-503-6897")</f>
        <v>800-503-6897</v>
      </c>
      <c r="J632" s="9" t="str">
        <f>IFERROR(__xludf.DUMMYFUNCTION("""COMPUTED_VALUE"""),"42.61864791166833, -70.67671270985733")</f>
        <v>42.61864791166833, -70.67671270985733</v>
      </c>
      <c r="K632" s="9" t="str">
        <f>IFERROR(__xludf.DUMMYFUNCTION("""COMPUTED_VALUE"""),"{""regular"":[{""days"":[""Mo"",""Tu"",""We"",""Th"",""Fr""],""open"":null,""close"":null}]}")</f>
        <v>{"regular":[{"days":["Mo","Tu","We","Th","Fr"],"open":null,"close":null}]}</v>
      </c>
      <c r="L632" s="9"/>
      <c r="M632" s="10">
        <f>IFERROR(__xludf.DUMMYFUNCTION("""COMPUTED_VALUE"""),65.0)</f>
        <v>65</v>
      </c>
      <c r="N632" s="10" t="str">
        <f>IFERROR(__xludf.DUMMYFUNCTION("""COMPUTED_VALUE"""),"Other")</f>
        <v>Other</v>
      </c>
      <c r="O632" s="10">
        <f>IFERROR(__xludf.DUMMYFUNCTION("""COMPUTED_VALUE"""),1.0)</f>
        <v>1</v>
      </c>
      <c r="P632" s="10" t="str">
        <f>IFERROR(__xludf.DUMMYFUNCTION("""COMPUTED_VALUE"""),"ACTIVE")</f>
        <v>ACTIVE</v>
      </c>
      <c r="Q632" s="11">
        <f>IFERROR(__xludf.DUMMYFUNCTION("""COMPUTED_VALUE"""),46045.0)</f>
        <v>46045</v>
      </c>
      <c r="R632" s="9" t="str">
        <f>IFERROR(__xludf.DUMMYFUNCTION("""COMPUTED_VALUE"""),"Verified online")</f>
        <v>Verified online</v>
      </c>
      <c r="S632" s="9" t="str">
        <f>IFERROR(__xludf.DUMMYFUNCTION("""COMPUTED_VALUE"""),"Comprehensive and up-to-date information on Patient Assistance Programs and other programs that provide assistance with medical costs.
Search for free or low-cost clinics by zip code.
Search by program category, e.g. diagnosis, prescription, medical trave"&amp;"l, etc.
Search by drugs
Search by program name
Search for drug coupons
")</f>
        <v>Comprehensive and up-to-date information on Patient Assistance Programs and other programs that provide assistance with medical costs.
Search for free or low-cost clinics by zip code.
Search by program category, e.g. diagnosis, prescription, medical travel, etc.
Search by drugs
Search by program name
Search for drug coupons
</v>
      </c>
      <c r="T632" s="12" t="b">
        <f>IFERROR(__xludf.DUMMYFUNCTION("""COMPUTED_VALUE"""),FALSE)</f>
        <v>0</v>
      </c>
      <c r="U632" s="12" t="b">
        <f>IFERROR(__xludf.DUMMYFUNCTION("""COMPUTED_VALUE"""),FALSE)</f>
        <v>0</v>
      </c>
      <c r="V632" s="13" t="str">
        <f>IFERROR(__xludf.DUMMYFUNCTION("""COMPUTED_VALUE"""),"https://www.needymeds.org")</f>
        <v>https://www.needymeds.org</v>
      </c>
      <c r="W632" s="14" t="str">
        <f>IFERROR(__xludf.DUMMYFUNCTION("""COMPUTED_VALUE"""),"https://www.google.com/maps/place/NeedyMeds/@42.618269,-70.6791911,16z/data=!3m1!4b1!4m6!3m5!1s0x89e324fb38caafb1:0xe53f1bc93d7188a2!8m2!3d42.618269!4d-70.6766108!16s%2Fg%2F11csbw_ntg?entry=ttu&amp;g_ep=EgoyMDI2MDEyMC4wIKXMDSoKLDEwMDc5MjA2OUgBUAM%3D")</f>
        <v>https://www.google.com/maps/place/NeedyMeds/@42.618269,-70.6791911,16z/data=!3m1!4b1!4m6!3m5!1s0x89e324fb38caafb1:0xe53f1bc93d7188a2!8m2!3d42.618269!4d-70.6766108!16s%2Fg%2F11csbw_ntg?entry=ttu&amp;g_ep=EgoyMDI2MDEyMC4wIKXMDSoKLDEwMDc5MjA2OUgBUAM%3D</v>
      </c>
      <c r="X632" s="10"/>
      <c r="Y632" s="9" t="str">
        <f>IFERROR(__xludf.DUMMYFUNCTION("""COMPUTED_VALUE"""),"Gloucester")</f>
        <v>Gloucester</v>
      </c>
      <c r="Z632" s="9" t="str">
        <f>IFERROR(__xludf.DUMMYFUNCTION("""COMPUTED_VALUE"""),"#N/A")</f>
        <v>#N/A</v>
      </c>
      <c r="AA632" s="9" t="str">
        <f>IFERROR(__xludf.DUMMYFUNCTION("""COMPUTED_VALUE"""),"NeedyMeds")</f>
        <v>NeedyMeds</v>
      </c>
      <c r="AB632" s="9" t="str">
        <f>IFERROR(__xludf.DUMMYFUNCTION("""COMPUTED_VALUE"""),"Central")</f>
        <v>Central</v>
      </c>
    </row>
    <row r="633" ht="30.0" customHeight="1">
      <c r="A633" s="17">
        <v>632.0</v>
      </c>
      <c r="B633" s="8" t="str">
        <f>IFERROR(__xludf.DUMMYFUNCTION("""COMPUTED_VALUE"""),"[""99999""]")</f>
        <v>["99999"]</v>
      </c>
      <c r="C633" s="9" t="str">
        <f>IFERROR(__xludf.DUMMYFUNCTION("""COMPUTED_VALUE"""),"New Hope Housing Avenue C")</f>
        <v>New Hope Housing Avenue C</v>
      </c>
      <c r="D633" s="9" t="str">
        <f>IFERROR(__xludf.DUMMYFUNCTION("""COMPUTED_VALUE"""),"7520 Avenue C")</f>
        <v>7520 Avenue C</v>
      </c>
      <c r="E633" s="9"/>
      <c r="F633" s="9" t="str">
        <f>IFERROR(__xludf.DUMMYFUNCTION("""COMPUTED_VALUE"""),"Houston")</f>
        <v>Houston</v>
      </c>
      <c r="G633" s="9" t="str">
        <f>IFERROR(__xludf.DUMMYFUNCTION("""COMPUTED_VALUE"""),"TX")</f>
        <v>TX</v>
      </c>
      <c r="H633" s="9" t="str">
        <f>IFERROR(__xludf.DUMMYFUNCTION("""COMPUTED_VALUE"""),"77012")</f>
        <v>77012</v>
      </c>
      <c r="I633" s="9" t="str">
        <f>IFERROR(__xludf.DUMMYFUNCTION("""COMPUTED_VALUE"""),"713-222-0290")</f>
        <v>713-222-0290</v>
      </c>
      <c r="J633" s="9" t="str">
        <f>IFERROR(__xludf.DUMMYFUNCTION("""COMPUTED_VALUE"""),"29.7335692626263, -95.2913562626263")</f>
        <v>29.7335692626263, -95.2913562626263</v>
      </c>
      <c r="K633" s="9" t="str">
        <f>IFERROR(__xludf.DUMMYFUNCTION("""COMPUTED_VALUE"""),"{""regular"":[{""days"":[""Mo"",""Tu"",""We"",""Th"",""Fr""],""open"":""09:00"",""close"":""15:00""}]}")</f>
        <v>{"regular":[{"days":["Mo","Tu","We","Th","Fr"],"open":"09:00","close":"15:00"}]}</v>
      </c>
      <c r="L633" s="9"/>
      <c r="M633" s="10">
        <f>IFERROR(__xludf.DUMMYFUNCTION("""COMPUTED_VALUE"""),24.0)</f>
        <v>24</v>
      </c>
      <c r="N633" s="10" t="str">
        <f>IFERROR(__xludf.DUMMYFUNCTION("""COMPUTED_VALUE"""),"Housing")</f>
        <v>Housing</v>
      </c>
      <c r="O633" s="10">
        <f>IFERROR(__xludf.DUMMYFUNCTION("""COMPUTED_VALUE"""),1.0)</f>
        <v>1</v>
      </c>
      <c r="P633" s="10" t="str">
        <f>IFERROR(__xludf.DUMMYFUNCTION("""COMPUTED_VALUE"""),"ACTIVE")</f>
        <v>ACTIVE</v>
      </c>
      <c r="Q633" s="11">
        <f>IFERROR(__xludf.DUMMYFUNCTION("""COMPUTED_VALUE"""),45793.0)</f>
        <v>45793</v>
      </c>
      <c r="R633" s="9" t="str">
        <f>IFERROR(__xludf.DUMMYFUNCTION("""COMPUTED_VALUE"""),"Verified online")</f>
        <v>Verified online</v>
      </c>
      <c r="S633" s="9" t="str">
        <f>IFERROR(__xludf.DUMMYFUNCTION("""COMPUTED_VALUE"""),"Available in 2026.
This is one of several properties owned by New Hope which, with support from the city of Houston and Harris Country, provides apartments at below market rates.
Must meet income eligibility requirements and pass a criminal background che"&amp;"ck.  For Seniors (55+)
There is no central intake.  You must apply in person at the property you are interested in renting.")</f>
        <v>Available in 2026.
This is one of several properties owned by New Hope which, with support from the city of Houston and Harris Country, provides apartments at below market rates.
Must meet income eligibility requirements and pass a criminal background check.  For Seniors (55+)
There is no central intake.  You must apply in person at the property you are interested in renting.</v>
      </c>
      <c r="T633" s="12" t="b">
        <f>IFERROR(__xludf.DUMMYFUNCTION("""COMPUTED_VALUE"""),FALSE)</f>
        <v>0</v>
      </c>
      <c r="U633" s="12" t="b">
        <f>IFERROR(__xludf.DUMMYFUNCTION("""COMPUTED_VALUE"""),FALSE)</f>
        <v>0</v>
      </c>
      <c r="V633" s="13" t="str">
        <f>IFERROR(__xludf.DUMMYFUNCTION("""COMPUTED_VALUE"""),"https://newhopehousing.com/")</f>
        <v>https://newhopehousing.com/</v>
      </c>
      <c r="W633" s="14" t="str">
        <f>IFERROR(__xludf.DUMMYFUNCTION("""COMPUTED_VALUE"""),"https://www.google.com/maps/place/7520+Avenue+C,+Houston,+TX+77012/@29.7336117,-95.2938043,17z/data=!4m5!3m4!1s0x8640bc35bc8dffad:0x4a3730ad9e7b0f63!8m2!3d29.7336072!4d-95.2912294?entry=ttu&amp;g_ep=EgoyMDI1MDUxMS4wIKXMDSoASAFQAw%3D%3D")</f>
        <v>https://www.google.com/maps/place/7520+Avenue+C,+Houston,+TX+77012/@29.7336117,-95.2938043,17z/data=!4m5!3m4!1s0x8640bc35bc8dffad:0x4a3730ad9e7b0f63!8m2!3d29.7336072!4d-95.2912294?entry=ttu&amp;g_ep=EgoyMDI1MDUxMS4wIKXMDSoASAFQAw%3D%3D</v>
      </c>
      <c r="X633" s="10"/>
      <c r="Y633" s="9" t="str">
        <f>IFERROR(__xludf.DUMMYFUNCTION("""COMPUTED_VALUE"""),"Houston")</f>
        <v>Houston</v>
      </c>
      <c r="Z633" s="9" t="str">
        <f>IFERROR(__xludf.DUMMYFUNCTION("""COMPUTED_VALUE"""),"Greater East End, Harrisburg, Magnolia Park")</f>
        <v>Greater East End, Harrisburg, Magnolia Park</v>
      </c>
      <c r="AA633" s="9" t="str">
        <f>IFERROR(__xludf.DUMMYFUNCTION("""COMPUTED_VALUE"""),"New Hope Housing")</f>
        <v>New Hope Housing</v>
      </c>
      <c r="AB633" s="9" t="str">
        <f>IFERROR(__xludf.DUMMYFUNCTION("""COMPUTED_VALUE"""),"Magnolia Park")</f>
        <v>Magnolia Park</v>
      </c>
    </row>
    <row r="634" ht="30.0" customHeight="1">
      <c r="A634" s="17">
        <v>633.0</v>
      </c>
      <c r="B634" s="8" t="str">
        <f>IFERROR(__xludf.DUMMYFUNCTION("""COMPUTED_VALUE"""),"[""99999""]")</f>
        <v>["99999"]</v>
      </c>
      <c r="C634" s="9" t="str">
        <f>IFERROR(__xludf.DUMMYFUNCTION("""COMPUTED_VALUE"""),"New Hope Housing Avenue J")</f>
        <v>New Hope Housing Avenue J</v>
      </c>
      <c r="D634" s="9" t="str">
        <f>IFERROR(__xludf.DUMMYFUNCTION("""COMPUTED_VALUE"""),"5220 Avenue J")</f>
        <v>5220 Avenue J</v>
      </c>
      <c r="E634" s="9"/>
      <c r="F634" s="9" t="str">
        <f>IFERROR(__xludf.DUMMYFUNCTION("""COMPUTED_VALUE"""),"Houston")</f>
        <v>Houston</v>
      </c>
      <c r="G634" s="9" t="str">
        <f>IFERROR(__xludf.DUMMYFUNCTION("""COMPUTED_VALUE"""),"TX")</f>
        <v>TX</v>
      </c>
      <c r="H634" s="9" t="str">
        <f>IFERROR(__xludf.DUMMYFUNCTION("""COMPUTED_VALUE"""),"77011")</f>
        <v>77011</v>
      </c>
      <c r="I634" s="9" t="str">
        <f>IFERROR(__xludf.DUMMYFUNCTION("""COMPUTED_VALUE"""),"346-502-5220")</f>
        <v>346-502-5220</v>
      </c>
      <c r="J634" s="9" t="str">
        <f>IFERROR(__xludf.DUMMYFUNCTION("""COMPUTED_VALUE"""),"29.7489816122449, -95.3208546326531")</f>
        <v>29.7489816122449, -95.3208546326531</v>
      </c>
      <c r="K634" s="9" t="str">
        <f>IFERROR(__xludf.DUMMYFUNCTION("""COMPUTED_VALUE"""),"{""regular"":[{""days"":[""Mo"",""Tu"",""We"",""Th"",""Fr""],""open"":""09:00"",""close"":""15:00""}]}")</f>
        <v>{"regular":[{"days":["Mo","Tu","We","Th","Fr"],"open":"09:00","close":"15:00"}]}</v>
      </c>
      <c r="L634" s="9"/>
      <c r="M634" s="10">
        <f>IFERROR(__xludf.DUMMYFUNCTION("""COMPUTED_VALUE"""),24.0)</f>
        <v>24</v>
      </c>
      <c r="N634" s="10" t="str">
        <f>IFERROR(__xludf.DUMMYFUNCTION("""COMPUTED_VALUE"""),"Housing")</f>
        <v>Housing</v>
      </c>
      <c r="O634" s="10">
        <f>IFERROR(__xludf.DUMMYFUNCTION("""COMPUTED_VALUE"""),1.0)</f>
        <v>1</v>
      </c>
      <c r="P634" s="10" t="str">
        <f>IFERROR(__xludf.DUMMYFUNCTION("""COMPUTED_VALUE"""),"ACTIVE")</f>
        <v>ACTIVE</v>
      </c>
      <c r="Q634" s="11">
        <f>IFERROR(__xludf.DUMMYFUNCTION("""COMPUTED_VALUE"""),45793.0)</f>
        <v>45793</v>
      </c>
      <c r="R634" s="9" t="str">
        <f>IFERROR(__xludf.DUMMYFUNCTION("""COMPUTED_VALUE"""),"Verified online")</f>
        <v>Verified online</v>
      </c>
      <c r="S634"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34" s="12" t="b">
        <f>IFERROR(__xludf.DUMMYFUNCTION("""COMPUTED_VALUE"""),FALSE)</f>
        <v>0</v>
      </c>
      <c r="U634" s="12" t="b">
        <f>IFERROR(__xludf.DUMMYFUNCTION("""COMPUTED_VALUE"""),FALSE)</f>
        <v>0</v>
      </c>
      <c r="V634" s="13" t="str">
        <f>IFERROR(__xludf.DUMMYFUNCTION("""COMPUTED_VALUE"""),"https://newhopehousing.com/")</f>
        <v>https://newhopehousing.com/</v>
      </c>
      <c r="W634" s="14" t="str">
        <f>IFERROR(__xludf.DUMMYFUNCTION("""COMPUTED_VALUE"""),"https://www.google.com/maps/place/Avenue+J/@29.748855,-95.3396514,15z/data=!4m10!1m2!2m1!1snew+hope+housing+avenue+j!3m6!1s0x8640bf8dfe8b37c7:0x16c4fdb6d43f08f2!8m2!3d29.748855!4d-95.320597!15sChluZXcgaG9wZSBob3VzaW5nIGF2ZW51ZSBqIgOIAQGSARFhcGFydG1lbnRfY2"&amp;"9tcGxleKoBZwoNL2cvMTFiN2M5dzVoZhABKhQiEG5ldyBob3BlIGhvdXNpbmcoADIfEAEiGzMcBMeE4n0NfOxOpaMfsrWy27xUxVjvM78YSjIdEAIiGW5ldyBob3BlIGhvdXNpbmcgYXZlbnVlIGrgAQA!16s%2Fg%2F11swvjlcm_?entry=ttu&amp;g_ep=EgoyMDI1MDUxMS4wIKXMDSoASAFQAw%3D%3D")</f>
        <v>https://www.google.com/maps/place/Avenue+J/@29.748855,-95.3396514,15z/data=!4m10!1m2!2m1!1snew+hope+housing+avenue+j!3m6!1s0x8640bf8dfe8b37c7:0x16c4fdb6d43f08f2!8m2!3d29.748855!4d-95.320597!15sChluZXcgaG9wZSBob3VzaW5nIGF2ZW51ZSBqIgOIAQGSARFhcGFydG1lbnRfY29tcGxleKoBZwoNL2cvMTFiN2M5dzVoZhABKhQiEG5ldyBob3BlIGhvdXNpbmcoADIfEAEiGzMcBMeE4n0NfOxOpaMfsrWy27xUxVjvM78YSjIdEAIiGW5ldyBob3BlIGhvdXNpbmcgYXZlbnVlIGrgAQA!16s%2Fg%2F11swvjlcm_?entry=ttu&amp;g_ep=EgoyMDI1MDUxMS4wIKXMDSoASAFQAw%3D%3D</v>
      </c>
      <c r="X634" s="10"/>
      <c r="Y634" s="9" t="str">
        <f>IFERROR(__xludf.DUMMYFUNCTION("""COMPUTED_VALUE"""),"Houston")</f>
        <v>Houston</v>
      </c>
      <c r="Z634" s="9" t="str">
        <f>IFERROR(__xludf.DUMMYFUNCTION("""COMPUTED_VALUE"""),"Eastwood, Magnolia Park, Second Ward, South Central Houston")</f>
        <v>Eastwood, Magnolia Park, Second Ward, South Central Houston</v>
      </c>
      <c r="AA634" s="9" t="str">
        <f>IFERROR(__xludf.DUMMYFUNCTION("""COMPUTED_VALUE"""),"New Hope Housing")</f>
        <v>New Hope Housing</v>
      </c>
      <c r="AB634" s="9" t="str">
        <f>IFERROR(__xludf.DUMMYFUNCTION("""COMPUTED_VALUE"""),"South Central Houston")</f>
        <v>South Central Houston</v>
      </c>
    </row>
    <row r="635" ht="30.0" customHeight="1">
      <c r="A635" s="17">
        <v>634.0</v>
      </c>
      <c r="B635" s="8" t="str">
        <f>IFERROR(__xludf.DUMMYFUNCTION("""COMPUTED_VALUE"""),"[""99999""]")</f>
        <v>["99999"]</v>
      </c>
      <c r="C635" s="9" t="str">
        <f>IFERROR(__xludf.DUMMYFUNCTION("""COMPUTED_VALUE"""),"New Hope Housing Berry")</f>
        <v>New Hope Housing Berry</v>
      </c>
      <c r="D635" s="9" t="str">
        <f>IFERROR(__xludf.DUMMYFUNCTION("""COMPUTED_VALUE"""),"8855 McGallion Road")</f>
        <v>8855 McGallion Road</v>
      </c>
      <c r="E635" s="9"/>
      <c r="F635" s="9" t="str">
        <f>IFERROR(__xludf.DUMMYFUNCTION("""COMPUTED_VALUE"""),"Houston")</f>
        <v>Houston</v>
      </c>
      <c r="G635" s="9" t="str">
        <f>IFERROR(__xludf.DUMMYFUNCTION("""COMPUTED_VALUE"""),"TX")</f>
        <v>TX</v>
      </c>
      <c r="H635" s="9" t="str">
        <f>IFERROR(__xludf.DUMMYFUNCTION("""COMPUTED_VALUE"""),"77022")</f>
        <v>77022</v>
      </c>
      <c r="I635" s="9" t="str">
        <f>IFERROR(__xludf.DUMMYFUNCTION("""COMPUTED_VALUE"""),"346-787-8623")</f>
        <v>346-787-8623</v>
      </c>
      <c r="J635" s="9" t="str">
        <f>IFERROR(__xludf.DUMMYFUNCTION("""COMPUTED_VALUE"""),"29.8403340469027, -95.3683265864661")</f>
        <v>29.8403340469027, -95.3683265864661</v>
      </c>
      <c r="K635" s="9" t="str">
        <f>IFERROR(__xludf.DUMMYFUNCTION("""COMPUTED_VALUE"""),"{""regular"":[{""days"":[""Mo"",""Tu"",""We"",""Th"",""Fr""],""open"":""09:00"",""close"":""15:00""}]}")</f>
        <v>{"regular":[{"days":["Mo","Tu","We","Th","Fr"],"open":"09:00","close":"15:00"}]}</v>
      </c>
      <c r="L635" s="9"/>
      <c r="M635" s="10">
        <f>IFERROR(__xludf.DUMMYFUNCTION("""COMPUTED_VALUE"""),24.0)</f>
        <v>24</v>
      </c>
      <c r="N635" s="10" t="str">
        <f>IFERROR(__xludf.DUMMYFUNCTION("""COMPUTED_VALUE"""),"Housing")</f>
        <v>Housing</v>
      </c>
      <c r="O635" s="10">
        <f>IFERROR(__xludf.DUMMYFUNCTION("""COMPUTED_VALUE"""),1.0)</f>
        <v>1</v>
      </c>
      <c r="P635" s="10" t="str">
        <f>IFERROR(__xludf.DUMMYFUNCTION("""COMPUTED_VALUE"""),"ACTIVE")</f>
        <v>ACTIVE</v>
      </c>
      <c r="Q635" s="11">
        <f>IFERROR(__xludf.DUMMYFUNCTION("""COMPUTED_VALUE"""),45793.0)</f>
        <v>45793</v>
      </c>
      <c r="R635" s="9" t="str">
        <f>IFERROR(__xludf.DUMMYFUNCTION("""COMPUTED_VALUE"""),"Verified online")</f>
        <v>Verified online</v>
      </c>
      <c r="S635"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
A Bezos Academy preschool for children between 3 to 5 years old is planned for this location.")</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
A Bezos Academy preschool for children between 3 to 5 years old is planned for this location.</v>
      </c>
      <c r="T635" s="12" t="b">
        <f>IFERROR(__xludf.DUMMYFUNCTION("""COMPUTED_VALUE"""),FALSE)</f>
        <v>0</v>
      </c>
      <c r="U635" s="12" t="b">
        <f>IFERROR(__xludf.DUMMYFUNCTION("""COMPUTED_VALUE"""),FALSE)</f>
        <v>0</v>
      </c>
      <c r="V635" s="13" t="str">
        <f>IFERROR(__xludf.DUMMYFUNCTION("""COMPUTED_VALUE"""),"https://newhopehousing.com/")</f>
        <v>https://newhopehousing.com/</v>
      </c>
      <c r="W635" s="14" t="str">
        <f>IFERROR(__xludf.DUMMYFUNCTION("""COMPUTED_VALUE"""),"https://www.google.com/maps/place/NHH+Berry+Apartments/@29.8403468,-95.3735682,16z/data=!4m15!1m8!3m7!1s0x8640b99aed520dd7:0xaead79675e30ebfe!2s8855+McGallion+Rd,+Houston,+TX+77022!3b1!8m2!3d29.8403422!4d-95.3686973!16s%2Fg%2F11vjxng5l9!3m5!1s0x8640b9b119"&amp;"524a33:0x43c501675b5ca753!8m2!3d29.8403422!4d-95.3686973!16s%2Fg%2F11y96249m7?entry=ttu&amp;g_ep=EgoyMDI1MDUxMS4wIKXMDSoASAFQAw%3D%3D")</f>
        <v>https://www.google.com/maps/place/NHH+Berry+Apartments/@29.8403468,-95.3735682,16z/data=!4m15!1m8!3m7!1s0x8640b99aed520dd7:0xaead79675e30ebfe!2s8855+McGallion+Rd,+Houston,+TX+77022!3b1!8m2!3d29.8403422!4d-95.3686973!16s%2Fg%2F11vjxng5l9!3m5!1s0x8640b9b119524a33:0x43c501675b5ca753!8m2!3d29.8403422!4d-95.3686973!16s%2Fg%2F11y96249m7?entry=ttu&amp;g_ep=EgoyMDI1MDUxMS4wIKXMDSoASAFQAw%3D%3D</v>
      </c>
      <c r="X635" s="10"/>
      <c r="Y635" s="9" t="str">
        <f>IFERROR(__xludf.DUMMYFUNCTION("""COMPUTED_VALUE"""),"Houston")</f>
        <v>Houston</v>
      </c>
      <c r="Z635" s="9" t="str">
        <f>IFERROR(__xludf.DUMMYFUNCTION("""COMPUTED_VALUE"""),"Independence Heights, Northline, Northside / Northline")</f>
        <v>Independence Heights, Northline, Northside / Northline</v>
      </c>
      <c r="AA635" s="9" t="str">
        <f>IFERROR(__xludf.DUMMYFUNCTION("""COMPUTED_VALUE"""),"New Hope Housing")</f>
        <v>New Hope Housing</v>
      </c>
      <c r="AB635" s="9" t="str">
        <f>IFERROR(__xludf.DUMMYFUNCTION("""COMPUTED_VALUE"""),"Northside / Northline")</f>
        <v>Northside / Northline</v>
      </c>
    </row>
    <row r="636" ht="30.0" customHeight="1">
      <c r="A636" s="17">
        <v>635.0</v>
      </c>
      <c r="B636" s="8" t="str">
        <f>IFERROR(__xludf.DUMMYFUNCTION("""COMPUTED_VALUE"""),"[""99999""]")</f>
        <v>["99999"]</v>
      </c>
      <c r="C636" s="9" t="str">
        <f>IFERROR(__xludf.DUMMYFUNCTION("""COMPUTED_VALUE"""),"New Hope Housing Brays Crossing")</f>
        <v>New Hope Housing Brays Crossing</v>
      </c>
      <c r="D636" s="9" t="str">
        <f>IFERROR(__xludf.DUMMYFUNCTION("""COMPUTED_VALUE"""),"6311 Gulf Freeway")</f>
        <v>6311 Gulf Freeway</v>
      </c>
      <c r="E636" s="9"/>
      <c r="F636" s="9" t="str">
        <f>IFERROR(__xludf.DUMMYFUNCTION("""COMPUTED_VALUE"""),"Houston")</f>
        <v>Houston</v>
      </c>
      <c r="G636" s="9" t="str">
        <f>IFERROR(__xludf.DUMMYFUNCTION("""COMPUTED_VALUE"""),"TX")</f>
        <v>TX</v>
      </c>
      <c r="H636" s="9" t="str">
        <f>IFERROR(__xludf.DUMMYFUNCTION("""COMPUTED_VALUE"""),"77023")</f>
        <v>77023</v>
      </c>
      <c r="I636" s="9" t="str">
        <f>IFERROR(__xludf.DUMMYFUNCTION("""COMPUTED_VALUE"""),"713-777-6311")</f>
        <v>713-777-6311</v>
      </c>
      <c r="J636" s="9" t="str">
        <f>IFERROR(__xludf.DUMMYFUNCTION("""COMPUTED_VALUE"""),"29.7116435108878, -95.3108339189034")</f>
        <v>29.7116435108878, -95.3108339189034</v>
      </c>
      <c r="K636" s="9" t="str">
        <f>IFERROR(__xludf.DUMMYFUNCTION("""COMPUTED_VALUE"""),"{""regular"":[{""days"":[""Mo"",""Tu"",""We"",""Th"",""Fr""],""open"":""09:00"",""close"":""15:00""}]}")</f>
        <v>{"regular":[{"days":["Mo","Tu","We","Th","Fr"],"open":"09:00","close":"15:00"}]}</v>
      </c>
      <c r="L636" s="9"/>
      <c r="M636" s="10">
        <f>IFERROR(__xludf.DUMMYFUNCTION("""COMPUTED_VALUE"""),24.0)</f>
        <v>24</v>
      </c>
      <c r="N636" s="10" t="str">
        <f>IFERROR(__xludf.DUMMYFUNCTION("""COMPUTED_VALUE"""),"Housing")</f>
        <v>Housing</v>
      </c>
      <c r="O636" s="10">
        <f>IFERROR(__xludf.DUMMYFUNCTION("""COMPUTED_VALUE"""),1.0)</f>
        <v>1</v>
      </c>
      <c r="P636" s="10" t="str">
        <f>IFERROR(__xludf.DUMMYFUNCTION("""COMPUTED_VALUE"""),"ACTIVE")</f>
        <v>ACTIVE</v>
      </c>
      <c r="Q636" s="11">
        <f>IFERROR(__xludf.DUMMYFUNCTION("""COMPUTED_VALUE"""),45793.0)</f>
        <v>45793</v>
      </c>
      <c r="R636" s="9" t="str">
        <f>IFERROR(__xludf.DUMMYFUNCTION("""COMPUTED_VALUE"""),"Verified online")</f>
        <v>Verified online</v>
      </c>
      <c r="S636"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36" s="12" t="b">
        <f>IFERROR(__xludf.DUMMYFUNCTION("""COMPUTED_VALUE"""),FALSE)</f>
        <v>0</v>
      </c>
      <c r="U636" s="12" t="b">
        <f>IFERROR(__xludf.DUMMYFUNCTION("""COMPUTED_VALUE"""),FALSE)</f>
        <v>0</v>
      </c>
      <c r="V636" s="13" t="str">
        <f>IFERROR(__xludf.DUMMYFUNCTION("""COMPUTED_VALUE"""),"https://newhopehousing.com/")</f>
        <v>https://newhopehousing.com/</v>
      </c>
      <c r="W636" s="14" t="str">
        <f>IFERROR(__xludf.DUMMYFUNCTION("""COMPUTED_VALUE"""),"https://www.google.com/maps/place/New+Hope+Housing+Brays+Crossing/@29.7106381,-95.3262834,15z/data=!4m10!1m2!2m1!1snew+hope+housing+avenue+j!3m6!1s0x8640bddedc2493c9:0xdddf06fcb83ce46c!8m2!3d29.7106381!4d-95.307229!15sChluZXcgaG9wZSBob3VzaW5nIGF2ZW51ZSBqI"&amp;"gOIAQGSARpsb3dfaW5jb21lX2hvdXNpbmdfcHJvZ3JhbaoBZwoNL2cvMTFiN2M5dzVoZhABKhQiEG5ldyBob3BlIGhvdXNpbmcoADIfEAEiGzMcBMeE4n0NfOxOpaMfsrWy27xUxVjvM78YSjIdEAIiGW5ldyBob3BlIGhvdXNpbmcgYXZlbnVlIGrgAQA!16s%2Fg%2F1tf48jn5?entry=ttu&amp;g_ep=EgoyMDI1MDUxMS4wIKXMDSoASAFQAw"&amp;"%3D%3D")</f>
        <v>https://www.google.com/maps/place/New+Hope+Housing+Brays+Crossing/@29.7106381,-95.3262834,15z/data=!4m10!1m2!2m1!1snew+hope+housing+avenue+j!3m6!1s0x8640bddedc2493c9:0xdddf06fcb83ce46c!8m2!3d29.7106381!4d-95.307229!15sChluZXcgaG9wZSBob3VzaW5nIGF2ZW51ZSBqIgOIAQGSARpsb3dfaW5jb21lX2hvdXNpbmdfcHJvZ3JhbaoBZwoNL2cvMTFiN2M5dzVoZhABKhQiEG5ldyBob3BlIGhvdXNpbmcoADIfEAEiGzMcBMeE4n0NfOxOpaMfsrWy27xUxVjvM78YSjIdEAIiGW5ldyBob3BlIGhvdXNpbmcgYXZlbnVlIGrgAQA!16s%2Fg%2F1tf48jn5?entry=ttu&amp;g_ep=EgoyMDI1MDUxMS4wIKXMDSoASAFQAw%3D%3D</v>
      </c>
      <c r="X636" s="10"/>
      <c r="Y636" s="9" t="str">
        <f>IFERROR(__xludf.DUMMYFUNCTION("""COMPUTED_VALUE"""),"Houston")</f>
        <v>Houston</v>
      </c>
      <c r="Z636" s="9" t="str">
        <f>IFERROR(__xludf.DUMMYFUNCTION("""COMPUTED_VALUE"""),"Eastwood, Gulfgate Riverview / Pine Valley, Idylwood, Lawndale / Wayside, Magnolia Park, South Central Houston")</f>
        <v>Eastwood, Gulfgate Riverview / Pine Valley, Idylwood, Lawndale / Wayside, Magnolia Park, South Central Houston</v>
      </c>
      <c r="AA636" s="9" t="str">
        <f>IFERROR(__xludf.DUMMYFUNCTION("""COMPUTED_VALUE"""),"New Hope Housing")</f>
        <v>New Hope Housing</v>
      </c>
      <c r="AB636" s="9" t="str">
        <f>IFERROR(__xludf.DUMMYFUNCTION("""COMPUTED_VALUE"""),"Gulfgate Riverview / Pine Valley")</f>
        <v>Gulfgate Riverview / Pine Valley</v>
      </c>
    </row>
    <row r="637" ht="30.0" customHeight="1">
      <c r="A637" s="17">
        <v>636.0</v>
      </c>
      <c r="B637" s="8" t="str">
        <f>IFERROR(__xludf.DUMMYFUNCTION("""COMPUTED_VALUE"""),"[""99999""]")</f>
        <v>["99999"]</v>
      </c>
      <c r="C637" s="9" t="str">
        <f>IFERROR(__xludf.DUMMYFUNCTION("""COMPUTED_VALUE"""),"New Hope Housing Canal")</f>
        <v>New Hope Housing Canal</v>
      </c>
      <c r="D637" s="9" t="str">
        <f>IFERROR(__xludf.DUMMYFUNCTION("""COMPUTED_VALUE"""),"2821 Canal Street")</f>
        <v>2821 Canal Street</v>
      </c>
      <c r="E637" s="9"/>
      <c r="F637" s="9" t="str">
        <f>IFERROR(__xludf.DUMMYFUNCTION("""COMPUTED_VALUE"""),"Houston")</f>
        <v>Houston</v>
      </c>
      <c r="G637" s="9" t="str">
        <f>IFERROR(__xludf.DUMMYFUNCTION("""COMPUTED_VALUE"""),"TX")</f>
        <v>TX</v>
      </c>
      <c r="H637" s="9" t="str">
        <f>IFERROR(__xludf.DUMMYFUNCTION("""COMPUTED_VALUE"""),"77003")</f>
        <v>77003</v>
      </c>
      <c r="I637" s="9" t="str">
        <f>IFERROR(__xludf.DUMMYFUNCTION("""COMPUTED_VALUE"""),"713-224-2821")</f>
        <v>713-224-2821</v>
      </c>
      <c r="J637" s="9" t="str">
        <f>IFERROR(__xludf.DUMMYFUNCTION("""COMPUTED_VALUE"""),"29.75571675, -95.3419819620354")</f>
        <v>29.75571675, -95.3419819620354</v>
      </c>
      <c r="K637" s="9" t="str">
        <f>IFERROR(__xludf.DUMMYFUNCTION("""COMPUTED_VALUE"""),"{""regular"":[{""days"":[""Mo"",""Tu"",""We"",""Th"",""Fr""],""open"":""09:00"",""close"":""15:00""}]}")</f>
        <v>{"regular":[{"days":["Mo","Tu","We","Th","Fr"],"open":"09:00","close":"15:00"}]}</v>
      </c>
      <c r="L637" s="9"/>
      <c r="M637" s="10">
        <f>IFERROR(__xludf.DUMMYFUNCTION("""COMPUTED_VALUE"""),24.0)</f>
        <v>24</v>
      </c>
      <c r="N637" s="10" t="str">
        <f>IFERROR(__xludf.DUMMYFUNCTION("""COMPUTED_VALUE"""),"Housing")</f>
        <v>Housing</v>
      </c>
      <c r="O637" s="10">
        <f>IFERROR(__xludf.DUMMYFUNCTION("""COMPUTED_VALUE"""),1.0)</f>
        <v>1</v>
      </c>
      <c r="P637" s="10" t="str">
        <f>IFERROR(__xludf.DUMMYFUNCTION("""COMPUTED_VALUE"""),"ACTIVE")</f>
        <v>ACTIVE</v>
      </c>
      <c r="Q637" s="11">
        <f>IFERROR(__xludf.DUMMYFUNCTION("""COMPUTED_VALUE"""),45793.0)</f>
        <v>45793</v>
      </c>
      <c r="R637" s="9" t="str">
        <f>IFERROR(__xludf.DUMMYFUNCTION("""COMPUTED_VALUE"""),"Verified online")</f>
        <v>Verified online</v>
      </c>
      <c r="S637"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37" s="12" t="b">
        <f>IFERROR(__xludf.DUMMYFUNCTION("""COMPUTED_VALUE"""),FALSE)</f>
        <v>0</v>
      </c>
      <c r="U637" s="12" t="b">
        <f>IFERROR(__xludf.DUMMYFUNCTION("""COMPUTED_VALUE"""),FALSE)</f>
        <v>0</v>
      </c>
      <c r="V637" s="13" t="str">
        <f>IFERROR(__xludf.DUMMYFUNCTION("""COMPUTED_VALUE"""),"https://newhopehousing.com/")</f>
        <v>https://newhopehousing.com/</v>
      </c>
      <c r="W637" s="14" t="str">
        <f>IFERROR(__xludf.DUMMYFUNCTION("""COMPUTED_VALUE"""),"https://www.google.com/maps/place/New+Hope+Housing+Canal/@29.7554601,-95.3610743,15z/data=!4m10!1m2!2m1!1snew+hope+housing+avenue+j!3m6!1s0x8640bedcae2446cb:0xcf1d41649ebdb169!8m2!3d29.7554601!4d-95.3420199!15sChluZXcgaG9wZSBob3VzaW5nIGF2ZW51ZSBqIgOIAQGSA"&amp;"RNob3VzaW5nX2RldmVsb3BtZW50qgFnCg0vZy8xMWI3Yzl3NWhmEAEqFCIQbmV3IGhvcGUgaG91c2luZygAMh8QASIbMxwEx4TifQ187E6lox-ytbLbvFTFWO8zvxhKMh0QAiIZbmV3IGhvcGUgaG91c2luZyBhdmVudWUgauABAA!16s%2Fg%2F1v46_r31?entry=ttu&amp;g_ep=EgoyMDI1MDUxMS4wIKXMDSoASAFQAw%3D%3D")</f>
        <v>https://www.google.com/maps/place/New+Hope+Housing+Canal/@29.7554601,-95.3610743,15z/data=!4m10!1m2!2m1!1snew+hope+housing+avenue+j!3m6!1s0x8640bedcae2446cb:0xcf1d41649ebdb169!8m2!3d29.7554601!4d-95.3420199!15sChluZXcgaG9wZSBob3VzaW5nIGF2ZW51ZSBqIgOIAQGSARNob3VzaW5nX2RldmVsb3BtZW50qgFnCg0vZy8xMWI3Yzl3NWhmEAEqFCIQbmV3IGhvcGUgaG91c2luZygAMh8QASIbMxwEx4TifQ187E6lox-ytbLbvFTFWO8zvxhKMh0QAiIZbmV3IGhvcGUgaG91c2luZyBhdmVudWUgauABAA!16s%2Fg%2F1v46_r31?entry=ttu&amp;g_ep=EgoyMDI1MDUxMS4wIKXMDSoASAFQAw%3D%3D</v>
      </c>
      <c r="X637" s="10"/>
      <c r="Y637" s="9" t="str">
        <f>IFERROR(__xludf.DUMMYFUNCTION("""COMPUTED_VALUE"""),"Houston")</f>
        <v>Houston</v>
      </c>
      <c r="Z637" s="9" t="str">
        <f>IFERROR(__xludf.DUMMYFUNCTION("""COMPUTED_VALUE"""),"East Downtown, Downtown Houston, Second Ward, South Central Houston, South Side")</f>
        <v>East Downtown, Downtown Houston, Second Ward, South Central Houston, South Side</v>
      </c>
      <c r="AA637" s="9" t="str">
        <f>IFERROR(__xludf.DUMMYFUNCTION("""COMPUTED_VALUE"""),"New Hope Housing")</f>
        <v>New Hope Housing</v>
      </c>
      <c r="AB637" s="9" t="str">
        <f>IFERROR(__xludf.DUMMYFUNCTION("""COMPUTED_VALUE"""),"South Central Houston")</f>
        <v>South Central Houston</v>
      </c>
    </row>
    <row r="638" ht="30.0" customHeight="1">
      <c r="A638" s="17">
        <v>637.0</v>
      </c>
      <c r="B638" s="8" t="str">
        <f>IFERROR(__xludf.DUMMYFUNCTION("""COMPUTED_VALUE"""),"[""99999""]")</f>
        <v>["99999"]</v>
      </c>
      <c r="C638" s="9" t="str">
        <f>IFERROR(__xludf.DUMMYFUNCTION("""COMPUTED_VALUE"""),"New Hope Housing Congress")</f>
        <v>New Hope Housing Congress</v>
      </c>
      <c r="D638" s="9" t="str">
        <f>IFERROR(__xludf.DUMMYFUNCTION("""COMPUTED_VALUE"""),"1414 Congress Street")</f>
        <v>1414 Congress Street</v>
      </c>
      <c r="E638" s="9"/>
      <c r="F638" s="9" t="str">
        <f>IFERROR(__xludf.DUMMYFUNCTION("""COMPUTED_VALUE"""),"Houston")</f>
        <v>Houston</v>
      </c>
      <c r="G638" s="9" t="str">
        <f>IFERROR(__xludf.DUMMYFUNCTION("""COMPUTED_VALUE"""),"TX")</f>
        <v>TX</v>
      </c>
      <c r="H638" s="9" t="str">
        <f>IFERROR(__xludf.DUMMYFUNCTION("""COMPUTED_VALUE"""),"77002")</f>
        <v>77002</v>
      </c>
      <c r="I638" s="9" t="str">
        <f>IFERROR(__xludf.DUMMYFUNCTION("""COMPUTED_VALUE"""),"713-224-1414")</f>
        <v>713-224-1414</v>
      </c>
      <c r="J638" s="9" t="str">
        <f>IFERROR(__xludf.DUMMYFUNCTION("""COMPUTED_VALUE"""),"29.7599841428571, -95.3571202857143")</f>
        <v>29.7599841428571, -95.3571202857143</v>
      </c>
      <c r="K638" s="9" t="str">
        <f>IFERROR(__xludf.DUMMYFUNCTION("""COMPUTED_VALUE"""),"{""regular"":[{""days"":[""Mo"",""Tu"",""We"",""Th"",""Fr""],""open"":""09:00"",""close"":""15:00""}]}")</f>
        <v>{"regular":[{"days":["Mo","Tu","We","Th","Fr"],"open":"09:00","close":"15:00"}]}</v>
      </c>
      <c r="L638" s="9"/>
      <c r="M638" s="10">
        <f>IFERROR(__xludf.DUMMYFUNCTION("""COMPUTED_VALUE"""),24.0)</f>
        <v>24</v>
      </c>
      <c r="N638" s="10" t="str">
        <f>IFERROR(__xludf.DUMMYFUNCTION("""COMPUTED_VALUE"""),"Housing")</f>
        <v>Housing</v>
      </c>
      <c r="O638" s="10">
        <f>IFERROR(__xludf.DUMMYFUNCTION("""COMPUTED_VALUE"""),1.0)</f>
        <v>1</v>
      </c>
      <c r="P638" s="10" t="str">
        <f>IFERROR(__xludf.DUMMYFUNCTION("""COMPUTED_VALUE"""),"ACTIVE")</f>
        <v>ACTIVE</v>
      </c>
      <c r="Q638" s="11">
        <f>IFERROR(__xludf.DUMMYFUNCTION("""COMPUTED_VALUE"""),45793.0)</f>
        <v>45793</v>
      </c>
      <c r="R638" s="9" t="str">
        <f>IFERROR(__xludf.DUMMYFUNCTION("""COMPUTED_VALUE"""),"Verified online")</f>
        <v>Verified online</v>
      </c>
      <c r="S638"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38" s="12" t="b">
        <f>IFERROR(__xludf.DUMMYFUNCTION("""COMPUTED_VALUE"""),FALSE)</f>
        <v>0</v>
      </c>
      <c r="U638" s="12" t="b">
        <f>IFERROR(__xludf.DUMMYFUNCTION("""COMPUTED_VALUE"""),FALSE)</f>
        <v>0</v>
      </c>
      <c r="V638" s="13" t="str">
        <f>IFERROR(__xludf.DUMMYFUNCTION("""COMPUTED_VALUE"""),"https://newhopehousing.com/")</f>
        <v>https://newhopehousing.com/</v>
      </c>
      <c r="W638" s="14" t="str">
        <f>IFERROR(__xludf.DUMMYFUNCTION("""COMPUTED_VALUE"""),"https://www.google.com/maps/place/New+Hope+Housing+Congress/@29.7598105,-95.3759714,15z/data=!4m10!1m2!2m1!1snew+hope+housing+avenue+j!3m6!1s0x8640bf26773131ad:0xacdc10793b2ea637!8m2!3d29.7598105!4d-95.356917!15sChluZXcgaG9wZSBob3VzaW5nIGF2ZW51ZSBqIgOIAQG"&amp;"SARJhcGFydG1lbnRfYnVpbGRpbmeqAWcKDS9nLzExYjdjOXc1aGYQASoUIhBuZXcgaG9wZSBob3VzaW5nKAAyHxABIhszHATHhOJ9DXzsTqWjH7K1stu8VMVY7zO_GEoyHRACIhluZXcgaG9wZSBob3VzaW5nIGF2ZW51ZSBq4AEA!16s%2Fg%2F1tflgm4j?entry=ttu&amp;g_ep=EgoyMDI1MDUxMS4wIKXMDSoASAFQAw%3D%3D")</f>
        <v>https://www.google.com/maps/place/New+Hope+Housing+Congress/@29.7598105,-95.3759714,15z/data=!4m10!1m2!2m1!1snew+hope+housing+avenue+j!3m6!1s0x8640bf26773131ad:0xacdc10793b2ea637!8m2!3d29.7598105!4d-95.356917!15sChluZXcgaG9wZSBob3VzaW5nIGF2ZW51ZSBqIgOIAQGSARJhcGFydG1lbnRfYnVpbGRpbmeqAWcKDS9nLzExYjdjOXc1aGYQASoUIhBuZXcgaG9wZSBob3VzaW5nKAAyHxABIhszHATHhOJ9DXzsTqWjH7K1stu8VMVY7zO_GEoyHRACIhluZXcgaG9wZSBob3VzaW5nIGF2ZW51ZSBq4AEA!16s%2Fg%2F1tflgm4j?entry=ttu&amp;g_ep=EgoyMDI1MDUxMS4wIKXMDSoASAFQAw%3D%3D</v>
      </c>
      <c r="X638" s="10"/>
      <c r="Y638" s="9" t="str">
        <f>IFERROR(__xludf.DUMMYFUNCTION("""COMPUTED_VALUE"""),"Houston")</f>
        <v>Houston</v>
      </c>
      <c r="Z638"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638" s="9" t="str">
        <f>IFERROR(__xludf.DUMMYFUNCTION("""COMPUTED_VALUE"""),"New Hope Housing")</f>
        <v>New Hope Housing</v>
      </c>
      <c r="AB638" s="9" t="str">
        <f>IFERROR(__xludf.DUMMYFUNCTION("""COMPUTED_VALUE"""),"Downtown Houston")</f>
        <v>Downtown Houston</v>
      </c>
    </row>
    <row r="639" ht="30.0" customHeight="1">
      <c r="A639" s="17">
        <v>638.0</v>
      </c>
      <c r="B639" s="8" t="str">
        <f>IFERROR(__xludf.DUMMYFUNCTION("""COMPUTED_VALUE"""),"[""99999""]")</f>
        <v>["99999"]</v>
      </c>
      <c r="C639" s="9" t="str">
        <f>IFERROR(__xludf.DUMMYFUNCTION("""COMPUTED_VALUE"""),"New Hope Housing Dale Carnegie")</f>
        <v>New Hope Housing Dale Carnegie</v>
      </c>
      <c r="D639" s="9" t="str">
        <f>IFERROR(__xludf.DUMMYFUNCTION("""COMPUTED_VALUE"""),"6015 Dale Carnegie Lane")</f>
        <v>6015 Dale Carnegie Lane</v>
      </c>
      <c r="E639" s="9"/>
      <c r="F639" s="9" t="str">
        <f>IFERROR(__xludf.DUMMYFUNCTION("""COMPUTED_VALUE"""),"Houston")</f>
        <v>Houston</v>
      </c>
      <c r="G639" s="9" t="str">
        <f>IFERROR(__xludf.DUMMYFUNCTION("""COMPUTED_VALUE"""),"TX")</f>
        <v>TX</v>
      </c>
      <c r="H639" s="9" t="str">
        <f>IFERROR(__xludf.DUMMYFUNCTION("""COMPUTED_VALUE"""),"77036")</f>
        <v>77036</v>
      </c>
      <c r="I639" s="9" t="str">
        <f>IFERROR(__xludf.DUMMYFUNCTION("""COMPUTED_VALUE"""),"713-258-7025")</f>
        <v>713-258-7025</v>
      </c>
      <c r="J639" s="9" t="str">
        <f>IFERROR(__xludf.DUMMYFUNCTION("""COMPUTED_VALUE"""),"29.7142975440654, -95.5068509317796")</f>
        <v>29.7142975440654, -95.5068509317796</v>
      </c>
      <c r="K639" s="9" t="str">
        <f>IFERROR(__xludf.DUMMYFUNCTION("""COMPUTED_VALUE"""),"{""regular"":[{""days"":[""Mo"",""Tu"",""We"",""Th"",""Fr""],""open"":""09:00"",""close"":""15:00""}]}")</f>
        <v>{"regular":[{"days":["Mo","Tu","We","Th","Fr"],"open":"09:00","close":"15:00"}]}</v>
      </c>
      <c r="L639" s="9"/>
      <c r="M639" s="10">
        <f>IFERROR(__xludf.DUMMYFUNCTION("""COMPUTED_VALUE"""),24.0)</f>
        <v>24</v>
      </c>
      <c r="N639" s="10" t="str">
        <f>IFERROR(__xludf.DUMMYFUNCTION("""COMPUTED_VALUE"""),"Housing")</f>
        <v>Housing</v>
      </c>
      <c r="O639" s="10">
        <f>IFERROR(__xludf.DUMMYFUNCTION("""COMPUTED_VALUE"""),1.0)</f>
        <v>1</v>
      </c>
      <c r="P639" s="10" t="str">
        <f>IFERROR(__xludf.DUMMYFUNCTION("""COMPUTED_VALUE"""),"ACTIVE")</f>
        <v>ACTIVE</v>
      </c>
      <c r="Q639" s="11">
        <f>IFERROR(__xludf.DUMMYFUNCTION("""COMPUTED_VALUE"""),45793.0)</f>
        <v>45793</v>
      </c>
      <c r="R639" s="9" t="str">
        <f>IFERROR(__xludf.DUMMYFUNCTION("""COMPUTED_VALUE"""),"Verified online")</f>
        <v>Verified online</v>
      </c>
      <c r="S639"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39" s="12" t="b">
        <f>IFERROR(__xludf.DUMMYFUNCTION("""COMPUTED_VALUE"""),FALSE)</f>
        <v>0</v>
      </c>
      <c r="U639" s="12" t="b">
        <f>IFERROR(__xludf.DUMMYFUNCTION("""COMPUTED_VALUE"""),FALSE)</f>
        <v>0</v>
      </c>
      <c r="V639" s="13" t="str">
        <f>IFERROR(__xludf.DUMMYFUNCTION("""COMPUTED_VALUE"""),"https://newhopehousing.com/")</f>
        <v>https://newhopehousing.com/</v>
      </c>
      <c r="W639" s="14" t="str">
        <f>IFERROR(__xludf.DUMMYFUNCTION("""COMPUTED_VALUE"""),"https://www.google.com/maps/place/New+Hope+Housing+Dale+Carnegie/@29.7155753,-95.5255177,15z/data=!4m10!1m2!2m1!1snew+hope+housing+avenue+j!3m6!1s0x8640c391c38a2c03:0x73da9740e56572d1!8m2!3d29.7155753!4d-95.5064633!15sChluZXcgaG9wZSBob3VzaW5nIGF2ZW51ZSBqI"&amp;"gOIAQGSAQ9ob3VzaW5nX2NvbXBsZXiqAWcKDS9nLzExYjdjOXc1aGYQASoUIhBuZXcgaG9wZSBob3VzaW5nKAAyHxABIhszHATHhOJ9DXzsTqWjH7K1stu8VMVY7zO_GEoyHRACIhluZXcgaG9wZSBob3VzaW5nIGF2ZW51ZSBq4AEA!16s%2Fg%2F11p9mxy9j8?entry=ttu&amp;g_ep=EgoyMDI1MDUxMS4wIKXMDSoASAFQAw%3D%3D")</f>
        <v>https://www.google.com/maps/place/New+Hope+Housing+Dale+Carnegie/@29.7155753,-95.5255177,15z/data=!4m10!1m2!2m1!1snew+hope+housing+avenue+j!3m6!1s0x8640c391c38a2c03:0x73da9740e56572d1!8m2!3d29.7155753!4d-95.5064633!15sChluZXcgaG9wZSBob3VzaW5nIGF2ZW51ZSBqIgOIAQGSAQ9ob3VzaW5nX2NvbXBsZXiqAWcKDS9nLzExYjdjOXc1aGYQASoUIhBuZXcgaG9wZSBob3VzaW5nKAAyHxABIhszHATHhOJ9DXzsTqWjH7K1stu8VMVY7zO_GEoyHRACIhluZXcgaG9wZSBob3VzaW5nIGF2ZW51ZSBq4AEA!16s%2Fg%2F11p9mxy9j8?entry=ttu&amp;g_ep=EgoyMDI1MDUxMS4wIKXMDSoASAFQAw%3D%3D</v>
      </c>
      <c r="X639" s="10"/>
      <c r="Y639" s="9" t="str">
        <f>IFERROR(__xludf.DUMMYFUNCTION("""COMPUTED_VALUE"""),"Houston")</f>
        <v>Houston</v>
      </c>
      <c r="Z639" s="9" t="str">
        <f>IFERROR(__xludf.DUMMYFUNCTION("""COMPUTED_VALUE"""),"Chinatown, Sharpstown, Westside")</f>
        <v>Chinatown, Sharpstown, Westside</v>
      </c>
      <c r="AA639" s="9" t="str">
        <f>IFERROR(__xludf.DUMMYFUNCTION("""COMPUTED_VALUE"""),"New Hope Housing")</f>
        <v>New Hope Housing</v>
      </c>
      <c r="AB639" s="9" t="str">
        <f>IFERROR(__xludf.DUMMYFUNCTION("""COMPUTED_VALUE"""),"Sharpstown")</f>
        <v>Sharpstown</v>
      </c>
    </row>
    <row r="640" ht="30.0" customHeight="1">
      <c r="A640" s="17">
        <v>639.0</v>
      </c>
      <c r="B640" s="8" t="str">
        <f>IFERROR(__xludf.DUMMYFUNCTION("""COMPUTED_VALUE"""),"[""99999""]")</f>
        <v>["99999"]</v>
      </c>
      <c r="C640" s="9" t="str">
        <f>IFERROR(__xludf.DUMMYFUNCTION("""COMPUTED_VALUE"""),"New Hope Housing Ennis")</f>
        <v>New Hope Housing Ennis</v>
      </c>
      <c r="D640" s="9" t="str">
        <f>IFERROR(__xludf.DUMMYFUNCTION("""COMPUTED_VALUE"""),"1887 Ennis Street")</f>
        <v>1887 Ennis Street</v>
      </c>
      <c r="E640" s="9"/>
      <c r="F640" s="9" t="str">
        <f>IFERROR(__xludf.DUMMYFUNCTION("""COMPUTED_VALUE"""),"Houston")</f>
        <v>Houston</v>
      </c>
      <c r="G640" s="9" t="str">
        <f>IFERROR(__xludf.DUMMYFUNCTION("""COMPUTED_VALUE"""),"TX")</f>
        <v>TX</v>
      </c>
      <c r="H640" s="9" t="str">
        <f>IFERROR(__xludf.DUMMYFUNCTION("""COMPUTED_VALUE"""),"77003")</f>
        <v>77003</v>
      </c>
      <c r="I640" s="9" t="str">
        <f>IFERROR(__xludf.DUMMYFUNCTION("""COMPUTED_VALUE"""),"713-222-0290")</f>
        <v>713-222-0290</v>
      </c>
      <c r="J640" s="9" t="str">
        <f>IFERROR(__xludf.DUMMYFUNCTION("""COMPUTED_VALUE"""),"29.7399327838599, -95.3530217604263")</f>
        <v>29.7399327838599, -95.3530217604263</v>
      </c>
      <c r="K640" s="9" t="str">
        <f>IFERROR(__xludf.DUMMYFUNCTION("""COMPUTED_VALUE"""),"{""regular"":[{""days"":[""Mo"",""Tu"",""We"",""Th"",""Fr""],""open"":""09:00"",""close"":""15:00""}]}")</f>
        <v>{"regular":[{"days":["Mo","Tu","We","Th","Fr"],"open":"09:00","close":"15:00"}]}</v>
      </c>
      <c r="L640" s="9"/>
      <c r="M640" s="10">
        <f>IFERROR(__xludf.DUMMYFUNCTION("""COMPUTED_VALUE"""),24.0)</f>
        <v>24</v>
      </c>
      <c r="N640" s="10" t="str">
        <f>IFERROR(__xludf.DUMMYFUNCTION("""COMPUTED_VALUE"""),"Housing")</f>
        <v>Housing</v>
      </c>
      <c r="O640" s="10">
        <f>IFERROR(__xludf.DUMMYFUNCTION("""COMPUTED_VALUE"""),1.0)</f>
        <v>1</v>
      </c>
      <c r="P640" s="10" t="str">
        <f>IFERROR(__xludf.DUMMYFUNCTION("""COMPUTED_VALUE"""),"ACTIVE")</f>
        <v>ACTIVE</v>
      </c>
      <c r="Q640" s="11">
        <f>IFERROR(__xludf.DUMMYFUNCTION("""COMPUTED_VALUE"""),45793.0)</f>
        <v>45793</v>
      </c>
      <c r="R640" s="9" t="str">
        <f>IFERROR(__xludf.DUMMYFUNCTION("""COMPUTED_VALUE"""),"Verified online")</f>
        <v>Verified online</v>
      </c>
      <c r="S640" s="9" t="str">
        <f>IFERROR(__xludf.DUMMYFUNCTION("""COMPUTED_VALUE"""),"Available in 2026.
This is one of several properties owned by New Hope which, with support from the city of Houston and Harris Country, provides apartments at below market rates.
Must meet income eligibility requirements and pass a criminal background che"&amp;"ck.  For Seniors (55+)
There is no central intake.  You must apply in person at the property you are interested in renting.")</f>
        <v>Available in 2026.
This is one of several properties owned by New Hope which, with support from the city of Houston and Harris Country, provides apartments at below market rates.
Must meet income eligibility requirements and pass a criminal background check.  For Seniors (55+)
There is no central intake.  You must apply in person at the property you are interested in renting.</v>
      </c>
      <c r="T640" s="12" t="b">
        <f>IFERROR(__xludf.DUMMYFUNCTION("""COMPUTED_VALUE"""),FALSE)</f>
        <v>0</v>
      </c>
      <c r="U640" s="12" t="b">
        <f>IFERROR(__xludf.DUMMYFUNCTION("""COMPUTED_VALUE"""),FALSE)</f>
        <v>0</v>
      </c>
      <c r="V640" s="13" t="str">
        <f>IFERROR(__xludf.DUMMYFUNCTION("""COMPUTED_VALUE"""),"https://newhopehousing.com/")</f>
        <v>https://newhopehousing.com/</v>
      </c>
      <c r="W640" s="14" t="str">
        <f>IFERROR(__xludf.DUMMYFUNCTION("""COMPUTED_VALUE"""),"https://www.google.com/maps/place/New+Hope+Housing+-+Ennis/@29.739865,-95.3767614,15z/data=!4m10!1m2!2m1!1snew+hope+housing+avenue+j!3m6!1s0x8640bf00533f2509:0xf59868b3a5612ccc!8m2!3d29.7398685!4d-95.3531917!15sChluZXcgaG9wZSBob3VzaW5nIGF2ZW51ZSBqIgOIAQGS"&amp;"ARpsb3dfaW5jb21lX2hvdXNpbmdfcHJvZ3JhbaoBZwoNL2cvMTFiN2M5dzVoZhABKhQiEG5ldyBob3BlIGhvdXNpbmcoADIfEAEiGzMcBMeE4n0NfOxOpaMfsrWy27xUxVjvM78YSjIdEAIiGW5ldyBob3BlIGhvdXNpbmcgYXZlbnVlIGrgAQA!16s%2Fg%2F11vz540q7l?entry=ttu&amp;g_ep=EgoyMDI1MDUxMS4wIKXMDSoASAFQAw%3D%3"&amp;"D")</f>
        <v>https://www.google.com/maps/place/New+Hope+Housing+-+Ennis/@29.739865,-95.3767614,15z/data=!4m10!1m2!2m1!1snew+hope+housing+avenue+j!3m6!1s0x8640bf00533f2509:0xf59868b3a5612ccc!8m2!3d29.7398685!4d-95.3531917!15sChluZXcgaG9wZSBob3VzaW5nIGF2ZW51ZSBqIgOIAQGSARpsb3dfaW5jb21lX2hvdXNpbmdfcHJvZ3JhbaoBZwoNL2cvMTFiN2M5dzVoZhABKhQiEG5ldyBob3BlIGhvdXNpbmcoADIfEAEiGzMcBMeE4n0NfOxOpaMfsrWy27xUxVjvM78YSjIdEAIiGW5ldyBob3BlIGhvdXNpbmcgYXZlbnVlIGrgAQA!16s%2Fg%2F11vz540q7l?entry=ttu&amp;g_ep=EgoyMDI1MDUxMS4wIKXMDSoASAFQAw%3D%3D</v>
      </c>
      <c r="X640" s="10"/>
      <c r="Y640" s="9" t="str">
        <f>IFERROR(__xludf.DUMMYFUNCTION("""COMPUTED_VALUE"""),"Houston")</f>
        <v>Houston</v>
      </c>
      <c r="Z640" s="9" t="str">
        <f>IFERROR(__xludf.DUMMYFUNCTION("""COMPUTED_VALUE"""),"East Downtown, Downtown Houston, Second Ward, South Central Houston, South Side")</f>
        <v>East Downtown, Downtown Houston, Second Ward, South Central Houston, South Side</v>
      </c>
      <c r="AA640" s="9" t="str">
        <f>IFERROR(__xludf.DUMMYFUNCTION("""COMPUTED_VALUE"""),"New Hope Housing")</f>
        <v>New Hope Housing</v>
      </c>
      <c r="AB640" s="9" t="str">
        <f>IFERROR(__xludf.DUMMYFUNCTION("""COMPUTED_VALUE"""),"East Downtown")</f>
        <v>East Downtown</v>
      </c>
    </row>
    <row r="641" ht="30.0" customHeight="1">
      <c r="A641" s="17">
        <v>640.0</v>
      </c>
      <c r="B641" s="8" t="str">
        <f>IFERROR(__xludf.DUMMYFUNCTION("""COMPUTED_VALUE"""),"[""99999""]")</f>
        <v>["99999"]</v>
      </c>
      <c r="C641" s="9" t="str">
        <f>IFERROR(__xludf.DUMMYFUNCTION("""COMPUTED_VALUE"""),"New Hope Housing Gray")</f>
        <v>New Hope Housing Gray</v>
      </c>
      <c r="D641" s="9" t="str">
        <f>IFERROR(__xludf.DUMMYFUNCTION("""COMPUTED_VALUE"""),"2604 Gray Street")</f>
        <v>2604 Gray Street</v>
      </c>
      <c r="E641" s="9"/>
      <c r="F641" s="9" t="str">
        <f>IFERROR(__xludf.DUMMYFUNCTION("""COMPUTED_VALUE"""),"Houston")</f>
        <v>Houston</v>
      </c>
      <c r="G641" s="9" t="str">
        <f>IFERROR(__xludf.DUMMYFUNCTION("""COMPUTED_VALUE"""),"TX")</f>
        <v>TX</v>
      </c>
      <c r="H641" s="9" t="str">
        <f>IFERROR(__xludf.DUMMYFUNCTION("""COMPUTED_VALUE"""),"77003")</f>
        <v>77003</v>
      </c>
      <c r="I641" s="9" t="str">
        <f>IFERROR(__xludf.DUMMYFUNCTION("""COMPUTED_VALUE"""),"346-816+2604")</f>
        <v>346-816+2604</v>
      </c>
      <c r="J641" s="9" t="str">
        <f>IFERROR(__xludf.DUMMYFUNCTION("""COMPUTED_VALUE"""),"29.7402750174058, -95.3576583075059")</f>
        <v>29.7402750174058, -95.3576583075059</v>
      </c>
      <c r="K641" s="9" t="str">
        <f>IFERROR(__xludf.DUMMYFUNCTION("""COMPUTED_VALUE"""),"{""regular"":[{""days"":[""Mo"",""Tu"",""We"",""Th"",""Fr""],""open"":""09:00"",""close"":""15:00""}]}")</f>
        <v>{"regular":[{"days":["Mo","Tu","We","Th","Fr"],"open":"09:00","close":"15:00"}]}</v>
      </c>
      <c r="L641" s="9"/>
      <c r="M641" s="10">
        <f>IFERROR(__xludf.DUMMYFUNCTION("""COMPUTED_VALUE"""),24.0)</f>
        <v>24</v>
      </c>
      <c r="N641" s="10" t="str">
        <f>IFERROR(__xludf.DUMMYFUNCTION("""COMPUTED_VALUE"""),"Housing")</f>
        <v>Housing</v>
      </c>
      <c r="O641" s="10">
        <f>IFERROR(__xludf.DUMMYFUNCTION("""COMPUTED_VALUE"""),1.0)</f>
        <v>1</v>
      </c>
      <c r="P641" s="10" t="str">
        <f>IFERROR(__xludf.DUMMYFUNCTION("""COMPUTED_VALUE"""),"ACTIVE")</f>
        <v>ACTIVE</v>
      </c>
      <c r="Q641" s="11">
        <f>IFERROR(__xludf.DUMMYFUNCTION("""COMPUTED_VALUE"""),45793.0)</f>
        <v>45793</v>
      </c>
      <c r="R641" s="9" t="str">
        <f>IFERROR(__xludf.DUMMYFUNCTION("""COMPUTED_VALUE"""),"Verified online")</f>
        <v>Verified online</v>
      </c>
      <c r="S641"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For Seniors (5"&amp;"5+)
There is no central intake.  You must apply in person at the property you are interested in renting.
A Bezos Academy preschool for children between 3 to 5 years old is planned for this location.")</f>
        <v>This is one of several properties owned by New Hope which, with support from the city of Houston and Harris Country, provides apartments at below market rates.
Must meet income eligibility requirements and pass a criminal background check.  For Seniors (55+)
There is no central intake.  You must apply in person at the property you are interested in renting.
A Bezos Academy preschool for children between 3 to 5 years old is planned for this location.</v>
      </c>
      <c r="T641" s="12" t="b">
        <f>IFERROR(__xludf.DUMMYFUNCTION("""COMPUTED_VALUE"""),FALSE)</f>
        <v>0</v>
      </c>
      <c r="U641" s="12" t="b">
        <f>IFERROR(__xludf.DUMMYFUNCTION("""COMPUTED_VALUE"""),FALSE)</f>
        <v>0</v>
      </c>
      <c r="V641" s="13" t="str">
        <f>IFERROR(__xludf.DUMMYFUNCTION("""COMPUTED_VALUE"""),"https://newhopehousing.com/")</f>
        <v>https://newhopehousing.com/</v>
      </c>
      <c r="W641" s="14" t="str">
        <f>IFERROR(__xludf.DUMMYFUNCTION("""COMPUTED_VALUE"""),"https://www.google.com/maps/place/New+Hope+Housing/@29.739865,-95.3767614,15z/data=!4m10!1m2!2m1!1snew+hope+housing+avenue+j!3m6!1s0x8640bf1b5c312da7:0xf6fac1d77da403a0!8m2!3d29.739865!4d-95.357707!15sChluZXcgaG9wZSBob3VzaW5nIGF2ZW51ZSBqIgOIAQGqAWcKDS9nLz"&amp;"ExYjdjOXc1aGYQASoUIhBuZXcgaG9wZSBob3VzaW5nKAAyHxABIhszHATHhOJ9DXzsTqWjH7K1stu8VMVY7zO_GEoyHRACIhluZXcgaG9wZSBob3VzaW5nIGF2ZW51ZSBq4AEA!16s%2Fg%2F11xcn6qfy0?entry=ttu&amp;g_ep=EgoyMDI1MDUxMS4wIKXMDSoASAFQAw%3D%3D")</f>
        <v>https://www.google.com/maps/place/New+Hope+Housing/@29.739865,-95.3767614,15z/data=!4m10!1m2!2m1!1snew+hope+housing+avenue+j!3m6!1s0x8640bf1b5c312da7:0xf6fac1d77da403a0!8m2!3d29.739865!4d-95.357707!15sChluZXcgaG9wZSBob3VzaW5nIGF2ZW51ZSBqIgOIAQGqAWcKDS9nLzExYjdjOXc1aGYQASoUIhBuZXcgaG9wZSBob3VzaW5nKAAyHxABIhszHATHhOJ9DXzsTqWjH7K1stu8VMVY7zO_GEoyHRACIhluZXcgaG9wZSBob3VzaW5nIGF2ZW51ZSBq4AEA!16s%2Fg%2F11xcn6qfy0?entry=ttu&amp;g_ep=EgoyMDI1MDUxMS4wIKXMDSoASAFQAw%3D%3D</v>
      </c>
      <c r="X641" s="10"/>
      <c r="Y641" s="9" t="str">
        <f>IFERROR(__xludf.DUMMYFUNCTION("""COMPUTED_VALUE"""),"Houston")</f>
        <v>Houston</v>
      </c>
      <c r="Z641" s="9" t="str">
        <f>IFERROR(__xludf.DUMMYFUNCTION("""COMPUTED_VALUE"""),"East Downtown, Downtown Houston, Second Ward, South Central Houston, South Side")</f>
        <v>East Downtown, Downtown Houston, Second Ward, South Central Houston, South Side</v>
      </c>
      <c r="AA641" s="9" t="str">
        <f>IFERROR(__xludf.DUMMYFUNCTION("""COMPUTED_VALUE"""),"New Hope Housing")</f>
        <v>New Hope Housing</v>
      </c>
      <c r="AB641" s="9" t="str">
        <f>IFERROR(__xludf.DUMMYFUNCTION("""COMPUTED_VALUE"""),"South Side")</f>
        <v>South Side</v>
      </c>
    </row>
    <row r="642" ht="30.0" customHeight="1">
      <c r="A642" s="17">
        <v>641.0</v>
      </c>
      <c r="B642" s="8" t="str">
        <f>IFERROR(__xludf.DUMMYFUNCTION("""COMPUTED_VALUE"""),"[""99999""]")</f>
        <v>["99999"]</v>
      </c>
      <c r="C642" s="9" t="str">
        <f>IFERROR(__xludf.DUMMYFUNCTION("""COMPUTED_VALUE"""),"New Hope Housing Harrisburg")</f>
        <v>New Hope Housing Harrisburg</v>
      </c>
      <c r="D642" s="9" t="str">
        <f>IFERROR(__xludf.DUMMYFUNCTION("""COMPUTED_VALUE"""),"3315 Harrisburg Blvd")</f>
        <v>3315 Harrisburg Blvd</v>
      </c>
      <c r="E642" s="9"/>
      <c r="F642" s="9" t="str">
        <f>IFERROR(__xludf.DUMMYFUNCTION("""COMPUTED_VALUE"""),"Houston")</f>
        <v>Houston</v>
      </c>
      <c r="G642" s="9" t="str">
        <f>IFERROR(__xludf.DUMMYFUNCTION("""COMPUTED_VALUE"""),"TX")</f>
        <v>TX</v>
      </c>
      <c r="H642" s="9" t="str">
        <f>IFERROR(__xludf.DUMMYFUNCTION("""COMPUTED_VALUE"""),"77003")</f>
        <v>77003</v>
      </c>
      <c r="I642" s="9" t="str">
        <f>IFERROR(__xludf.DUMMYFUNCTION("""COMPUTED_VALUE"""),"713-223-3315")</f>
        <v>713-223-3315</v>
      </c>
      <c r="J642" s="9" t="str">
        <f>IFERROR(__xludf.DUMMYFUNCTION("""COMPUTED_VALUE"""),"29.7487751428571, -95.3419574285714")</f>
        <v>29.7487751428571, -95.3419574285714</v>
      </c>
      <c r="K642" s="9" t="str">
        <f>IFERROR(__xludf.DUMMYFUNCTION("""COMPUTED_VALUE"""),"{""regular"":[{""days"":[""Mo"",""Tu"",""We"",""Th"",""Fr""],""open"":""09:00"",""close"":""15:00""}]}")</f>
        <v>{"regular":[{"days":["Mo","Tu","We","Th","Fr"],"open":"09:00","close":"15:00"}]}</v>
      </c>
      <c r="L642" s="9"/>
      <c r="M642" s="10">
        <f>IFERROR(__xludf.DUMMYFUNCTION("""COMPUTED_VALUE"""),24.0)</f>
        <v>24</v>
      </c>
      <c r="N642" s="10" t="str">
        <f>IFERROR(__xludf.DUMMYFUNCTION("""COMPUTED_VALUE"""),"Housing")</f>
        <v>Housing</v>
      </c>
      <c r="O642" s="10">
        <f>IFERROR(__xludf.DUMMYFUNCTION("""COMPUTED_VALUE"""),1.0)</f>
        <v>1</v>
      </c>
      <c r="P642" s="10" t="str">
        <f>IFERROR(__xludf.DUMMYFUNCTION("""COMPUTED_VALUE"""),"ACTIVE")</f>
        <v>ACTIVE</v>
      </c>
      <c r="Q642" s="11">
        <f>IFERROR(__xludf.DUMMYFUNCTION("""COMPUTED_VALUE"""),45793.0)</f>
        <v>45793</v>
      </c>
      <c r="R642" s="9" t="str">
        <f>IFERROR(__xludf.DUMMYFUNCTION("""COMPUTED_VALUE"""),"Verified online")</f>
        <v>Verified online</v>
      </c>
      <c r="S642"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42" s="12" t="b">
        <f>IFERROR(__xludf.DUMMYFUNCTION("""COMPUTED_VALUE"""),FALSE)</f>
        <v>0</v>
      </c>
      <c r="U642" s="12" t="b">
        <f>IFERROR(__xludf.DUMMYFUNCTION("""COMPUTED_VALUE"""),FALSE)</f>
        <v>0</v>
      </c>
      <c r="V642" s="13" t="str">
        <f>IFERROR(__xludf.DUMMYFUNCTION("""COMPUTED_VALUE"""),"https://newhopehousing.com/")</f>
        <v>https://newhopehousing.com/</v>
      </c>
      <c r="W642" s="14" t="str">
        <f>IFERROR(__xludf.DUMMYFUNCTION("""COMPUTED_VALUE"""),"https://www.google.com/maps/place/New+Hope+Housing,+Inc./@29.7488888,-95.3463625,16z/data=!3m1!4b1!4m6!3m5!1s0x8640bf94a729fea7:0xdd4120c22f542cac!8m2!3d29.7488842!4d-95.3414916!16s%2Fg%2F11g2r89vjv?entry=ttu&amp;g_ep=EgoyMDI1MDUxMS4wIKXMDSoASAFQAw%3D%3D")</f>
        <v>https://www.google.com/maps/place/New+Hope+Housing,+Inc./@29.7488888,-95.3463625,16z/data=!3m1!4b1!4m6!3m5!1s0x8640bf94a729fea7:0xdd4120c22f542cac!8m2!3d29.7488842!4d-95.3414916!16s%2Fg%2F11g2r89vjv?entry=ttu&amp;g_ep=EgoyMDI1MDUxMS4wIKXMDSoASAFQAw%3D%3D</v>
      </c>
      <c r="X642" s="10"/>
      <c r="Y642" s="9" t="str">
        <f>IFERROR(__xludf.DUMMYFUNCTION("""COMPUTED_VALUE"""),"Houston")</f>
        <v>Houston</v>
      </c>
      <c r="Z642" s="9" t="str">
        <f>IFERROR(__xludf.DUMMYFUNCTION("""COMPUTED_VALUE"""),"East Downtown, Downtown Houston, Second Ward, South Central Houston, South Side")</f>
        <v>East Downtown, Downtown Houston, Second Ward, South Central Houston, South Side</v>
      </c>
      <c r="AA642" s="9" t="str">
        <f>IFERROR(__xludf.DUMMYFUNCTION("""COMPUTED_VALUE"""),"New Hope Housing")</f>
        <v>New Hope Housing</v>
      </c>
      <c r="AB642" s="9" t="str">
        <f>IFERROR(__xludf.DUMMYFUNCTION("""COMPUTED_VALUE"""),"South Central Houston")</f>
        <v>South Central Houston</v>
      </c>
    </row>
    <row r="643" ht="30.0" customHeight="1">
      <c r="A643" s="17">
        <v>642.0</v>
      </c>
      <c r="B643" s="8" t="str">
        <f>IFERROR(__xludf.DUMMYFUNCTION("""COMPUTED_VALUE"""),"[""99999""]")</f>
        <v>["99999"]</v>
      </c>
      <c r="C643" s="9" t="str">
        <f>IFERROR(__xludf.DUMMYFUNCTION("""COMPUTED_VALUE"""),"New Hope Housing Perry")</f>
        <v>New Hope Housing Perry</v>
      </c>
      <c r="D643" s="9" t="str">
        <f>IFERROR(__xludf.DUMMYFUNCTION("""COMPUTED_VALUE"""),"4415 Perry Street")</f>
        <v>4415 Perry Street</v>
      </c>
      <c r="E643" s="9"/>
      <c r="F643" s="9" t="str">
        <f>IFERROR(__xludf.DUMMYFUNCTION("""COMPUTED_VALUE"""),"Houston")</f>
        <v>Houston</v>
      </c>
      <c r="G643" s="9" t="str">
        <f>IFERROR(__xludf.DUMMYFUNCTION("""COMPUTED_VALUE"""),"TX")</f>
        <v>TX</v>
      </c>
      <c r="H643" s="9" t="str">
        <f>IFERROR(__xludf.DUMMYFUNCTION("""COMPUTED_VALUE"""),"77021")</f>
        <v>77021</v>
      </c>
      <c r="I643" s="9" t="str">
        <f>IFERROR(__xludf.DUMMYFUNCTION("""COMPUTED_VALUE"""),"713-522-4415")</f>
        <v>713-522-4415</v>
      </c>
      <c r="J643" s="9" t="str">
        <f>IFERROR(__xludf.DUMMYFUNCTION("""COMPUTED_VALUE"""),"29.6963481428571, -95.3522355714286")</f>
        <v>29.6963481428571, -95.3522355714286</v>
      </c>
      <c r="K643" s="9" t="str">
        <f>IFERROR(__xludf.DUMMYFUNCTION("""COMPUTED_VALUE"""),"{""regular"":[{""days"":[""Mo"",""Tu"",""We"",""Th"",""Fr""],""open"":""09:00"",""close"":""15:00""}]}")</f>
        <v>{"regular":[{"days":["Mo","Tu","We","Th","Fr"],"open":"09:00","close":"15:00"}]}</v>
      </c>
      <c r="L643" s="9"/>
      <c r="M643" s="10">
        <f>IFERROR(__xludf.DUMMYFUNCTION("""COMPUTED_VALUE"""),24.0)</f>
        <v>24</v>
      </c>
      <c r="N643" s="10" t="str">
        <f>IFERROR(__xludf.DUMMYFUNCTION("""COMPUTED_VALUE"""),"Housing")</f>
        <v>Housing</v>
      </c>
      <c r="O643" s="10">
        <f>IFERROR(__xludf.DUMMYFUNCTION("""COMPUTED_VALUE"""),1.0)</f>
        <v>1</v>
      </c>
      <c r="P643" s="10" t="str">
        <f>IFERROR(__xludf.DUMMYFUNCTION("""COMPUTED_VALUE"""),"ACTIVE")</f>
        <v>ACTIVE</v>
      </c>
      <c r="Q643" s="11">
        <f>IFERROR(__xludf.DUMMYFUNCTION("""COMPUTED_VALUE"""),45793.0)</f>
        <v>45793</v>
      </c>
      <c r="R643" s="9" t="str">
        <f>IFERROR(__xludf.DUMMYFUNCTION("""COMPUTED_VALUE"""),"Verified online")</f>
        <v>Verified online</v>
      </c>
      <c r="S643"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43" s="12" t="b">
        <f>IFERROR(__xludf.DUMMYFUNCTION("""COMPUTED_VALUE"""),FALSE)</f>
        <v>0</v>
      </c>
      <c r="U643" s="12" t="b">
        <f>IFERROR(__xludf.DUMMYFUNCTION("""COMPUTED_VALUE"""),FALSE)</f>
        <v>0</v>
      </c>
      <c r="V643" s="13" t="str">
        <f>IFERROR(__xludf.DUMMYFUNCTION("""COMPUTED_VALUE"""),"https://newhopehousing.com/")</f>
        <v>https://newhopehousing.com/</v>
      </c>
      <c r="W643" s="14" t="str">
        <f>IFERROR(__xludf.DUMMYFUNCTION("""COMPUTED_VALUE"""),"https://www.google.com/maps/place/New+Hope+Housing+Perry/@29.6966019,-95.3708283,15z/data=!4m10!1m2!2m1!1snew+hope+housing+avenue+j!3m6!1s0x8640bec322192db9:0x14f077d5b67f3deb!8m2!3d29.6966019!4d-95.3517739!15sChluZXcgaG9wZSBob3VzaW5nIGF2ZW51ZSBqIgOIAQGSA"&amp;"RNob3VzaW5nX2RldmVsb3BtZW50qgFnCg0vZy8xMWI3Yzl3NWhmEAEqFCIQbmV3IGhvcGUgaG91c2luZygAMh8QASIbMxwEx4TifQ187E6lox-ytbLbvFTFWO8zvxhKMh0QAiIZbmV3IGhvcGUgaG91c2luZyBhdmVudWUgauABAA!16s%2Fg%2F1264d89w9?entry=ttu&amp;g_ep=EgoyMDI1MDUxMS4wIKXMDSoASAFQAw%3D%3D")</f>
        <v>https://www.google.com/maps/place/New+Hope+Housing+Perry/@29.6966019,-95.3708283,15z/data=!4m10!1m2!2m1!1snew+hope+housing+avenue+j!3m6!1s0x8640bec322192db9:0x14f077d5b67f3deb!8m2!3d29.6966019!4d-95.3517739!15sChluZXcgaG9wZSBob3VzaW5nIGF2ZW51ZSBqIgOIAQGSARNob3VzaW5nX2RldmVsb3BtZW50qgFnCg0vZy8xMWI3Yzl3NWhmEAEqFCIQbmV3IGhvcGUgaG91c2luZygAMh8QASIbMxwEx4TifQ187E6lox-ytbLbvFTFWO8zvxhKMh0QAiIZbmV3IGhvcGUgaG91c2luZyBhdmVudWUgauABAA!16s%2Fg%2F1264d89w9?entry=ttu&amp;g_ep=EgoyMDI1MDUxMS4wIKXMDSoASAFQAw%3D%3D</v>
      </c>
      <c r="X643" s="10"/>
      <c r="Y643" s="9" t="str">
        <f>IFERROR(__xludf.DUMMYFUNCTION("""COMPUTED_VALUE"""),"Houston")</f>
        <v>Houston</v>
      </c>
      <c r="Z643" s="9" t="str">
        <f>IFERROR(__xludf.DUMMYFUNCTION("""COMPUTED_VALUE"""),"MacGregor, Riverside Terrace, South Side")</f>
        <v>MacGregor, Riverside Terrace, South Side</v>
      </c>
      <c r="AA643" s="9" t="str">
        <f>IFERROR(__xludf.DUMMYFUNCTION("""COMPUTED_VALUE"""),"New Hope Housing")</f>
        <v>New Hope Housing</v>
      </c>
      <c r="AB643" s="9" t="str">
        <f>IFERROR(__xludf.DUMMYFUNCTION("""COMPUTED_VALUE"""),"South Side")</f>
        <v>South Side</v>
      </c>
    </row>
    <row r="644" ht="30.0" customHeight="1">
      <c r="A644" s="17">
        <v>643.0</v>
      </c>
      <c r="B644" s="8" t="str">
        <f>IFERROR(__xludf.DUMMYFUNCTION("""COMPUTED_VALUE"""),"[""99999""]")</f>
        <v>["99999"]</v>
      </c>
      <c r="C644" s="9" t="str">
        <f>IFERROR(__xludf.DUMMYFUNCTION("""COMPUTED_VALUE"""),"New Hope Housing Reed")</f>
        <v>New Hope Housing Reed</v>
      </c>
      <c r="D644" s="9" t="str">
        <f>IFERROR(__xludf.DUMMYFUNCTION("""COMPUTED_VALUE"""),"2605 Reed Road")</f>
        <v>2605 Reed Road</v>
      </c>
      <c r="E644" s="9"/>
      <c r="F644" s="9" t="str">
        <f>IFERROR(__xludf.DUMMYFUNCTION("""COMPUTED_VALUE"""),"Houston")</f>
        <v>Houston</v>
      </c>
      <c r="G644" s="9" t="str">
        <f>IFERROR(__xludf.DUMMYFUNCTION("""COMPUTED_VALUE"""),"TX")</f>
        <v>TX</v>
      </c>
      <c r="H644" s="9" t="str">
        <f>IFERROR(__xludf.DUMMYFUNCTION("""COMPUTED_VALUE"""),"77051")</f>
        <v>77051</v>
      </c>
      <c r="I644" s="9" t="str">
        <f>IFERROR(__xludf.DUMMYFUNCTION("""COMPUTED_VALUE"""),"713-733-2605")</f>
        <v>713-733-2605</v>
      </c>
      <c r="J644" s="9" t="str">
        <f>IFERROR(__xludf.DUMMYFUNCTION("""COMPUTED_VALUE"""),"29.65926220736464, -95.39020097122284")</f>
        <v>29.65926220736464, -95.39020097122284</v>
      </c>
      <c r="K644" s="9" t="str">
        <f>IFERROR(__xludf.DUMMYFUNCTION("""COMPUTED_VALUE"""),"{""regular"":[{""days"":[""Mo"",""Tu"",""We"",""Th"",""Fr""],""open"":""09:00"",""close"":""15:00""}]}")</f>
        <v>{"regular":[{"days":["Mo","Tu","We","Th","Fr"],"open":"09:00","close":"15:00"}]}</v>
      </c>
      <c r="L644" s="9"/>
      <c r="M644" s="10">
        <f>IFERROR(__xludf.DUMMYFUNCTION("""COMPUTED_VALUE"""),24.0)</f>
        <v>24</v>
      </c>
      <c r="N644" s="10" t="str">
        <f>IFERROR(__xludf.DUMMYFUNCTION("""COMPUTED_VALUE"""),"Housing")</f>
        <v>Housing</v>
      </c>
      <c r="O644" s="10">
        <f>IFERROR(__xludf.DUMMYFUNCTION("""COMPUTED_VALUE"""),1.0)</f>
        <v>1</v>
      </c>
      <c r="P644" s="10" t="str">
        <f>IFERROR(__xludf.DUMMYFUNCTION("""COMPUTED_VALUE"""),"ACTIVE")</f>
        <v>ACTIVE</v>
      </c>
      <c r="Q644" s="11">
        <f>IFERROR(__xludf.DUMMYFUNCTION("""COMPUTED_VALUE"""),45793.0)</f>
        <v>45793</v>
      </c>
      <c r="R644" s="9" t="str">
        <f>IFERROR(__xludf.DUMMYFUNCTION("""COMPUTED_VALUE"""),"Verified online")</f>
        <v>Verified online</v>
      </c>
      <c r="S644"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44" s="12" t="b">
        <f>IFERROR(__xludf.DUMMYFUNCTION("""COMPUTED_VALUE"""),FALSE)</f>
        <v>0</v>
      </c>
      <c r="U644" s="12" t="b">
        <f>IFERROR(__xludf.DUMMYFUNCTION("""COMPUTED_VALUE"""),FALSE)</f>
        <v>0</v>
      </c>
      <c r="V644" s="13" t="str">
        <f>IFERROR(__xludf.DUMMYFUNCTION("""COMPUTED_VALUE"""),"https://newhopehousing.com/")</f>
        <v>https://newhopehousing.com/</v>
      </c>
      <c r="W644" s="14" t="str">
        <f>IFERROR(__xludf.DUMMYFUNCTION("""COMPUTED_VALUE"""),"https://www.google.com/maps/place/New+Hope+Housing+Reed/@29.659254,-95.4092445,15z/data=!4m10!1m2!2m1!1snew+hope+housing+avenue+j!3m6!1s0x8640954a5fbe0387:0xbdf27f08427efa04!8m2!3d29.659254!4d-95.3901901!15sChluZXcgaG9wZSBob3VzaW5nIGF2ZW51ZSBqIgOIAQGSARps"&amp;"b3dfaW5jb21lX2hvdXNpbmdfcHJvZ3JhbaoBZwoNL2cvMTFiN2M5dzVoZhABKhQiEG5ldyBob3BlIGhvdXNpbmcoADIfEAEiGzMcBMeE4n0NfOxOpaMfsrWy27xUxVjvM78YSjIdEAIiGW5ldyBob3BlIGhvdXNpbmcgYXZlbnVlIGrgAQA!16s%2Fg%2F11f5hm6zp8?entry=ttu&amp;g_ep=EgoyMDI1MDUxMS4wIKXMDSoASAFQAw%3D%3D")</f>
        <v>https://www.google.com/maps/place/New+Hope+Housing+Reed/@29.659254,-95.4092445,15z/data=!4m10!1m2!2m1!1snew+hope+housing+avenue+j!3m6!1s0x8640954a5fbe0387:0xbdf27f08427efa04!8m2!3d29.659254!4d-95.3901901!15sChluZXcgaG9wZSBob3VzaW5nIGF2ZW51ZSBqIgOIAQGSARpsb3dfaW5jb21lX2hvdXNpbmdfcHJvZ3JhbaoBZwoNL2cvMTFiN2M5dzVoZhABKhQiEG5ldyBob3BlIGhvdXNpbmcoADIfEAEiGzMcBMeE4n0NfOxOpaMfsrWy27xUxVjvM78YSjIdEAIiGW5ldyBob3BlIGhvdXNpbmcgYXZlbnVlIGrgAQA!16s%2Fg%2F11f5hm6zp8?entry=ttu&amp;g_ep=EgoyMDI1MDUxMS4wIKXMDSoASAFQAw%3D%3D</v>
      </c>
      <c r="X644" s="10"/>
      <c r="Y644" s="9" t="str">
        <f>IFERROR(__xludf.DUMMYFUNCTION("""COMPUTED_VALUE"""),"Houston")</f>
        <v>Houston</v>
      </c>
      <c r="Z644" s="9" t="str">
        <f>IFERROR(__xludf.DUMMYFUNCTION("""COMPUTED_VALUE"""),"Central Southwest, South Park, South Side, Sunnyside")</f>
        <v>Central Southwest, South Park, South Side, Sunnyside</v>
      </c>
      <c r="AA644" s="9" t="str">
        <f>IFERROR(__xludf.DUMMYFUNCTION("""COMPUTED_VALUE"""),"New Hope Housing")</f>
        <v>New Hope Housing</v>
      </c>
      <c r="AB644" s="9" t="str">
        <f>IFERROR(__xludf.DUMMYFUNCTION("""COMPUTED_VALUE"""),"Central Southwest")</f>
        <v>Central Southwest</v>
      </c>
    </row>
    <row r="645" ht="30.0" customHeight="1">
      <c r="A645" s="17">
        <v>644.0</v>
      </c>
      <c r="B645" s="8" t="str">
        <f>IFERROR(__xludf.DUMMYFUNCTION("""COMPUTED_VALUE"""),"[""99999""]")</f>
        <v>["99999"]</v>
      </c>
      <c r="C645" s="9" t="str">
        <f>IFERROR(__xludf.DUMMYFUNCTION("""COMPUTED_VALUE"""),"New Hope Housing Rittenhouse")</f>
        <v>New Hope Housing Rittenhouse</v>
      </c>
      <c r="D645" s="9" t="str">
        <f>IFERROR(__xludf.DUMMYFUNCTION("""COMPUTED_VALUE"""),"577 W Rittenhouse Road")</f>
        <v>577 W Rittenhouse Road</v>
      </c>
      <c r="E645" s="9"/>
      <c r="F645" s="9" t="str">
        <f>IFERROR(__xludf.DUMMYFUNCTION("""COMPUTED_VALUE"""),"Houston")</f>
        <v>Houston</v>
      </c>
      <c r="G645" s="9" t="str">
        <f>IFERROR(__xludf.DUMMYFUNCTION("""COMPUTED_VALUE"""),"TX")</f>
        <v>TX</v>
      </c>
      <c r="H645" s="9" t="str">
        <f>IFERROR(__xludf.DUMMYFUNCTION("""COMPUTED_VALUE"""),"77091")</f>
        <v>77091</v>
      </c>
      <c r="I645" s="9" t="str">
        <f>IFERROR(__xludf.DUMMYFUNCTION("""COMPUTED_VALUE"""),"346-502-5220")</f>
        <v>346-502-5220</v>
      </c>
      <c r="J645" s="9" t="str">
        <f>IFERROR(__xludf.DUMMYFUNCTION("""COMPUTED_VALUE"""),"29.8641184605605, -95.4089888445774")</f>
        <v>29.8641184605605, -95.4089888445774</v>
      </c>
      <c r="K645" s="9" t="str">
        <f>IFERROR(__xludf.DUMMYFUNCTION("""COMPUTED_VALUE"""),"{""regular"":[{""days"":[""Mo"",""Tu"",""We"",""Th"",""Fr""],""open"":""09:00"",""close"":""15:00""}]}")</f>
        <v>{"regular":[{"days":["Mo","Tu","We","Th","Fr"],"open":"09:00","close":"15:00"}]}</v>
      </c>
      <c r="L645" s="9"/>
      <c r="M645" s="10">
        <f>IFERROR(__xludf.DUMMYFUNCTION("""COMPUTED_VALUE"""),24.0)</f>
        <v>24</v>
      </c>
      <c r="N645" s="10" t="str">
        <f>IFERROR(__xludf.DUMMYFUNCTION("""COMPUTED_VALUE"""),"Housing")</f>
        <v>Housing</v>
      </c>
      <c r="O645" s="10">
        <f>IFERROR(__xludf.DUMMYFUNCTION("""COMPUTED_VALUE"""),1.0)</f>
        <v>1</v>
      </c>
      <c r="P645" s="10" t="str">
        <f>IFERROR(__xludf.DUMMYFUNCTION("""COMPUTED_VALUE"""),"ACTIVE")</f>
        <v>ACTIVE</v>
      </c>
      <c r="Q645" s="11">
        <f>IFERROR(__xludf.DUMMYFUNCTION("""COMPUTED_VALUE"""),45793.0)</f>
        <v>45793</v>
      </c>
      <c r="R645" s="9" t="str">
        <f>IFERROR(__xludf.DUMMYFUNCTION("""COMPUTED_VALUE"""),"Verified online")</f>
        <v>Verified online</v>
      </c>
      <c r="S645"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45" s="12" t="b">
        <f>IFERROR(__xludf.DUMMYFUNCTION("""COMPUTED_VALUE"""),FALSE)</f>
        <v>0</v>
      </c>
      <c r="U645" s="12" t="b">
        <f>IFERROR(__xludf.DUMMYFUNCTION("""COMPUTED_VALUE"""),FALSE)</f>
        <v>0</v>
      </c>
      <c r="V645" s="13" t="str">
        <f>IFERROR(__xludf.DUMMYFUNCTION("""COMPUTED_VALUE"""),"https://newhopehousing.com/")</f>
        <v>https://newhopehousing.com/</v>
      </c>
      <c r="W645" s="14" t="str">
        <f>IFERROR(__xludf.DUMMYFUNCTION("""COMPUTED_VALUE"""),"https://www.google.com/maps/place/New+Hope+Housing+Rittenhouse/@29.863851,-95.4275565,15z/data=!4m10!1m2!2m1!1snew+hope+housing+avenue+j!3m6!1s0x8640c809faee24fb:0x37f95bfe352245b9!8m2!3d29.863851!4d-95.4085021!15sChluZXcgaG9wZSBob3VzaW5nIGF2ZW51ZSBqIgOIA"&amp;"QGSAQ9ob3VzaW5nX2NvbXBsZXiqAWcKDS9nLzExYjdjOXc1aGYQASoUIhBuZXcgaG9wZSBob3VzaW5nKAAyHxABIhszHATHhOJ9DXzsTqWjH7K1stu8VMVY7zO_GEoyHRACIhluZXcgaG9wZSBob3VzaW5nIGF2ZW51ZSBq4AEA!16s%2Fg%2F11bxd7v90b?entry=ttu&amp;g_ep=EgoyMDI1MDUxMS4wIKXMDSoASAFQAw%3D%3D")</f>
        <v>https://www.google.com/maps/place/New+Hope+Housing+Rittenhouse/@29.863851,-95.4275565,15z/data=!4m10!1m2!2m1!1snew+hope+housing+avenue+j!3m6!1s0x8640c809faee24fb:0x37f95bfe352245b9!8m2!3d29.863851!4d-95.4085021!15sChluZXcgaG9wZSBob3VzaW5nIGF2ZW51ZSBqIgOIAQGSAQ9ob3VzaW5nX2NvbXBsZXiqAWcKDS9nLzExYjdjOXc1aGYQASoUIhBuZXcgaG9wZSBob3VzaW5nKAAyHxABIhszHATHhOJ9DXzsTqWjH7K1stu8VMVY7zO_GEoyHRACIhluZXcgaG9wZSBob3VzaW5nIGF2ZW51ZSBq4AEA!16s%2Fg%2F11bxd7v90b?entry=ttu&amp;g_ep=EgoyMDI1MDUxMS4wIKXMDSoASAFQAw%3D%3D</v>
      </c>
      <c r="X645" s="10"/>
      <c r="Y645" s="9" t="str">
        <f>IFERROR(__xludf.DUMMYFUNCTION("""COMPUTED_VALUE"""),"Houston")</f>
        <v>Houston</v>
      </c>
      <c r="Z645" s="9" t="str">
        <f>IFERROR(__xludf.DUMMYFUNCTION("""COMPUTED_VALUE"""),"Acres Home, Garden Oaks North, Northside / Northline")</f>
        <v>Acres Home, Garden Oaks North, Northside / Northline</v>
      </c>
      <c r="AA645" s="9" t="str">
        <f>IFERROR(__xludf.DUMMYFUNCTION("""COMPUTED_VALUE"""),"New Hope Housing")</f>
        <v>New Hope Housing</v>
      </c>
      <c r="AB645" s="9" t="str">
        <f>IFERROR(__xludf.DUMMYFUNCTION("""COMPUTED_VALUE"""),"Northside / Northline")</f>
        <v>Northside / Northline</v>
      </c>
    </row>
    <row r="646" ht="30.0" customHeight="1">
      <c r="A646" s="17">
        <v>645.0</v>
      </c>
      <c r="B646" s="8" t="str">
        <f>IFERROR(__xludf.DUMMYFUNCTION("""COMPUTED_VALUE"""),"[""99999""]")</f>
        <v>["99999"]</v>
      </c>
      <c r="C646" s="9" t="str">
        <f>IFERROR(__xludf.DUMMYFUNCTION("""COMPUTED_VALUE"""),"New Hope Housing Sakowitz")</f>
        <v>New Hope Housing Sakowitz</v>
      </c>
      <c r="D646" s="9" t="str">
        <f>IFERROR(__xludf.DUMMYFUNCTION("""COMPUTED_VALUE"""),"2424 Sakowitz Street")</f>
        <v>2424 Sakowitz Street</v>
      </c>
      <c r="E646" s="9"/>
      <c r="F646" s="9" t="str">
        <f>IFERROR(__xludf.DUMMYFUNCTION("""COMPUTED_VALUE"""),"Houston")</f>
        <v>Houston</v>
      </c>
      <c r="G646" s="9" t="str">
        <f>IFERROR(__xludf.DUMMYFUNCTION("""COMPUTED_VALUE"""),"TX")</f>
        <v>TX</v>
      </c>
      <c r="H646" s="9" t="str">
        <f>IFERROR(__xludf.DUMMYFUNCTION("""COMPUTED_VALUE"""),"77020")</f>
        <v>77020</v>
      </c>
      <c r="I646" s="9" t="str">
        <f>IFERROR(__xludf.DUMMYFUNCTION("""COMPUTED_VALUE"""),"346-502-5220")</f>
        <v>346-502-5220</v>
      </c>
      <c r="J646" s="9" t="str">
        <f>IFERROR(__xludf.DUMMYFUNCTION("""COMPUTED_VALUE"""),"29.7831465510204, -95.3134")</f>
        <v>29.7831465510204, -95.3134</v>
      </c>
      <c r="K646" s="9" t="str">
        <f>IFERROR(__xludf.DUMMYFUNCTION("""COMPUTED_VALUE"""),"{""regular"":[{""days"":[""Mo"",""Tu"",""We"",""Th"",""Fr""],""open"":""09:00"",""close"":""15:00""}]}")</f>
        <v>{"regular":[{"days":["Mo","Tu","We","Th","Fr"],"open":"09:00","close":"15:00"}]}</v>
      </c>
      <c r="L646" s="9"/>
      <c r="M646" s="10">
        <f>IFERROR(__xludf.DUMMYFUNCTION("""COMPUTED_VALUE"""),24.0)</f>
        <v>24</v>
      </c>
      <c r="N646" s="10" t="str">
        <f>IFERROR(__xludf.DUMMYFUNCTION("""COMPUTED_VALUE"""),"Housing")</f>
        <v>Housing</v>
      </c>
      <c r="O646" s="10">
        <f>IFERROR(__xludf.DUMMYFUNCTION("""COMPUTED_VALUE"""),1.0)</f>
        <v>1</v>
      </c>
      <c r="P646" s="10" t="str">
        <f>IFERROR(__xludf.DUMMYFUNCTION("""COMPUTED_VALUE"""),"ACTIVE")</f>
        <v>ACTIVE</v>
      </c>
      <c r="Q646" s="11">
        <f>IFERROR(__xludf.DUMMYFUNCTION("""COMPUTED_VALUE"""),45793.0)</f>
        <v>45793</v>
      </c>
      <c r="R646" s="9" t="str">
        <f>IFERROR(__xludf.DUMMYFUNCTION("""COMPUTED_VALUE"""),"Verified online")</f>
        <v>Verified online</v>
      </c>
      <c r="S646"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46" s="12" t="b">
        <f>IFERROR(__xludf.DUMMYFUNCTION("""COMPUTED_VALUE"""),FALSE)</f>
        <v>0</v>
      </c>
      <c r="U646" s="12" t="b">
        <f>IFERROR(__xludf.DUMMYFUNCTION("""COMPUTED_VALUE"""),FALSE)</f>
        <v>0</v>
      </c>
      <c r="V646" s="13" t="str">
        <f>IFERROR(__xludf.DUMMYFUNCTION("""COMPUTED_VALUE"""),"https://newhopehousing.com/")</f>
        <v>https://newhopehousing.com/</v>
      </c>
      <c r="W646" s="14" t="str">
        <f>IFERROR(__xludf.DUMMYFUNCTION("""COMPUTED_VALUE"""),"https://www.google.com/maps/place/New+Hope+Housing+Sakowitz/@29.7830314,-95.3321486,15z/data=!4m10!1m2!2m1!1snew+hope+housing+avenue+j!3m6!1s0x8640b956fab7f5d1:0x79de931a7438e00d!8m2!3d29.7830314!4d-95.3130942!15sChluZXcgaG9wZSBob3VzaW5nIGF2ZW51ZSBqIgOIAQ"&amp;"GSARpsb3dfaW5jb21lX2hvdXNpbmdfcHJvZ3JhbaoBZwoNL2cvMTFiN2M5dzVoZhABKhQiEG5ldyBob3BlIGhvdXNpbmcoADIfEAEiGzMcBMeE4n0NfOxOpaMfsrWy27xUxVjvM78YSjIdEAIiGW5ldyBob3BlIGhvdXNpbmcgYXZlbnVlIGrgAQA!16s%2Fg%2F1wl4qz_3?entry=ttu&amp;g_ep=EgoyMDI1MDUxMS4wIKXMDSoASAFQAw%3D%3"&amp;"D")</f>
        <v>https://www.google.com/maps/place/New+Hope+Housing+Sakowitz/@29.7830314,-95.3321486,15z/data=!4m10!1m2!2m1!1snew+hope+housing+avenue+j!3m6!1s0x8640b956fab7f5d1:0x79de931a7438e00d!8m2!3d29.7830314!4d-95.3130942!15sChluZXcgaG9wZSBob3VzaW5nIGF2ZW51ZSBqIgOIAQGSARpsb3dfaW5jb21lX2hvdXNpbmdfcHJvZ3JhbaoBZwoNL2cvMTFiN2M5dzVoZhABKhQiEG5ldyBob3BlIGhvdXNpbmcoADIfEAEiGzMcBMeE4n0NfOxOpaMfsrWy27xUxVjvM78YSjIdEAIiGW5ldyBob3BlIGhvdXNpbmcgYXZlbnVlIGrgAQA!16s%2Fg%2F1wl4qz_3?entry=ttu&amp;g_ep=EgoyMDI1MDUxMS4wIKXMDSoASAFQAw%3D%3D</v>
      </c>
      <c r="X646" s="10"/>
      <c r="Y646" s="9" t="str">
        <f>IFERROR(__xludf.DUMMYFUNCTION("""COMPUTED_VALUE"""),"Houston")</f>
        <v>Houston</v>
      </c>
      <c r="Z646" s="9" t="str">
        <f>IFERROR(__xludf.DUMMYFUNCTION("""COMPUTED_VALUE"""),"Denver Harbor / Port Houston, Fifth Ward, Northside")</f>
        <v>Denver Harbor / Port Houston, Fifth Ward, Northside</v>
      </c>
      <c r="AA646" s="9" t="str">
        <f>IFERROR(__xludf.DUMMYFUNCTION("""COMPUTED_VALUE"""),"New Hope Housing")</f>
        <v>New Hope Housing</v>
      </c>
      <c r="AB646" s="9" t="str">
        <f>IFERROR(__xludf.DUMMYFUNCTION("""COMPUTED_VALUE"""),"Northside")</f>
        <v>Northside</v>
      </c>
    </row>
    <row r="647" ht="30.0" customHeight="1">
      <c r="A647" s="17">
        <v>646.0</v>
      </c>
      <c r="B647" s="8" t="str">
        <f>IFERROR(__xludf.DUMMYFUNCTION("""COMPUTED_VALUE"""),"[""99999""]")</f>
        <v>["99999"]</v>
      </c>
      <c r="C647" s="9" t="str">
        <f>IFERROR(__xludf.DUMMYFUNCTION("""COMPUTED_VALUE"""),"New Hope Housing Savoy")</f>
        <v>New Hope Housing Savoy</v>
      </c>
      <c r="D647" s="9" t="str">
        <f>IFERROR(__xludf.DUMMYFUNCTION("""COMPUTED_VALUE"""),"6315 Savoy Drive")</f>
        <v>6315 Savoy Drive</v>
      </c>
      <c r="E647" s="9"/>
      <c r="F647" s="9" t="str">
        <f>IFERROR(__xludf.DUMMYFUNCTION("""COMPUTED_VALUE"""),"Houston")</f>
        <v>Houston</v>
      </c>
      <c r="G647" s="9" t="str">
        <f>IFERROR(__xludf.DUMMYFUNCTION("""COMPUTED_VALUE"""),"TX")</f>
        <v>TX</v>
      </c>
      <c r="H647" s="9" t="str">
        <f>IFERROR(__xludf.DUMMYFUNCTION("""COMPUTED_VALUE"""),"77036")</f>
        <v>77036</v>
      </c>
      <c r="I647" s="9" t="str">
        <f>IFERROR(__xludf.DUMMYFUNCTION("""COMPUTED_VALUE"""),"832-615-6315")</f>
        <v>832-615-6315</v>
      </c>
      <c r="J647" s="9" t="str">
        <f>IFERROR(__xludf.DUMMYFUNCTION("""COMPUTED_VALUE"""),"29.7153505436941, -95.504962452189")</f>
        <v>29.7153505436941, -95.504962452189</v>
      </c>
      <c r="K647" s="9" t="str">
        <f>IFERROR(__xludf.DUMMYFUNCTION("""COMPUTED_VALUE"""),"{""regular"":[{""days"":[""Mo"",""Tu"",""We"",""Th"",""Fr""],""open"":""09:00"",""close"":""15:00""}]}")</f>
        <v>{"regular":[{"days":["Mo","Tu","We","Th","Fr"],"open":"09:00","close":"15:00"}]}</v>
      </c>
      <c r="L647" s="9"/>
      <c r="M647" s="10">
        <f>IFERROR(__xludf.DUMMYFUNCTION("""COMPUTED_VALUE"""),24.0)</f>
        <v>24</v>
      </c>
      <c r="N647" s="10" t="str">
        <f>IFERROR(__xludf.DUMMYFUNCTION("""COMPUTED_VALUE"""),"Housing")</f>
        <v>Housing</v>
      </c>
      <c r="O647" s="10">
        <f>IFERROR(__xludf.DUMMYFUNCTION("""COMPUTED_VALUE"""),1.0)</f>
        <v>1</v>
      </c>
      <c r="P647" s="10" t="str">
        <f>IFERROR(__xludf.DUMMYFUNCTION("""COMPUTED_VALUE"""),"ACTIVE")</f>
        <v>ACTIVE</v>
      </c>
      <c r="Q647" s="11">
        <f>IFERROR(__xludf.DUMMYFUNCTION("""COMPUTED_VALUE"""),45793.0)</f>
        <v>45793</v>
      </c>
      <c r="R647" s="9" t="str">
        <f>IFERROR(__xludf.DUMMYFUNCTION("""COMPUTED_VALUE"""),"Verified online")</f>
        <v>Verified online</v>
      </c>
      <c r="S647" s="9" t="str">
        <f>IFERROR(__xludf.DUMMYFUNCTION("""COMPUTED_VALUE"""),"This is one of several properties owned by New Hope which, with support from the city of Houston and Harris Country, provides apartments at below market rates.
Must meet income eligibility requirements and pass a criminal background check.
There is no cen"&amp;"tral intake.  You must apply in person at the property you are interested in renting.")</f>
        <v>This is one of several properties owned by New Hope which, with support from the city of Houston and Harris Country, provides apartments at below market rates.
Must meet income eligibility requirements and pass a criminal background check.
There is no central intake.  You must apply in person at the property you are interested in renting.</v>
      </c>
      <c r="T647" s="12" t="b">
        <f>IFERROR(__xludf.DUMMYFUNCTION("""COMPUTED_VALUE"""),FALSE)</f>
        <v>0</v>
      </c>
      <c r="U647" s="12" t="b">
        <f>IFERROR(__xludf.DUMMYFUNCTION("""COMPUTED_VALUE"""),FALSE)</f>
        <v>0</v>
      </c>
      <c r="V647" s="13" t="str">
        <f>IFERROR(__xludf.DUMMYFUNCTION("""COMPUTED_VALUE"""),"https://newhopehousing.com/")</f>
        <v>https://newhopehousing.com/</v>
      </c>
      <c r="W647" s="14" t="str">
        <f>IFERROR(__xludf.DUMMYFUNCTION("""COMPUTED_VALUE"""),"https://www.google.com/maps/place/Savoy/@29.7159035,-95.5059678,17z/data=!4m15!1m8!3m7!1s0x8640c317a2e6851d:0x4dd1bda02663375a!2s6315+Savoy+Dr,+Houston,+TX+77036!3b1!8m2!3d29.715899!4d-95.5036718!16s%2Fg%2F11v0y9ndr2!3m5!1s0x8640c3b47e908e23:0x389d9d09654"&amp;"9425c!8m2!3d29.7155309!4d-95.5041055!16s%2Fg%2F11vf5l24hs?entry=ttu&amp;g_ep=EgoyMDI1MDUxMS4wIKXMDSoASAFQAw%3D%3D")</f>
        <v>https://www.google.com/maps/place/Savoy/@29.7159035,-95.5059678,17z/data=!4m15!1m8!3m7!1s0x8640c317a2e6851d:0x4dd1bda02663375a!2s6315+Savoy+Dr,+Houston,+TX+77036!3b1!8m2!3d29.715899!4d-95.5036718!16s%2Fg%2F11v0y9ndr2!3m5!1s0x8640c3b47e908e23:0x389d9d096549425c!8m2!3d29.7155309!4d-95.5041055!16s%2Fg%2F11vf5l24hs?entry=ttu&amp;g_ep=EgoyMDI1MDUxMS4wIKXMDSoASAFQAw%3D%3D</v>
      </c>
      <c r="X647" s="10"/>
      <c r="Y647" s="9" t="str">
        <f>IFERROR(__xludf.DUMMYFUNCTION("""COMPUTED_VALUE"""),"Houston")</f>
        <v>Houston</v>
      </c>
      <c r="Z647" s="9" t="str">
        <f>IFERROR(__xludf.DUMMYFUNCTION("""COMPUTED_VALUE"""),"Chinatown, Sharpstown, Westside")</f>
        <v>Chinatown, Sharpstown, Westside</v>
      </c>
      <c r="AA647" s="9" t="str">
        <f>IFERROR(__xludf.DUMMYFUNCTION("""COMPUTED_VALUE"""),"New Hope Housing")</f>
        <v>New Hope Housing</v>
      </c>
      <c r="AB647" s="9" t="str">
        <f>IFERROR(__xludf.DUMMYFUNCTION("""COMPUTED_VALUE"""),"Sharpstown")</f>
        <v>Sharpstown</v>
      </c>
    </row>
    <row r="648" ht="30.0" customHeight="1">
      <c r="A648" s="17">
        <v>647.0</v>
      </c>
      <c r="B648" s="8" t="str">
        <f>IFERROR(__xludf.DUMMYFUNCTION("""COMPUTED_VALUE"""),"[""99999""]")</f>
        <v>["99999"]</v>
      </c>
      <c r="C648" s="9" t="str">
        <f>IFERROR(__xludf.DUMMYFUNCTION("""COMPUTED_VALUE"""),"New Life")</f>
        <v>New Life</v>
      </c>
      <c r="D648" s="9" t="str">
        <f>IFERROR(__xludf.DUMMYFUNCTION("""COMPUTED_VALUE"""),"11439 Spring Cypress Road")</f>
        <v>11439 Spring Cypress Road</v>
      </c>
      <c r="E648" s="9" t="str">
        <f>IFERROR(__xludf.DUMMYFUNCTION("""COMPUTED_VALUE"""),"Building C")</f>
        <v>Building C</v>
      </c>
      <c r="F648" s="9" t="str">
        <f>IFERROR(__xludf.DUMMYFUNCTION("""COMPUTED_VALUE"""),"Tomball")</f>
        <v>Tomball</v>
      </c>
      <c r="G648" s="9" t="str">
        <f>IFERROR(__xludf.DUMMYFUNCTION("""COMPUTED_VALUE"""),"TX")</f>
        <v>TX</v>
      </c>
      <c r="H648" s="9" t="str">
        <f>IFERROR(__xludf.DUMMYFUNCTION("""COMPUTED_VALUE"""),"77377")</f>
        <v>77377</v>
      </c>
      <c r="I648" s="9" t="str">
        <f>IFERROR(__xludf.DUMMYFUNCTION("""COMPUTED_VALUE"""),"281-955-1001")</f>
        <v>281-955-1001</v>
      </c>
      <c r="J648" s="9" t="str">
        <f>IFERROR(__xludf.DUMMYFUNCTION("""COMPUTED_VALUE"""),"30.0128989249442, -95.5954538345903")</f>
        <v>30.0128989249442, -95.5954538345903</v>
      </c>
      <c r="K648" s="9" t="str">
        <f>IFERROR(__xludf.DUMMYFUNCTION("""COMPUTED_VALUE"""),"{""regular"":[{""days"":[""Mo"",""Tu"",""We"",""Th"",""Fr""],""open"":null,""close"":null}]}")</f>
        <v>{"regular":[{"days":["Mo","Tu","We","Th","Fr"],"open":null,"close":null}]}</v>
      </c>
      <c r="L648" s="9"/>
      <c r="M648" s="10">
        <f>IFERROR(__xludf.DUMMYFUNCTION("""COMPUTED_VALUE"""),65.0)</f>
        <v>65</v>
      </c>
      <c r="N648" s="10" t="str">
        <f>IFERROR(__xludf.DUMMYFUNCTION("""COMPUTED_VALUE"""),"Other")</f>
        <v>Other</v>
      </c>
      <c r="O648" s="10">
        <f>IFERROR(__xludf.DUMMYFUNCTION("""COMPUTED_VALUE"""),1.0)</f>
        <v>1</v>
      </c>
      <c r="P648" s="10" t="str">
        <f>IFERROR(__xludf.DUMMYFUNCTION("""COMPUTED_VALUE"""),"ACTIVE")</f>
        <v>ACTIVE</v>
      </c>
      <c r="Q648" s="11">
        <f>IFERROR(__xludf.DUMMYFUNCTION("""COMPUTED_VALUE"""),45761.0)</f>
        <v>45761</v>
      </c>
      <c r="R648" s="9" t="str">
        <f>IFERROR(__xludf.DUMMYFUNCTION("""COMPUTED_VALUE"""),"SVdP Church Help for Moms Ministry")</f>
        <v>SVdP Church Help for Moms Ministry</v>
      </c>
      <c r="S648" s="9" t="str">
        <f>IFERROR(__xludf.DUMMYFUNCTION("""COMPUTED_VALUE"""),"Non-profit adoption agency")</f>
        <v>Non-profit adoption agency</v>
      </c>
      <c r="T648" s="12" t="b">
        <f>IFERROR(__xludf.DUMMYFUNCTION("""COMPUTED_VALUE"""),FALSE)</f>
        <v>0</v>
      </c>
      <c r="U648" s="12" t="b">
        <f>IFERROR(__xludf.DUMMYFUNCTION("""COMPUTED_VALUE"""),FALSE)</f>
        <v>0</v>
      </c>
      <c r="V648" s="13" t="str">
        <f>IFERROR(__xludf.DUMMYFUNCTION("""COMPUTED_VALUE"""),"https://newlifeadopt.com/")</f>
        <v>https://newlifeadopt.com/</v>
      </c>
      <c r="W648" s="14" t="str">
        <f>IFERROR(__xludf.DUMMYFUNCTION("""COMPUTED_VALUE"""),"https://www.google.com/maps/place/11439+Spring+Cypress+Rd,+Tomball,+TX+77377/@30.0122229,-95.6003604,17z/data=!3m1!4b1!4m6!3m5!1s0x8640d2e6ba648b6b:0x8ada0ab5865303ea!8m2!3d30.0122229!4d-95.5977855!16s%2Fg%2F11f54v0m64?entry=ttu&amp;g_ep=EgoyMDI1MDQwOS4wIKXMD"&amp;"SoASAFQAw%3D%3D")</f>
        <v>https://www.google.com/maps/place/11439+Spring+Cypress+Rd,+Tomball,+TX+77377/@30.0122229,-95.6003604,17z/data=!3m1!4b1!4m6!3m5!1s0x8640d2e6ba648b6b:0x8ada0ab5865303ea!8m2!3d30.0122229!4d-95.5977855!16s%2Fg%2F11f54v0m64?entry=ttu&amp;g_ep=EgoyMDI1MDQwOS4wIKXMDSoASAFQAw%3D%3D</v>
      </c>
      <c r="X648" s="10"/>
      <c r="Y648" s="9" t="str">
        <f>IFERROR(__xludf.DUMMYFUNCTION("""COMPUTED_VALUE"""),"Tomball")</f>
        <v>Tomball</v>
      </c>
      <c r="Z648" s="9" t="str">
        <f>IFERROR(__xludf.DUMMYFUNCTION("""COMPUTED_VALUE"""),"Tomball, Willowcreek")</f>
        <v>Tomball, Willowcreek</v>
      </c>
      <c r="AA648" s="9" t="str">
        <f>IFERROR(__xludf.DUMMYFUNCTION("""COMPUTED_VALUE"""),"New Life")</f>
        <v>New Life</v>
      </c>
      <c r="AB648" s="9" t="str">
        <f>IFERROR(__xludf.DUMMYFUNCTION("""COMPUTED_VALUE"""),"Tomball")</f>
        <v>Tomball</v>
      </c>
    </row>
    <row r="649" ht="30.0" customHeight="1">
      <c r="A649" s="17">
        <v>648.0</v>
      </c>
      <c r="B649" s="8" t="str">
        <f>IFERROR(__xludf.DUMMYFUNCTION("""COMPUTED_VALUE"""),"[""99999""]")</f>
        <v>["99999"]</v>
      </c>
      <c r="C649" s="9" t="str">
        <f>IFERROR(__xludf.DUMMYFUNCTION("""COMPUTED_VALUE"""),"Nora's Home")</f>
        <v>Nora's Home</v>
      </c>
      <c r="D649" s="9" t="str">
        <f>IFERROR(__xludf.DUMMYFUNCTION("""COMPUTED_VALUE"""),"8300 El Rio Street")</f>
        <v>8300 El Rio Street</v>
      </c>
      <c r="E649" s="9"/>
      <c r="F649" s="9" t="str">
        <f>IFERROR(__xludf.DUMMYFUNCTION("""COMPUTED_VALUE"""),"Houston")</f>
        <v>Houston</v>
      </c>
      <c r="G649" s="9" t="str">
        <f>IFERROR(__xludf.DUMMYFUNCTION("""COMPUTED_VALUE"""),"TX")</f>
        <v>TX</v>
      </c>
      <c r="H649" s="9" t="str">
        <f>IFERROR(__xludf.DUMMYFUNCTION("""COMPUTED_VALUE"""),"77054")</f>
        <v>77054</v>
      </c>
      <c r="I649" s="9" t="str">
        <f>IFERROR(__xludf.DUMMYFUNCTION("""COMPUTED_VALUE"""),"832-831-3720")</f>
        <v>832-831-3720</v>
      </c>
      <c r="J649" s="9" t="str">
        <f>IFERROR(__xludf.DUMMYFUNCTION("""COMPUTED_VALUE"""),"29.68400232138505, -95.39016570616874")</f>
        <v>29.68400232138505, -95.39016570616874</v>
      </c>
      <c r="K649" s="9" t="str">
        <f>IFERROR(__xludf.DUMMYFUNCTION("""COMPUTED_VALUE"""),"{""regular"":[{""days"":[""Mo"",""Tu"",""We"",""Th"",""Fr"",""Sa"",""Su""],""open"":""00:00"",""close"":""23:59""}]}")</f>
        <v>{"regular":[{"days":["Mo","Tu","We","Th","Fr","Sa","Su"],"open":"00:00","close":"23:59"}]}</v>
      </c>
      <c r="L649" s="9" t="str">
        <f>IFERROR(__xludf.DUMMYFUNCTION("""COMPUTED_VALUE"""),"New guests complete online request form.")</f>
        <v>New guests complete online request form.</v>
      </c>
      <c r="M649" s="10">
        <f>IFERROR(__xludf.DUMMYFUNCTION("""COMPUTED_VALUE"""),37.0)</f>
        <v>37</v>
      </c>
      <c r="N649" s="10" t="str">
        <f>IFERROR(__xludf.DUMMYFUNCTION("""COMPUTED_VALUE"""),"Medical - Housing")</f>
        <v>Medical - Housing</v>
      </c>
      <c r="O649" s="10">
        <f>IFERROR(__xludf.DUMMYFUNCTION("""COMPUTED_VALUE"""),1.0)</f>
        <v>1</v>
      </c>
      <c r="P649" s="10" t="str">
        <f>IFERROR(__xludf.DUMMYFUNCTION("""COMPUTED_VALUE"""),"ACTIVE")</f>
        <v>ACTIVE</v>
      </c>
      <c r="Q649" s="11">
        <f>IFERROR(__xludf.DUMMYFUNCTION("""COMPUTED_VALUE"""),46036.0)</f>
        <v>46036</v>
      </c>
      <c r="R649" s="9" t="str">
        <f>IFERROR(__xludf.DUMMYFUNCTION("""COMPUTED_VALUE"""),"Verified online")</f>
        <v>Verified online</v>
      </c>
      <c r="S649" s="9" t="str">
        <f>IFERROR(__xludf.DUMMYFUNCTION("""COMPUTED_VALUE"""),"Medical housing for solid organ transplant and organ failure patients and their families traveling to the Texas Medical Center for treatment.
Stays are limited to 30 days but can be extended to a maximum of 90 days on a case by case basis.
Medical housing"&amp;".")</f>
        <v>Medical housing for solid organ transplant and organ failure patients and their families traveling to the Texas Medical Center for treatment.
Stays are limited to 30 days but can be extended to a maximum of 90 days on a case by case basis.
Medical housing.</v>
      </c>
      <c r="T649" s="12" t="b">
        <f>IFERROR(__xludf.DUMMYFUNCTION("""COMPUTED_VALUE"""),FALSE)</f>
        <v>0</v>
      </c>
      <c r="U649" s="12" t="b">
        <f>IFERROR(__xludf.DUMMYFUNCTION("""COMPUTED_VALUE"""),FALSE)</f>
        <v>0</v>
      </c>
      <c r="V649" s="13" t="str">
        <f>IFERROR(__xludf.DUMMYFUNCTION("""COMPUTED_VALUE"""),"https://norashome.org/admission-criteria")</f>
        <v>https://norashome.org/admission-criteria</v>
      </c>
      <c r="W649" s="14" t="str">
        <f>IFERROR(__xludf.DUMMYFUNCTION("""COMPUTED_VALUE"""),"https://www.google.com/maps/place/Nora's+Home/@29.6832195,-95.3925905,16z/data=!3m1!4b1!4m6!3m5!1s0x8640bffef25ba781:0x51ccf9907672a725!8m2!3d29.6832195!4d-95.3900102!16s%2Fg%2F11b6dkfk60?entry=ttu&amp;g_ep=EgoyMDI2MDExMS4wIKXMDSoKLDEwMDc5MjA2OUgBUAM%3D")</f>
        <v>https://www.google.com/maps/place/Nora's+Home/@29.6832195,-95.3925905,16z/data=!3m1!4b1!4m6!3m5!1s0x8640bffef25ba781:0x51ccf9907672a725!8m2!3d29.6832195!4d-95.3900102!16s%2Fg%2F11b6dkfk60?entry=ttu&amp;g_ep=EgoyMDI2MDExMS4wIKXMDSoKLDEwMDc5MjA2OUgBUAM%3D</v>
      </c>
      <c r="X649" s="10"/>
      <c r="Y649" s="9" t="str">
        <f>IFERROR(__xludf.DUMMYFUNCTION("""COMPUTED_VALUE"""),"Houston")</f>
        <v>Houston</v>
      </c>
      <c r="Z649" s="9" t="str">
        <f>IFERROR(__xludf.DUMMYFUNCTION("""COMPUTED_VALUE"""),"Astrodome Area, Medical Center South, NRG Park area, South Main")</f>
        <v>Astrodome Area, Medical Center South, NRG Park area, South Main</v>
      </c>
      <c r="AA649" s="9" t="str">
        <f>IFERROR(__xludf.DUMMYFUNCTION("""COMPUTED_VALUE"""),"Nora's Home")</f>
        <v>Nora's Home</v>
      </c>
      <c r="AB649" s="9" t="str">
        <f>IFERROR(__xludf.DUMMYFUNCTION("""COMPUTED_VALUE"""),"Astrodome Area")</f>
        <v>Astrodome Area</v>
      </c>
    </row>
    <row r="650" ht="30.0" customHeight="1">
      <c r="A650" s="17">
        <v>649.0</v>
      </c>
      <c r="B650" s="8" t="str">
        <f>IFERROR(__xludf.DUMMYFUNCTION("""COMPUTED_VALUE"""),"[""77013"", ""77015"", ""77029"", ""77044"", ""77049"", ""77078"", ""77530""]")</f>
        <v>["77013", "77015", "77029", "77044", "77049", "77078", "77530"]</v>
      </c>
      <c r="C650" s="9" t="str">
        <f>IFERROR(__xludf.DUMMYFUNCTION("""COMPUTED_VALUE"""),"North Channel Assistance Ministries")</f>
        <v>North Channel Assistance Ministries</v>
      </c>
      <c r="D650" s="9" t="str">
        <f>IFERROR(__xludf.DUMMYFUNCTION("""COMPUTED_VALUE"""),"13837 Bonham Street")</f>
        <v>13837 Bonham Street</v>
      </c>
      <c r="E650" s="9"/>
      <c r="F650" s="9" t="str">
        <f>IFERROR(__xludf.DUMMYFUNCTION("""COMPUTED_VALUE"""),"Houston")</f>
        <v>Houston</v>
      </c>
      <c r="G650" s="9" t="str">
        <f>IFERROR(__xludf.DUMMYFUNCTION("""COMPUTED_VALUE"""),"TX")</f>
        <v>TX</v>
      </c>
      <c r="H650" s="9" t="str">
        <f>IFERROR(__xludf.DUMMYFUNCTION("""COMPUTED_VALUE"""),"77015")</f>
        <v>77015</v>
      </c>
      <c r="I650" s="9" t="str">
        <f>IFERROR(__xludf.DUMMYFUNCTION("""COMPUTED_VALUE"""),"713-497-5610")</f>
        <v>713-497-5610</v>
      </c>
      <c r="J650" s="9" t="str">
        <f>IFERROR(__xludf.DUMMYFUNCTION("""COMPUTED_VALUE"""),"29.776231, -95.178367")</f>
        <v>29.776231, -95.178367</v>
      </c>
      <c r="K650" s="9" t="str">
        <f>IFERROR(__xludf.DUMMYFUNCTION("""COMPUTED_VALUE"""),"{""regular"":[{""days"":[""Tu"",""We"",""Th""],""open"":""08:00"",""close"":""14:00""}]}")</f>
        <v>{"regular":[{"days":["Tu","We","Th"],"open":"08:00","close":"14:00"}]}</v>
      </c>
      <c r="L650" s="9"/>
      <c r="M650" s="10">
        <f>IFERROR(__xludf.DUMMYFUNCTION("""COMPUTED_VALUE"""),13.0)</f>
        <v>13</v>
      </c>
      <c r="N650" s="10" t="str">
        <f>IFERROR(__xludf.DUMMYFUNCTION("""COMPUTED_VALUE"""),"Food")</f>
        <v>Food</v>
      </c>
      <c r="O650" s="10">
        <f>IFERROR(__xludf.DUMMYFUNCTION("""COMPUTED_VALUE"""),1.0)</f>
        <v>1</v>
      </c>
      <c r="P650" s="10" t="str">
        <f>IFERROR(__xludf.DUMMYFUNCTION("""COMPUTED_VALUE"""),"ACTIVE")</f>
        <v>ACTIVE</v>
      </c>
      <c r="Q650" s="11"/>
      <c r="R650" s="9"/>
      <c r="S650" s="9" t="str">
        <f>IFERROR(__xludf.DUMMYFUNCTION("""COMPUTED_VALUE"""),"By appointment only.")</f>
        <v>By appointment only.</v>
      </c>
      <c r="T650" s="12" t="b">
        <f>IFERROR(__xludf.DUMMYFUNCTION("""COMPUTED_VALUE"""),FALSE)</f>
        <v>0</v>
      </c>
      <c r="U650" s="12" t="b">
        <f>IFERROR(__xludf.DUMMYFUNCTION("""COMPUTED_VALUE"""),FALSE)</f>
        <v>0</v>
      </c>
      <c r="V650" s="12"/>
      <c r="W650" s="14" t="str">
        <f>IFERROR(__xludf.DUMMYFUNCTION("""COMPUTED_VALUE"""),"https://maps.google.com/?q=North%20Channel%20Assistance%20Ministries%2013837%20Bonham%20Dt%20Houston%20TX%2077015")</f>
        <v>https://maps.google.com/?q=North%20Channel%20Assistance%20Ministries%2013837%20Bonham%20Dt%20Houston%20TX%2077015</v>
      </c>
      <c r="X650" s="10"/>
      <c r="Y650" s="9" t="str">
        <f>IFERROR(__xludf.DUMMYFUNCTION("""COMPUTED_VALUE"""),"Houston")</f>
        <v>Houston</v>
      </c>
      <c r="Z650" s="9" t="str">
        <f>IFERROR(__xludf.DUMMYFUNCTION("""COMPUTED_VALUE"""),"Cloverleaf, Northeast Houston, Northshore")</f>
        <v>Cloverleaf, Northeast Houston, Northshore</v>
      </c>
      <c r="AA650" s="9" t="str">
        <f>IFERROR(__xludf.DUMMYFUNCTION("""COMPUTED_VALUE"""),"North Channel Assistance Ministries")</f>
        <v>North Channel Assistance Ministries</v>
      </c>
      <c r="AB650" s="9" t="str">
        <f>IFERROR(__xludf.DUMMYFUNCTION("""COMPUTED_VALUE"""),"Northeast Houston")</f>
        <v>Northeast Houston</v>
      </c>
    </row>
    <row r="651" ht="30.0" customHeight="1">
      <c r="A651" s="17">
        <v>650.0</v>
      </c>
      <c r="B65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651" s="9" t="str">
        <f>IFERROR(__xludf.DUMMYFUNCTION("""COMPUTED_VALUE"""),"Northeast Multi-Service Center")</f>
        <v>Northeast Multi-Service Center</v>
      </c>
      <c r="D651" s="9" t="str">
        <f>IFERROR(__xludf.DUMMYFUNCTION("""COMPUTED_VALUE"""),"9720 Spaulding Street")</f>
        <v>9720 Spaulding Street</v>
      </c>
      <c r="E651" s="9"/>
      <c r="F651" s="9" t="str">
        <f>IFERROR(__xludf.DUMMYFUNCTION("""COMPUTED_VALUE"""),"Houston")</f>
        <v>Houston</v>
      </c>
      <c r="G651" s="9" t="str">
        <f>IFERROR(__xludf.DUMMYFUNCTION("""COMPUTED_VALUE"""),"TX")</f>
        <v>TX</v>
      </c>
      <c r="H651" s="9" t="str">
        <f>IFERROR(__xludf.DUMMYFUNCTION("""COMPUTED_VALUE"""),"77016")</f>
        <v>77016</v>
      </c>
      <c r="I651" s="9" t="str">
        <f>IFERROR(__xludf.DUMMYFUNCTION("""COMPUTED_VALUE"""),"832-393-5427")</f>
        <v>832-393-5427</v>
      </c>
      <c r="J651" s="9" t="str">
        <f>IFERROR(__xludf.DUMMYFUNCTION("""COMPUTED_VALUE"""),"29.84962064397578, -95.30472102508149")</f>
        <v>29.84962064397578, -95.30472102508149</v>
      </c>
      <c r="K651" s="9" t="str">
        <f>IFERROR(__xludf.DUMMYFUNCTION("""COMPUTED_VALUE"""),"{""regular"":[{""days"":[""Mo""],""open"":""09:00"",""close"":""18:00""},{""days"":[""We"",""Th""],""open"":""08:00"",""close"":""17:00""}],""special"":[{""pattern"":""3rd Sa"",""open"":""08:00"",""close"":""12:00""}]}")</f>
        <v>{"regular":[{"days":["Mo"],"open":"09:00","close":"18:00"},{"days":["We","Th"],"open":"08:00","close":"17:00"}],"special":[{"pattern":"3rd Sa","open":"08:00","close":"12:00"}]}</v>
      </c>
      <c r="L651" s="9"/>
      <c r="M651" s="10">
        <f>IFERROR(__xludf.DUMMYFUNCTION("""COMPUTED_VALUE"""),44.0)</f>
        <v>44</v>
      </c>
      <c r="N651" s="10" t="str">
        <f>IFERROR(__xludf.DUMMYFUNCTION("""COMPUTED_VALUE"""),"Mother &amp; Child")</f>
        <v>Mother &amp; Child</v>
      </c>
      <c r="O651" s="10">
        <f>IFERROR(__xludf.DUMMYFUNCTION("""COMPUTED_VALUE"""),1.0)</f>
        <v>1</v>
      </c>
      <c r="P651" s="10" t="str">
        <f>IFERROR(__xludf.DUMMYFUNCTION("""COMPUTED_VALUE"""),"ACTIVE")</f>
        <v>ACTIVE</v>
      </c>
      <c r="Q651" s="11">
        <f>IFERROR(__xludf.DUMMYFUNCTION("""COMPUTED_VALUE"""),46057.0)</f>
        <v>46057</v>
      </c>
      <c r="R651" s="9" t="str">
        <f>IFERROR(__xludf.DUMMYFUNCTION("""COMPUTED_VALUE"""),"Verified online")</f>
        <v>Verified online</v>
      </c>
      <c r="S651"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651" s="12" t="b">
        <f>IFERROR(__xludf.DUMMYFUNCTION("""COMPUTED_VALUE"""),FALSE)</f>
        <v>0</v>
      </c>
      <c r="U651" s="12" t="b">
        <f>IFERROR(__xludf.DUMMYFUNCTION("""COMPUTED_VALUE"""),FALSE)</f>
        <v>0</v>
      </c>
      <c r="V651" s="13" t="str">
        <f>IFERROR(__xludf.DUMMYFUNCTION("""COMPUTED_VALUE"""),"https://www.houstonhealth.org/services/multi-service-centers/northeast-multi-service-center")</f>
        <v>https://www.houstonhealth.org/services/multi-service-centers/northeast-multi-service-center</v>
      </c>
      <c r="W651" s="14" t="str">
        <f>IFERROR(__xludf.DUMMYFUNCTION("""COMPUTED_VALUE"""),"https://www.google.com/maps/place/Houston+Health+Department+Northeast+Multi-Service+Center/@29.8494671,-95.3072852,17z/data=!3m1!4b1!4m6!3m5!1s0x8640ba1bec1d4d1d:0x916c1316cb5b15ba!8m2!3d29.8494625!4d-95.3047103!16s%2Fg%2F11bw5t6nzd?entry=ttu&amp;g_ep=EgoyMDI"&amp;"2MDIwMS4wIKXMDSoKLDEwMDc5MjA2OUgBUAM%3D")</f>
        <v>https://www.google.com/maps/place/Houston+Health+Department+Northeast+Multi-Service+Center/@29.8494671,-95.3072852,17z/data=!3m1!4b1!4m6!3m5!1s0x8640ba1bec1d4d1d:0x916c1316cb5b15ba!8m2!3d29.8494625!4d-95.3047103!16s%2Fg%2F11bw5t6nzd?entry=ttu&amp;g_ep=EgoyMDI2MDIwMS4wIKXMDSoKLDEwMDc5MjA2OUgBUAM%3D</v>
      </c>
      <c r="X651" s="10"/>
      <c r="Y651" s="9" t="str">
        <f>IFERROR(__xludf.DUMMYFUNCTION("""COMPUTED_VALUE"""),"Houston")</f>
        <v>Houston</v>
      </c>
      <c r="Z651" s="9" t="str">
        <f>IFERROR(__xludf.DUMMYFUNCTION("""COMPUTED_VALUE"""),"East Little York, Trinity Gardens")</f>
        <v>East Little York, Trinity Gardens</v>
      </c>
      <c r="AA651" s="9" t="str">
        <f>IFERROR(__xludf.DUMMYFUNCTION("""COMPUTED_VALUE"""),"City of Houston")</f>
        <v>City of Houston</v>
      </c>
      <c r="AB651" s="9" t="str">
        <f>IFERROR(__xludf.DUMMYFUNCTION("""COMPUTED_VALUE"""),"East Little York")</f>
        <v>East Little York</v>
      </c>
    </row>
    <row r="652" ht="30.0" customHeight="1">
      <c r="A652" s="17">
        <v>651.0</v>
      </c>
      <c r="B65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652" s="9" t="str">
        <f>IFERROR(__xludf.DUMMYFUNCTION("""COMPUTED_VALUE"""),"Northeast Multi-Service Center")</f>
        <v>Northeast Multi-Service Center</v>
      </c>
      <c r="D652" s="9" t="str">
        <f>IFERROR(__xludf.DUMMYFUNCTION("""COMPUTED_VALUE"""),"9720 Spaulding Street")</f>
        <v>9720 Spaulding Street</v>
      </c>
      <c r="E652" s="9"/>
      <c r="F652" s="9" t="str">
        <f>IFERROR(__xludf.DUMMYFUNCTION("""COMPUTED_VALUE"""),"Houston")</f>
        <v>Houston</v>
      </c>
      <c r="G652" s="9" t="str">
        <f>IFERROR(__xludf.DUMMYFUNCTION("""COMPUTED_VALUE"""),"TX")</f>
        <v>TX</v>
      </c>
      <c r="H652" s="9" t="str">
        <f>IFERROR(__xludf.DUMMYFUNCTION("""COMPUTED_VALUE"""),"77016")</f>
        <v>77016</v>
      </c>
      <c r="I652" s="9" t="str">
        <f>IFERROR(__xludf.DUMMYFUNCTION("""COMPUTED_VALUE"""),"832-395-0475")</f>
        <v>832-395-0475</v>
      </c>
      <c r="J652" s="9" t="str">
        <f>IFERROR(__xludf.DUMMYFUNCTION("""COMPUTED_VALUE"""),"29.84962064397578, -95.30472102508149")</f>
        <v>29.84962064397578, -95.30472102508149</v>
      </c>
      <c r="K652" s="9" t="str">
        <f>IFERROR(__xludf.DUMMYFUNCTION("""COMPUTED_VALUE"""),"{""regular"":[{""days"":[""Mo"",""Tu"",""We"",""Th"",""Fr""],""open"":""09:00"",""close"":""15:00""}]}")</f>
        <v>{"regular":[{"days":["Mo","Tu","We","Th","Fr"],"open":"09:00","close":"15:00"}]}</v>
      </c>
      <c r="L652" s="9"/>
      <c r="M652" s="10">
        <f>IFERROR(__xludf.DUMMYFUNCTION("""COMPUTED_VALUE"""),61.0)</f>
        <v>61</v>
      </c>
      <c r="N652" s="10" t="str">
        <f>IFERROR(__xludf.DUMMYFUNCTION("""COMPUTED_VALUE"""),"Seniors")</f>
        <v>Seniors</v>
      </c>
      <c r="O652" s="10">
        <f>IFERROR(__xludf.DUMMYFUNCTION("""COMPUTED_VALUE"""),1.0)</f>
        <v>1</v>
      </c>
      <c r="P652" s="10" t="str">
        <f>IFERROR(__xludf.DUMMYFUNCTION("""COMPUTED_VALUE"""),"ACTIVE")</f>
        <v>ACTIVE</v>
      </c>
      <c r="Q652" s="11">
        <f>IFERROR(__xludf.DUMMYFUNCTION("""COMPUTED_VALUE"""),46057.0)</f>
        <v>46057</v>
      </c>
      <c r="R652" s="9" t="str">
        <f>IFERROR(__xludf.DUMMYFUNCTION("""COMPUTED_VALUE"""),"Verified online")</f>
        <v>Verified online</v>
      </c>
      <c r="S652" s="9" t="str">
        <f>IFERROR(__xludf.DUMMYFUNCTION("""COMPUTED_VALUE"""),"Meals
Onsite for seniors older than 60 years.  
Includes social services, exercises, nutrition, education and other programming.")</f>
        <v>Meals
Onsite for seniors older than 60 years.  
Includes social services, exercises, nutrition, education and other programming.</v>
      </c>
      <c r="T652" s="12" t="b">
        <f>IFERROR(__xludf.DUMMYFUNCTION("""COMPUTED_VALUE"""),FALSE)</f>
        <v>0</v>
      </c>
      <c r="U652" s="12" t="b">
        <f>IFERROR(__xludf.DUMMYFUNCTION("""COMPUTED_VALUE"""),FALSE)</f>
        <v>0</v>
      </c>
      <c r="V652" s="13" t="str">
        <f>IFERROR(__xludf.DUMMYFUNCTION("""COMPUTED_VALUE"""),"https://www.houstonhealth.org/services/multi-service-centers/northeast-multi-service-center")</f>
        <v>https://www.houstonhealth.org/services/multi-service-centers/northeast-multi-service-center</v>
      </c>
      <c r="W652" s="14" t="str">
        <f>IFERROR(__xludf.DUMMYFUNCTION("""COMPUTED_VALUE"""),"https://www.google.com/maps/place/Houston+Health+Department+Northeast+Multi-Service+Center/@29.8494671,-95.3072852,17z/data=!3m1!4b1!4m6!3m5!1s0x8640ba1bec1d4d1d:0x916c1316cb5b15ba!8m2!3d29.8494625!4d-95.3047103!16s%2Fg%2F11bw5t6nzd?entry=ttu&amp;g_ep=EgoyMDI"&amp;"2MDIwMS4wIKXMDSoKLDEwMDc5MjA2OUgBUAM%3D")</f>
        <v>https://www.google.com/maps/place/Houston+Health+Department+Northeast+Multi-Service+Center/@29.8494671,-95.3072852,17z/data=!3m1!4b1!4m6!3m5!1s0x8640ba1bec1d4d1d:0x916c1316cb5b15ba!8m2!3d29.8494625!4d-95.3047103!16s%2Fg%2F11bw5t6nzd?entry=ttu&amp;g_ep=EgoyMDI2MDIwMS4wIKXMDSoKLDEwMDc5MjA2OUgBUAM%3D</v>
      </c>
      <c r="X652" s="10"/>
      <c r="Y652" s="9" t="str">
        <f>IFERROR(__xludf.DUMMYFUNCTION("""COMPUTED_VALUE"""),"Houston")</f>
        <v>Houston</v>
      </c>
      <c r="Z652" s="9" t="str">
        <f>IFERROR(__xludf.DUMMYFUNCTION("""COMPUTED_VALUE"""),"East Little York, Trinity Gardens")</f>
        <v>East Little York, Trinity Gardens</v>
      </c>
      <c r="AA652" s="9" t="str">
        <f>IFERROR(__xludf.DUMMYFUNCTION("""COMPUTED_VALUE"""),"City of Houston")</f>
        <v>City of Houston</v>
      </c>
      <c r="AB652" s="9" t="str">
        <f>IFERROR(__xludf.DUMMYFUNCTION("""COMPUTED_VALUE"""),"East Little York")</f>
        <v>East Little York</v>
      </c>
    </row>
    <row r="653" ht="30.0" customHeight="1">
      <c r="A653" s="17">
        <v>652.0</v>
      </c>
      <c r="B653" s="8" t="str">
        <f>IFERROR(__xludf.DUMMYFUNCTION("""COMPUTED_VALUE"""),"[""99999""]")</f>
        <v>["99999"]</v>
      </c>
      <c r="C653" s="9" t="str">
        <f>IFERROR(__xludf.DUMMYFUNCTION("""COMPUTED_VALUE"""),"Northvale Village (RHF)")</f>
        <v>Northvale Village (RHF)</v>
      </c>
      <c r="D653" s="9" t="str">
        <f>IFERROR(__xludf.DUMMYFUNCTION("""COMPUTED_VALUE"""),"14422 Cornerstone Village Drive")</f>
        <v>14422 Cornerstone Village Drive</v>
      </c>
      <c r="E653" s="9"/>
      <c r="F653" s="9" t="str">
        <f>IFERROR(__xludf.DUMMYFUNCTION("""COMPUTED_VALUE"""),"Houston")</f>
        <v>Houston</v>
      </c>
      <c r="G653" s="9" t="str">
        <f>IFERROR(__xludf.DUMMYFUNCTION("""COMPUTED_VALUE"""),"TX")</f>
        <v>TX</v>
      </c>
      <c r="H653" s="9" t="str">
        <f>IFERROR(__xludf.DUMMYFUNCTION("""COMPUTED_VALUE"""),"77014")</f>
        <v>77014</v>
      </c>
      <c r="I653" s="9" t="str">
        <f>IFERROR(__xludf.DUMMYFUNCTION("""COMPUTED_VALUE"""),"281-880-6144")</f>
        <v>281-880-6144</v>
      </c>
      <c r="J653" s="9" t="str">
        <f>IFERROR(__xludf.DUMMYFUNCTION("""COMPUTED_VALUE"""),"29.9895843348578, -95.4844577166686")</f>
        <v>29.9895843348578, -95.4844577166686</v>
      </c>
      <c r="K653" s="9"/>
      <c r="L653" s="9"/>
      <c r="M653" s="10">
        <f>IFERROR(__xludf.DUMMYFUNCTION("""COMPUTED_VALUE"""),24.0)</f>
        <v>24</v>
      </c>
      <c r="N653" s="10" t="str">
        <f>IFERROR(__xludf.DUMMYFUNCTION("""COMPUTED_VALUE"""),"Housing")</f>
        <v>Housing</v>
      </c>
      <c r="O653" s="10">
        <f>IFERROR(__xludf.DUMMYFUNCTION("""COMPUTED_VALUE"""),1.0)</f>
        <v>1</v>
      </c>
      <c r="P653" s="10" t="str">
        <f>IFERROR(__xludf.DUMMYFUNCTION("""COMPUTED_VALUE"""),"ACTIVE")</f>
        <v>ACTIVE</v>
      </c>
      <c r="Q653" s="11">
        <f>IFERROR(__xludf.DUMMYFUNCTION("""COMPUTED_VALUE"""),45791.0)</f>
        <v>45791</v>
      </c>
      <c r="R653" s="9" t="str">
        <f>IFERROR(__xludf.DUMMYFUNCTION("""COMPUTED_VALUE"""),"Verified online")</f>
        <v>Verified online</v>
      </c>
      <c r="S653" s="9" t="str">
        <f>IFERROR(__xludf.DUMMYFUNCTION("""COMPUTED_VALUE"""),"Subsidised housing for older adults (62+).
Rent is approx 30% of adjusted gross income.
A Retirement Housing Foundation (RHF) community.")</f>
        <v>Subsidised housing for older adults (62+).
Rent is approx 30% of adjusted gross income.
A Retirement Housing Foundation (RHF) community.</v>
      </c>
      <c r="T653" s="12" t="b">
        <f>IFERROR(__xludf.DUMMYFUNCTION("""COMPUTED_VALUE"""),FALSE)</f>
        <v>0</v>
      </c>
      <c r="U653" s="12" t="b">
        <f>IFERROR(__xludf.DUMMYFUNCTION("""COMPUTED_VALUE"""),FALSE)</f>
        <v>0</v>
      </c>
      <c r="V653" s="13" t="str">
        <f>IFERROR(__xludf.DUMMYFUNCTION("""COMPUTED_VALUE"""),"https://rhf.org/northvale-village/")</f>
        <v>https://rhf.org/northvale-village/</v>
      </c>
      <c r="W653" s="14" t="str">
        <f>IFERROR(__xludf.DUMMYFUNCTION("""COMPUTED_VALUE"""),"https://www.google.com/maps/place/Northvale+Village/@29.990179,-95.484496,16z/data=!4m6!3m5!1s0x8640cc7bb5279051:0x31eae4436bf5cdab!8m2!3d29.990179!4d-95.484496!16s%2Fg%2F1263cmq6g?hl=en&amp;entry=ttu&amp;g_ep=EgoyMDI1MDUxMS4wIKXMDSoASAFQAw%3D%3D")</f>
        <v>https://www.google.com/maps/place/Northvale+Village/@29.990179,-95.484496,16z/data=!4m6!3m5!1s0x8640cc7bb5279051:0x31eae4436bf5cdab!8m2!3d29.990179!4d-95.484496!16s%2Fg%2F1263cmq6g?hl=en&amp;entry=ttu&amp;g_ep=EgoyMDI1MDUxMS4wIKXMDSoASAFQAw%3D%3D</v>
      </c>
      <c r="X653" s="10"/>
      <c r="Y653" s="9" t="str">
        <f>IFERROR(__xludf.DUMMYFUNCTION("""COMPUTED_VALUE"""),"Houston")</f>
        <v>Houston</v>
      </c>
      <c r="Z653" s="9" t="str">
        <f>IFERROR(__xludf.DUMMYFUNCTION("""COMPUTED_VALUE"""),"Bammel Village, Cornerstone Village North, Northchase")</f>
        <v>Bammel Village, Cornerstone Village North, Northchase</v>
      </c>
      <c r="AA653" s="9" t="str">
        <f>IFERROR(__xludf.DUMMYFUNCTION("""COMPUTED_VALUE"""),"Northvale Village (RHF)")</f>
        <v>Northvale Village (RHF)</v>
      </c>
      <c r="AB653" s="9" t="str">
        <f>IFERROR(__xludf.DUMMYFUNCTION("""COMPUTED_VALUE"""),"Cornerstone Village North")</f>
        <v>Cornerstone Village North</v>
      </c>
    </row>
    <row r="654" ht="30.0" customHeight="1">
      <c r="A654" s="17">
        <v>653.0</v>
      </c>
      <c r="B654" s="8" t="str">
        <f>IFERROR(__xludf.DUMMYFUNCTION("""COMPUTED_VALUE"""),"[""77014"", ""77032"", ""77038"", ""77050"", ""77060"", ""77064"", ""77066"", ""77067"", ""77068"", ""77069"", ""77070"", ""77073"", ""77086"", ""77090"", ""77373"", ""77379"", ""77388"", ""77389""]")</f>
        <v>["77014", "77032", "77038", "77050", "77060", "77064", "77066", "77067", "77068", "77069", "77070", "77073", "77086", "77090", "77373", "77379", "77388", "77389"]</v>
      </c>
      <c r="C654" s="9" t="str">
        <f>IFERROR(__xludf.DUMMYFUNCTION("""COMPUTED_VALUE"""),"Northwest Area Ministries")</f>
        <v>Northwest Area Ministries</v>
      </c>
      <c r="D654" s="9" t="str">
        <f>IFERROR(__xludf.DUMMYFUNCTION("""COMPUTED_VALUE"""),"15555 Kuykendahl Road")</f>
        <v>15555 Kuykendahl Road</v>
      </c>
      <c r="E654" s="9"/>
      <c r="F654" s="9" t="str">
        <f>IFERROR(__xludf.DUMMYFUNCTION("""COMPUTED_VALUE"""),"Houston")</f>
        <v>Houston</v>
      </c>
      <c r="G654" s="9" t="str">
        <f>IFERROR(__xludf.DUMMYFUNCTION("""COMPUTED_VALUE"""),"TX")</f>
        <v>TX</v>
      </c>
      <c r="H654" s="9" t="str">
        <f>IFERROR(__xludf.DUMMYFUNCTION("""COMPUTED_VALUE"""),"77090")</f>
        <v>77090</v>
      </c>
      <c r="I654" s="9" t="str">
        <f>IFERROR(__xludf.DUMMYFUNCTION("""COMPUTED_VALUE"""),"281-885-4555")</f>
        <v>281-885-4555</v>
      </c>
      <c r="J654" s="9" t="str">
        <f>IFERROR(__xludf.DUMMYFUNCTION("""COMPUTED_VALUE"""),"30.0056433635391, -95.4623423018708")</f>
        <v>30.0056433635391, -95.4623423018708</v>
      </c>
      <c r="K654" s="9" t="str">
        <f>IFERROR(__xludf.DUMMYFUNCTION("""COMPUTED_VALUE"""),"{""regular"":[{""days"":[""Mo"",""Tu"",""We"",""Th""],""open"":""08:00"",""close"":""17:00""},{""days"":[""Fr""],""open"":""08:00"",""close"":""16:00""}]}")</f>
        <v>{"regular":[{"days":["Mo","Tu","We","Th"],"open":"08:00","close":"17:00"},{"days":["Fr"],"open":"08:00","close":"16:00"}]}</v>
      </c>
      <c r="L654" s="9" t="str">
        <f>IFERROR(__xludf.DUMMYFUNCTION("""COMPUTED_VALUE"""),"Apply online")</f>
        <v>Apply online</v>
      </c>
      <c r="M654" s="10">
        <f>IFERROR(__xludf.DUMMYFUNCTION("""COMPUTED_VALUE"""),11.0)</f>
        <v>11</v>
      </c>
      <c r="N654" s="10" t="str">
        <f>IFERROR(__xludf.DUMMYFUNCTION("""COMPUTED_VALUE"""),"Rent")</f>
        <v>Rent</v>
      </c>
      <c r="O654" s="10">
        <f>IFERROR(__xludf.DUMMYFUNCTION("""COMPUTED_VALUE"""),1.0)</f>
        <v>1</v>
      </c>
      <c r="P654" s="10" t="str">
        <f>IFERROR(__xludf.DUMMYFUNCTION("""COMPUTED_VALUE"""),"ACTIVE")</f>
        <v>ACTIVE</v>
      </c>
      <c r="Q654" s="11">
        <f>IFERROR(__xludf.DUMMYFUNCTION("""COMPUTED_VALUE"""),45848.0)</f>
        <v>45848</v>
      </c>
      <c r="R654" s="9" t="str">
        <f>IFERROR(__xludf.DUMMYFUNCTION("""COMPUTED_VALUE"""),"Verified by phone")</f>
        <v>Verified by phone</v>
      </c>
      <c r="S654" s="9" t="str">
        <f>IFERROR(__xludf.DUMMYFUNCTION("""COMPUTED_VALUE"""),"Apply throughout the month. Random selection on the 1st of the following month for further review.
Process takes 7-10 business days.")</f>
        <v>Apply throughout the month. Random selection on the 1st of the following month for further review.
Process takes 7-10 business days.</v>
      </c>
      <c r="T654" s="12" t="b">
        <f>IFERROR(__xludf.DUMMYFUNCTION("""COMPUTED_VALUE"""),FALSE)</f>
        <v>0</v>
      </c>
      <c r="U654" s="12" t="b">
        <f>IFERROR(__xludf.DUMMYFUNCTION("""COMPUTED_VALUE"""),FALSE)</f>
        <v>0</v>
      </c>
      <c r="V654" s="13" t="str">
        <f>IFERROR(__xludf.DUMMYFUNCTION("""COMPUTED_VALUE"""),"https://www.namonline.org/")</f>
        <v>https://www.namonline.org/</v>
      </c>
      <c r="W654" s="14" t="str">
        <f>IFERROR(__xludf.DUMMYFUNCTION("""COMPUTED_VALUE"""),"https://maps.google.com/?q=Northwest%20Area%20Ministries%2015555%20Kuykendahl%20Rd%20Houston%20TX%2077080")</f>
        <v>https://maps.google.com/?q=Northwest%20Area%20Ministries%2015555%20Kuykendahl%20Rd%20Houston%20TX%2077080</v>
      </c>
      <c r="X654" s="10"/>
      <c r="Y654" s="9" t="str">
        <f>IFERROR(__xludf.DUMMYFUNCTION("""COMPUTED_VALUE"""),"Houston")</f>
        <v>Houston</v>
      </c>
      <c r="Z654" s="9" t="str">
        <f>IFERROR(__xludf.DUMMYFUNCTION("""COMPUTED_VALUE"""),"Cypress Station, Ella Crossing, Westador")</f>
        <v>Cypress Station, Ella Crossing, Westador</v>
      </c>
      <c r="AA654" s="9" t="str">
        <f>IFERROR(__xludf.DUMMYFUNCTION("""COMPUTED_VALUE"""),"Northwest Area Ministries")</f>
        <v>Northwest Area Ministries</v>
      </c>
      <c r="AB654" s="9" t="str">
        <f>IFERROR(__xludf.DUMMYFUNCTION("""COMPUTED_VALUE"""),"Westador")</f>
        <v>Westador</v>
      </c>
    </row>
    <row r="655" ht="30.0" customHeight="1">
      <c r="A655" s="17">
        <v>654.0</v>
      </c>
      <c r="B655" s="8" t="str">
        <f>IFERROR(__xludf.DUMMYFUNCTION("""COMPUTED_VALUE"""),"[""77014"", ""77032"", ""77038"", ""77050"", ""77060"", ""77064"", ""77066"", ""77067"", ""77068"", ""77069"", ""77070"", ""77073"", ""77086"", ""77090"", ""77373"", ""77379"", ""77388"", ""77389""]")</f>
        <v>["77014", "77032", "77038", "77050", "77060", "77064", "77066", "77067", "77068", "77069", "77070", "77073", "77086", "77090", "77373", "77379", "77388", "77389"]</v>
      </c>
      <c r="C655" s="9" t="str">
        <f>IFERROR(__xludf.DUMMYFUNCTION("""COMPUTED_VALUE"""),"Northwest Area Ministries")</f>
        <v>Northwest Area Ministries</v>
      </c>
      <c r="D655" s="9" t="str">
        <f>IFERROR(__xludf.DUMMYFUNCTION("""COMPUTED_VALUE"""),"15555 Kuykendahl Road")</f>
        <v>15555 Kuykendahl Road</v>
      </c>
      <c r="E655" s="9"/>
      <c r="F655" s="9" t="str">
        <f>IFERROR(__xludf.DUMMYFUNCTION("""COMPUTED_VALUE"""),"Houston")</f>
        <v>Houston</v>
      </c>
      <c r="G655" s="9" t="str">
        <f>IFERROR(__xludf.DUMMYFUNCTION("""COMPUTED_VALUE"""),"TX")</f>
        <v>TX</v>
      </c>
      <c r="H655" s="9" t="str">
        <f>IFERROR(__xludf.DUMMYFUNCTION("""COMPUTED_VALUE"""),"77090")</f>
        <v>77090</v>
      </c>
      <c r="I655" s="9" t="str">
        <f>IFERROR(__xludf.DUMMYFUNCTION("""COMPUTED_VALUE"""),"281-885-4555 Ext 4519")</f>
        <v>281-885-4555 Ext 4519</v>
      </c>
      <c r="J655" s="9" t="str">
        <f>IFERROR(__xludf.DUMMYFUNCTION("""COMPUTED_VALUE"""),"30.0056433635391, -95.4623423018708")</f>
        <v>30.0056433635391, -95.4623423018708</v>
      </c>
      <c r="K655" s="9" t="str">
        <f>IFERROR(__xludf.DUMMYFUNCTION("""COMPUTED_VALUE"""),"{""regular"":[{""days"":[""Mo"",""Tu"",""We"",""Th""],""open"":""08:00"",""close"":""17:00""},{""days"":[""Fr""],""open"":""08:00"",""close"":""16:00""}]}")</f>
        <v>{"regular":[{"days":["Mo","Tu","We","Th"],"open":"08:00","close":"17:00"},{"days":["Fr"],"open":"08:00","close":"16:00"}]}</v>
      </c>
      <c r="L655" s="9"/>
      <c r="M655" s="10">
        <f>IFERROR(__xludf.DUMMYFUNCTION("""COMPUTED_VALUE"""),12.0)</f>
        <v>12</v>
      </c>
      <c r="N655" s="10" t="str">
        <f>IFERROR(__xludf.DUMMYFUNCTION("""COMPUTED_VALUE"""),"Utilities")</f>
        <v>Utilities</v>
      </c>
      <c r="O655" s="10">
        <f>IFERROR(__xludf.DUMMYFUNCTION("""COMPUTED_VALUE"""),1.0)</f>
        <v>1</v>
      </c>
      <c r="P655" s="10" t="str">
        <f>IFERROR(__xludf.DUMMYFUNCTION("""COMPUTED_VALUE"""),"ACTIVE")</f>
        <v>ACTIVE</v>
      </c>
      <c r="Q655" s="11">
        <f>IFERROR(__xludf.DUMMYFUNCTION("""COMPUTED_VALUE"""),45848.0)</f>
        <v>45848</v>
      </c>
      <c r="R655" s="9" t="str">
        <f>IFERROR(__xludf.DUMMYFUNCTION("""COMPUTED_VALUE"""),"Verified by phone")</f>
        <v>Verified by phone</v>
      </c>
      <c r="S655" s="9"/>
      <c r="T655" s="12" t="b">
        <f>IFERROR(__xludf.DUMMYFUNCTION("""COMPUTED_VALUE"""),FALSE)</f>
        <v>0</v>
      </c>
      <c r="U655" s="12" t="b">
        <f>IFERROR(__xludf.DUMMYFUNCTION("""COMPUTED_VALUE"""),FALSE)</f>
        <v>0</v>
      </c>
      <c r="V655" s="13" t="str">
        <f>IFERROR(__xludf.DUMMYFUNCTION("""COMPUTED_VALUE"""),"https://www.namonline.org/")</f>
        <v>https://www.namonline.org/</v>
      </c>
      <c r="W655" s="14" t="str">
        <f>IFERROR(__xludf.DUMMYFUNCTION("""COMPUTED_VALUE"""),"https://maps.google.com/?q=Northwest%20Area%20Ministries%2015555%20Kuykendahl%20Rd%20Houston%20TX%2077080")</f>
        <v>https://maps.google.com/?q=Northwest%20Area%20Ministries%2015555%20Kuykendahl%20Rd%20Houston%20TX%2077080</v>
      </c>
      <c r="X655" s="10"/>
      <c r="Y655" s="9" t="str">
        <f>IFERROR(__xludf.DUMMYFUNCTION("""COMPUTED_VALUE"""),"Houston")</f>
        <v>Houston</v>
      </c>
      <c r="Z655" s="9" t="str">
        <f>IFERROR(__xludf.DUMMYFUNCTION("""COMPUTED_VALUE"""),"Cypress Station, Ella Crossing, Westador")</f>
        <v>Cypress Station, Ella Crossing, Westador</v>
      </c>
      <c r="AA655" s="9" t="str">
        <f>IFERROR(__xludf.DUMMYFUNCTION("""COMPUTED_VALUE"""),"Northwest Area Ministries")</f>
        <v>Northwest Area Ministries</v>
      </c>
      <c r="AB655" s="9" t="str">
        <f>IFERROR(__xludf.DUMMYFUNCTION("""COMPUTED_VALUE"""),"Westador")</f>
        <v>Westador</v>
      </c>
    </row>
    <row r="656" ht="30.0" customHeight="1">
      <c r="A656" s="17">
        <v>655.0</v>
      </c>
      <c r="B656" s="8" t="str">
        <f>IFERROR(__xludf.DUMMYFUNCTION("""COMPUTED_VALUE"""),"[""77014"", ""77032"", ""77038"", ""77050"", ""77060"", ""77064"", ""77066"", ""77067"", ""77068"", ""77069"", ""77070"", ""77073"", ""77086"", ""77090"", ""77373"", ""77379"", ""77388"", ""77389""]")</f>
        <v>["77014", "77032", "77038", "77050", "77060", "77064", "77066", "77067", "77068", "77069", "77070", "77073", "77086", "77090", "77373", "77379", "77388", "77389"]</v>
      </c>
      <c r="C656" s="9" t="str">
        <f>IFERROR(__xludf.DUMMYFUNCTION("""COMPUTED_VALUE"""),"Northwest Area Ministries")</f>
        <v>Northwest Area Ministries</v>
      </c>
      <c r="D656" s="9" t="str">
        <f>IFERROR(__xludf.DUMMYFUNCTION("""COMPUTED_VALUE"""),"15555 Kuykendahl Road")</f>
        <v>15555 Kuykendahl Road</v>
      </c>
      <c r="E656" s="9"/>
      <c r="F656" s="9" t="str">
        <f>IFERROR(__xludf.DUMMYFUNCTION("""COMPUTED_VALUE"""),"Houston")</f>
        <v>Houston</v>
      </c>
      <c r="G656" s="9" t="str">
        <f>IFERROR(__xludf.DUMMYFUNCTION("""COMPUTED_VALUE"""),"TX")</f>
        <v>TX</v>
      </c>
      <c r="H656" s="9" t="str">
        <f>IFERROR(__xludf.DUMMYFUNCTION("""COMPUTED_VALUE"""),"77090")</f>
        <v>77090</v>
      </c>
      <c r="I656" s="9" t="str">
        <f>IFERROR(__xludf.DUMMYFUNCTION("""COMPUTED_VALUE"""),"281-885-4519")</f>
        <v>281-885-4519</v>
      </c>
      <c r="J656" s="9" t="str">
        <f>IFERROR(__xludf.DUMMYFUNCTION("""COMPUTED_VALUE"""),"30.0056433635391, -95.4623423018708")</f>
        <v>30.0056433635391, -95.4623423018708</v>
      </c>
      <c r="K656" s="9" t="str">
        <f>IFERROR(__xludf.DUMMYFUNCTION("""COMPUTED_VALUE"""),"{""regular"":[{""days"":[""Mo"",""Tu"",""We"",""Th"",""Fr""],""open"":""09:00"",""close"":""14:00""}]}")</f>
        <v>{"regular":[{"days":["Mo","Tu","We","Th","Fr"],"open":"09:00","close":"14:00"}]}</v>
      </c>
      <c r="L656" s="9"/>
      <c r="M656" s="10">
        <f>IFERROR(__xludf.DUMMYFUNCTION("""COMPUTED_VALUE"""),13.0)</f>
        <v>13</v>
      </c>
      <c r="N656" s="10" t="str">
        <f>IFERROR(__xludf.DUMMYFUNCTION("""COMPUTED_VALUE"""),"Food")</f>
        <v>Food</v>
      </c>
      <c r="O656" s="10">
        <f>IFERROR(__xludf.DUMMYFUNCTION("""COMPUTED_VALUE"""),1.0)</f>
        <v>1</v>
      </c>
      <c r="P656" s="10" t="str">
        <f>IFERROR(__xludf.DUMMYFUNCTION("""COMPUTED_VALUE"""),"ACTIVE")</f>
        <v>ACTIVE</v>
      </c>
      <c r="Q656" s="11"/>
      <c r="R656" s="9"/>
      <c r="S656" s="9" t="str">
        <f>IFERROR(__xludf.DUMMYFUNCTION("""COMPUTED_VALUE"""),"Apply in person.
Check website for required documents..")</f>
        <v>Apply in person.
Check website for required documents..</v>
      </c>
      <c r="T656" s="12" t="b">
        <f>IFERROR(__xludf.DUMMYFUNCTION("""COMPUTED_VALUE"""),FALSE)</f>
        <v>0</v>
      </c>
      <c r="U656" s="12" t="b">
        <f>IFERROR(__xludf.DUMMYFUNCTION("""COMPUTED_VALUE"""),FALSE)</f>
        <v>0</v>
      </c>
      <c r="V656" s="13" t="str">
        <f>IFERROR(__xludf.DUMMYFUNCTION("""COMPUTED_VALUE"""),"https://www.namonline.org/")</f>
        <v>https://www.namonline.org/</v>
      </c>
      <c r="W656" s="14" t="str">
        <f>IFERROR(__xludf.DUMMYFUNCTION("""COMPUTED_VALUE"""),"https://maps.google.com/?q=Northwest%20Area%20Ministries%2015555%20Kuykendahl%20Rd%20Houston%20TX%2077080")</f>
        <v>https://maps.google.com/?q=Northwest%20Area%20Ministries%2015555%20Kuykendahl%20Rd%20Houston%20TX%2077080</v>
      </c>
      <c r="X656" s="10"/>
      <c r="Y656" s="9" t="str">
        <f>IFERROR(__xludf.DUMMYFUNCTION("""COMPUTED_VALUE"""),"Houston")</f>
        <v>Houston</v>
      </c>
      <c r="Z656" s="9" t="str">
        <f>IFERROR(__xludf.DUMMYFUNCTION("""COMPUTED_VALUE"""),"Cypress Station, Ella Crossing, Westador")</f>
        <v>Cypress Station, Ella Crossing, Westador</v>
      </c>
      <c r="AA656" s="9" t="str">
        <f>IFERROR(__xludf.DUMMYFUNCTION("""COMPUTED_VALUE"""),"Northwest Area Ministries")</f>
        <v>Northwest Area Ministries</v>
      </c>
      <c r="AB656" s="9" t="str">
        <f>IFERROR(__xludf.DUMMYFUNCTION("""COMPUTED_VALUE"""),"Westador")</f>
        <v>Westador</v>
      </c>
    </row>
    <row r="657" ht="30.0" customHeight="1">
      <c r="A657" s="17">
        <v>656.0</v>
      </c>
      <c r="B657" s="8" t="str">
        <f>IFERROR(__xludf.DUMMYFUNCTION("""COMPUTED_VALUE"""),"[""77014"", ""77032"", ""77038"", ""77050"", ""77060"", ""77064"", ""77066"", ""77067"", ""77068"", ""77069"", ""77070"", ""77073"", ""77086"", ""77090"", ""77373"", ""77379"", ""77388"", ""77389""]")</f>
        <v>["77014", "77032", "77038", "77050", "77060", "77064", "77066", "77067", "77068", "77069", "77070", "77073", "77086", "77090", "77373", "77379", "77388", "77389"]</v>
      </c>
      <c r="C657" s="9" t="str">
        <f>IFERROR(__xludf.DUMMYFUNCTION("""COMPUTED_VALUE"""),"Northwest Area Ministries")</f>
        <v>Northwest Area Ministries</v>
      </c>
      <c r="D657" s="9" t="str">
        <f>IFERROR(__xludf.DUMMYFUNCTION("""COMPUTED_VALUE"""),"15555 Kuykendahl Road")</f>
        <v>15555 Kuykendahl Road</v>
      </c>
      <c r="E657" s="9"/>
      <c r="F657" s="9" t="str">
        <f>IFERROR(__xludf.DUMMYFUNCTION("""COMPUTED_VALUE"""),"Houston")</f>
        <v>Houston</v>
      </c>
      <c r="G657" s="9" t="str">
        <f>IFERROR(__xludf.DUMMYFUNCTION("""COMPUTED_VALUE"""),"TX")</f>
        <v>TX</v>
      </c>
      <c r="H657" s="9" t="str">
        <f>IFERROR(__xludf.DUMMYFUNCTION("""COMPUTED_VALUE"""),"77090")</f>
        <v>77090</v>
      </c>
      <c r="I657" s="9" t="str">
        <f>IFERROR(__xludf.DUMMYFUNCTION("""COMPUTED_VALUE"""),"281-885-4595")</f>
        <v>281-885-4595</v>
      </c>
      <c r="J657" s="9" t="str">
        <f>IFERROR(__xludf.DUMMYFUNCTION("""COMPUTED_VALUE"""),"30.0056433635391, -95.4623423018708")</f>
        <v>30.0056433635391, -95.4623423018708</v>
      </c>
      <c r="K657" s="9"/>
      <c r="L657" s="9"/>
      <c r="M657" s="10">
        <f>IFERROR(__xludf.DUMMYFUNCTION("""COMPUTED_VALUE"""),24.0)</f>
        <v>24</v>
      </c>
      <c r="N657" s="10" t="str">
        <f>IFERROR(__xludf.DUMMYFUNCTION("""COMPUTED_VALUE"""),"Housing")</f>
        <v>Housing</v>
      </c>
      <c r="O657" s="10">
        <f>IFERROR(__xludf.DUMMYFUNCTION("""COMPUTED_VALUE"""),1.0)</f>
        <v>1</v>
      </c>
      <c r="P657" s="10" t="str">
        <f>IFERROR(__xludf.DUMMYFUNCTION("""COMPUTED_VALUE"""),"ACTIVE")</f>
        <v>ACTIVE</v>
      </c>
      <c r="Q657" s="11"/>
      <c r="R657" s="9"/>
      <c r="S657" s="9" t="str">
        <f>IFERROR(__xludf.DUMMYFUNCTION("""COMPUTED_VALUE"""),"Permanent supportive housing.
Have to be unhoused and at least one member of household has a documented disability.
Assessment conducted at a designated Coordinated Access site (check website for additional information).")</f>
        <v>Permanent supportive housing.
Have to be unhoused and at least one member of household has a documented disability.
Assessment conducted at a designated Coordinated Access site (check website for additional information).</v>
      </c>
      <c r="T657" s="12" t="b">
        <f>IFERROR(__xludf.DUMMYFUNCTION("""COMPUTED_VALUE"""),FALSE)</f>
        <v>0</v>
      </c>
      <c r="U657" s="12" t="b">
        <f>IFERROR(__xludf.DUMMYFUNCTION("""COMPUTED_VALUE"""),FALSE)</f>
        <v>0</v>
      </c>
      <c r="V657" s="13" t="str">
        <f>IFERROR(__xludf.DUMMYFUNCTION("""COMPUTED_VALUE"""),"https://www.namonline.org/")</f>
        <v>https://www.namonline.org/</v>
      </c>
      <c r="W657" s="14" t="str">
        <f>IFERROR(__xludf.DUMMYFUNCTION("""COMPUTED_VALUE"""),"https://maps.google.com/?q=Northwest%20Area%20Ministries%2015555%20Kuykendahl%20Rd%20Houston%20TX%2077080")</f>
        <v>https://maps.google.com/?q=Northwest%20Area%20Ministries%2015555%20Kuykendahl%20Rd%20Houston%20TX%2077080</v>
      </c>
      <c r="X657" s="10"/>
      <c r="Y657" s="9" t="str">
        <f>IFERROR(__xludf.DUMMYFUNCTION("""COMPUTED_VALUE"""),"Houston")</f>
        <v>Houston</v>
      </c>
      <c r="Z657" s="9" t="str">
        <f>IFERROR(__xludf.DUMMYFUNCTION("""COMPUTED_VALUE"""),"Cypress Station, Ella Crossing, Westador")</f>
        <v>Cypress Station, Ella Crossing, Westador</v>
      </c>
      <c r="AA657" s="9" t="str">
        <f>IFERROR(__xludf.DUMMYFUNCTION("""COMPUTED_VALUE"""),"Northwest Area Ministries")</f>
        <v>Northwest Area Ministries</v>
      </c>
      <c r="AB657" s="9" t="str">
        <f>IFERROR(__xludf.DUMMYFUNCTION("""COMPUTED_VALUE"""),"Westador")</f>
        <v>Westador</v>
      </c>
    </row>
    <row r="658" ht="30.0" customHeight="1">
      <c r="A658" s="17">
        <v>657.0</v>
      </c>
      <c r="B658" s="8" t="str">
        <f>IFERROR(__xludf.DUMMYFUNCTION("""COMPUTED_VALUE"""),"[""77014"", ""77032"", ""77038"", ""77050"", ""77060"", ""77064"", ""77066"", ""77067"", ""77068"", ""77069"", ""77070"", ""77073"", ""77086"", ""77090"", ""77373"", ""77379"", ""77388"", ""77389""]")</f>
        <v>["77014", "77032", "77038", "77050", "77060", "77064", "77066", "77067", "77068", "77069", "77070", "77073", "77086", "77090", "77373", "77379", "77388", "77389"]</v>
      </c>
      <c r="C658" s="9" t="str">
        <f>IFERROR(__xludf.DUMMYFUNCTION("""COMPUTED_VALUE"""),"Northwest Area Ministries")</f>
        <v>Northwest Area Ministries</v>
      </c>
      <c r="D658" s="9" t="str">
        <f>IFERROR(__xludf.DUMMYFUNCTION("""COMPUTED_VALUE"""),"15555 Kuykendahl Road")</f>
        <v>15555 Kuykendahl Road</v>
      </c>
      <c r="E658" s="9"/>
      <c r="F658" s="9" t="str">
        <f>IFERROR(__xludf.DUMMYFUNCTION("""COMPUTED_VALUE"""),"Houston")</f>
        <v>Houston</v>
      </c>
      <c r="G658" s="9" t="str">
        <f>IFERROR(__xludf.DUMMYFUNCTION("""COMPUTED_VALUE"""),"TX")</f>
        <v>TX</v>
      </c>
      <c r="H658" s="9" t="str">
        <f>IFERROR(__xludf.DUMMYFUNCTION("""COMPUTED_VALUE"""),"77090")</f>
        <v>77090</v>
      </c>
      <c r="I658" s="9" t="str">
        <f>IFERROR(__xludf.DUMMYFUNCTION("""COMPUTED_VALUE"""),"713-387-7180")</f>
        <v>713-387-7180</v>
      </c>
      <c r="J658" s="9" t="str">
        <f>IFERROR(__xludf.DUMMYFUNCTION("""COMPUTED_VALUE"""),"30.0056433635391, -95.4623423018708")</f>
        <v>30.0056433635391, -95.4623423018708</v>
      </c>
      <c r="K658" s="9" t="str">
        <f>IFERROR(__xludf.DUMMYFUNCTION("""COMPUTED_VALUE"""),"{""regular"":[{""days"":[""Tu"",""We""],""open"":""08:00"",""close"":""17:00""}]}")</f>
        <v>{"regular":[{"days":["Tu","We"],"open":"08:00","close":"17:00"}]}</v>
      </c>
      <c r="L658" s="9"/>
      <c r="M658" s="10">
        <f>IFERROR(__xludf.DUMMYFUNCTION("""COMPUTED_VALUE"""),31.0)</f>
        <v>31</v>
      </c>
      <c r="N658" s="10" t="str">
        <f>IFERROR(__xludf.DUMMYFUNCTION("""COMPUTED_VALUE"""),"Medical - Primary Care")</f>
        <v>Medical - Primary Care</v>
      </c>
      <c r="O658" s="10">
        <f>IFERROR(__xludf.DUMMYFUNCTION("""COMPUTED_VALUE"""),1.0)</f>
        <v>1</v>
      </c>
      <c r="P658" s="10" t="str">
        <f>IFERROR(__xludf.DUMMYFUNCTION("""COMPUTED_VALUE"""),"ACTIVE")</f>
        <v>ACTIVE</v>
      </c>
      <c r="Q658" s="11"/>
      <c r="R658" s="9"/>
      <c r="S658" s="9" t="str">
        <f>IFERROR(__xludf.DUMMYFUNCTION("""COMPUTED_VALUE"""),"Has been rebranded to Spring Branch Community Health Center Northwest.")</f>
        <v>Has been rebranded to Spring Branch Community Health Center Northwest.</v>
      </c>
      <c r="T658" s="12" t="b">
        <f>IFERROR(__xludf.DUMMYFUNCTION("""COMPUTED_VALUE"""),FALSE)</f>
        <v>0</v>
      </c>
      <c r="U658" s="12" t="b">
        <f>IFERROR(__xludf.DUMMYFUNCTION("""COMPUTED_VALUE"""),FALSE)</f>
        <v>0</v>
      </c>
      <c r="V658" s="13" t="str">
        <f>IFERROR(__xludf.DUMMYFUNCTION("""COMPUTED_VALUE"""),"https://www.namonline.org/")</f>
        <v>https://www.namonline.org/</v>
      </c>
      <c r="W658" s="14" t="str">
        <f>IFERROR(__xludf.DUMMYFUNCTION("""COMPUTED_VALUE"""),"https://maps.google.com/?q=Northwest%20Area%20Ministries%2015555%20Kuykendahl%20Rd%20Houston%20TX%2077080")</f>
        <v>https://maps.google.com/?q=Northwest%20Area%20Ministries%2015555%20Kuykendahl%20Rd%20Houston%20TX%2077080</v>
      </c>
      <c r="X658" s="10"/>
      <c r="Y658" s="9" t="str">
        <f>IFERROR(__xludf.DUMMYFUNCTION("""COMPUTED_VALUE"""),"Houston")</f>
        <v>Houston</v>
      </c>
      <c r="Z658" s="9" t="str">
        <f>IFERROR(__xludf.DUMMYFUNCTION("""COMPUTED_VALUE"""),"Cypress Station, Ella Crossing, Westador")</f>
        <v>Cypress Station, Ella Crossing, Westador</v>
      </c>
      <c r="AA658" s="9" t="str">
        <f>IFERROR(__xludf.DUMMYFUNCTION("""COMPUTED_VALUE"""),"Northwest Area Ministries")</f>
        <v>Northwest Area Ministries</v>
      </c>
      <c r="AB658" s="9" t="str">
        <f>IFERROR(__xludf.DUMMYFUNCTION("""COMPUTED_VALUE"""),"Westador")</f>
        <v>Westador</v>
      </c>
    </row>
    <row r="659" ht="30.0" customHeight="1">
      <c r="A659" s="17">
        <v>658.0</v>
      </c>
      <c r="B659" s="8" t="str">
        <f>IFERROR(__xludf.DUMMYFUNCTION("""COMPUTED_VALUE"""),"[""77014"", ""77032"", ""77038"", ""77050"", ""77060"", ""77064"", ""77066"", ""77067"", ""77068"", ""77069"", ""77070"", ""77073"", ""77086"", ""77090"", ""77373"", ""77379"", ""77388"", ""77389""]")</f>
        <v>["77014", "77032", "77038", "77050", "77060", "77064", "77066", "77067", "77068", "77069", "77070", "77073", "77086", "77090", "77373", "77379", "77388", "77389"]</v>
      </c>
      <c r="C659" s="9" t="str">
        <f>IFERROR(__xludf.DUMMYFUNCTION("""COMPUTED_VALUE"""),"Northwest Area Ministries")</f>
        <v>Northwest Area Ministries</v>
      </c>
      <c r="D659" s="9" t="str">
        <f>IFERROR(__xludf.DUMMYFUNCTION("""COMPUTED_VALUE"""),"15555 Kuykendahl Road")</f>
        <v>15555 Kuykendahl Road</v>
      </c>
      <c r="E659" s="9"/>
      <c r="F659" s="9" t="str">
        <f>IFERROR(__xludf.DUMMYFUNCTION("""COMPUTED_VALUE"""),"Houston")</f>
        <v>Houston</v>
      </c>
      <c r="G659" s="9" t="str">
        <f>IFERROR(__xludf.DUMMYFUNCTION("""COMPUTED_VALUE"""),"TX")</f>
        <v>TX</v>
      </c>
      <c r="H659" s="9" t="str">
        <f>IFERROR(__xludf.DUMMYFUNCTION("""COMPUTED_VALUE"""),"77090")</f>
        <v>77090</v>
      </c>
      <c r="I659" s="9" t="str">
        <f>IFERROR(__xludf.DUMMYFUNCTION("""COMPUTED_VALUE"""),"281-885-4662")</f>
        <v>281-885-4662</v>
      </c>
      <c r="J659" s="9" t="str">
        <f>IFERROR(__xludf.DUMMYFUNCTION("""COMPUTED_VALUE"""),"30.0056433635391, -95.4623423018708")</f>
        <v>30.0056433635391, -95.4623423018708</v>
      </c>
      <c r="K659" s="9"/>
      <c r="L659" s="9"/>
      <c r="M659" s="10">
        <f>IFERROR(__xludf.DUMMYFUNCTION("""COMPUTED_VALUE"""),33.0)</f>
        <v>33</v>
      </c>
      <c r="N659" s="10" t="str">
        <f>IFERROR(__xludf.DUMMYFUNCTION("""COMPUTED_VALUE"""),"Medical - Behavioral Health")</f>
        <v>Medical - Behavioral Health</v>
      </c>
      <c r="O659" s="10">
        <f>IFERROR(__xludf.DUMMYFUNCTION("""COMPUTED_VALUE"""),1.0)</f>
        <v>1</v>
      </c>
      <c r="P659" s="10" t="str">
        <f>IFERROR(__xludf.DUMMYFUNCTION("""COMPUTED_VALUE"""),"ACTIVE")</f>
        <v>ACTIVE</v>
      </c>
      <c r="Q659" s="11"/>
      <c r="R659" s="9"/>
      <c r="S659" s="9" t="str">
        <f>IFERROR(__xludf.DUMMYFUNCTION("""COMPUTED_VALUE"""),"Mental Health Counseling including family, parenting, couples and grief.")</f>
        <v>Mental Health Counseling including family, parenting, couples and grief.</v>
      </c>
      <c r="T659" s="12" t="b">
        <f>IFERROR(__xludf.DUMMYFUNCTION("""COMPUTED_VALUE"""),FALSE)</f>
        <v>0</v>
      </c>
      <c r="U659" s="12" t="b">
        <f>IFERROR(__xludf.DUMMYFUNCTION("""COMPUTED_VALUE"""),FALSE)</f>
        <v>0</v>
      </c>
      <c r="V659" s="13" t="str">
        <f>IFERROR(__xludf.DUMMYFUNCTION("""COMPUTED_VALUE"""),"https://www.namonline.org/")</f>
        <v>https://www.namonline.org/</v>
      </c>
      <c r="W659" s="14" t="str">
        <f>IFERROR(__xludf.DUMMYFUNCTION("""COMPUTED_VALUE"""),"https://maps.google.com/?q=Northwest%20Area%20Ministries%2015555%20Kuykendahl%20Rd%20Houston%20TX%2077080")</f>
        <v>https://maps.google.com/?q=Northwest%20Area%20Ministries%2015555%20Kuykendahl%20Rd%20Houston%20TX%2077080</v>
      </c>
      <c r="X659" s="10"/>
      <c r="Y659" s="9" t="str">
        <f>IFERROR(__xludf.DUMMYFUNCTION("""COMPUTED_VALUE"""),"Houston")</f>
        <v>Houston</v>
      </c>
      <c r="Z659" s="9" t="str">
        <f>IFERROR(__xludf.DUMMYFUNCTION("""COMPUTED_VALUE"""),"Cypress Station, Ella Crossing, Westador")</f>
        <v>Cypress Station, Ella Crossing, Westador</v>
      </c>
      <c r="AA659" s="9" t="str">
        <f>IFERROR(__xludf.DUMMYFUNCTION("""COMPUTED_VALUE"""),"Northwest Area Ministries")</f>
        <v>Northwest Area Ministries</v>
      </c>
      <c r="AB659" s="9" t="str">
        <f>IFERROR(__xludf.DUMMYFUNCTION("""COMPUTED_VALUE"""),"Westador")</f>
        <v>Westador</v>
      </c>
    </row>
    <row r="660" ht="30.0" customHeight="1">
      <c r="A660" s="17">
        <v>659.0</v>
      </c>
      <c r="B660" s="8" t="str">
        <f>IFERROR(__xludf.DUMMYFUNCTION("""COMPUTED_VALUE"""),"[""77014"", ""77032"", ""77038"", ""77050"", ""77060"", ""77064"", ""77066"", ""77067"", ""77068"", ""77069"", ""77070"", ""77073"", ""77086"", ""77090"", ""77373"", ""77379"", ""77388"", ""77389""]")</f>
        <v>["77014", "77032", "77038", "77050", "77060", "77064", "77066", "77067", "77068", "77069", "77070", "77073", "77086", "77090", "77373", "77379", "77388", "77389"]</v>
      </c>
      <c r="C660" s="9" t="str">
        <f>IFERROR(__xludf.DUMMYFUNCTION("""COMPUTED_VALUE"""),"Northwest Area Ministries")</f>
        <v>Northwest Area Ministries</v>
      </c>
      <c r="D660" s="9" t="str">
        <f>IFERROR(__xludf.DUMMYFUNCTION("""COMPUTED_VALUE"""),"15555 Kuykendahl Road")</f>
        <v>15555 Kuykendahl Road</v>
      </c>
      <c r="E660" s="9"/>
      <c r="F660" s="9" t="str">
        <f>IFERROR(__xludf.DUMMYFUNCTION("""COMPUTED_VALUE"""),"Houston")</f>
        <v>Houston</v>
      </c>
      <c r="G660" s="9" t="str">
        <f>IFERROR(__xludf.DUMMYFUNCTION("""COMPUTED_VALUE"""),"TX")</f>
        <v>TX</v>
      </c>
      <c r="H660" s="9" t="str">
        <f>IFERROR(__xludf.DUMMYFUNCTION("""COMPUTED_VALUE"""),"77090")</f>
        <v>77090</v>
      </c>
      <c r="I660" s="9" t="str">
        <f>IFERROR(__xludf.DUMMYFUNCTION("""COMPUTED_VALUE"""),"281-885-4673")</f>
        <v>281-885-4673</v>
      </c>
      <c r="J660" s="9" t="str">
        <f>IFERROR(__xludf.DUMMYFUNCTION("""COMPUTED_VALUE"""),"30.0056433635391, -95.4623423018708")</f>
        <v>30.0056433635391, -95.4623423018708</v>
      </c>
      <c r="K660" s="9"/>
      <c r="L660" s="9"/>
      <c r="M660" s="10">
        <f>IFERROR(__xludf.DUMMYFUNCTION("""COMPUTED_VALUE"""),42.0)</f>
        <v>42</v>
      </c>
      <c r="N660" s="10" t="str">
        <f>IFERROR(__xludf.DUMMYFUNCTION("""COMPUTED_VALUE"""),"Domestic Abuse - Other")</f>
        <v>Domestic Abuse - Other</v>
      </c>
      <c r="O660" s="10">
        <f>IFERROR(__xludf.DUMMYFUNCTION("""COMPUTED_VALUE"""),1.0)</f>
        <v>1</v>
      </c>
      <c r="P660" s="10" t="str">
        <f>IFERROR(__xludf.DUMMYFUNCTION("""COMPUTED_VALUE"""),"ACTIVE")</f>
        <v>ACTIVE</v>
      </c>
      <c r="Q660" s="11"/>
      <c r="R660" s="9"/>
      <c r="S660" s="9" t="str">
        <f>IFERROR(__xludf.DUMMYFUNCTION("""COMPUTED_VALUE"""),"Crisis hotline
Peer advocates
Case management
One on one therapy")</f>
        <v>Crisis hotline
Peer advocates
Case management
One on one therapy</v>
      </c>
      <c r="T660" s="12" t="b">
        <f>IFERROR(__xludf.DUMMYFUNCTION("""COMPUTED_VALUE"""),FALSE)</f>
        <v>0</v>
      </c>
      <c r="U660" s="12" t="b">
        <f>IFERROR(__xludf.DUMMYFUNCTION("""COMPUTED_VALUE"""),FALSE)</f>
        <v>0</v>
      </c>
      <c r="V660" s="13" t="str">
        <f>IFERROR(__xludf.DUMMYFUNCTION("""COMPUTED_VALUE"""),"https://www.namonline.org/fvc")</f>
        <v>https://www.namonline.org/fvc</v>
      </c>
      <c r="W660" s="14" t="str">
        <f>IFERROR(__xludf.DUMMYFUNCTION("""COMPUTED_VALUE"""),"https://maps.google.com/?q=Northwest%20Area%20Ministries%2015555%20Kuykendahl%20Rd%20Houston%20TX%2077080")</f>
        <v>https://maps.google.com/?q=Northwest%20Area%20Ministries%2015555%20Kuykendahl%20Rd%20Houston%20TX%2077080</v>
      </c>
      <c r="X660" s="10"/>
      <c r="Y660" s="9" t="str">
        <f>IFERROR(__xludf.DUMMYFUNCTION("""COMPUTED_VALUE"""),"Houston")</f>
        <v>Houston</v>
      </c>
      <c r="Z660" s="9" t="str">
        <f>IFERROR(__xludf.DUMMYFUNCTION("""COMPUTED_VALUE"""),"Cypress Station, Ella Crossing, Westador")</f>
        <v>Cypress Station, Ella Crossing, Westador</v>
      </c>
      <c r="AA660" s="9" t="str">
        <f>IFERROR(__xludf.DUMMYFUNCTION("""COMPUTED_VALUE"""),"Northwest Area Ministries")</f>
        <v>Northwest Area Ministries</v>
      </c>
      <c r="AB660" s="9" t="str">
        <f>IFERROR(__xludf.DUMMYFUNCTION("""COMPUTED_VALUE"""),"Westador")</f>
        <v>Westador</v>
      </c>
    </row>
    <row r="661" ht="30.0" customHeight="1">
      <c r="A661" s="17">
        <v>660.0</v>
      </c>
      <c r="B661" s="8" t="str">
        <f>IFERROR(__xludf.DUMMYFUNCTION("""COMPUTED_VALUE"""),"[""77014"", ""77032"", ""77038"", ""77050"", ""77060"", ""77064"", ""77066"", ""77067"", ""77068"", ""77069"", ""77070"", ""77073"", ""77086"", ""77090"", ""77373"", ""77379"", ""77388"", ""77389""]")</f>
        <v>["77014", "77032", "77038", "77050", "77060", "77064", "77066", "77067", "77068", "77069", "77070", "77073", "77086", "77090", "77373", "77379", "77388", "77389"]</v>
      </c>
      <c r="C661" s="9" t="str">
        <f>IFERROR(__xludf.DUMMYFUNCTION("""COMPUTED_VALUE"""),"Northwest Area Ministries")</f>
        <v>Northwest Area Ministries</v>
      </c>
      <c r="D661" s="9" t="str">
        <f>IFERROR(__xludf.DUMMYFUNCTION("""COMPUTED_VALUE"""),"15555 Kuykendahl Road")</f>
        <v>15555 Kuykendahl Road</v>
      </c>
      <c r="E661" s="9"/>
      <c r="F661" s="9" t="str">
        <f>IFERROR(__xludf.DUMMYFUNCTION("""COMPUTED_VALUE"""),"Houston")</f>
        <v>Houston</v>
      </c>
      <c r="G661" s="9" t="str">
        <f>IFERROR(__xludf.DUMMYFUNCTION("""COMPUTED_VALUE"""),"TX")</f>
        <v>TX</v>
      </c>
      <c r="H661" s="9" t="str">
        <f>IFERROR(__xludf.DUMMYFUNCTION("""COMPUTED_VALUE"""),"77090")</f>
        <v>77090</v>
      </c>
      <c r="I661" s="9" t="str">
        <f>IFERROR(__xludf.DUMMYFUNCTION("""COMPUTED_VALUE"""),"281-885-4523")</f>
        <v>281-885-4523</v>
      </c>
      <c r="J661" s="9" t="str">
        <f>IFERROR(__xludf.DUMMYFUNCTION("""COMPUTED_VALUE"""),"30.0056433635391, -95.4623423018708")</f>
        <v>30.0056433635391, -95.4623423018708</v>
      </c>
      <c r="K661" s="9"/>
      <c r="L661" s="9"/>
      <c r="M661" s="10">
        <f>IFERROR(__xludf.DUMMYFUNCTION("""COMPUTED_VALUE"""),51.0)</f>
        <v>51</v>
      </c>
      <c r="N661" s="10" t="str">
        <f>IFERROR(__xludf.DUMMYFUNCTION("""COMPUTED_VALUE"""),"Education - Adults")</f>
        <v>Education - Adults</v>
      </c>
      <c r="O661" s="10">
        <f>IFERROR(__xludf.DUMMYFUNCTION("""COMPUTED_VALUE"""),1.0)</f>
        <v>1</v>
      </c>
      <c r="P661" s="10" t="str">
        <f>IFERROR(__xludf.DUMMYFUNCTION("""COMPUTED_VALUE"""),"ACTIVE")</f>
        <v>ACTIVE</v>
      </c>
      <c r="Q661" s="11"/>
      <c r="R661" s="9"/>
      <c r="S661" s="9" t="str">
        <f>IFERROR(__xludf.DUMMYFUNCTION("""COMPUTED_VALUE"""),"Vocational Training
Complete online pre-screening form or call.")</f>
        <v>Vocational Training
Complete online pre-screening form or call.</v>
      </c>
      <c r="T661" s="12" t="b">
        <f>IFERROR(__xludf.DUMMYFUNCTION("""COMPUTED_VALUE"""),FALSE)</f>
        <v>0</v>
      </c>
      <c r="U661" s="12" t="b">
        <f>IFERROR(__xludf.DUMMYFUNCTION("""COMPUTED_VALUE"""),FALSE)</f>
        <v>0</v>
      </c>
      <c r="V661" s="13" t="str">
        <f>IFERROR(__xludf.DUMMYFUNCTION("""COMPUTED_VALUE"""),"https://www.namonline.org/")</f>
        <v>https://www.namonline.org/</v>
      </c>
      <c r="W661" s="14" t="str">
        <f>IFERROR(__xludf.DUMMYFUNCTION("""COMPUTED_VALUE"""),"https://maps.google.com/?q=Northwest%20Area%20Ministries%2015555%20Kuykendahl%20Rd%20Houston%20TX%2077080")</f>
        <v>https://maps.google.com/?q=Northwest%20Area%20Ministries%2015555%20Kuykendahl%20Rd%20Houston%20TX%2077080</v>
      </c>
      <c r="X661" s="10"/>
      <c r="Y661" s="9" t="str">
        <f>IFERROR(__xludf.DUMMYFUNCTION("""COMPUTED_VALUE"""),"Houston")</f>
        <v>Houston</v>
      </c>
      <c r="Z661" s="9" t="str">
        <f>IFERROR(__xludf.DUMMYFUNCTION("""COMPUTED_VALUE"""),"Cypress Station, Ella Crossing, Westador")</f>
        <v>Cypress Station, Ella Crossing, Westador</v>
      </c>
      <c r="AA661" s="9" t="str">
        <f>IFERROR(__xludf.DUMMYFUNCTION("""COMPUTED_VALUE"""),"Northwest Area Ministries")</f>
        <v>Northwest Area Ministries</v>
      </c>
      <c r="AB661" s="9" t="str">
        <f>IFERROR(__xludf.DUMMYFUNCTION("""COMPUTED_VALUE"""),"Westador")</f>
        <v>Westador</v>
      </c>
    </row>
    <row r="662" ht="30.0" customHeight="1">
      <c r="A662" s="17">
        <v>661.0</v>
      </c>
      <c r="B662" s="8" t="str">
        <f>IFERROR(__xludf.DUMMYFUNCTION("""COMPUTED_VALUE"""),"[""77014"", ""77032"", ""77038"", ""77050"", ""77060"", ""77064"", ""77066"", ""77067"", ""77068"", ""77069"", ""77070"", ""77073"", ""77086"", ""77090"", ""77373"", ""77379"", ""77388"", ""77389""]")</f>
        <v>["77014", "77032", "77038", "77050", "77060", "77064", "77066", "77067", "77068", "77069", "77070", "77073", "77086", "77090", "77373", "77379", "77388", "77389"]</v>
      </c>
      <c r="C662" s="9" t="str">
        <f>IFERROR(__xludf.DUMMYFUNCTION("""COMPUTED_VALUE"""),"Northwest Area Ministries")</f>
        <v>Northwest Area Ministries</v>
      </c>
      <c r="D662" s="9" t="str">
        <f>IFERROR(__xludf.DUMMYFUNCTION("""COMPUTED_VALUE"""),"15555 Kuykendahl Road")</f>
        <v>15555 Kuykendahl Road</v>
      </c>
      <c r="E662" s="9"/>
      <c r="F662" s="9" t="str">
        <f>IFERROR(__xludf.DUMMYFUNCTION("""COMPUTED_VALUE"""),"Houston")</f>
        <v>Houston</v>
      </c>
      <c r="G662" s="9" t="str">
        <f>IFERROR(__xludf.DUMMYFUNCTION("""COMPUTED_VALUE"""),"TX")</f>
        <v>TX</v>
      </c>
      <c r="H662" s="9" t="str">
        <f>IFERROR(__xludf.DUMMYFUNCTION("""COMPUTED_VALUE"""),"77090")</f>
        <v>77090</v>
      </c>
      <c r="I662" s="9" t="str">
        <f>IFERROR(__xludf.DUMMYFUNCTION("""COMPUTED_VALUE"""),"281-885-4600")</f>
        <v>281-885-4600</v>
      </c>
      <c r="J662" s="9" t="str">
        <f>IFERROR(__xludf.DUMMYFUNCTION("""COMPUTED_VALUE"""),"30.0056433635391, -95.4623423018708")</f>
        <v>30.0056433635391, -95.4623423018708</v>
      </c>
      <c r="K662" s="9" t="str">
        <f>IFERROR(__xludf.DUMMYFUNCTION("""COMPUTED_VALUE"""),"{""regular"":[{""days"":[""Tu"",""We"",""Th"",""Fr""],""open"":""08:00"",""close"":""15:00""},{""days"":[""Mo""],""open"":""08:00"",""close"":""17:00""}]}")</f>
        <v>{"regular":[{"days":["Tu","We","Th","Fr"],"open":"08:00","close":"15:00"},{"days":["Mo"],"open":"08:00","close":"17:00"}]}</v>
      </c>
      <c r="L662" s="9"/>
      <c r="M662" s="10">
        <f>IFERROR(__xludf.DUMMYFUNCTION("""COMPUTED_VALUE"""),61.0)</f>
        <v>61</v>
      </c>
      <c r="N662" s="10" t="str">
        <f>IFERROR(__xludf.DUMMYFUNCTION("""COMPUTED_VALUE"""),"Seniors")</f>
        <v>Seniors</v>
      </c>
      <c r="O662" s="10">
        <f>IFERROR(__xludf.DUMMYFUNCTION("""COMPUTED_VALUE"""),1.0)</f>
        <v>1</v>
      </c>
      <c r="P662" s="10" t="str">
        <f>IFERROR(__xludf.DUMMYFUNCTION("""COMPUTED_VALUE"""),"ACTIVE")</f>
        <v>ACTIVE</v>
      </c>
      <c r="Q662" s="11"/>
      <c r="R662" s="9"/>
      <c r="S662" s="9" t="str">
        <f>IFERROR(__xludf.DUMMYFUNCTION("""COMPUTED_VALUE"""),"Meals on Wheels
Free lunches
Activities for Seniors. There is an annual and daily fee for this.")</f>
        <v>Meals on Wheels
Free lunches
Activities for Seniors. There is an annual and daily fee for this.</v>
      </c>
      <c r="T662" s="12" t="b">
        <f>IFERROR(__xludf.DUMMYFUNCTION("""COMPUTED_VALUE"""),FALSE)</f>
        <v>0</v>
      </c>
      <c r="U662" s="12" t="b">
        <f>IFERROR(__xludf.DUMMYFUNCTION("""COMPUTED_VALUE"""),FALSE)</f>
        <v>0</v>
      </c>
      <c r="V662" s="13" t="str">
        <f>IFERROR(__xludf.DUMMYFUNCTION("""COMPUTED_VALUE"""),"https://www.namonline.org/")</f>
        <v>https://www.namonline.org/</v>
      </c>
      <c r="W662" s="14" t="str">
        <f>IFERROR(__xludf.DUMMYFUNCTION("""COMPUTED_VALUE"""),"https://maps.google.com/?q=Northwest%20Area%20Ministries%2015555%20Kuykendahl%20Rd%20Houston%20TX%2077080")</f>
        <v>https://maps.google.com/?q=Northwest%20Area%20Ministries%2015555%20Kuykendahl%20Rd%20Houston%20TX%2077080</v>
      </c>
      <c r="X662" s="10"/>
      <c r="Y662" s="9" t="str">
        <f>IFERROR(__xludf.DUMMYFUNCTION("""COMPUTED_VALUE"""),"Houston")</f>
        <v>Houston</v>
      </c>
      <c r="Z662" s="9" t="str">
        <f>IFERROR(__xludf.DUMMYFUNCTION("""COMPUTED_VALUE"""),"Cypress Station, Ella Crossing, Westador")</f>
        <v>Cypress Station, Ella Crossing, Westador</v>
      </c>
      <c r="AA662" s="9" t="str">
        <f>IFERROR(__xludf.DUMMYFUNCTION("""COMPUTED_VALUE"""),"Northwest Area Ministries")</f>
        <v>Northwest Area Ministries</v>
      </c>
      <c r="AB662" s="9" t="str">
        <f>IFERROR(__xludf.DUMMYFUNCTION("""COMPUTED_VALUE"""),"Westador")</f>
        <v>Westador</v>
      </c>
    </row>
    <row r="663" ht="30.0" customHeight="1">
      <c r="A663" s="17">
        <v>662.0</v>
      </c>
      <c r="B663" s="8" t="str">
        <f>IFERROR(__xludf.DUMMYFUNCTION("""COMPUTED_VALUE"""),"[""77072""]")</f>
        <v>["77072"]</v>
      </c>
      <c r="C663" s="9" t="str">
        <f>IFERROR(__xludf.DUMMYFUNCTION("""COMPUTED_VALUE"""),"Notre Dame Catholic Church")</f>
        <v>Notre Dame Catholic Church</v>
      </c>
      <c r="D663" s="9" t="str">
        <f>IFERROR(__xludf.DUMMYFUNCTION("""COMPUTED_VALUE"""),"7720 Boone Road")</f>
        <v>7720 Boone Road</v>
      </c>
      <c r="E663" s="9"/>
      <c r="F663" s="9" t="str">
        <f>IFERROR(__xludf.DUMMYFUNCTION("""COMPUTED_VALUE"""),"Houston")</f>
        <v>Houston</v>
      </c>
      <c r="G663" s="9" t="str">
        <f>IFERROR(__xludf.DUMMYFUNCTION("""COMPUTED_VALUE"""),"TX")</f>
        <v>TX</v>
      </c>
      <c r="H663" s="9" t="str">
        <f>IFERROR(__xludf.DUMMYFUNCTION("""COMPUTED_VALUE"""),"77072")</f>
        <v>77072</v>
      </c>
      <c r="I663" s="9" t="str">
        <f>IFERROR(__xludf.DUMMYFUNCTION("""COMPUTED_VALUE"""),"281-498-4653")</f>
        <v>281-498-4653</v>
      </c>
      <c r="J663" s="9" t="str">
        <f>IFERROR(__xludf.DUMMYFUNCTION("""COMPUTED_VALUE"""),"29.69477, -95.575167")</f>
        <v>29.69477, -95.575167</v>
      </c>
      <c r="K663" s="9"/>
      <c r="L663" s="9"/>
      <c r="M663" s="10">
        <f>IFERROR(__xludf.DUMMYFUNCTION("""COMPUTED_VALUE"""),13.0)</f>
        <v>13</v>
      </c>
      <c r="N663" s="10" t="str">
        <f>IFERROR(__xludf.DUMMYFUNCTION("""COMPUTED_VALUE"""),"Food")</f>
        <v>Food</v>
      </c>
      <c r="O663" s="10">
        <f>IFERROR(__xludf.DUMMYFUNCTION("""COMPUTED_VALUE"""),1.0)</f>
        <v>1</v>
      </c>
      <c r="P663" s="10" t="str">
        <f>IFERROR(__xludf.DUMMYFUNCTION("""COMPUTED_VALUE"""),"ACTIVE")</f>
        <v>ACTIVE</v>
      </c>
      <c r="Q663" s="11"/>
      <c r="R663" s="9"/>
      <c r="S663" s="9"/>
      <c r="T663" s="12" t="b">
        <f>IFERROR(__xludf.DUMMYFUNCTION("""COMPUTED_VALUE"""),FALSE)</f>
        <v>0</v>
      </c>
      <c r="U663" s="12" t="b">
        <f>IFERROR(__xludf.DUMMYFUNCTION("""COMPUTED_VALUE"""),FALSE)</f>
        <v>0</v>
      </c>
      <c r="V663" s="13" t="str">
        <f>IFERROR(__xludf.DUMMYFUNCTION("""COMPUTED_VALUE"""),"https://ndgh.org/")</f>
        <v>https://ndgh.org/</v>
      </c>
      <c r="W663" s="14" t="str">
        <f>IFERROR(__xludf.DUMMYFUNCTION("""COMPUTED_VALUE"""),"https://maps.google.com/?q=Notre%20Dame%20Catholic%20Church%207720%20Boone%20Rd%20Houston%20TX%2077072")</f>
        <v>https://maps.google.com/?q=Notre%20Dame%20Catholic%20Church%207720%20Boone%20Rd%20Houston%20TX%2077072</v>
      </c>
      <c r="X663" s="10"/>
      <c r="Y663" s="9" t="str">
        <f>IFERROR(__xludf.DUMMYFUNCTION("""COMPUTED_VALUE"""),"Houston")</f>
        <v>Houston</v>
      </c>
      <c r="Z663" s="9" t="str">
        <f>IFERROR(__xludf.DUMMYFUNCTION("""COMPUTED_VALUE"""),"Alief")</f>
        <v>Alief</v>
      </c>
      <c r="AA663" s="9" t="str">
        <f>IFERROR(__xludf.DUMMYFUNCTION("""COMPUTED_VALUE"""),"Notre Dame Catholic Church")</f>
        <v>Notre Dame Catholic Church</v>
      </c>
      <c r="AB663" s="9" t="str">
        <f>IFERROR(__xludf.DUMMYFUNCTION("""COMPUTED_VALUE"""),"Alief")</f>
        <v>Alief</v>
      </c>
    </row>
    <row r="664" ht="30.0" customHeight="1">
      <c r="A664" s="17">
        <v>663.0</v>
      </c>
      <c r="B664" s="8" t="str">
        <f>IFERROR(__xludf.DUMMYFUNCTION("""COMPUTED_VALUE"""),"[""99999""]")</f>
        <v>["99999"]</v>
      </c>
      <c r="C664" s="9" t="str">
        <f>IFERROR(__xludf.DUMMYFUNCTION("""COMPUTED_VALUE"""),"Office of Veterans &amp; Military Affairs")</f>
        <v>Office of Veterans &amp; Military Affairs</v>
      </c>
      <c r="D664" s="9" t="str">
        <f>IFERROR(__xludf.DUMMYFUNCTION("""COMPUTED_VALUE"""),"170 Heights Blvd")</f>
        <v>170 Heights Blvd</v>
      </c>
      <c r="E664" s="9"/>
      <c r="F664" s="9" t="str">
        <f>IFERROR(__xludf.DUMMYFUNCTION("""COMPUTED_VALUE"""),"Houston")</f>
        <v>Houston</v>
      </c>
      <c r="G664" s="9" t="str">
        <f>IFERROR(__xludf.DUMMYFUNCTION("""COMPUTED_VALUE"""),"TX")</f>
        <v>TX</v>
      </c>
      <c r="H664" s="9" t="str">
        <f>IFERROR(__xludf.DUMMYFUNCTION("""COMPUTED_VALUE"""),"77007")</f>
        <v>77007</v>
      </c>
      <c r="I664" s="9" t="str">
        <f>IFERROR(__xludf.DUMMYFUNCTION("""COMPUTED_VALUE"""),"832-393-0992")</f>
        <v>832-393-0992</v>
      </c>
      <c r="J664" s="9" t="str">
        <f>IFERROR(__xludf.DUMMYFUNCTION("""COMPUTED_VALUE"""),"29.772754839670746, -95.3968144763415")</f>
        <v>29.772754839670746, -95.3968144763415</v>
      </c>
      <c r="K664" s="9" t="str">
        <f>IFERROR(__xludf.DUMMYFUNCTION("""COMPUTED_VALUE"""),"{""regular"":[{""days"":[""Mo"",""Tu"",""We"",""Th"",""Fr""],""open"":""08:00"",""close"":""17:00""}]}")</f>
        <v>{"regular":[{"days":["Mo","Tu","We","Th","Fr"],"open":"08:00","close":"17:00"}]}</v>
      </c>
      <c r="L664" s="9"/>
      <c r="M664" s="10">
        <f>IFERROR(__xludf.DUMMYFUNCTION("""COMPUTED_VALUE"""),56.0)</f>
        <v>56</v>
      </c>
      <c r="N664" s="10" t="str">
        <f>IFERROR(__xludf.DUMMYFUNCTION("""COMPUTED_VALUE"""),"Veterans")</f>
        <v>Veterans</v>
      </c>
      <c r="O664" s="10">
        <f>IFERROR(__xludf.DUMMYFUNCTION("""COMPUTED_VALUE"""),1.0)</f>
        <v>1</v>
      </c>
      <c r="P664" s="10" t="str">
        <f>IFERROR(__xludf.DUMMYFUNCTION("""COMPUTED_VALUE"""),"ACTIVE")</f>
        <v>ACTIVE</v>
      </c>
      <c r="Q664" s="11">
        <f>IFERROR(__xludf.DUMMYFUNCTION("""COMPUTED_VALUE"""),46066.0)</f>
        <v>46066</v>
      </c>
      <c r="R664" s="9" t="str">
        <f>IFERROR(__xludf.DUMMYFUNCTION("""COMPUTED_VALUE"""),"Verified online")</f>
        <v>Verified online</v>
      </c>
      <c r="S664" s="9" t="str">
        <f>IFERROR(__xludf.DUMMYFUNCTION("""COMPUTED_VALUE"""),"Veterans
Advocate and coordinates and facilitates access to resources in Federal, State and local programs for veterans and their families and survivors.")</f>
        <v>Veterans
Advocate and coordinates and facilitates access to resources in Federal, State and local programs for veterans and their families and survivors.</v>
      </c>
      <c r="T664" s="12" t="b">
        <f>IFERROR(__xludf.DUMMYFUNCTION("""COMPUTED_VALUE"""),FALSE)</f>
        <v>0</v>
      </c>
      <c r="U664" s="12" t="b">
        <f>IFERROR(__xludf.DUMMYFUNCTION("""COMPUTED_VALUE"""),FALSE)</f>
        <v>0</v>
      </c>
      <c r="V664" s="13" t="str">
        <f>IFERROR(__xludf.DUMMYFUNCTION("""COMPUTED_VALUE"""),"https://houstontx.gov/vetaffairs/")</f>
        <v>https://houstontx.gov/vetaffairs/</v>
      </c>
      <c r="W664" s="14" t="str">
        <f>IFERROR(__xludf.DUMMYFUNCTION("""COMPUTED_VALUE"""),"https://www.google.com/maps/place/170+Heights+Blvd,+Houston,+TX+77007/@29.7725268,-95.4016586,17z/data=!3m1!4b1!4m6!3m5!1s0x8640c754d83428b3:0xaa4f65a9c8d458e9!8m2!3d29.7725222!4d-95.3967823!16s%2Fg%2F11bw4bzbp9?entry=ttu&amp;g_ep=EgoyMDI2MDIxMS4wIKXMDSoASAFQ"&amp;"Aw%3D%3D")</f>
        <v>https://www.google.com/maps/place/170+Heights+Blvd,+Houston,+TX+77007/@29.7725268,-95.4016586,17z/data=!3m1!4b1!4m6!3m5!1s0x8640c754d83428b3:0xaa4f65a9c8d458e9!8m2!3d29.7725222!4d-95.3967823!16s%2Fg%2F11bw4bzbp9?entry=ttu&amp;g_ep=EgoyMDI2MDIxMS4wIKXMDSoASAFQAw%3D%3D</v>
      </c>
      <c r="X664" s="10"/>
      <c r="Y664" s="9" t="str">
        <f>IFERROR(__xludf.DUMMYFUNCTION("""COMPUTED_VALUE"""),"Houston")</f>
        <v>Houston</v>
      </c>
      <c r="Z664"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664" s="9" t="str">
        <f>IFERROR(__xludf.DUMMYFUNCTION("""COMPUTED_VALUE"""),"City of Houston")</f>
        <v>City of Houston</v>
      </c>
      <c r="AB664" s="9" t="str">
        <f>IFERROR(__xludf.DUMMYFUNCTION("""COMPUTED_VALUE"""),"Washington Avenue Coalition / Memorial Park")</f>
        <v>Washington Avenue Coalition / Memorial Park</v>
      </c>
    </row>
    <row r="665" ht="30.0" customHeight="1">
      <c r="A665" s="17">
        <v>664.0</v>
      </c>
      <c r="B665" s="8" t="str">
        <f>IFERROR(__xludf.DUMMYFUNCTION("""COMPUTED_VALUE"""),"[""99999""]")</f>
        <v>["99999"]</v>
      </c>
      <c r="C665" s="9" t="str">
        <f>IFERROR(__xludf.DUMMYFUNCTION("""COMPUTED_VALUE"""),"Open Door Mission")</f>
        <v>Open Door Mission</v>
      </c>
      <c r="D665" s="9" t="str">
        <f>IFERROR(__xludf.DUMMYFUNCTION("""COMPUTED_VALUE"""),"5803 Harrisburg Blvd")</f>
        <v>5803 Harrisburg Blvd</v>
      </c>
      <c r="E665" s="9"/>
      <c r="F665" s="9" t="str">
        <f>IFERROR(__xludf.DUMMYFUNCTION("""COMPUTED_VALUE"""),"Houston")</f>
        <v>Houston</v>
      </c>
      <c r="G665" s="9" t="str">
        <f>IFERROR(__xludf.DUMMYFUNCTION("""COMPUTED_VALUE"""),"TX")</f>
        <v>TX</v>
      </c>
      <c r="H665" s="9" t="str">
        <f>IFERROR(__xludf.DUMMYFUNCTION("""COMPUTED_VALUE"""),"77011")</f>
        <v>77011</v>
      </c>
      <c r="I665" s="9" t="str">
        <f>IFERROR(__xludf.DUMMYFUNCTION("""COMPUTED_VALUE"""),"713-921-7520")</f>
        <v>713-921-7520</v>
      </c>
      <c r="J665" s="9" t="str">
        <f>IFERROR(__xludf.DUMMYFUNCTION("""COMPUTED_VALUE"""),"29.740565253704528, -95.31710819718892")</f>
        <v>29.740565253704528, -95.31710819718892</v>
      </c>
      <c r="K665" s="9" t="str">
        <f>IFERROR(__xludf.DUMMYFUNCTION("""COMPUTED_VALUE"""),"{""regular"":[{""days"":[""Mo"",""Tu"",""We"",""Th"",""Fr""],""open"":""08:00"",""close"":""16:00""}]}")</f>
        <v>{"regular":[{"days":["Mo","Tu","We","Th","Fr"],"open":"08:00","close":"16:00"}]}</v>
      </c>
      <c r="L665" s="9"/>
      <c r="M665" s="10">
        <f>IFERROR(__xludf.DUMMYFUNCTION("""COMPUTED_VALUE"""),34.0)</f>
        <v>34</v>
      </c>
      <c r="N665" s="10" t="str">
        <f>IFERROR(__xludf.DUMMYFUNCTION("""COMPUTED_VALUE"""),"Medical - Addiction Recovery")</f>
        <v>Medical - Addiction Recovery</v>
      </c>
      <c r="O665" s="10">
        <f>IFERROR(__xludf.DUMMYFUNCTION("""COMPUTED_VALUE"""),1.0)</f>
        <v>1</v>
      </c>
      <c r="P665" s="10" t="str">
        <f>IFERROR(__xludf.DUMMYFUNCTION("""COMPUTED_VALUE"""),"ACTIVE")</f>
        <v>ACTIVE</v>
      </c>
      <c r="Q665" s="11"/>
      <c r="R665" s="9"/>
      <c r="S665" s="9" t="str">
        <f>IFERROR(__xludf.DUMMYFUNCTION("""COMPUTED_VALUE"""),"Coalition for the Homeless (CFTH) Partner
16 week residential program for men to address root cause of adult male trauma.")</f>
        <v>Coalition for the Homeless (CFTH) Partner
16 week residential program for men to address root cause of adult male trauma.</v>
      </c>
      <c r="T665" s="12" t="b">
        <f>IFERROR(__xludf.DUMMYFUNCTION("""COMPUTED_VALUE"""),FALSE)</f>
        <v>0</v>
      </c>
      <c r="U665" s="12" t="b">
        <f>IFERROR(__xludf.DUMMYFUNCTION("""COMPUTED_VALUE"""),FALSE)</f>
        <v>0</v>
      </c>
      <c r="V665" s="13" t="str">
        <f>IFERROR(__xludf.DUMMYFUNCTION("""COMPUTED_VALUE"""),"https://www.opendoorhouston.org/doorway")</f>
        <v>https://www.opendoorhouston.org/doorway</v>
      </c>
      <c r="W665" s="14" t="str">
        <f>IFERROR(__xludf.DUMMYFUNCTION("""COMPUTED_VALUE"""),"https://www.google.com/maps/place/Open+Door+Mission/@29.7404488,-95.3196831,17z/data=!3m1!4b1!4m6!3m5!1s0x8640be9b3696a5e7:0x550ce3e191cc1b99!8m2!3d29.7404442!4d-95.3171082!16s%2Fg%2F1tdk0zby?entry=ttu&amp;g_ep=EgoyMDI1MTAwOC4wIKXMDSoASAFQAw%3D%3D")</f>
        <v>https://www.google.com/maps/place/Open+Door+Mission/@29.7404488,-95.3196831,17z/data=!3m1!4b1!4m6!3m5!1s0x8640be9b3696a5e7:0x550ce3e191cc1b99!8m2!3d29.7404442!4d-95.3171082!16s%2Fg%2F1tdk0zby?entry=ttu&amp;g_ep=EgoyMDI1MTAwOC4wIKXMDSoASAFQAw%3D%3D</v>
      </c>
      <c r="X665" s="10"/>
      <c r="Y665" s="9" t="str">
        <f>IFERROR(__xludf.DUMMYFUNCTION("""COMPUTED_VALUE"""),"Houston")</f>
        <v>Houston</v>
      </c>
      <c r="Z665" s="9" t="str">
        <f>IFERROR(__xludf.DUMMYFUNCTION("""COMPUTED_VALUE"""),"Eastwood, Magnolia Park, Second Ward, South Central Houston")</f>
        <v>Eastwood, Magnolia Park, Second Ward, South Central Houston</v>
      </c>
      <c r="AA665" s="9" t="str">
        <f>IFERROR(__xludf.DUMMYFUNCTION("""COMPUTED_VALUE"""),"Open Door Mission")</f>
        <v>Open Door Mission</v>
      </c>
      <c r="AB665" s="9" t="str">
        <f>IFERROR(__xludf.DUMMYFUNCTION("""COMPUTED_VALUE"""),"South Central Houston")</f>
        <v>South Central Houston</v>
      </c>
    </row>
    <row r="666" ht="30.0" customHeight="1">
      <c r="A666" s="17">
        <v>665.0</v>
      </c>
      <c r="B666" s="8" t="str">
        <f>IFERROR(__xludf.DUMMYFUNCTION("""COMPUTED_VALUE"""),"[""77547""]")</f>
        <v>["77547"]</v>
      </c>
      <c r="C666" s="9" t="str">
        <f>IFERROR(__xludf.DUMMYFUNCTION("""COMPUTED_VALUE"""),"Our Lady of Fatima")</f>
        <v>Our Lady of Fatima</v>
      </c>
      <c r="D666" s="9" t="str">
        <f>IFERROR(__xludf.DUMMYFUNCTION("""COMPUTED_VALUE"""),"1705 8th Street")</f>
        <v>1705 8th Street</v>
      </c>
      <c r="E666" s="9"/>
      <c r="F666" s="9" t="str">
        <f>IFERROR(__xludf.DUMMYFUNCTION("""COMPUTED_VALUE"""),"Galena Park")</f>
        <v>Galena Park</v>
      </c>
      <c r="G666" s="9" t="str">
        <f>IFERROR(__xludf.DUMMYFUNCTION("""COMPUTED_VALUE"""),"TX")</f>
        <v>TX</v>
      </c>
      <c r="H666" s="9" t="str">
        <f>IFERROR(__xludf.DUMMYFUNCTION("""COMPUTED_VALUE"""),"77547")</f>
        <v>77547</v>
      </c>
      <c r="I666" s="9" t="str">
        <f>IFERROR(__xludf.DUMMYFUNCTION("""COMPUTED_VALUE"""),"713-675-0981")</f>
        <v>713-675-0981</v>
      </c>
      <c r="J666" s="9" t="str">
        <f>IFERROR(__xludf.DUMMYFUNCTION("""COMPUTED_VALUE"""),"29.7384172323232, -95.2381531111111")</f>
        <v>29.7384172323232, -95.2381531111111</v>
      </c>
      <c r="K666" s="9" t="str">
        <f>IFERROR(__xludf.DUMMYFUNCTION("""COMPUTED_VALUE"""),"{""regular"":[{""days"":[""Mo"",""Tu"",""We"",""Th"",""Fr""],""open"":""09:00"",""close"":""16:00""}]}")</f>
        <v>{"regular":[{"days":["Mo","Tu","We","Th","Fr"],"open":"09:00","close":"16:00"}]}</v>
      </c>
      <c r="L666" s="9"/>
      <c r="M666" s="10">
        <f>IFERROR(__xludf.DUMMYFUNCTION("""COMPUTED_VALUE"""),13.0)</f>
        <v>13</v>
      </c>
      <c r="N666" s="10" t="str">
        <f>IFERROR(__xludf.DUMMYFUNCTION("""COMPUTED_VALUE"""),"Food")</f>
        <v>Food</v>
      </c>
      <c r="O666" s="10">
        <f>IFERROR(__xludf.DUMMYFUNCTION("""COMPUTED_VALUE"""),1.0)</f>
        <v>1</v>
      </c>
      <c r="P666" s="10" t="str">
        <f>IFERROR(__xludf.DUMMYFUNCTION("""COMPUTED_VALUE"""),"ACTIVE")</f>
        <v>ACTIVE</v>
      </c>
      <c r="Q666" s="11"/>
      <c r="R666" s="9"/>
      <c r="S666" s="9"/>
      <c r="T666" s="12" t="b">
        <f>IFERROR(__xludf.DUMMYFUNCTION("""COMPUTED_VALUE"""),FALSE)</f>
        <v>0</v>
      </c>
      <c r="U666" s="12" t="b">
        <f>IFERROR(__xludf.DUMMYFUNCTION("""COMPUTED_VALUE"""),FALSE)</f>
        <v>0</v>
      </c>
      <c r="V666" s="13" t="str">
        <f>IFERROR(__xludf.DUMMYFUNCTION("""COMPUTED_VALUE"""),"https://www.olfparishgp.org/")</f>
        <v>https://www.olfparishgp.org/</v>
      </c>
      <c r="W666" s="14" t="str">
        <f>IFERROR(__xludf.DUMMYFUNCTION("""COMPUTED_VALUE"""),"https://maps.google.com/?q=Our%20Lady%20of%20Fatima%201705%208th%20St%20Galena%20Park%20TX%2077547")</f>
        <v>https://maps.google.com/?q=Our%20Lady%20of%20Fatima%201705%208th%20St%20Galena%20Park%20TX%2077547</v>
      </c>
      <c r="X666" s="10"/>
      <c r="Y666" s="9" t="str">
        <f>IFERROR(__xludf.DUMMYFUNCTION("""COMPUTED_VALUE"""),"Galena Park")</f>
        <v>Galena Park</v>
      </c>
      <c r="Z666" s="9" t="str">
        <f>IFERROR(__xludf.DUMMYFUNCTION("""COMPUTED_VALUE"""),"Galena Park, Northeast Houston")</f>
        <v>Galena Park, Northeast Houston</v>
      </c>
      <c r="AA666" s="9" t="str">
        <f>IFERROR(__xludf.DUMMYFUNCTION("""COMPUTED_VALUE"""),"Our Lady of Fatima")</f>
        <v>Our Lady of Fatima</v>
      </c>
      <c r="AB666" s="9" t="str">
        <f>IFERROR(__xludf.DUMMYFUNCTION("""COMPUTED_VALUE"""),"Northeast Houston")</f>
        <v>Northeast Houston</v>
      </c>
    </row>
    <row r="667" ht="30.0" customHeight="1">
      <c r="A667" s="17">
        <v>666.0</v>
      </c>
      <c r="B667" s="8" t="str">
        <f>IFERROR(__xludf.DUMMYFUNCTION("""COMPUTED_VALUE"""),"[""77520""]")</f>
        <v>["77520"]</v>
      </c>
      <c r="C667" s="9" t="str">
        <f>IFERROR(__xludf.DUMMYFUNCTION("""COMPUTED_VALUE"""),"Our Lady of Guadalupe Baytown")</f>
        <v>Our Lady of Guadalupe Baytown</v>
      </c>
      <c r="D667" s="9" t="str">
        <f>IFERROR(__xludf.DUMMYFUNCTION("""COMPUTED_VALUE"""),"1124 Beech Street")</f>
        <v>1124 Beech Street</v>
      </c>
      <c r="E667" s="9"/>
      <c r="F667" s="9" t="str">
        <f>IFERROR(__xludf.DUMMYFUNCTION("""COMPUTED_VALUE"""),"Baytown")</f>
        <v>Baytown</v>
      </c>
      <c r="G667" s="9" t="str">
        <f>IFERROR(__xludf.DUMMYFUNCTION("""COMPUTED_VALUE"""),"TX")</f>
        <v>TX</v>
      </c>
      <c r="H667" s="9" t="str">
        <f>IFERROR(__xludf.DUMMYFUNCTION("""COMPUTED_VALUE"""),"77520")</f>
        <v>77520</v>
      </c>
      <c r="I667" s="9" t="str">
        <f>IFERROR(__xludf.DUMMYFUNCTION("""COMPUTED_VALUE"""),"281-428-1506")</f>
        <v>281-428-1506</v>
      </c>
      <c r="J667" s="9" t="str">
        <f>IFERROR(__xludf.DUMMYFUNCTION("""COMPUTED_VALUE"""),"29.731861877551, -94.998852122449")</f>
        <v>29.731861877551, -94.998852122449</v>
      </c>
      <c r="K667" s="9" t="str">
        <f>IFERROR(__xludf.DUMMYFUNCTION("""COMPUTED_VALUE"""),"{""regular"":[{""days"":[""Th""],""open"":""09:00"",""close"":""12:00""}]}")</f>
        <v>{"regular":[{"days":["Th"],"open":"09:00","close":"12:00"}]}</v>
      </c>
      <c r="L667" s="9"/>
      <c r="M667" s="10">
        <f>IFERROR(__xludf.DUMMYFUNCTION("""COMPUTED_VALUE"""),13.0)</f>
        <v>13</v>
      </c>
      <c r="N667" s="10" t="str">
        <f>IFERROR(__xludf.DUMMYFUNCTION("""COMPUTED_VALUE"""),"Food")</f>
        <v>Food</v>
      </c>
      <c r="O667" s="10">
        <f>IFERROR(__xludf.DUMMYFUNCTION("""COMPUTED_VALUE"""),1.0)</f>
        <v>1</v>
      </c>
      <c r="P667" s="10" t="str">
        <f>IFERROR(__xludf.DUMMYFUNCTION("""COMPUTED_VALUE"""),"ACTIVE")</f>
        <v>ACTIVE</v>
      </c>
      <c r="Q667" s="11"/>
      <c r="R667" s="9"/>
      <c r="S667" s="9"/>
      <c r="T667" s="12" t="b">
        <f>IFERROR(__xludf.DUMMYFUNCTION("""COMPUTED_VALUE"""),FALSE)</f>
        <v>0</v>
      </c>
      <c r="U667" s="12" t="b">
        <f>IFERROR(__xludf.DUMMYFUNCTION("""COMPUTED_VALUE"""),FALSE)</f>
        <v>0</v>
      </c>
      <c r="V667" s="13" t="str">
        <f>IFERROR(__xludf.DUMMYFUNCTION("""COMPUTED_VALUE"""),"https://olgbaytown.org/en/homepage/")</f>
        <v>https://olgbaytown.org/en/homepage/</v>
      </c>
      <c r="W667" s="14" t="str">
        <f>IFERROR(__xludf.DUMMYFUNCTION("""COMPUTED_VALUE"""),"https://maps.google.com/?q=Our%20Lady%20of%20Guadalupe%20Baytown%201124%20Beech%20St%20Baytown%20TX%2077520")</f>
        <v>https://maps.google.com/?q=Our%20Lady%20of%20Guadalupe%20Baytown%201124%20Beech%20St%20Baytown%20TX%2077520</v>
      </c>
      <c r="X667" s="10"/>
      <c r="Y667" s="9" t="str">
        <f>IFERROR(__xludf.DUMMYFUNCTION("""COMPUTED_VALUE"""),"Baytown")</f>
        <v>Baytown</v>
      </c>
      <c r="Z667" s="9" t="str">
        <f>IFERROR(__xludf.DUMMYFUNCTION("""COMPUTED_VALUE"""),"Amelia Airhart, Baytown, East Baytown")</f>
        <v>Amelia Airhart, Baytown, East Baytown</v>
      </c>
      <c r="AA667" s="9" t="str">
        <f>IFERROR(__xludf.DUMMYFUNCTION("""COMPUTED_VALUE"""),"Our Lady of Guadalupe Baytown")</f>
        <v>Our Lady of Guadalupe Baytown</v>
      </c>
      <c r="AB667" s="9" t="str">
        <f>IFERROR(__xludf.DUMMYFUNCTION("""COMPUTED_VALUE"""),"Amelia Airhart")</f>
        <v>Amelia Airhart</v>
      </c>
    </row>
    <row r="668" ht="30.0" customHeight="1">
      <c r="A668" s="17">
        <v>667.0</v>
      </c>
      <c r="B668" s="8" t="str">
        <f>IFERROR(__xludf.DUMMYFUNCTION("""COMPUTED_VALUE"""),"[""77480"", ""77486""]")</f>
        <v>["77480", "77486"]</v>
      </c>
      <c r="C668" s="9" t="str">
        <f>IFERROR(__xludf.DUMMYFUNCTION("""COMPUTED_VALUE"""),"Our Lady of Perpetual Help (SVdP)")</f>
        <v>Our Lady of Perpetual Help (SVdP)</v>
      </c>
      <c r="D668" s="9" t="str">
        <f>IFERROR(__xludf.DUMMYFUNCTION("""COMPUTED_VALUE"""),"310 N McKinney Street")</f>
        <v>310 N McKinney Street</v>
      </c>
      <c r="E668" s="9"/>
      <c r="F668" s="9" t="str">
        <f>IFERROR(__xludf.DUMMYFUNCTION("""COMPUTED_VALUE"""),"Sweeny")</f>
        <v>Sweeny</v>
      </c>
      <c r="G668" s="9" t="str">
        <f>IFERROR(__xludf.DUMMYFUNCTION("""COMPUTED_VALUE"""),"TX")</f>
        <v>TX</v>
      </c>
      <c r="H668" s="9" t="str">
        <f>IFERROR(__xludf.DUMMYFUNCTION("""COMPUTED_VALUE"""),"77480")</f>
        <v>77480</v>
      </c>
      <c r="I668" s="9" t="str">
        <f>IFERROR(__xludf.DUMMYFUNCTION("""COMPUTED_VALUE"""),"979-345-4999")</f>
        <v>979-345-4999</v>
      </c>
      <c r="J668" s="9" t="str">
        <f>IFERROR(__xludf.DUMMYFUNCTION("""COMPUTED_VALUE"""),"29.0483087609633, -95.6910325315355")</f>
        <v>29.0483087609633, -95.6910325315355</v>
      </c>
      <c r="K668" s="9" t="str">
        <f>IFERROR(__xludf.DUMMYFUNCTION("""COMPUTED_VALUE"""),"{""regular"":[{""days"":[""Mo"",""Tu"",""We"",""Th""],""open"":null,""close"":null}]}")</f>
        <v>{"regular":[{"days":["Mo","Tu","We","Th"],"open":null,"close":null}]}</v>
      </c>
      <c r="L668" s="9"/>
      <c r="M668" s="10">
        <f>IFERROR(__xludf.DUMMYFUNCTION("""COMPUTED_VALUE"""),11.0)</f>
        <v>11</v>
      </c>
      <c r="N668" s="10" t="str">
        <f>IFERROR(__xludf.DUMMYFUNCTION("""COMPUTED_VALUE"""),"Rent")</f>
        <v>Rent</v>
      </c>
      <c r="O668" s="10">
        <f>IFERROR(__xludf.DUMMYFUNCTION("""COMPUTED_VALUE"""),1.0)</f>
        <v>1</v>
      </c>
      <c r="P668" s="10" t="str">
        <f>IFERROR(__xludf.DUMMYFUNCTION("""COMPUTED_VALUE"""),"ACTIVE")</f>
        <v>ACTIVE</v>
      </c>
      <c r="Q668" s="11"/>
      <c r="R668" s="9"/>
      <c r="S668" s="9"/>
      <c r="T668" s="12" t="b">
        <f>IFERROR(__xludf.DUMMYFUNCTION("""COMPUTED_VALUE"""),FALSE)</f>
        <v>0</v>
      </c>
      <c r="U668" s="12" t="b">
        <f>IFERROR(__xludf.DUMMYFUNCTION("""COMPUTED_VALUE"""),FALSE)</f>
        <v>0</v>
      </c>
      <c r="V668" s="13" t="str">
        <f>IFERROR(__xludf.DUMMYFUNCTION("""COMPUTED_VALUE"""),"https://olphsja.org/ministries")</f>
        <v>https://olphsja.org/ministries</v>
      </c>
      <c r="W668" s="14" t="str">
        <f>IFERROR(__xludf.DUMMYFUNCTION("""COMPUTED_VALUE"""),"https://maps.google.com/?q=Our%20Lady%20of%20Perpetual%20Help%20(SVdP)%20310%20N%20McKinney%20St%20Sweeny%20TX%2077480")</f>
        <v>https://maps.google.com/?q=Our%20Lady%20of%20Perpetual%20Help%20(SVdP)%20310%20N%20McKinney%20St%20Sweeny%20TX%2077480</v>
      </c>
      <c r="X668" s="10"/>
      <c r="Y668" s="9" t="str">
        <f>IFERROR(__xludf.DUMMYFUNCTION("""COMPUTED_VALUE"""),"Sweeny")</f>
        <v>Sweeny</v>
      </c>
      <c r="Z668" s="9" t="str">
        <f>IFERROR(__xludf.DUMMYFUNCTION("""COMPUTED_VALUE"""),"Sweeny")</f>
        <v>Sweeny</v>
      </c>
      <c r="AA668" s="9" t="str">
        <f>IFERROR(__xludf.DUMMYFUNCTION("""COMPUTED_VALUE"""),"Society of St Vincent de Paul")</f>
        <v>Society of St Vincent de Paul</v>
      </c>
      <c r="AB668" s="9" t="str">
        <f>IFERROR(__xludf.DUMMYFUNCTION("""COMPUTED_VALUE"""),"Sweeny")</f>
        <v>Sweeny</v>
      </c>
    </row>
    <row r="669" ht="30.0" customHeight="1">
      <c r="A669" s="17">
        <v>668.0</v>
      </c>
      <c r="B669" s="8" t="str">
        <f>IFERROR(__xludf.DUMMYFUNCTION("""COMPUTED_VALUE"""),"[""77480"", ""77486""]")</f>
        <v>["77480", "77486"]</v>
      </c>
      <c r="C669" s="9" t="str">
        <f>IFERROR(__xludf.DUMMYFUNCTION("""COMPUTED_VALUE"""),"Our Lady of Perpetual Help (SVdP)")</f>
        <v>Our Lady of Perpetual Help (SVdP)</v>
      </c>
      <c r="D669" s="9" t="str">
        <f>IFERROR(__xludf.DUMMYFUNCTION("""COMPUTED_VALUE"""),"310 N McKinney Street")</f>
        <v>310 N McKinney Street</v>
      </c>
      <c r="E669" s="9"/>
      <c r="F669" s="9" t="str">
        <f>IFERROR(__xludf.DUMMYFUNCTION("""COMPUTED_VALUE"""),"Sweeny")</f>
        <v>Sweeny</v>
      </c>
      <c r="G669" s="9" t="str">
        <f>IFERROR(__xludf.DUMMYFUNCTION("""COMPUTED_VALUE"""),"TX")</f>
        <v>TX</v>
      </c>
      <c r="H669" s="9" t="str">
        <f>IFERROR(__xludf.DUMMYFUNCTION("""COMPUTED_VALUE"""),"77480")</f>
        <v>77480</v>
      </c>
      <c r="I669" s="9" t="str">
        <f>IFERROR(__xludf.DUMMYFUNCTION("""COMPUTED_VALUE"""),"979-345-4999")</f>
        <v>979-345-4999</v>
      </c>
      <c r="J669" s="9" t="str">
        <f>IFERROR(__xludf.DUMMYFUNCTION("""COMPUTED_VALUE"""),"29.0483087609633, -95.6910325315355")</f>
        <v>29.0483087609633, -95.6910325315355</v>
      </c>
      <c r="K669" s="9" t="str">
        <f>IFERROR(__xludf.DUMMYFUNCTION("""COMPUTED_VALUE"""),"{""regular"":[{""days"":[""Mo"",""Tu"",""We"",""Th""],""open"":null,""close"":null}]}")</f>
        <v>{"regular":[{"days":["Mo","Tu","We","Th"],"open":null,"close":null}]}</v>
      </c>
      <c r="L669" s="9"/>
      <c r="M669" s="10">
        <f>IFERROR(__xludf.DUMMYFUNCTION("""COMPUTED_VALUE"""),12.0)</f>
        <v>12</v>
      </c>
      <c r="N669" s="10" t="str">
        <f>IFERROR(__xludf.DUMMYFUNCTION("""COMPUTED_VALUE"""),"Utilities")</f>
        <v>Utilities</v>
      </c>
      <c r="O669" s="10">
        <f>IFERROR(__xludf.DUMMYFUNCTION("""COMPUTED_VALUE"""),1.0)</f>
        <v>1</v>
      </c>
      <c r="P669" s="10" t="str">
        <f>IFERROR(__xludf.DUMMYFUNCTION("""COMPUTED_VALUE"""),"ACTIVE")</f>
        <v>ACTIVE</v>
      </c>
      <c r="Q669" s="11"/>
      <c r="R669" s="9"/>
      <c r="S669" s="9"/>
      <c r="T669" s="12" t="b">
        <f>IFERROR(__xludf.DUMMYFUNCTION("""COMPUTED_VALUE"""),FALSE)</f>
        <v>0</v>
      </c>
      <c r="U669" s="12" t="b">
        <f>IFERROR(__xludf.DUMMYFUNCTION("""COMPUTED_VALUE"""),FALSE)</f>
        <v>0</v>
      </c>
      <c r="V669" s="13" t="str">
        <f>IFERROR(__xludf.DUMMYFUNCTION("""COMPUTED_VALUE"""),"https://olphsja.org/ministries")</f>
        <v>https://olphsja.org/ministries</v>
      </c>
      <c r="W669" s="14" t="str">
        <f>IFERROR(__xludf.DUMMYFUNCTION("""COMPUTED_VALUE"""),"https://maps.google.com/?q=Our%20Lady%20of%20Perpetual%20Help%20(SVdP)%20310%20N%20McKinney%20St%20Sweeny%20TX%2077480")</f>
        <v>https://maps.google.com/?q=Our%20Lady%20of%20Perpetual%20Help%20(SVdP)%20310%20N%20McKinney%20St%20Sweeny%20TX%2077480</v>
      </c>
      <c r="X669" s="10"/>
      <c r="Y669" s="9" t="str">
        <f>IFERROR(__xludf.DUMMYFUNCTION("""COMPUTED_VALUE"""),"Sweeny")</f>
        <v>Sweeny</v>
      </c>
      <c r="Z669" s="9" t="str">
        <f>IFERROR(__xludf.DUMMYFUNCTION("""COMPUTED_VALUE"""),"Sweeny")</f>
        <v>Sweeny</v>
      </c>
      <c r="AA669" s="9" t="str">
        <f>IFERROR(__xludf.DUMMYFUNCTION("""COMPUTED_VALUE"""),"Society of St Vincent de Paul")</f>
        <v>Society of St Vincent de Paul</v>
      </c>
      <c r="AB669" s="9" t="str">
        <f>IFERROR(__xludf.DUMMYFUNCTION("""COMPUTED_VALUE"""),"Sweeny")</f>
        <v>Sweeny</v>
      </c>
    </row>
    <row r="670" ht="30.0" customHeight="1">
      <c r="A670" s="17">
        <v>669.0</v>
      </c>
      <c r="B670" s="8" t="str">
        <f>IFERROR(__xludf.DUMMYFUNCTION("""COMPUTED_VALUE"""),"[""77480"", ""77486""]")</f>
        <v>["77480", "77486"]</v>
      </c>
      <c r="C670" s="9" t="str">
        <f>IFERROR(__xludf.DUMMYFUNCTION("""COMPUTED_VALUE"""),"Our Lady of Perpetual Help (SVdP)")</f>
        <v>Our Lady of Perpetual Help (SVdP)</v>
      </c>
      <c r="D670" s="9" t="str">
        <f>IFERROR(__xludf.DUMMYFUNCTION("""COMPUTED_VALUE"""),"310 N McKinney Street")</f>
        <v>310 N McKinney Street</v>
      </c>
      <c r="E670" s="9"/>
      <c r="F670" s="9" t="str">
        <f>IFERROR(__xludf.DUMMYFUNCTION("""COMPUTED_VALUE"""),"Sweeny")</f>
        <v>Sweeny</v>
      </c>
      <c r="G670" s="9" t="str">
        <f>IFERROR(__xludf.DUMMYFUNCTION("""COMPUTED_VALUE"""),"TX")</f>
        <v>TX</v>
      </c>
      <c r="H670" s="9" t="str">
        <f>IFERROR(__xludf.DUMMYFUNCTION("""COMPUTED_VALUE"""),"77480")</f>
        <v>77480</v>
      </c>
      <c r="I670" s="9" t="str">
        <f>IFERROR(__xludf.DUMMYFUNCTION("""COMPUTED_VALUE"""),"979-345-4999")</f>
        <v>979-345-4999</v>
      </c>
      <c r="J670" s="9" t="str">
        <f>IFERROR(__xludf.DUMMYFUNCTION("""COMPUTED_VALUE"""),"29.0483087609633, -95.6910325315355")</f>
        <v>29.0483087609633, -95.6910325315355</v>
      </c>
      <c r="K670" s="9" t="str">
        <f>IFERROR(__xludf.DUMMYFUNCTION("""COMPUTED_VALUE"""),"{""regular"":[{""days"":[""Mo"",""Tu"",""We"",""Th""],""open"":null,""close"":null}]}")</f>
        <v>{"regular":[{"days":["Mo","Tu","We","Th"],"open":null,"close":null}]}</v>
      </c>
      <c r="L670" s="9"/>
      <c r="M670" s="10">
        <f>IFERROR(__xludf.DUMMYFUNCTION("""COMPUTED_VALUE"""),13.0)</f>
        <v>13</v>
      </c>
      <c r="N670" s="10" t="str">
        <f>IFERROR(__xludf.DUMMYFUNCTION("""COMPUTED_VALUE"""),"Food")</f>
        <v>Food</v>
      </c>
      <c r="O670" s="10">
        <f>IFERROR(__xludf.DUMMYFUNCTION("""COMPUTED_VALUE"""),1.0)</f>
        <v>1</v>
      </c>
      <c r="P670" s="10" t="str">
        <f>IFERROR(__xludf.DUMMYFUNCTION("""COMPUTED_VALUE"""),"ACTIVE")</f>
        <v>ACTIVE</v>
      </c>
      <c r="Q670" s="11"/>
      <c r="R670" s="9"/>
      <c r="S670" s="9"/>
      <c r="T670" s="12" t="b">
        <f>IFERROR(__xludf.DUMMYFUNCTION("""COMPUTED_VALUE"""),FALSE)</f>
        <v>0</v>
      </c>
      <c r="U670" s="12" t="b">
        <f>IFERROR(__xludf.DUMMYFUNCTION("""COMPUTED_VALUE"""),FALSE)</f>
        <v>0</v>
      </c>
      <c r="V670" s="13" t="str">
        <f>IFERROR(__xludf.DUMMYFUNCTION("""COMPUTED_VALUE"""),"https://olphsja.org/ministries")</f>
        <v>https://olphsja.org/ministries</v>
      </c>
      <c r="W670" s="14" t="str">
        <f>IFERROR(__xludf.DUMMYFUNCTION("""COMPUTED_VALUE"""),"https://maps.google.com/?q=Our%20Lady%20of%20Perpetual%20Help%20(SVdP)%20310%20N%20McKinney%20St%20Sweeny%20TX%2077480")</f>
        <v>https://maps.google.com/?q=Our%20Lady%20of%20Perpetual%20Help%20(SVdP)%20310%20N%20McKinney%20St%20Sweeny%20TX%2077480</v>
      </c>
      <c r="X670" s="10"/>
      <c r="Y670" s="9" t="str">
        <f>IFERROR(__xludf.DUMMYFUNCTION("""COMPUTED_VALUE"""),"Sweeny")</f>
        <v>Sweeny</v>
      </c>
      <c r="Z670" s="9" t="str">
        <f>IFERROR(__xludf.DUMMYFUNCTION("""COMPUTED_VALUE"""),"Sweeny")</f>
        <v>Sweeny</v>
      </c>
      <c r="AA670" s="9" t="str">
        <f>IFERROR(__xludf.DUMMYFUNCTION("""COMPUTED_VALUE"""),"Society of St Vincent de Paul")</f>
        <v>Society of St Vincent de Paul</v>
      </c>
      <c r="AB670" s="9" t="str">
        <f>IFERROR(__xludf.DUMMYFUNCTION("""COMPUTED_VALUE"""),"Sweeny")</f>
        <v>Sweeny</v>
      </c>
    </row>
    <row r="671" ht="30.0" customHeight="1">
      <c r="A671" s="17">
        <v>670.0</v>
      </c>
      <c r="B671" s="8" t="str">
        <f>IFERROR(__xludf.DUMMYFUNCTION("""COMPUTED_VALUE"""),"[""77020"", ""77029""]")</f>
        <v>["77020", "77029"]</v>
      </c>
      <c r="C671" s="9" t="str">
        <f>IFERROR(__xludf.DUMMYFUNCTION("""COMPUTED_VALUE"""),"Our Mother of Mercy (SVdP D1)")</f>
        <v>Our Mother of Mercy (SVdP D1)</v>
      </c>
      <c r="D671" s="9" t="str">
        <f>IFERROR(__xludf.DUMMYFUNCTION("""COMPUTED_VALUE"""),"2007 Granger Street")</f>
        <v>2007 Granger Street</v>
      </c>
      <c r="E671" s="9"/>
      <c r="F671" s="9" t="str">
        <f>IFERROR(__xludf.DUMMYFUNCTION("""COMPUTED_VALUE"""),"Houston")</f>
        <v>Houston</v>
      </c>
      <c r="G671" s="9" t="str">
        <f>IFERROR(__xludf.DUMMYFUNCTION("""COMPUTED_VALUE"""),"TX")</f>
        <v>TX</v>
      </c>
      <c r="H671" s="9" t="str">
        <f>IFERROR(__xludf.DUMMYFUNCTION("""COMPUTED_VALUE"""),"77020")</f>
        <v>77020</v>
      </c>
      <c r="I671" s="9" t="str">
        <f>IFERROR(__xludf.DUMMYFUNCTION("""COMPUTED_VALUE"""),"713-672-1022")</f>
        <v>713-672-1022</v>
      </c>
      <c r="J671" s="9" t="str">
        <f>IFERROR(__xludf.DUMMYFUNCTION("""COMPUTED_VALUE"""),"29.7801250408163, -95.3306172857143")</f>
        <v>29.7801250408163, -95.3306172857143</v>
      </c>
      <c r="K671" s="9" t="str">
        <f>IFERROR(__xludf.DUMMYFUNCTION("""COMPUTED_VALUE"""),"{""regular"":[{""days"":[""Fr""],""open"":""08:30"",""close"":""11:00""}]}")</f>
        <v>{"regular":[{"days":["Fr"],"open":"08:30","close":"11:00"}]}</v>
      </c>
      <c r="L671" s="9"/>
      <c r="M671" s="10">
        <f>IFERROR(__xludf.DUMMYFUNCTION("""COMPUTED_VALUE"""),13.0)</f>
        <v>13</v>
      </c>
      <c r="N671" s="10" t="str">
        <f>IFERROR(__xludf.DUMMYFUNCTION("""COMPUTED_VALUE"""),"Food")</f>
        <v>Food</v>
      </c>
      <c r="O671" s="10">
        <f>IFERROR(__xludf.DUMMYFUNCTION("""COMPUTED_VALUE"""),1.0)</f>
        <v>1</v>
      </c>
      <c r="P671" s="10" t="str">
        <f>IFERROR(__xludf.DUMMYFUNCTION("""COMPUTED_VALUE"""),"ACTIVE")</f>
        <v>ACTIVE</v>
      </c>
      <c r="Q671" s="11"/>
      <c r="R671" s="9"/>
      <c r="S671" s="9"/>
      <c r="T671" s="12" t="b">
        <f>IFERROR(__xludf.DUMMYFUNCTION("""COMPUTED_VALUE"""),FALSE)</f>
        <v>0</v>
      </c>
      <c r="U671" s="12" t="b">
        <f>IFERROR(__xludf.DUMMYFUNCTION("""COMPUTED_VALUE"""),FALSE)</f>
        <v>0</v>
      </c>
      <c r="V671" s="13" t="str">
        <f>IFERROR(__xludf.DUMMYFUNCTION("""COMPUTED_VALUE"""),"https://www.ourmotherofmercy.net/")</f>
        <v>https://www.ourmotherofmercy.net/</v>
      </c>
      <c r="W671" s="14" t="str">
        <f>IFERROR(__xludf.DUMMYFUNCTION("""COMPUTED_VALUE"""),"https://maps.google.com/?q=Our%20Mother%20of%20Mercy%20(SVdP%20D1)%202007%20Granger%20St%20Houston%20TX%2077020")</f>
        <v>https://maps.google.com/?q=Our%20Mother%20of%20Mercy%20(SVdP%20D1)%202007%20Granger%20St%20Houston%20TX%2077020</v>
      </c>
      <c r="X671" s="10"/>
      <c r="Y671" s="9" t="str">
        <f>IFERROR(__xludf.DUMMYFUNCTION("""COMPUTED_VALUE"""),"Houston")</f>
        <v>Houston</v>
      </c>
      <c r="Z671" s="9" t="str">
        <f>IFERROR(__xludf.DUMMYFUNCTION("""COMPUTED_VALUE"""),"Denver Harbor / Port Houston, Fifth Ward, Northside")</f>
        <v>Denver Harbor / Port Houston, Fifth Ward, Northside</v>
      </c>
      <c r="AA671" s="9" t="str">
        <f>IFERROR(__xludf.DUMMYFUNCTION("""COMPUTED_VALUE"""),"Society of St Vincent de Paul")</f>
        <v>Society of St Vincent de Paul</v>
      </c>
      <c r="AB671" s="9" t="str">
        <f>IFERROR(__xludf.DUMMYFUNCTION("""COMPUTED_VALUE"""),"Northside")</f>
        <v>Northside</v>
      </c>
    </row>
    <row r="672" ht="30.0" customHeight="1">
      <c r="A672" s="17">
        <v>671.0</v>
      </c>
      <c r="B672" s="8" t="str">
        <f>IFERROR(__xludf.DUMMYFUNCTION("""COMPUTED_VALUE"""),"[""99999""]")</f>
        <v>["99999"]</v>
      </c>
      <c r="C672" s="9" t="str">
        <f>IFERROR(__xludf.DUMMYFUNCTION("""COMPUTED_VALUE"""),"PadSplit")</f>
        <v>PadSplit</v>
      </c>
      <c r="D672" s="9"/>
      <c r="E672" s="9"/>
      <c r="F672" s="9" t="str">
        <f>IFERROR(__xludf.DUMMYFUNCTION("""COMPUTED_VALUE"""),"Houston")</f>
        <v>Houston</v>
      </c>
      <c r="G672" s="9" t="str">
        <f>IFERROR(__xludf.DUMMYFUNCTION("""COMPUTED_VALUE"""),"TX")</f>
        <v>TX</v>
      </c>
      <c r="H672" s="9" t="str">
        <f>IFERROR(__xludf.DUMMYFUNCTION("""COMPUTED_VALUE"""),"99999")</f>
        <v>99999</v>
      </c>
      <c r="I672" s="9"/>
      <c r="J672" s="9" t="str">
        <f>IFERROR(__xludf.DUMMYFUNCTION("""COMPUTED_VALUE"""),"29.756845, -95.365652")</f>
        <v>29.756845, -95.365652</v>
      </c>
      <c r="K672" s="9"/>
      <c r="L672" s="9"/>
      <c r="M672" s="10">
        <f>IFERROR(__xludf.DUMMYFUNCTION("""COMPUTED_VALUE"""),24.0)</f>
        <v>24</v>
      </c>
      <c r="N672" s="10" t="str">
        <f>IFERROR(__xludf.DUMMYFUNCTION("""COMPUTED_VALUE"""),"Housing")</f>
        <v>Housing</v>
      </c>
      <c r="O672" s="10">
        <f>IFERROR(__xludf.DUMMYFUNCTION("""COMPUTED_VALUE"""),2.0)</f>
        <v>2</v>
      </c>
      <c r="P672" s="10" t="str">
        <f>IFERROR(__xludf.DUMMYFUNCTION("""COMPUTED_VALUE"""),"LIMITED")</f>
        <v>LIMITED</v>
      </c>
      <c r="Q672" s="11"/>
      <c r="R672" s="9"/>
      <c r="S672" s="9" t="str">
        <f>IFERROR(__xludf.DUMMYFUNCTION("""COMPUTED_VALUE"""),"Membership housing alternative to apartments but 50% cheaper.
Modeled as a Airbnb but longer term.
Rents private rooms. One payment, weekly, covering all expenses
Requires income approval or deposit if unemployed.
Through a partner, and if approved, can p"&amp;"rovide rental assistance via a 0% interest loan.
More rules than if you were renting an apartment.")</f>
        <v>Membership housing alternative to apartments but 50% cheaper.
Modeled as a Airbnb but longer term.
Rents private rooms. One payment, weekly, covering all expenses
Requires income approval or deposit if unemployed.
Through a partner, and if approved, can provide rental assistance via a 0% interest loan.
More rules than if you were renting an apartment.</v>
      </c>
      <c r="T672" s="12" t="b">
        <f>IFERROR(__xludf.DUMMYFUNCTION("""COMPUTED_VALUE"""),FALSE)</f>
        <v>0</v>
      </c>
      <c r="U672" s="12" t="b">
        <f>IFERROR(__xludf.DUMMYFUNCTION("""COMPUTED_VALUE"""),FALSE)</f>
        <v>0</v>
      </c>
      <c r="V672" s="13" t="str">
        <f>IFERROR(__xludf.DUMMYFUNCTION("""COMPUTED_VALUE"""),"https://www.padsplit.com/rooms-for-rent/houston-tx")</f>
        <v>https://www.padsplit.com/rooms-for-rent/houston-tx</v>
      </c>
      <c r="W672" s="10"/>
      <c r="X672" s="10"/>
      <c r="Y672" s="9" t="str">
        <f>IFERROR(__xludf.DUMMYFUNCTION("""COMPUTED_VALUE"""),"Greater Houston")</f>
        <v>Greater Houston</v>
      </c>
      <c r="Z672" s="9" t="str">
        <f>IFERROR(__xludf.DUMMYFUNCTION("""COMPUTED_VALUE"""),"Not Restricted by Zip Code")</f>
        <v>Not Restricted by Zip Code</v>
      </c>
      <c r="AA672" s="9" t="str">
        <f>IFERROR(__xludf.DUMMYFUNCTION("""COMPUTED_VALUE"""),"PadSplit")</f>
        <v>PadSplit</v>
      </c>
      <c r="AB672" s="9"/>
    </row>
    <row r="673" ht="30.0" customHeight="1">
      <c r="A673" s="17">
        <v>672.0</v>
      </c>
      <c r="B673" s="8" t="str">
        <f>IFERROR(__xludf.DUMMYFUNCTION("""COMPUTED_VALUE"""),"[""77015"", ""77058"", ""77059"", ""77501"", ""77502"", ""77503"", ""77504"", ""77505"", ""77506"", ""77507"", ""77508"", ""77536"", ""77586"", ""77089"", ""77546"", ""77548"", ""77549"", ""77598""]")</f>
        <v>["77015", "77058", "77059", "77501", "77502", "77503", "77504", "77505", "77506", "77507", "77508", "77536", "77586", "77089", "77546", "77548", "77549", "77598"]</v>
      </c>
      <c r="C673" s="9" t="str">
        <f>IFERROR(__xludf.DUMMYFUNCTION("""COMPUTED_VALUE"""),"Pasadena Community Ministries")</f>
        <v>Pasadena Community Ministries</v>
      </c>
      <c r="D673" s="9" t="str">
        <f>IFERROR(__xludf.DUMMYFUNCTION("""COMPUTED_VALUE"""),"2301 South Houston Road")</f>
        <v>2301 South Houston Road</v>
      </c>
      <c r="E673" s="9"/>
      <c r="F673" s="9" t="str">
        <f>IFERROR(__xludf.DUMMYFUNCTION("""COMPUTED_VALUE"""),"Pasadena")</f>
        <v>Pasadena</v>
      </c>
      <c r="G673" s="9" t="str">
        <f>IFERROR(__xludf.DUMMYFUNCTION("""COMPUTED_VALUE"""),"TX")</f>
        <v>TX</v>
      </c>
      <c r="H673" s="9" t="str">
        <f>IFERROR(__xludf.DUMMYFUNCTION("""COMPUTED_VALUE"""),"77502")</f>
        <v>77502</v>
      </c>
      <c r="I673" s="9" t="str">
        <f>IFERROR(__xludf.DUMMYFUNCTION("""COMPUTED_VALUE"""),"713-477-4336")</f>
        <v>713-477-4336</v>
      </c>
      <c r="J673" s="9" t="str">
        <f>IFERROR(__xludf.DUMMYFUNCTION("""COMPUTED_VALUE"""),"29.6776776452152, -95.2215099776574")</f>
        <v>29.6776776452152, -95.2215099776574</v>
      </c>
      <c r="K673" s="9" t="str">
        <f>IFERROR(__xludf.DUMMYFUNCTION("""COMPUTED_VALUE"""),"{""regular"":[{""days"":[""Tu"",""Th""],""open"":""09:00"",""close"":""12:00""}],""special"":[{""pattern"":""1st Sa"",""open"":""09:00"",""close"":""11:00""}]}")</f>
        <v>{"regular":[{"days":["Tu","Th"],"open":"09:00","close":"12:00"}],"special":[{"pattern":"1st Sa","open":"09:00","close":"11:00"}]}</v>
      </c>
      <c r="L673" s="9"/>
      <c r="M673" s="10">
        <f>IFERROR(__xludf.DUMMYFUNCTION("""COMPUTED_VALUE"""),11.0)</f>
        <v>11</v>
      </c>
      <c r="N673" s="10" t="str">
        <f>IFERROR(__xludf.DUMMYFUNCTION("""COMPUTED_VALUE"""),"Rent")</f>
        <v>Rent</v>
      </c>
      <c r="O673" s="10">
        <f>IFERROR(__xludf.DUMMYFUNCTION("""COMPUTED_VALUE"""),4.0)</f>
        <v>4</v>
      </c>
      <c r="P673" s="10" t="str">
        <f>IFERROR(__xludf.DUMMYFUNCTION("""COMPUTED_VALUE"""),"CLOSED")</f>
        <v>CLOSED</v>
      </c>
      <c r="Q673" s="11">
        <f>IFERROR(__xludf.DUMMYFUNCTION("""COMPUTED_VALUE"""),45663.0)</f>
        <v>45663</v>
      </c>
      <c r="R673" s="9" t="str">
        <f>IFERROR(__xludf.DUMMYFUNCTION("""COMPUTED_VALUE"""),"Number disconnected.")</f>
        <v>Number disconnected.</v>
      </c>
      <c r="S673" s="9"/>
      <c r="T673" s="12" t="b">
        <f>IFERROR(__xludf.DUMMYFUNCTION("""COMPUTED_VALUE"""),FALSE)</f>
        <v>0</v>
      </c>
      <c r="U673" s="12" t="b">
        <f>IFERROR(__xludf.DUMMYFUNCTION("""COMPUTED_VALUE"""),FALSE)</f>
        <v>0</v>
      </c>
      <c r="V673" s="13" t="str">
        <f>IFERROR(__xludf.DUMMYFUNCTION("""COMPUTED_VALUE"""),"https://www.pcm-texas.org/")</f>
        <v>https://www.pcm-texas.org/</v>
      </c>
      <c r="W673" s="14" t="str">
        <f>IFERROR(__xludf.DUMMYFUNCTION("""COMPUTED_VALUE"""),"https://maps.google.com/?q=Pasadena%20Community%20Ministries%202301%20South%20Houston%20Rd%20Pasadena%20TX%2077502")</f>
        <v>https://maps.google.com/?q=Pasadena%20Community%20Ministries%202301%20South%20Houston%20Rd%20Pasadena%20TX%2077502</v>
      </c>
      <c r="X673" s="10"/>
      <c r="Y673" s="9" t="str">
        <f>IFERROR(__xludf.DUMMYFUNCTION("""COMPUTED_VALUE"""),"Pasadena")</f>
        <v>Pasadena</v>
      </c>
      <c r="Z673" s="9" t="str">
        <f>IFERROR(__xludf.DUMMYFUNCTION("""COMPUTED_VALUE"""),"Pasadena (Southmore), Queens Knoll")</f>
        <v>Pasadena (Southmore), Queens Knoll</v>
      </c>
      <c r="AA673" s="9" t="str">
        <f>IFERROR(__xludf.DUMMYFUNCTION("""COMPUTED_VALUE"""),"Pasadena Community Ministries")</f>
        <v>Pasadena Community Ministries</v>
      </c>
      <c r="AB673" s="9" t="str">
        <f>IFERROR(__xludf.DUMMYFUNCTION("""COMPUTED_VALUE"""),"Queens Knoll")</f>
        <v>Queens Knoll</v>
      </c>
    </row>
    <row r="674" ht="30.0" customHeight="1">
      <c r="A674" s="17">
        <v>673.0</v>
      </c>
      <c r="B674" s="8" t="str">
        <f>IFERROR(__xludf.DUMMYFUNCTION("""COMPUTED_VALUE"""),"[""77015"", ""77058"", ""77059"", ""77501"", ""77502"", ""77503"", ""77504"", ""77505"", ""77506"", ""77507"", ""77508"", ""77536"", ""77586"", ""77089"", ""77546"", ""77548"", ""77549"", ""77598""]")</f>
        <v>["77015", "77058", "77059", "77501", "77502", "77503", "77504", "77505", "77506", "77507", "77508", "77536", "77586", "77089", "77546", "77548", "77549", "77598"]</v>
      </c>
      <c r="C674" s="9" t="str">
        <f>IFERROR(__xludf.DUMMYFUNCTION("""COMPUTED_VALUE"""),"Pasadena Community Ministries")</f>
        <v>Pasadena Community Ministries</v>
      </c>
      <c r="D674" s="9" t="str">
        <f>IFERROR(__xludf.DUMMYFUNCTION("""COMPUTED_VALUE"""),"2301 South Houston Road")</f>
        <v>2301 South Houston Road</v>
      </c>
      <c r="E674" s="9"/>
      <c r="F674" s="9" t="str">
        <f>IFERROR(__xludf.DUMMYFUNCTION("""COMPUTED_VALUE"""),"Pasadena")</f>
        <v>Pasadena</v>
      </c>
      <c r="G674" s="9" t="str">
        <f>IFERROR(__xludf.DUMMYFUNCTION("""COMPUTED_VALUE"""),"TX")</f>
        <v>TX</v>
      </c>
      <c r="H674" s="9" t="str">
        <f>IFERROR(__xludf.DUMMYFUNCTION("""COMPUTED_VALUE"""),"77502")</f>
        <v>77502</v>
      </c>
      <c r="I674" s="9" t="str">
        <f>IFERROR(__xludf.DUMMYFUNCTION("""COMPUTED_VALUE"""),"713-477-4336")</f>
        <v>713-477-4336</v>
      </c>
      <c r="J674" s="9" t="str">
        <f>IFERROR(__xludf.DUMMYFUNCTION("""COMPUTED_VALUE"""),"29.6776776452152, -95.2215099776574")</f>
        <v>29.6776776452152, -95.2215099776574</v>
      </c>
      <c r="K674" s="9" t="str">
        <f>IFERROR(__xludf.DUMMYFUNCTION("""COMPUTED_VALUE"""),"{""regular"":[{""days"":[""Tu"",""Th""],""open"":""09:00"",""close"":""12:00""}],""special"":[{""pattern"":""1st Sa"",""open"":""09:00"",""close"":""11:00""}]}")</f>
        <v>{"regular":[{"days":["Tu","Th"],"open":"09:00","close":"12:00"}],"special":[{"pattern":"1st Sa","open":"09:00","close":"11:00"}]}</v>
      </c>
      <c r="L674" s="9"/>
      <c r="M674" s="10">
        <f>IFERROR(__xludf.DUMMYFUNCTION("""COMPUTED_VALUE"""),13.0)</f>
        <v>13</v>
      </c>
      <c r="N674" s="10" t="str">
        <f>IFERROR(__xludf.DUMMYFUNCTION("""COMPUTED_VALUE"""),"Food")</f>
        <v>Food</v>
      </c>
      <c r="O674" s="10">
        <f>IFERROR(__xludf.DUMMYFUNCTION("""COMPUTED_VALUE"""),4.0)</f>
        <v>4</v>
      </c>
      <c r="P674" s="10" t="str">
        <f>IFERROR(__xludf.DUMMYFUNCTION("""COMPUTED_VALUE"""),"CLOSED")</f>
        <v>CLOSED</v>
      </c>
      <c r="Q674" s="11">
        <f>IFERROR(__xludf.DUMMYFUNCTION("""COMPUTED_VALUE"""),45663.0)</f>
        <v>45663</v>
      </c>
      <c r="R674" s="9" t="str">
        <f>IFERROR(__xludf.DUMMYFUNCTION("""COMPUTED_VALUE"""),"Number disconnected.")</f>
        <v>Number disconnected.</v>
      </c>
      <c r="S674" s="9" t="str">
        <f>IFERROR(__xludf.DUMMYFUNCTION("""COMPUTED_VALUE"""),"Serves Pasadena and Deer Park residents only.
Proof of residence, e.g. utility bill or lease agreement.
Allowed once a month.")</f>
        <v>Serves Pasadena and Deer Park residents only.
Proof of residence, e.g. utility bill or lease agreement.
Allowed once a month.</v>
      </c>
      <c r="T674" s="12" t="b">
        <f>IFERROR(__xludf.DUMMYFUNCTION("""COMPUTED_VALUE"""),FALSE)</f>
        <v>0</v>
      </c>
      <c r="U674" s="12" t="b">
        <f>IFERROR(__xludf.DUMMYFUNCTION("""COMPUTED_VALUE"""),FALSE)</f>
        <v>0</v>
      </c>
      <c r="V674" s="13" t="str">
        <f>IFERROR(__xludf.DUMMYFUNCTION("""COMPUTED_VALUE"""),"https://www.pcm-texas.org/")</f>
        <v>https://www.pcm-texas.org/</v>
      </c>
      <c r="W674" s="14" t="str">
        <f>IFERROR(__xludf.DUMMYFUNCTION("""COMPUTED_VALUE"""),"https://maps.google.com/?q=Pasadena%20Community%20Ministries%202301%20South%20Houston%20Rd%20Pasadena%20TX%2077502")</f>
        <v>https://maps.google.com/?q=Pasadena%20Community%20Ministries%202301%20South%20Houston%20Rd%20Pasadena%20TX%2077502</v>
      </c>
      <c r="X674" s="10"/>
      <c r="Y674" s="9" t="str">
        <f>IFERROR(__xludf.DUMMYFUNCTION("""COMPUTED_VALUE"""),"Pasadena")</f>
        <v>Pasadena</v>
      </c>
      <c r="Z674" s="9" t="str">
        <f>IFERROR(__xludf.DUMMYFUNCTION("""COMPUTED_VALUE"""),"Pasadena (Southmore), Queens Knoll")</f>
        <v>Pasadena (Southmore), Queens Knoll</v>
      </c>
      <c r="AA674" s="9" t="str">
        <f>IFERROR(__xludf.DUMMYFUNCTION("""COMPUTED_VALUE"""),"Pasadena Community Ministries")</f>
        <v>Pasadena Community Ministries</v>
      </c>
      <c r="AB674" s="9" t="str">
        <f>IFERROR(__xludf.DUMMYFUNCTION("""COMPUTED_VALUE"""),"Queens Knoll")</f>
        <v>Queens Knoll</v>
      </c>
    </row>
    <row r="675" ht="30.0" customHeight="1">
      <c r="A675" s="17">
        <v>674.0</v>
      </c>
      <c r="B675" s="8" t="str">
        <f>IFERROR(__xludf.DUMMYFUNCTION("""COMPUTED_VALUE"""),"[""77015"", ""77058"", ""77059"", ""77501"", ""77502"", ""77503"", ""77504"", ""77505"", ""77506"", ""77507"", ""77508"", ""77536"", ""77586"", ""77089"", ""77546"", ""77548"", ""77549"", ""77598""]")</f>
        <v>["77015", "77058", "77059", "77501", "77502", "77503", "77504", "77505", "77506", "77507", "77508", "77536", "77586", "77089", "77546", "77548", "77549", "77598"]</v>
      </c>
      <c r="C675" s="9" t="str">
        <f>IFERROR(__xludf.DUMMYFUNCTION("""COMPUTED_VALUE"""),"Pasadena Community Ministries")</f>
        <v>Pasadena Community Ministries</v>
      </c>
      <c r="D675" s="9" t="str">
        <f>IFERROR(__xludf.DUMMYFUNCTION("""COMPUTED_VALUE"""),"2301 South Houston Road")</f>
        <v>2301 South Houston Road</v>
      </c>
      <c r="E675" s="9"/>
      <c r="F675" s="9" t="str">
        <f>IFERROR(__xludf.DUMMYFUNCTION("""COMPUTED_VALUE"""),"Pasadena")</f>
        <v>Pasadena</v>
      </c>
      <c r="G675" s="9" t="str">
        <f>IFERROR(__xludf.DUMMYFUNCTION("""COMPUTED_VALUE"""),"TX")</f>
        <v>TX</v>
      </c>
      <c r="H675" s="9" t="str">
        <f>IFERROR(__xludf.DUMMYFUNCTION("""COMPUTED_VALUE"""),"77502")</f>
        <v>77502</v>
      </c>
      <c r="I675" s="9" t="str">
        <f>IFERROR(__xludf.DUMMYFUNCTION("""COMPUTED_VALUE"""),"713-477-4336")</f>
        <v>713-477-4336</v>
      </c>
      <c r="J675" s="9" t="str">
        <f>IFERROR(__xludf.DUMMYFUNCTION("""COMPUTED_VALUE"""),"29.6776776452152, -95.2215099776574")</f>
        <v>29.6776776452152, -95.2215099776574</v>
      </c>
      <c r="K675" s="9" t="str">
        <f>IFERROR(__xludf.DUMMYFUNCTION("""COMPUTED_VALUE"""),"{""regular"":[{""days"":[""Tu"",""Th""],""open"":""09:00"",""close"":""12:00""}],""special"":[{""pattern"":""1st Sa"",""open"":""09:00"",""close"":""11:00""}]}")</f>
        <v>{"regular":[{"days":["Tu","Th"],"open":"09:00","close":"12:00"}],"special":[{"pattern":"1st Sa","open":"09:00","close":"11:00"}]}</v>
      </c>
      <c r="L675" s="9"/>
      <c r="M675" s="10">
        <f>IFERROR(__xludf.DUMMYFUNCTION("""COMPUTED_VALUE"""),14.0)</f>
        <v>14</v>
      </c>
      <c r="N675" s="10" t="str">
        <f>IFERROR(__xludf.DUMMYFUNCTION("""COMPUTED_VALUE"""),"Clothing")</f>
        <v>Clothing</v>
      </c>
      <c r="O675" s="10">
        <f>IFERROR(__xludf.DUMMYFUNCTION("""COMPUTED_VALUE"""),1.0)</f>
        <v>1</v>
      </c>
      <c r="P675" s="10" t="str">
        <f>IFERROR(__xludf.DUMMYFUNCTION("""COMPUTED_VALUE"""),"ACTIVE")</f>
        <v>ACTIVE</v>
      </c>
      <c r="Q675" s="11"/>
      <c r="R675" s="9"/>
      <c r="S675" s="9" t="str">
        <f>IFERROR(__xludf.DUMMYFUNCTION("""COMPUTED_VALUE"""),"Serves Pasadena and Deer Park residents only.
Proof of residence, e.g. utility bill or lease agreement.
Allowed once a month.")</f>
        <v>Serves Pasadena and Deer Park residents only.
Proof of residence, e.g. utility bill or lease agreement.
Allowed once a month.</v>
      </c>
      <c r="T675" s="12" t="b">
        <f>IFERROR(__xludf.DUMMYFUNCTION("""COMPUTED_VALUE"""),FALSE)</f>
        <v>0</v>
      </c>
      <c r="U675" s="12" t="b">
        <f>IFERROR(__xludf.DUMMYFUNCTION("""COMPUTED_VALUE"""),FALSE)</f>
        <v>0</v>
      </c>
      <c r="V675" s="13" t="str">
        <f>IFERROR(__xludf.DUMMYFUNCTION("""COMPUTED_VALUE"""),"https://www.pcm-texas.org/")</f>
        <v>https://www.pcm-texas.org/</v>
      </c>
      <c r="W675" s="14" t="str">
        <f>IFERROR(__xludf.DUMMYFUNCTION("""COMPUTED_VALUE"""),"https://maps.google.com/?q=Pasadena%20Community%20Ministries%202301%20South%20Houston%20Rd%20Pasadena%20TX%2077502")</f>
        <v>https://maps.google.com/?q=Pasadena%20Community%20Ministries%202301%20South%20Houston%20Rd%20Pasadena%20TX%2077502</v>
      </c>
      <c r="X675" s="10"/>
      <c r="Y675" s="9" t="str">
        <f>IFERROR(__xludf.DUMMYFUNCTION("""COMPUTED_VALUE"""),"Pasadena")</f>
        <v>Pasadena</v>
      </c>
      <c r="Z675" s="9" t="str">
        <f>IFERROR(__xludf.DUMMYFUNCTION("""COMPUTED_VALUE"""),"Pasadena (Southmore), Queens Knoll")</f>
        <v>Pasadena (Southmore), Queens Knoll</v>
      </c>
      <c r="AA675" s="9" t="str">
        <f>IFERROR(__xludf.DUMMYFUNCTION("""COMPUTED_VALUE"""),"Pasadena Community Ministries")</f>
        <v>Pasadena Community Ministries</v>
      </c>
      <c r="AB675" s="9" t="str">
        <f>IFERROR(__xludf.DUMMYFUNCTION("""COMPUTED_VALUE"""),"Queens Knoll")</f>
        <v>Queens Knoll</v>
      </c>
    </row>
    <row r="676" ht="30.0" customHeight="1">
      <c r="A676" s="17">
        <v>675.0</v>
      </c>
      <c r="B676" s="8" t="str">
        <f>IFERROR(__xludf.DUMMYFUNCTION("""COMPUTED_VALUE"""),"[""99999""]")</f>
        <v>["99999"]</v>
      </c>
      <c r="C676" s="9" t="str">
        <f>IFERROR(__xludf.DUMMYFUNCTION("""COMPUTED_VALUE"""),"Patient Access Network (PAN) Foundation")</f>
        <v>Patient Access Network (PAN) Foundation</v>
      </c>
      <c r="D676" s="9" t="str">
        <f>IFERROR(__xludf.DUMMYFUNCTION("""COMPUTED_VALUE"""),"1032 15th Street NW")</f>
        <v>1032 15th Street NW</v>
      </c>
      <c r="E676" s="9" t="str">
        <f>IFERROR(__xludf.DUMMYFUNCTION("""COMPUTED_VALUE"""),"Suite 413")</f>
        <v>Suite 413</v>
      </c>
      <c r="F676" s="9" t="str">
        <f>IFERROR(__xludf.DUMMYFUNCTION("""COMPUTED_VALUE"""),"Washington")</f>
        <v>Washington</v>
      </c>
      <c r="G676" s="9" t="str">
        <f>IFERROR(__xludf.DUMMYFUNCTION("""COMPUTED_VALUE"""),"DC")</f>
        <v>DC</v>
      </c>
      <c r="H676" s="9" t="str">
        <f>IFERROR(__xludf.DUMMYFUNCTION("""COMPUTED_VALUE"""),"20005")</f>
        <v>20005</v>
      </c>
      <c r="I676" s="9" t="str">
        <f>IFERROR(__xludf.DUMMYFUNCTION("""COMPUTED_VALUE"""),"866-316-7263")</f>
        <v>866-316-7263</v>
      </c>
      <c r="J676" s="9" t="str">
        <f>IFERROR(__xludf.DUMMYFUNCTION("""COMPUTED_VALUE"""),"38.903853125918744, -77.03514512736562")</f>
        <v>38.903853125918744, -77.03514512736562</v>
      </c>
      <c r="K676" s="9" t="str">
        <f>IFERROR(__xludf.DUMMYFUNCTION("""COMPUTED_VALUE"""),"{""regular"":[{""days"":[""Mo"",""Tu"",""We"",""Th"",""Fr""],""open"":""9:00"",""close"":""17:30""}]}")</f>
        <v>{"regular":[{"days":["Mo","Tu","We","Th","Fr"],"open":"9:00","close":"17:30"}]}</v>
      </c>
      <c r="L676" s="9" t="str">
        <f>IFERROR(__xludf.DUMMYFUNCTION("""COMPUTED_VALUE"""),"Apply online")</f>
        <v>Apply online</v>
      </c>
      <c r="M676" s="10">
        <f>IFERROR(__xludf.DUMMYFUNCTION("""COMPUTED_VALUE"""),36.0)</f>
        <v>36</v>
      </c>
      <c r="N676" s="10" t="str">
        <f>IFERROR(__xludf.DUMMYFUNCTION("""COMPUTED_VALUE"""),"Medical - Bill Payment")</f>
        <v>Medical - Bill Payment</v>
      </c>
      <c r="O676" s="10">
        <f>IFERROR(__xludf.DUMMYFUNCTION("""COMPUTED_VALUE"""),1.0)</f>
        <v>1</v>
      </c>
      <c r="P676" s="10" t="str">
        <f>IFERROR(__xludf.DUMMYFUNCTION("""COMPUTED_VALUE"""),"ACTIVE")</f>
        <v>ACTIVE</v>
      </c>
      <c r="Q676" s="11">
        <f>IFERROR(__xludf.DUMMYFUNCTION("""COMPUTED_VALUE"""),46045.0)</f>
        <v>46045</v>
      </c>
      <c r="R676" s="9" t="str">
        <f>IFERROR(__xludf.DUMMYFUNCTION("""COMPUTED_VALUE"""),"Verified online")</f>
        <v>Verified online</v>
      </c>
      <c r="S676" s="9" t="str">
        <f>IFERROR(__xludf.DUMMYFUNCTION("""COMPUTED_VALUE"""),"Provides direct financial assistance in the form of grants to insured patients to help defray their out-of-pocket healthcare costs.
Awards are income based.
Process starts by looking for a fund that covers your disease or medication on their website.
If t"&amp;"he fund is open, you apply for a grant online otherwise join the waitlist.
Grants range from $500 to just under $10,000 depending on the fund.
A charitable patient assistance foundation.")</f>
        <v>Provides direct financial assistance in the form of grants to insured patients to help defray their out-of-pocket healthcare costs.
Awards are income based.
Process starts by looking for a fund that covers your disease or medication on their website.
If the fund is open, you apply for a grant online otherwise join the waitlist.
Grants range from $500 to just under $10,000 depending on the fund.
A charitable patient assistance foundation.</v>
      </c>
      <c r="T676" s="12" t="b">
        <f>IFERROR(__xludf.DUMMYFUNCTION("""COMPUTED_VALUE"""),FALSE)</f>
        <v>0</v>
      </c>
      <c r="U676" s="12" t="b">
        <f>IFERROR(__xludf.DUMMYFUNCTION("""COMPUTED_VALUE"""),FALSE)</f>
        <v>0</v>
      </c>
      <c r="V676" s="13" t="str">
        <f>IFERROR(__xludf.DUMMYFUNCTION("""COMPUTED_VALUE"""),"https://www.panfoundation.org/find-disease-fund/")</f>
        <v>https://www.panfoundation.org/find-disease-fund/</v>
      </c>
      <c r="W676" s="14" t="str">
        <f>IFERROR(__xludf.DUMMYFUNCTION("""COMPUTED_VALUE"""),"https://www.google.com/maps/place/PAN+Foundation/@38.8999625,-77.0502225,16z/data=!3m1!5s0x89b7b7bef9b31fc3:0xd150b404a0212d9f!4m10!1m2!2m1!1spatient+access+network+foundation,+washington,+dc!3m6!1s0x89b7b7ba18d8071d:0x299505d94cdc82d1!8m2!3d38.9034383!4d"&amp;"-77.0350372!15sCjFwYXRpZW50IGFjY2VzcyBuZXR3b3JrIGZvdW5kYXRpb24sIHdhc2hpbmd0b24sIGRjWjEiL3BhdGllbnQgYWNjZXNzIG5ldHdvcmsgZm91bmRhdGlvbiB3YXNoaW5ndG9uIGRjkgEbYXNzb2NpYXRpb25fb3Jfb3JnYW5pemF0aW9umgEkQ2hkRFNVaE5NRzluUzBWSlEwRm5TVVI0ZEdOdGJteEJSUkFC4AEA-gEECAAQ"&amp;"Lw!16s%2Fg%2F1tcws0fw?entry=ttu&amp;g_ep=EgoyMDI2MDEyMC4wIKXMDSoKLDEwMDc5MjA2OUgBUAM%3D")</f>
        <v>https://www.google.com/maps/place/PAN+Foundation/@38.8999625,-77.0502225,16z/data=!3m1!5s0x89b7b7bef9b31fc3:0xd150b404a0212d9f!4m10!1m2!2m1!1spatient+access+network+foundation,+washington,+dc!3m6!1s0x89b7b7ba18d8071d:0x299505d94cdc82d1!8m2!3d38.9034383!4d-77.0350372!15sCjFwYXRpZW50IGFjY2VzcyBuZXR3b3JrIGZvdW5kYXRpb24sIHdhc2hpbmd0b24sIGRjWjEiL3BhdGllbnQgYWNjZXNzIG5ldHdvcmsgZm91bmRhdGlvbiB3YXNoaW5ndG9uIGRjkgEbYXNzb2NpYXRpb25fb3Jfb3JnYW5pemF0aW9umgEkQ2hkRFNVaE5NRzluUzBWSlEwRm5TVVI0ZEdOdGJteEJSUkFC4AEA-gEECAAQLw!16s%2Fg%2F1tcws0fw?entry=ttu&amp;g_ep=EgoyMDI2MDEyMC4wIKXMDSoKLDEwMDc5MjA2OUgBUAM%3D</v>
      </c>
      <c r="X676" s="10"/>
      <c r="Y676" s="9" t="str">
        <f>IFERROR(__xludf.DUMMYFUNCTION("""COMPUTED_VALUE"""),"Washington")</f>
        <v>Washington</v>
      </c>
      <c r="Z676" s="9" t="str">
        <f>IFERROR(__xludf.DUMMYFUNCTION("""COMPUTED_VALUE"""),"Downtown")</f>
        <v>Downtown</v>
      </c>
      <c r="AA676" s="9" t="str">
        <f>IFERROR(__xludf.DUMMYFUNCTION("""COMPUTED_VALUE"""),"Patient Access Network (PAN) Foundation")</f>
        <v>Patient Access Network (PAN) Foundation</v>
      </c>
      <c r="AB676" s="9" t="str">
        <f>IFERROR(__xludf.DUMMYFUNCTION("""COMPUTED_VALUE"""),"Downtown")</f>
        <v>Downtown</v>
      </c>
    </row>
    <row r="677" ht="30.0" customHeight="1">
      <c r="A677" s="17">
        <v>676.0</v>
      </c>
      <c r="B677" s="8" t="str">
        <f>IFERROR(__xludf.DUMMYFUNCTION("""COMPUTED_VALUE"""),"[""99999""]")</f>
        <v>["99999"]</v>
      </c>
      <c r="C677" s="9" t="str">
        <f>IFERROR(__xludf.DUMMYFUNCTION("""COMPUTED_VALUE"""),"Patient Advocate Foundation")</f>
        <v>Patient Advocate Foundation</v>
      </c>
      <c r="D677" s="9" t="str">
        <f>IFERROR(__xludf.DUMMYFUNCTION("""COMPUTED_VALUE"""),"421 Butler Farm Road")</f>
        <v>421 Butler Farm Road</v>
      </c>
      <c r="E677" s="9"/>
      <c r="F677" s="9" t="str">
        <f>IFERROR(__xludf.DUMMYFUNCTION("""COMPUTED_VALUE"""),"Hampton")</f>
        <v>Hampton</v>
      </c>
      <c r="G677" s="9" t="str">
        <f>IFERROR(__xludf.DUMMYFUNCTION("""COMPUTED_VALUE"""),"VA")</f>
        <v>VA</v>
      </c>
      <c r="H677" s="9" t="str">
        <f>IFERROR(__xludf.DUMMYFUNCTION("""COMPUTED_VALUE"""),"23666")</f>
        <v>23666</v>
      </c>
      <c r="I677" s="9" t="str">
        <f>IFERROR(__xludf.DUMMYFUNCTION("""COMPUTED_VALUE"""),"800-532-5274")</f>
        <v>800-532-5274</v>
      </c>
      <c r="J677" s="9" t="str">
        <f>IFERROR(__xludf.DUMMYFUNCTION("""COMPUTED_VALUE"""),"37.06199579816504, -76.40699132812145")</f>
        <v>37.06199579816504, -76.40699132812145</v>
      </c>
      <c r="K677" s="9" t="str">
        <f>IFERROR(__xludf.DUMMYFUNCTION("""COMPUTED_VALUE"""),"{""regular"":[{""days"":[""Mo"",""Tu"",""We"",""Th"",""Fr""],""open"":""08:30"",""close"":""17:00""}]}")</f>
        <v>{"regular":[{"days":["Mo","Tu","We","Th","Fr"],"open":"08:30","close":"17:00"}]}</v>
      </c>
      <c r="L677" s="9"/>
      <c r="M677" s="10">
        <f>IFERROR(__xludf.DUMMYFUNCTION("""COMPUTED_VALUE"""),35.0)</f>
        <v>35</v>
      </c>
      <c r="N677" s="10" t="str">
        <f>IFERROR(__xludf.DUMMYFUNCTION("""COMPUTED_VALUE"""),"Medical - Program Enrollment")</f>
        <v>Medical - Program Enrollment</v>
      </c>
      <c r="O677" s="10">
        <f>IFERROR(__xludf.DUMMYFUNCTION("""COMPUTED_VALUE"""),1.0)</f>
        <v>1</v>
      </c>
      <c r="P677" s="10" t="str">
        <f>IFERROR(__xludf.DUMMYFUNCTION("""COMPUTED_VALUE"""),"ACTIVE")</f>
        <v>ACTIVE</v>
      </c>
      <c r="Q677" s="11"/>
      <c r="R677" s="9" t="str">
        <f>IFERROR(__xludf.DUMMYFUNCTION("""COMPUTED_VALUE"""),"Matt Ryan referral")</f>
        <v>Matt Ryan referral</v>
      </c>
      <c r="S677" s="9" t="str">
        <f>IFERROR(__xludf.DUMMYFUNCTION("""COMPUTED_VALUE"""),"Free case management services to patients with confirmed serious health condition.
Must be in active treatment, starting treatment in the next 60 days or finished treatment in the last six months.
Must be a US citizen or permanent resident.
Case managemen"&amp;"t includes getting prescribed medical treatment, explaining health insurance coverage and options, appealing insurance denials, applying for Medicaid, SSDI and other government programs, applying for programs to pay for living expenses.
A charitable patie"&amp;"nt assistance foundation.")</f>
        <v>Free case management services to patients with confirmed serious health condition.
Must be in active treatment, starting treatment in the next 60 days or finished treatment in the last six months.
Must be a US citizen or permanent resident.
Case management includes getting prescribed medical treatment, explaining health insurance coverage and options, appealing insurance denials, applying for Medicaid, SSDI and other government programs, applying for programs to pay for living expenses.
A charitable patient assistance foundation.</v>
      </c>
      <c r="T677" s="12" t="b">
        <f>IFERROR(__xludf.DUMMYFUNCTION("""COMPUTED_VALUE"""),FALSE)</f>
        <v>0</v>
      </c>
      <c r="U677" s="12" t="b">
        <f>IFERROR(__xludf.DUMMYFUNCTION("""COMPUTED_VALUE"""),FALSE)</f>
        <v>0</v>
      </c>
      <c r="V677" s="13" t="str">
        <f>IFERROR(__xludf.DUMMYFUNCTION("""COMPUTED_VALUE"""),"https://www.patientadvocate.org/connect-with-services/case-management-services-and-carelines/")</f>
        <v>https://www.patientadvocate.org/connect-with-services/case-management-services-and-carelines/</v>
      </c>
      <c r="W677" s="14" t="str">
        <f>IFERROR(__xludf.DUMMYFUNCTION("""COMPUTED_VALUE"""),"https://www.google.com/maps/place/Patient+Advocate+Foundation/@37.0617733,-76.4118891,17z/data=!3m1!4b1!4m6!3m5!1s0x89ba83010a452603:0x5ebd3cb48ede74e4!8m2!3d37.0617734!4d-76.4070128!16s%2Fg%2F1vkxn4xs?entry=ttu&amp;g_ep=EgoyMDI2MDEyMC4wIKXMDSoKLDEwMDc5MjA2OU"&amp;"gBUAM%3D")</f>
        <v>https://www.google.com/maps/place/Patient+Advocate+Foundation/@37.0617733,-76.4118891,17z/data=!3m1!4b1!4m6!3m5!1s0x89ba83010a452603:0x5ebd3cb48ede74e4!8m2!3d37.0617734!4d-76.4070128!16s%2Fg%2F1vkxn4xs?entry=ttu&amp;g_ep=EgoyMDI2MDEyMC4wIKXMDSoKLDEwMDc5MjA2OUgBUAM%3D</v>
      </c>
      <c r="X677" s="10"/>
      <c r="Y677" s="9" t="str">
        <f>IFERROR(__xludf.DUMMYFUNCTION("""COMPUTED_VALUE"""),"Hampton")</f>
        <v>Hampton</v>
      </c>
      <c r="Z677" s="9" t="str">
        <f>IFERROR(__xludf.DUMMYFUNCTION("""COMPUTED_VALUE"""),"Northampton")</f>
        <v>Northampton</v>
      </c>
      <c r="AA677" s="9" t="str">
        <f>IFERROR(__xludf.DUMMYFUNCTION("""COMPUTED_VALUE"""),"Patient Advocate Foundation")</f>
        <v>Patient Advocate Foundation</v>
      </c>
      <c r="AB677" s="9" t="str">
        <f>IFERROR(__xludf.DUMMYFUNCTION("""COMPUTED_VALUE"""),"Northampton")</f>
        <v>Northampton</v>
      </c>
    </row>
    <row r="678" ht="30.0" customHeight="1">
      <c r="A678" s="17">
        <v>677.0</v>
      </c>
      <c r="B678" s="8" t="str">
        <f>IFERROR(__xludf.DUMMYFUNCTION("""COMPUTED_VALUE"""),"[""99999""]")</f>
        <v>["99999"]</v>
      </c>
      <c r="C678" s="9" t="str">
        <f>IFERROR(__xludf.DUMMYFUNCTION("""COMPUTED_VALUE"""),"Patient Advocate Foundation")</f>
        <v>Patient Advocate Foundation</v>
      </c>
      <c r="D678" s="9" t="str">
        <f>IFERROR(__xludf.DUMMYFUNCTION("""COMPUTED_VALUE"""),"421 Butler Farm Road")</f>
        <v>421 Butler Farm Road</v>
      </c>
      <c r="E678" s="9"/>
      <c r="F678" s="9" t="str">
        <f>IFERROR(__xludf.DUMMYFUNCTION("""COMPUTED_VALUE"""),"Hampton")</f>
        <v>Hampton</v>
      </c>
      <c r="G678" s="9" t="str">
        <f>IFERROR(__xludf.DUMMYFUNCTION("""COMPUTED_VALUE"""),"VA")</f>
        <v>VA</v>
      </c>
      <c r="H678" s="9" t="str">
        <f>IFERROR(__xludf.DUMMYFUNCTION("""COMPUTED_VALUE"""),"23666")</f>
        <v>23666</v>
      </c>
      <c r="I678" s="9" t="str">
        <f>IFERROR(__xludf.DUMMYFUNCTION("""COMPUTED_VALUE"""),"800-532-5274")</f>
        <v>800-532-5274</v>
      </c>
      <c r="J678" s="9" t="str">
        <f>IFERROR(__xludf.DUMMYFUNCTION("""COMPUTED_VALUE"""),"37.06199579816504, -76.40699132812145")</f>
        <v>37.06199579816504, -76.40699132812145</v>
      </c>
      <c r="K678" s="9" t="str">
        <f>IFERROR(__xludf.DUMMYFUNCTION("""COMPUTED_VALUE"""),"{""regular"":[{""days"":[""Mo"",""Tu"",""We"",""Th"",""Fr""],""open"":""08:30"",""close"":""17:00""}]}")</f>
        <v>{"regular":[{"days":["Mo","Tu","We","Th","Fr"],"open":"08:30","close":"17:00"}]}</v>
      </c>
      <c r="L678" s="9" t="str">
        <f>IFERROR(__xludf.DUMMYFUNCTION("""COMPUTED_VALUE"""),"Apply online")</f>
        <v>Apply online</v>
      </c>
      <c r="M678" s="10">
        <f>IFERROR(__xludf.DUMMYFUNCTION("""COMPUTED_VALUE"""),36.0)</f>
        <v>36</v>
      </c>
      <c r="N678" s="10" t="str">
        <f>IFERROR(__xludf.DUMMYFUNCTION("""COMPUTED_VALUE"""),"Medical - Bill Payment")</f>
        <v>Medical - Bill Payment</v>
      </c>
      <c r="O678" s="10">
        <f>IFERROR(__xludf.DUMMYFUNCTION("""COMPUTED_VALUE"""),1.0)</f>
        <v>1</v>
      </c>
      <c r="P678" s="10" t="str">
        <f>IFERROR(__xludf.DUMMYFUNCTION("""COMPUTED_VALUE"""),"ACTIVE")</f>
        <v>ACTIVE</v>
      </c>
      <c r="Q678" s="11"/>
      <c r="R678" s="9" t="str">
        <f>IFERROR(__xludf.DUMMYFUNCTION("""COMPUTED_VALUE"""),"Matt Ryan referral")</f>
        <v>Matt Ryan referral</v>
      </c>
      <c r="S678" s="9" t="str">
        <f>IFERROR(__xludf.DUMMYFUNCTION("""COMPUTED_VALUE"""),"Co-Pay Relief is a program that provides direct financial assistance to help defray the cost of co-payments, co-insurance and deductibles.
A charitable patient assistance foundation.
The Financial Aid Funds provide direct on-time grants to patients who me"&amp;"et financial, medical and other criteria.  Funds are distributed until depleted.  
Most grants are small ranging from $300 to $1500.
Some grants require application online and some require calling in.  Check website for details.
A charitable patient assis"&amp;"tance foundation.")</f>
        <v>Co-Pay Relief is a program that provides direct financial assistance to help defray the cost of co-payments, co-insurance and deductibles.
A charitable patient assistance foundation.
The Financial Aid Funds provide direct on-time grants to patients who meet financial, medical and other criteria.  Funds are distributed until depleted.  
Most grants are small ranging from $300 to $1500.
Some grants require application online and some require calling in.  Check website for details.
A charitable patient assistance foundation.</v>
      </c>
      <c r="T678" s="12" t="b">
        <f>IFERROR(__xludf.DUMMYFUNCTION("""COMPUTED_VALUE"""),FALSE)</f>
        <v>0</v>
      </c>
      <c r="U678" s="12" t="b">
        <f>IFERROR(__xludf.DUMMYFUNCTION("""COMPUTED_VALUE"""),FALSE)</f>
        <v>0</v>
      </c>
      <c r="V678" s="13" t="str">
        <f>IFERROR(__xludf.DUMMYFUNCTION("""COMPUTED_VALUE"""),"https://www.patientadvocate.org/connect-with-services/financial-aid-funds/")</f>
        <v>https://www.patientadvocate.org/connect-with-services/financial-aid-funds/</v>
      </c>
      <c r="W678" s="14" t="str">
        <f>IFERROR(__xludf.DUMMYFUNCTION("""COMPUTED_VALUE"""),"https://www.google.com/maps/place/Patient+Advocate+Foundation/@37.0617733,-76.4118891,17z/data=!3m1!4b1!4m6!3m5!1s0x89ba83010a452603:0x5ebd3cb48ede74e4!8m2!3d37.0617734!4d-76.4070128!16s%2Fg%2F1vkxn4xs?entry=ttu&amp;g_ep=EgoyMDI2MDEyMC4wIKXMDSoKLDEwMDc5MjA2OU"&amp;"gBUAM%3D")</f>
        <v>https://www.google.com/maps/place/Patient+Advocate+Foundation/@37.0617733,-76.4118891,17z/data=!3m1!4b1!4m6!3m5!1s0x89ba83010a452603:0x5ebd3cb48ede74e4!8m2!3d37.0617734!4d-76.4070128!16s%2Fg%2F1vkxn4xs?entry=ttu&amp;g_ep=EgoyMDI2MDEyMC4wIKXMDSoKLDEwMDc5MjA2OUgBUAM%3D</v>
      </c>
      <c r="X678" s="10"/>
      <c r="Y678" s="9" t="str">
        <f>IFERROR(__xludf.DUMMYFUNCTION("""COMPUTED_VALUE"""),"Hampton")</f>
        <v>Hampton</v>
      </c>
      <c r="Z678" s="9" t="str">
        <f>IFERROR(__xludf.DUMMYFUNCTION("""COMPUTED_VALUE"""),"Northampton")</f>
        <v>Northampton</v>
      </c>
      <c r="AA678" s="9" t="str">
        <f>IFERROR(__xludf.DUMMYFUNCTION("""COMPUTED_VALUE"""),"Patient Advocate Foundation")</f>
        <v>Patient Advocate Foundation</v>
      </c>
      <c r="AB678" s="9" t="str">
        <f>IFERROR(__xludf.DUMMYFUNCTION("""COMPUTED_VALUE"""),"Northampton")</f>
        <v>Northampton</v>
      </c>
    </row>
    <row r="679" ht="30.0" customHeight="1">
      <c r="A679" s="17">
        <v>678.0</v>
      </c>
      <c r="B679" s="8" t="str">
        <f>IFERROR(__xludf.DUMMYFUNCTION("""COMPUTED_VALUE"""),"[""99999""]")</f>
        <v>["99999"]</v>
      </c>
      <c r="C679" s="9" t="str">
        <f>IFERROR(__xludf.DUMMYFUNCTION("""COMPUTED_VALUE"""),"PetSet")</f>
        <v>PetSet</v>
      </c>
      <c r="D679" s="9" t="str">
        <f>IFERROR(__xludf.DUMMYFUNCTION("""COMPUTED_VALUE"""),"4265 San Felipe Street")</f>
        <v>4265 San Felipe Street</v>
      </c>
      <c r="E679" s="9" t="str">
        <f>IFERROR(__xludf.DUMMYFUNCTION("""COMPUTED_VALUE"""),"Suite 1100")</f>
        <v>Suite 1100</v>
      </c>
      <c r="F679" s="9" t="str">
        <f>IFERROR(__xludf.DUMMYFUNCTION("""COMPUTED_VALUE"""),"Houston")</f>
        <v>Houston</v>
      </c>
      <c r="G679" s="9" t="str">
        <f>IFERROR(__xludf.DUMMYFUNCTION("""COMPUTED_VALUE"""),"TX")</f>
        <v>TX</v>
      </c>
      <c r="H679" s="9" t="str">
        <f>IFERROR(__xludf.DUMMYFUNCTION("""COMPUTED_VALUE"""),"77027")</f>
        <v>77027</v>
      </c>
      <c r="I679" s="9" t="str">
        <f>IFERROR(__xludf.DUMMYFUNCTION("""COMPUTED_VALUE"""),"713-960-6622")</f>
        <v>713-960-6622</v>
      </c>
      <c r="J679" s="9" t="str">
        <f>IFERROR(__xludf.DUMMYFUNCTION("""COMPUTED_VALUE"""),"29.746521937038278, -95.45024899549786")</f>
        <v>29.746521937038278, -95.45024899549786</v>
      </c>
      <c r="K679" s="9" t="str">
        <f>IFERROR(__xludf.DUMMYFUNCTION("""COMPUTED_VALUE"""),"{""regular"":[{""days"":[""Mo"",""Tu"",""We"",""Th"",""Fr""],""open"":null,""close"":null}]}")</f>
        <v>{"regular":[{"days":["Mo","Tu","We","Th","Fr"],"open":null,"close":null}]}</v>
      </c>
      <c r="L679" s="9" t="str">
        <f>IFERROR(__xludf.DUMMYFUNCTION("""COMPUTED_VALUE"""),"Appointments required")</f>
        <v>Appointments required</v>
      </c>
      <c r="M679" s="10">
        <f>IFERROR(__xludf.DUMMYFUNCTION("""COMPUTED_VALUE"""),63.0)</f>
        <v>63</v>
      </c>
      <c r="N679" s="10" t="str">
        <f>IFERROR(__xludf.DUMMYFUNCTION("""COMPUTED_VALUE"""),"Animals")</f>
        <v>Animals</v>
      </c>
      <c r="O679" s="10">
        <f>IFERROR(__xludf.DUMMYFUNCTION("""COMPUTED_VALUE"""),1.0)</f>
        <v>1</v>
      </c>
      <c r="P679" s="10" t="str">
        <f>IFERROR(__xludf.DUMMYFUNCTION("""COMPUTED_VALUE"""),"ACTIVE")</f>
        <v>ACTIVE</v>
      </c>
      <c r="Q679" s="11">
        <f>IFERROR(__xludf.DUMMYFUNCTION("""COMPUTED_VALUE"""),46083.0)</f>
        <v>46083</v>
      </c>
      <c r="R679" s="9" t="str">
        <f>IFERROR(__xludf.DUMMYFUNCTION("""COMPUTED_VALUE"""),"Verified online")</f>
        <v>Verified online</v>
      </c>
      <c r="S679" s="9" t="str">
        <f>IFERROR(__xludf.DUMMYFUNCTION("""COMPUTED_VALUE"""),"Spay &amp; Neuter $20, Vaccinations &amp; Microchip Free
This is a mobile unit.  Check website of location on any given day.
Appointments are required and made online.
See website for limitations and requirements.")</f>
        <v>Spay &amp; Neuter $20, Vaccinations &amp; Microchip Free
This is a mobile unit.  Check website of location on any given day.
Appointments are required and made online.
See website for limitations and requirements.</v>
      </c>
      <c r="T679" s="12" t="b">
        <f>IFERROR(__xludf.DUMMYFUNCTION("""COMPUTED_VALUE"""),TRUE)</f>
        <v>1</v>
      </c>
      <c r="U679" s="12" t="b">
        <f>IFERROR(__xludf.DUMMYFUNCTION("""COMPUTED_VALUE"""),FALSE)</f>
        <v>0</v>
      </c>
      <c r="V679" s="13" t="str">
        <f>IFERROR(__xludf.DUMMYFUNCTION("""COMPUTED_VALUE"""),"https://pet-set.org/spay-neuter/")</f>
        <v>https://pet-set.org/spay-neuter/</v>
      </c>
      <c r="W679" s="14" t="str">
        <f>IFERROR(__xludf.DUMMYFUNCTION("""COMPUTED_VALUE"""),"https://www.google.com/maps/place/4265+San+Felipe+St,+Houston,+TX+77027/@29.746345,-95.4528293,17z/data=!3m1!4b1!4m6!3m5!1s0x8640c11602426951:0x668c344ef44f68ee!8m2!3d29.746345!4d-95.450249!16s%2Fg%2F11nnkxcf4j?entry=ttu&amp;g_ep=EgoyMDI2MDIyNS4wIKXMDSoASAFQA"&amp;"w%3D%3D")</f>
        <v>https://www.google.com/maps/place/4265+San+Felipe+St,+Houston,+TX+77027/@29.746345,-95.4528293,17z/data=!3m1!4b1!4m6!3m5!1s0x8640c11602426951:0x668c344ef44f68ee!8m2!3d29.746345!4d-95.450249!16s%2Fg%2F11nnkxcf4j?entry=ttu&amp;g_ep=EgoyMDI2MDIyNS4wIKXMDSoASAFQAw%3D%3D</v>
      </c>
      <c r="X679" s="10"/>
      <c r="Y679" s="9" t="str">
        <f>IFERROR(__xludf.DUMMYFUNCTION("""COMPUTED_VALUE"""),"Houston")</f>
        <v>Houston</v>
      </c>
      <c r="Z679" s="9" t="str">
        <f>IFERROR(__xludf.DUMMYFUNCTION("""COMPUTED_VALUE"""),"Afton Oaks, Greenway / Upper Kirby Area, Highland Village, River Oaks District, Westside")</f>
        <v>Afton Oaks, Greenway / Upper Kirby Area, Highland Village, River Oaks District, Westside</v>
      </c>
      <c r="AA679" s="9" t="str">
        <f>IFERROR(__xludf.DUMMYFUNCTION("""COMPUTED_VALUE"""),"PetSet")</f>
        <v>PetSet</v>
      </c>
      <c r="AB679" s="9" t="str">
        <f>IFERROR(__xludf.DUMMYFUNCTION("""COMPUTED_VALUE"""),"River Oaks District")</f>
        <v>River Oaks District</v>
      </c>
    </row>
    <row r="680" ht="30.0" customHeight="1">
      <c r="A680" s="17">
        <v>679.0</v>
      </c>
      <c r="B680" s="8" t="str">
        <f>IFERROR(__xludf.DUMMYFUNCTION("""COMPUTED_VALUE"""),"[""99999""]")</f>
        <v>["99999"]</v>
      </c>
      <c r="C680" s="9" t="str">
        <f>IFERROR(__xludf.DUMMYFUNCTION("""COMPUTED_VALUE"""),"Pink Fund")</f>
        <v>Pink Fund</v>
      </c>
      <c r="D680" s="9" t="str">
        <f>IFERROR(__xludf.DUMMYFUNCTION("""COMPUTED_VALUE"""),"P.O. Box 607")</f>
        <v>P.O. Box 607</v>
      </c>
      <c r="E680" s="9"/>
      <c r="F680" s="9" t="str">
        <f>IFERROR(__xludf.DUMMYFUNCTION("""COMPUTED_VALUE"""),"Southfield")</f>
        <v>Southfield</v>
      </c>
      <c r="G680" s="9" t="str">
        <f>IFERROR(__xludf.DUMMYFUNCTION("""COMPUTED_VALUE"""),"MI")</f>
        <v>MI</v>
      </c>
      <c r="H680" s="9" t="str">
        <f>IFERROR(__xludf.DUMMYFUNCTION("""COMPUTED_VALUE"""),"48037")</f>
        <v>48037</v>
      </c>
      <c r="I680" s="9"/>
      <c r="J680" s="9" t="str">
        <f>IFERROR(__xludf.DUMMYFUNCTION("""COMPUTED_VALUE"""),"42.487391603813414, -83.26355043591595")</f>
        <v>42.487391603813414, -83.26355043591595</v>
      </c>
      <c r="K680" s="9" t="str">
        <f>IFERROR(__xludf.DUMMYFUNCTION("""COMPUTED_VALUE"""),"{""regular"":[{""days"":[""Mo"",""Tu"",""We"",""Th"",""Fr"",""Sa"",""Su""],""open"":""00:00"",""close"":""23:59""}]}")</f>
        <v>{"regular":[{"days":["Mo","Tu","We","Th","Fr","Sa","Su"],"open":"00:00","close":"23:59"}]}</v>
      </c>
      <c r="L680" s="9" t="str">
        <f>IFERROR(__xludf.DUMMYFUNCTION("""COMPUTED_VALUE"""),"Apply online")</f>
        <v>Apply online</v>
      </c>
      <c r="M680" s="10">
        <f>IFERROR(__xludf.DUMMYFUNCTION("""COMPUTED_VALUE"""),36.0)</f>
        <v>36</v>
      </c>
      <c r="N680" s="10" t="str">
        <f>IFERROR(__xludf.DUMMYFUNCTION("""COMPUTED_VALUE"""),"Medical - Bill Payment")</f>
        <v>Medical - Bill Payment</v>
      </c>
      <c r="O680" s="10">
        <f>IFERROR(__xludf.DUMMYFUNCTION("""COMPUTED_VALUE"""),1.0)</f>
        <v>1</v>
      </c>
      <c r="P680" s="10" t="str">
        <f>IFERROR(__xludf.DUMMYFUNCTION("""COMPUTED_VALUE"""),"ACTIVE")</f>
        <v>ACTIVE</v>
      </c>
      <c r="Q680" s="11"/>
      <c r="R680" s="9" t="str">
        <f>IFERROR(__xludf.DUMMYFUNCTION("""COMPUTED_VALUE"""),"Verified online")</f>
        <v>Verified online</v>
      </c>
      <c r="S680" s="9" t="str">
        <f>IFERROR(__xludf.DUMMYFUNCTION("""COMPUTED_VALUE"""),"Financial assistance for patients in active treatment for breast cancer.
Applicant or spouse must have been working at the time of diagnosis and be able to show loss of income due to the breast cancer diagnosis.
Must meet income guidelines and have been d"&amp;"iagnosed with breast cancer within two years of applying for assistance with the Pink Fund.
Check eligibility and apply online.
A charitable patient assistance foundation.
")</f>
        <v>Financial assistance for patients in active treatment for breast cancer.
Applicant or spouse must have been working at the time of diagnosis and be able to show loss of income due to the breast cancer diagnosis.
Must meet income guidelines and have been diagnosed with breast cancer within two years of applying for assistance with the Pink Fund.
Check eligibility and apply online.
A charitable patient assistance foundation.
</v>
      </c>
      <c r="T680" s="12" t="b">
        <f>IFERROR(__xludf.DUMMYFUNCTION("""COMPUTED_VALUE"""),FALSE)</f>
        <v>0</v>
      </c>
      <c r="U680" s="12" t="b">
        <f>IFERROR(__xludf.DUMMYFUNCTION("""COMPUTED_VALUE"""),FALSE)</f>
        <v>0</v>
      </c>
      <c r="V680" s="13" t="str">
        <f>IFERROR(__xludf.DUMMYFUNCTION("""COMPUTED_VALUE"""),"https://apply.pinkfund.org/qualification/intro")</f>
        <v>https://apply.pinkfund.org/qualification/intro</v>
      </c>
      <c r="W680" s="14" t="str">
        <f>IFERROR(__xludf.DUMMYFUNCTION("""COMPUTED_VALUE"""),"https://www.google.com/maps/place/Southfield,+MI+48037/@42.4869961,-83.2687969,16z/data=!3m1!4b1!4m6!3m5!1s0x8824b7dd5fdd06a9:0xbbe824566e584419!8m2!3d42.4869968!4d-83.2636363!16s%2Fm%2F07nqt03?entry=ttu&amp;g_ep=EgoyMDI2MDEyMC4wIKXMDSoKLDEwMDc5MjA2OUgBUAM%3D")</f>
        <v>https://www.google.com/maps/place/Southfield,+MI+48037/@42.4869961,-83.2687969,16z/data=!3m1!4b1!4m6!3m5!1s0x8824b7dd5fdd06a9:0xbbe824566e584419!8m2!3d42.4869968!4d-83.2636363!16s%2Fm%2F07nqt03?entry=ttu&amp;g_ep=EgoyMDI2MDEyMC4wIKXMDSoKLDEwMDc5MjA2OUgBUAM%3D</v>
      </c>
      <c r="X680" s="10"/>
      <c r="Y680" s="9" t="str">
        <f>IFERROR(__xludf.DUMMYFUNCTION("""COMPUTED_VALUE"""),"Southfield")</f>
        <v>Southfield</v>
      </c>
      <c r="Z680" s="9" t="str">
        <f>IFERROR(__xludf.DUMMYFUNCTION("""COMPUTED_VALUE"""),"P.O. Boxes")</f>
        <v>P.O. Boxes</v>
      </c>
      <c r="AA680" s="9" t="str">
        <f>IFERROR(__xludf.DUMMYFUNCTION("""COMPUTED_VALUE"""),"Pink Fund")</f>
        <v>Pink Fund</v>
      </c>
      <c r="AB680" s="9" t="str">
        <f>IFERROR(__xludf.DUMMYFUNCTION("""COMPUTED_VALUE"""),"P.O. Boxes")</f>
        <v>P.O. Boxes</v>
      </c>
    </row>
    <row r="681" ht="30.0" customHeight="1">
      <c r="A681" s="17">
        <v>680.0</v>
      </c>
      <c r="B681" s="8" t="str">
        <f>IFERROR(__xludf.DUMMYFUNCTION("""COMPUTED_VALUE"""),"[""99999""]")</f>
        <v>["99999"]</v>
      </c>
      <c r="C681" s="9" t="str">
        <f>IFERROR(__xludf.DUMMYFUNCTION("""COMPUTED_VALUE"""),"POZ Impact Mobile Mechanic")</f>
        <v>POZ Impact Mobile Mechanic</v>
      </c>
      <c r="D681" s="9" t="str">
        <f>IFERROR(__xludf.DUMMYFUNCTION("""COMPUTED_VALUE"""),"Settegast")</f>
        <v>Settegast</v>
      </c>
      <c r="E681" s="9"/>
      <c r="F681" s="9" t="str">
        <f>IFERROR(__xludf.DUMMYFUNCTION("""COMPUTED_VALUE"""),"Houston")</f>
        <v>Houston</v>
      </c>
      <c r="G681" s="9" t="str">
        <f>IFERROR(__xludf.DUMMYFUNCTION("""COMPUTED_VALUE"""),"TX")</f>
        <v>TX</v>
      </c>
      <c r="H681" s="9" t="str">
        <f>IFERROR(__xludf.DUMMYFUNCTION("""COMPUTED_VALUE"""),"77028")</f>
        <v>77028</v>
      </c>
      <c r="I681" s="9" t="str">
        <f>IFERROR(__xludf.DUMMYFUNCTION("""COMPUTED_VALUE"""),"832-573-7274")</f>
        <v>832-573-7274</v>
      </c>
      <c r="J681" s="9" t="str">
        <f>IFERROR(__xludf.DUMMYFUNCTION("""COMPUTED_VALUE"""),"29.81825688034088, -95.27808209210907")</f>
        <v>29.81825688034088, -95.27808209210907</v>
      </c>
      <c r="K681" s="9"/>
      <c r="L681" s="9"/>
      <c r="M681" s="10">
        <f>IFERROR(__xludf.DUMMYFUNCTION("""COMPUTED_VALUE"""),65.0)</f>
        <v>65</v>
      </c>
      <c r="N681" s="10" t="str">
        <f>IFERROR(__xludf.DUMMYFUNCTION("""COMPUTED_VALUE"""),"Other")</f>
        <v>Other</v>
      </c>
      <c r="O681" s="10">
        <f>IFERROR(__xludf.DUMMYFUNCTION("""COMPUTED_VALUE"""),1.0)</f>
        <v>1</v>
      </c>
      <c r="P681" s="10" t="str">
        <f>IFERROR(__xludf.DUMMYFUNCTION("""COMPUTED_VALUE"""),"ACTIVE")</f>
        <v>ACTIVE</v>
      </c>
      <c r="Q681" s="11">
        <f>IFERROR(__xludf.DUMMYFUNCTION("""COMPUTED_VALUE"""),45856.0)</f>
        <v>45856</v>
      </c>
      <c r="R681" s="9" t="str">
        <f>IFERROR(__xludf.DUMMYFUNCTION("""COMPUTED_VALUE"""),"Verified online")</f>
        <v>Verified online</v>
      </c>
      <c r="S681" s="9" t="str">
        <f>IFERROR(__xludf.DUMMYFUNCTION("""COMPUTED_VALUE"""),"Auto repair and maintenance for financially struggling individuals.")</f>
        <v>Auto repair and maintenance for financially struggling individuals.</v>
      </c>
      <c r="T681" s="12" t="b">
        <f>IFERROR(__xludf.DUMMYFUNCTION("""COMPUTED_VALUE"""),FALSE)</f>
        <v>0</v>
      </c>
      <c r="U681" s="12" t="b">
        <f>IFERROR(__xludf.DUMMYFUNCTION("""COMPUTED_VALUE"""),FALSE)</f>
        <v>0</v>
      </c>
      <c r="V681" s="13" t="str">
        <f>IFERROR(__xludf.DUMMYFUNCTION("""COMPUTED_VALUE"""),"https://www.pozimpact.org")</f>
        <v>https://www.pozimpact.org</v>
      </c>
      <c r="W681" s="14" t="str">
        <f>IFERROR(__xludf.DUMMYFUNCTION("""COMPUTED_VALUE"""),"https://www.google.com/maps/place/Settegast,+Houston,+TX+77028/@29.8155206,-95.2895838,15z/data=!3m1!4b1!4m6!3m5!1s0x8640bbae2057c609:0x52165e6a6f16f5e0!8m2!3d29.8153817!4d-95.2809519!16s%2Fg%2F1hhxv8jpb?entry=ttu&amp;g_ep=EgoyMDI1MDcxNi4wIKXMDSoASAFQAw%3D%3D")</f>
        <v>https://www.google.com/maps/place/Settegast,+Houston,+TX+77028/@29.8155206,-95.2895838,15z/data=!3m1!4b1!4m6!3m5!1s0x8640bbae2057c609:0x52165e6a6f16f5e0!8m2!3d29.8153817!4d-95.2809519!16s%2Fg%2F1hhxv8jpb?entry=ttu&amp;g_ep=EgoyMDI1MDcxNi4wIKXMDSoASAFQAw%3D%3D</v>
      </c>
      <c r="X681" s="10"/>
      <c r="Y681" s="9" t="str">
        <f>IFERROR(__xludf.DUMMYFUNCTION("""COMPUTED_VALUE"""),"Houston")</f>
        <v>Houston</v>
      </c>
      <c r="Z681" s="9" t="str">
        <f>IFERROR(__xludf.DUMMYFUNCTION("""COMPUTED_VALUE"""),"East Houston, Northside, Settegast")</f>
        <v>East Houston, Northside, Settegast</v>
      </c>
      <c r="AA681" s="9" t="str">
        <f>IFERROR(__xludf.DUMMYFUNCTION("""COMPUTED_VALUE"""),"POZ Impact Mobile Mechanic")</f>
        <v>POZ Impact Mobile Mechanic</v>
      </c>
      <c r="AB681" s="9" t="str">
        <f>IFERROR(__xludf.DUMMYFUNCTION("""COMPUTED_VALUE"""),"Settegast")</f>
        <v>Settegast</v>
      </c>
    </row>
    <row r="682" ht="30.0" customHeight="1">
      <c r="A682" s="17">
        <v>681.0</v>
      </c>
      <c r="B682" s="8" t="str">
        <f>IFERROR(__xludf.DUMMYFUNCTION("""COMPUTED_VALUE"""),"[""99999""]")</f>
        <v>["99999"]</v>
      </c>
      <c r="C682" s="9" t="str">
        <f>IFERROR(__xludf.DUMMYFUNCTION("""COMPUTED_VALUE"""),"Presbyterian Children's Homes and Services")</f>
        <v>Presbyterian Children's Homes and Services</v>
      </c>
      <c r="D682" s="9" t="str">
        <f>IFERROR(__xludf.DUMMYFUNCTION("""COMPUTED_VALUE"""),"5020 W Belfort Drive")</f>
        <v>5020 W Belfort Drive</v>
      </c>
      <c r="E682" s="9"/>
      <c r="F682" s="9" t="str">
        <f>IFERROR(__xludf.DUMMYFUNCTION("""COMPUTED_VALUE"""),"Houston")</f>
        <v>Houston</v>
      </c>
      <c r="G682" s="9" t="str">
        <f>IFERROR(__xludf.DUMMYFUNCTION("""COMPUTED_VALUE"""),"TX")</f>
        <v>TX</v>
      </c>
      <c r="H682" s="9" t="str">
        <f>IFERROR(__xludf.DUMMYFUNCTION("""COMPUTED_VALUE"""),"77035")</f>
        <v>77035</v>
      </c>
      <c r="I682" s="9" t="str">
        <f>IFERROR(__xludf.DUMMYFUNCTION("""COMPUTED_VALUE"""),"800-888-1904
713-723-3976")</f>
        <v>800-888-1904
713-723-3976</v>
      </c>
      <c r="J682" s="9" t="str">
        <f>IFERROR(__xludf.DUMMYFUNCTION("""COMPUTED_VALUE"""),"29.694079771364656, -95.46720088914002")</f>
        <v>29.694079771364656, -95.46720088914002</v>
      </c>
      <c r="K682" s="9" t="str">
        <f>IFERROR(__xludf.DUMMYFUNCTION("""COMPUTED_VALUE"""),"{""regular"":[{""days"":[""Mo"",""Tu"",""We"",""Th"",""Fr""],""open"":null,""close"":null}]}")</f>
        <v>{"regular":[{"days":["Mo","Tu","We","Th","Fr"],"open":null,"close":null}]}</v>
      </c>
      <c r="L682" s="9"/>
      <c r="M682" s="10">
        <f>IFERROR(__xludf.DUMMYFUNCTION("""COMPUTED_VALUE"""),24.0)</f>
        <v>24</v>
      </c>
      <c r="N682" s="10" t="str">
        <f>IFERROR(__xludf.DUMMYFUNCTION("""COMPUTED_VALUE"""),"Housing")</f>
        <v>Housing</v>
      </c>
      <c r="O682" s="10">
        <f>IFERROR(__xludf.DUMMYFUNCTION("""COMPUTED_VALUE"""),1.0)</f>
        <v>1</v>
      </c>
      <c r="P682" s="10" t="str">
        <f>IFERROR(__xludf.DUMMYFUNCTION("""COMPUTED_VALUE"""),"ACTIVE")</f>
        <v>ACTIVE</v>
      </c>
      <c r="Q682" s="11">
        <f>IFERROR(__xludf.DUMMYFUNCTION("""COMPUTED_VALUE"""),45793.0)</f>
        <v>45793</v>
      </c>
      <c r="R682" s="9" t="str">
        <f>IFERROR(__xludf.DUMMYFUNCTION("""COMPUTED_VALUE"""),"Verified online")</f>
        <v>Verified online</v>
      </c>
      <c r="S682" s="9" t="str">
        <f>IFERROR(__xludf.DUMMYFUNCTION("""COMPUTED_VALUE"""),"Long term residential program for single parent families.
This is not an emergency shelter.
Clients are only accepting through an application, interview and assessment process.  To apply call the the toll free number.
In addition to housing, program cover"&amp;"s employment assistance, educational and vocational help, counseling, money management and life skills, parenting classes and assistance with obtaining food stamps and health insurance.")</f>
        <v>Long term residential program for single parent families.
This is not an emergency shelter.
Clients are only accepting through an application, interview and assessment process.  To apply call the the toll free number.
In addition to housing, program covers employment assistance, educational and vocational help, counseling, money management and life skills, parenting classes and assistance with obtaining food stamps and health insurance.</v>
      </c>
      <c r="T682" s="12" t="b">
        <f>IFERROR(__xludf.DUMMYFUNCTION("""COMPUTED_VALUE"""),FALSE)</f>
        <v>0</v>
      </c>
      <c r="U682" s="12" t="b">
        <f>IFERROR(__xludf.DUMMYFUNCTION("""COMPUTED_VALUE"""),FALSE)</f>
        <v>0</v>
      </c>
      <c r="V682" s="13" t="str">
        <f>IFERROR(__xludf.DUMMYFUNCTION("""COMPUTED_VALUE"""),"https://www.pchas.org/what-we-do/single-parent-family")</f>
        <v>https://www.pchas.org/what-we-do/single-parent-family</v>
      </c>
      <c r="W682" s="14" t="str">
        <f>IFERROR(__xludf.DUMMYFUNCTION("""COMPUTED_VALUE"""),"https://www.google.com/maps/place/St.+John's+Presbyterian+Church/@29.6687136,-95.4699797,17z/data=!4m15!1m8!3m7!1s0x8640ea0589afac6d:0xe49f7e32934aec1b!2s5020+W+Bellfort+Ave,+Houston,+TX+77035!3b1!8m2!3d29.668709!4d-95.4674048!16s%2Fg%2F11cpgq59hw!3m5!1s0"&amp;"x8640ea0f6c4bfb13:0x71341dab24cb490e!8m2!3d29.6686021!4d-95.4674609!16s%2Fg%2F1tdzgcw3?entry=ttu&amp;g_ep=EgoyMDI1MDUxMS4wIKXMDSoASAFQAw%3D%3D")</f>
        <v>https://www.google.com/maps/place/St.+John's+Presbyterian+Church/@29.6687136,-95.4699797,17z/data=!4m15!1m8!3m7!1s0x8640ea0589afac6d:0xe49f7e32934aec1b!2s5020+W+Bellfort+Ave,+Houston,+TX+77035!3b1!8m2!3d29.668709!4d-95.4674048!16s%2Fg%2F11cpgq59hw!3m5!1s0x8640ea0f6c4bfb13:0x71341dab24cb490e!8m2!3d29.6686021!4d-95.4674609!16s%2Fg%2F1tdzgcw3?entry=ttu&amp;g_ep=EgoyMDI1MDUxMS4wIKXMDSoASAFQAw%3D%3D</v>
      </c>
      <c r="X682" s="10"/>
      <c r="Y682" s="9" t="str">
        <f>IFERROR(__xludf.DUMMYFUNCTION("""COMPUTED_VALUE"""),"Houston")</f>
        <v>Houston</v>
      </c>
      <c r="Z682" s="9" t="str">
        <f>IFERROR(__xludf.DUMMYFUNCTION("""COMPUTED_VALUE"""),"Bellaire, Brays Oaks, Fondren Gardens, Westbury, Willow Meadows/ Willowbend Area, Willowbend")</f>
        <v>Bellaire, Brays Oaks, Fondren Gardens, Westbury, Willow Meadows/ Willowbend Area, Willowbend</v>
      </c>
      <c r="AA682" s="9" t="str">
        <f>IFERROR(__xludf.DUMMYFUNCTION("""COMPUTED_VALUE"""),"Presbyterian Children's Homes and Services")</f>
        <v>Presbyterian Children's Homes and Services</v>
      </c>
      <c r="AB682" s="9" t="str">
        <f>IFERROR(__xludf.DUMMYFUNCTION("""COMPUTED_VALUE"""),"Bellaire")</f>
        <v>Bellaire</v>
      </c>
    </row>
    <row r="683" ht="30.0" customHeight="1">
      <c r="A683" s="17">
        <v>682.0</v>
      </c>
      <c r="B683" s="8" t="str">
        <f>IFERROR(__xludf.DUMMYFUNCTION("""COMPUTED_VALUE"""),"[""77064"", ""77066"", ""77069"", ""77070""]")</f>
        <v>["77064", "77066", "77069", "77070"]</v>
      </c>
      <c r="C683" s="9" t="str">
        <f>IFERROR(__xludf.DUMMYFUNCTION("""COMPUTED_VALUE"""),"Prince of Peace")</f>
        <v>Prince of Peace</v>
      </c>
      <c r="D683" s="9" t="str">
        <f>IFERROR(__xludf.DUMMYFUNCTION("""COMPUTED_VALUE"""),"19222 TX-249")</f>
        <v>19222 TX-249</v>
      </c>
      <c r="E683" s="9"/>
      <c r="F683" s="9" t="str">
        <f>IFERROR(__xludf.DUMMYFUNCTION("""COMPUTED_VALUE"""),"Houston")</f>
        <v>Houston</v>
      </c>
      <c r="G683" s="9" t="str">
        <f>IFERROR(__xludf.DUMMYFUNCTION("""COMPUTED_VALUE"""),"TX")</f>
        <v>TX</v>
      </c>
      <c r="H683" s="9" t="str">
        <f>IFERROR(__xludf.DUMMYFUNCTION("""COMPUTED_VALUE"""),"77070")</f>
        <v>77070</v>
      </c>
      <c r="I683" s="9" t="str">
        <f>IFERROR(__xludf.DUMMYFUNCTION("""COMPUTED_VALUE"""),"281-469-2686")</f>
        <v>281-469-2686</v>
      </c>
      <c r="J683" s="9" t="str">
        <f>IFERROR(__xludf.DUMMYFUNCTION("""COMPUTED_VALUE"""),"29.9738215, -95.5620351")</f>
        <v>29.9738215, -95.5620351</v>
      </c>
      <c r="K683" s="9"/>
      <c r="L683" s="9"/>
      <c r="M683" s="10">
        <f>IFERROR(__xludf.DUMMYFUNCTION("""COMPUTED_VALUE"""),11.0)</f>
        <v>11</v>
      </c>
      <c r="N683" s="10" t="str">
        <f>IFERROR(__xludf.DUMMYFUNCTION("""COMPUTED_VALUE"""),"Rent")</f>
        <v>Rent</v>
      </c>
      <c r="O683" s="10">
        <f>IFERROR(__xludf.DUMMYFUNCTION("""COMPUTED_VALUE"""),1.0)</f>
        <v>1</v>
      </c>
      <c r="P683" s="10" t="str">
        <f>IFERROR(__xludf.DUMMYFUNCTION("""COMPUTED_VALUE"""),"ACTIVE")</f>
        <v>ACTIVE</v>
      </c>
      <c r="Q683" s="11">
        <f>IFERROR(__xludf.DUMMYFUNCTION("""COMPUTED_VALUE"""),45758.0)</f>
        <v>45758</v>
      </c>
      <c r="R683" s="9"/>
      <c r="S683" s="9" t="str">
        <f>IFERROR(__xludf.DUMMYFUNCTION("""COMPUTED_VALUE"""),"Sign up for interview online.
Note financial assistance zip codes are different from food assistance.
ID for all members of household.
Lease agreement.
Proof of current emergency.
Three day Vacate of Eviction Notice.")</f>
        <v>Sign up for interview online.
Note financial assistance zip codes are different from food assistance.
ID for all members of household.
Lease agreement.
Proof of current emergency.
Three day Vacate of Eviction Notice.</v>
      </c>
      <c r="T683" s="12" t="b">
        <f>IFERROR(__xludf.DUMMYFUNCTION("""COMPUTED_VALUE"""),FALSE)</f>
        <v>0</v>
      </c>
      <c r="U683" s="12" t="b">
        <f>IFERROR(__xludf.DUMMYFUNCTION("""COMPUTED_VALUE"""),FALSE)</f>
        <v>0</v>
      </c>
      <c r="V683" s="13" t="str">
        <f>IFERROR(__xludf.DUMMYFUNCTION("""COMPUTED_VALUE"""),"https://www.pophouston.org/necessities/")</f>
        <v>https://www.pophouston.org/necessities/</v>
      </c>
      <c r="W683" s="14" t="str">
        <f>IFERROR(__xludf.DUMMYFUNCTION("""COMPUTED_VALUE"""),"https://maps.google.com/?q=Prince%20of%20Peace%2019222%20TX-249%20Houston%20TX%2077070")</f>
        <v>https://maps.google.com/?q=Prince%20of%20Peace%2019222%20TX-249%20Houston%20TX%2077070</v>
      </c>
      <c r="X683" s="10"/>
      <c r="Y683" s="9" t="str">
        <f>IFERROR(__xludf.DUMMYFUNCTION("""COMPUTED_VALUE"""),"Houston")</f>
        <v>Houston</v>
      </c>
      <c r="Z683" s="9" t="str">
        <f>IFERROR(__xludf.DUMMYFUNCTION("""COMPUTED_VALUE"""),"Champion Forest, Mill Ridge North, Willowbrook")</f>
        <v>Champion Forest, Mill Ridge North, Willowbrook</v>
      </c>
      <c r="AA683" s="9" t="str">
        <f>IFERROR(__xludf.DUMMYFUNCTION("""COMPUTED_VALUE"""),"Prince of Peace")</f>
        <v>Prince of Peace</v>
      </c>
      <c r="AB683" s="9" t="str">
        <f>IFERROR(__xludf.DUMMYFUNCTION("""COMPUTED_VALUE"""),"Willowbrook")</f>
        <v>Willowbrook</v>
      </c>
    </row>
    <row r="684" ht="30.0" customHeight="1">
      <c r="A684" s="17">
        <v>683.0</v>
      </c>
      <c r="B684" s="8" t="str">
        <f>IFERROR(__xludf.DUMMYFUNCTION("""COMPUTED_VALUE"""),"[""77064"", ""77066"", ""77069"", ""77070""]")</f>
        <v>["77064", "77066", "77069", "77070"]</v>
      </c>
      <c r="C684" s="9" t="str">
        <f>IFERROR(__xludf.DUMMYFUNCTION("""COMPUTED_VALUE"""),"Prince of Peace")</f>
        <v>Prince of Peace</v>
      </c>
      <c r="D684" s="9" t="str">
        <f>IFERROR(__xludf.DUMMYFUNCTION("""COMPUTED_VALUE"""),"19222 TX-249")</f>
        <v>19222 TX-249</v>
      </c>
      <c r="E684" s="9"/>
      <c r="F684" s="9" t="str">
        <f>IFERROR(__xludf.DUMMYFUNCTION("""COMPUTED_VALUE"""),"Houston")</f>
        <v>Houston</v>
      </c>
      <c r="G684" s="9" t="str">
        <f>IFERROR(__xludf.DUMMYFUNCTION("""COMPUTED_VALUE"""),"TX")</f>
        <v>TX</v>
      </c>
      <c r="H684" s="9" t="str">
        <f>IFERROR(__xludf.DUMMYFUNCTION("""COMPUTED_VALUE"""),"77070")</f>
        <v>77070</v>
      </c>
      <c r="I684" s="9" t="str">
        <f>IFERROR(__xludf.DUMMYFUNCTION("""COMPUTED_VALUE"""),"281-469-2686")</f>
        <v>281-469-2686</v>
      </c>
      <c r="J684" s="9" t="str">
        <f>IFERROR(__xludf.DUMMYFUNCTION("""COMPUTED_VALUE"""),"29.9738215, -95.5620351")</f>
        <v>29.9738215, -95.5620351</v>
      </c>
      <c r="K684" s="9"/>
      <c r="L684" s="9"/>
      <c r="M684" s="10">
        <f>IFERROR(__xludf.DUMMYFUNCTION("""COMPUTED_VALUE"""),12.0)</f>
        <v>12</v>
      </c>
      <c r="N684" s="10" t="str">
        <f>IFERROR(__xludf.DUMMYFUNCTION("""COMPUTED_VALUE"""),"Utilities")</f>
        <v>Utilities</v>
      </c>
      <c r="O684" s="10">
        <f>IFERROR(__xludf.DUMMYFUNCTION("""COMPUTED_VALUE"""),1.0)</f>
        <v>1</v>
      </c>
      <c r="P684" s="10" t="str">
        <f>IFERROR(__xludf.DUMMYFUNCTION("""COMPUTED_VALUE"""),"ACTIVE")</f>
        <v>ACTIVE</v>
      </c>
      <c r="Q684" s="11">
        <f>IFERROR(__xludf.DUMMYFUNCTION("""COMPUTED_VALUE"""),45758.0)</f>
        <v>45758</v>
      </c>
      <c r="R684" s="9"/>
      <c r="S684" s="9" t="str">
        <f>IFERROR(__xludf.DUMMYFUNCTION("""COMPUTED_VALUE"""),"Sign up for interview online.
Note financial assistance zip codes are different from food assistance.
ID for all members of household.
Lease agreement.
Proof of current emergency.
Copy of bill.")</f>
        <v>Sign up for interview online.
Note financial assistance zip codes are different from food assistance.
ID for all members of household.
Lease agreement.
Proof of current emergency.
Copy of bill.</v>
      </c>
      <c r="T684" s="12" t="b">
        <f>IFERROR(__xludf.DUMMYFUNCTION("""COMPUTED_VALUE"""),FALSE)</f>
        <v>0</v>
      </c>
      <c r="U684" s="12" t="b">
        <f>IFERROR(__xludf.DUMMYFUNCTION("""COMPUTED_VALUE"""),FALSE)</f>
        <v>0</v>
      </c>
      <c r="V684" s="13" t="str">
        <f>IFERROR(__xludf.DUMMYFUNCTION("""COMPUTED_VALUE"""),"https://www.pophouston.org/necessities/")</f>
        <v>https://www.pophouston.org/necessities/</v>
      </c>
      <c r="W684" s="14" t="str">
        <f>IFERROR(__xludf.DUMMYFUNCTION("""COMPUTED_VALUE"""),"https://maps.google.com/?q=Prince%20of%20Peace%2019222%20TX-249%20Houston%20TX%2077070")</f>
        <v>https://maps.google.com/?q=Prince%20of%20Peace%2019222%20TX-249%20Houston%20TX%2077070</v>
      </c>
      <c r="X684" s="10"/>
      <c r="Y684" s="9" t="str">
        <f>IFERROR(__xludf.DUMMYFUNCTION("""COMPUTED_VALUE"""),"Houston")</f>
        <v>Houston</v>
      </c>
      <c r="Z684" s="9" t="str">
        <f>IFERROR(__xludf.DUMMYFUNCTION("""COMPUTED_VALUE"""),"Champion Forest, Mill Ridge North, Willowbrook")</f>
        <v>Champion Forest, Mill Ridge North, Willowbrook</v>
      </c>
      <c r="AA684" s="9" t="str">
        <f>IFERROR(__xludf.DUMMYFUNCTION("""COMPUTED_VALUE"""),"Prince of Peace")</f>
        <v>Prince of Peace</v>
      </c>
      <c r="AB684" s="9" t="str">
        <f>IFERROR(__xludf.DUMMYFUNCTION("""COMPUTED_VALUE"""),"Willowbrook")</f>
        <v>Willowbrook</v>
      </c>
    </row>
    <row r="685" ht="30.0" customHeight="1">
      <c r="A685" s="17">
        <v>684.0</v>
      </c>
      <c r="B685" s="8" t="str">
        <f>IFERROR(__xludf.DUMMYFUNCTION("""COMPUTED_VALUE"""),"[""77064"", ""77066"", ""77069"", ""77070""]")</f>
        <v>["77064", "77066", "77069", "77070"]</v>
      </c>
      <c r="C685" s="9" t="str">
        <f>IFERROR(__xludf.DUMMYFUNCTION("""COMPUTED_VALUE"""),"Prince of Peace")</f>
        <v>Prince of Peace</v>
      </c>
      <c r="D685" s="9" t="str">
        <f>IFERROR(__xludf.DUMMYFUNCTION("""COMPUTED_VALUE"""),"19222 TX-249")</f>
        <v>19222 TX-249</v>
      </c>
      <c r="E685" s="9"/>
      <c r="F685" s="9" t="str">
        <f>IFERROR(__xludf.DUMMYFUNCTION("""COMPUTED_VALUE"""),"Houston")</f>
        <v>Houston</v>
      </c>
      <c r="G685" s="9" t="str">
        <f>IFERROR(__xludf.DUMMYFUNCTION("""COMPUTED_VALUE"""),"TX")</f>
        <v>TX</v>
      </c>
      <c r="H685" s="9" t="str">
        <f>IFERROR(__xludf.DUMMYFUNCTION("""COMPUTED_VALUE"""),"77070")</f>
        <v>77070</v>
      </c>
      <c r="I685" s="9" t="str">
        <f>IFERROR(__xludf.DUMMYFUNCTION("""COMPUTED_VALUE"""),"281-469-2686")</f>
        <v>281-469-2686</v>
      </c>
      <c r="J685" s="9" t="str">
        <f>IFERROR(__xludf.DUMMYFUNCTION("""COMPUTED_VALUE"""),"29.9738215, -95.5620351")</f>
        <v>29.9738215, -95.5620351</v>
      </c>
      <c r="K685" s="9" t="str">
        <f>IFERROR(__xludf.DUMMYFUNCTION("""COMPUTED_VALUE"""),"{""regular"":[{""days"":[""Tu"",""We"",""Th""],""open"":""10:00"",""close"":""13:00""},{""days"":[""Fr""],""open"":""10:00"",""close"":""11:30""}]}")</f>
        <v>{"regular":[{"days":["Tu","We","Th"],"open":"10:00","close":"13:00"},{"days":["Fr"],"open":"10:00","close":"11:30"}]}</v>
      </c>
      <c r="L685" s="9"/>
      <c r="M685" s="10">
        <f>IFERROR(__xludf.DUMMYFUNCTION("""COMPUTED_VALUE"""),13.0)</f>
        <v>13</v>
      </c>
      <c r="N685" s="10" t="str">
        <f>IFERROR(__xludf.DUMMYFUNCTION("""COMPUTED_VALUE"""),"Food")</f>
        <v>Food</v>
      </c>
      <c r="O685" s="10">
        <f>IFERROR(__xludf.DUMMYFUNCTION("""COMPUTED_VALUE"""),1.0)</f>
        <v>1</v>
      </c>
      <c r="P685" s="10" t="str">
        <f>IFERROR(__xludf.DUMMYFUNCTION("""COMPUTED_VALUE"""),"ACTIVE")</f>
        <v>ACTIVE</v>
      </c>
      <c r="Q685" s="11"/>
      <c r="R685" s="9"/>
      <c r="S685" s="9" t="str">
        <f>IFERROR(__xludf.DUMMYFUNCTION("""COMPUTED_VALUE"""),"Sign up online.")</f>
        <v>Sign up online.</v>
      </c>
      <c r="T685" s="12" t="b">
        <f>IFERROR(__xludf.DUMMYFUNCTION("""COMPUTED_VALUE"""),FALSE)</f>
        <v>0</v>
      </c>
      <c r="U685" s="12" t="b">
        <f>IFERROR(__xludf.DUMMYFUNCTION("""COMPUTED_VALUE"""),FALSE)</f>
        <v>0</v>
      </c>
      <c r="V685" s="13" t="str">
        <f>IFERROR(__xludf.DUMMYFUNCTION("""COMPUTED_VALUE"""),"https://www.pophouston.org/necessities/")</f>
        <v>https://www.pophouston.org/necessities/</v>
      </c>
      <c r="W685" s="14" t="str">
        <f>IFERROR(__xludf.DUMMYFUNCTION("""COMPUTED_VALUE"""),"https://maps.google.com/?q=Prince%20of%20Peace%2019222%20TX-249%20Houston%20TX%2077070")</f>
        <v>https://maps.google.com/?q=Prince%20of%20Peace%2019222%20TX-249%20Houston%20TX%2077070</v>
      </c>
      <c r="X685" s="10"/>
      <c r="Y685" s="9" t="str">
        <f>IFERROR(__xludf.DUMMYFUNCTION("""COMPUTED_VALUE"""),"Houston")</f>
        <v>Houston</v>
      </c>
      <c r="Z685" s="9" t="str">
        <f>IFERROR(__xludf.DUMMYFUNCTION("""COMPUTED_VALUE"""),"Champion Forest, Mill Ridge North, Willowbrook")</f>
        <v>Champion Forest, Mill Ridge North, Willowbrook</v>
      </c>
      <c r="AA685" s="9" t="str">
        <f>IFERROR(__xludf.DUMMYFUNCTION("""COMPUTED_VALUE"""),"Prince of Peace")</f>
        <v>Prince of Peace</v>
      </c>
      <c r="AB685" s="9" t="str">
        <f>IFERROR(__xludf.DUMMYFUNCTION("""COMPUTED_VALUE"""),"Willowbrook")</f>
        <v>Willowbrook</v>
      </c>
    </row>
    <row r="686" ht="30.0" customHeight="1">
      <c r="A686" s="17">
        <v>685.0</v>
      </c>
      <c r="B686" s="8" t="str">
        <f>IFERROR(__xludf.DUMMYFUNCTION("""COMPUTED_VALUE"""),"[""99999""]")</f>
        <v>["99999"]</v>
      </c>
      <c r="C686" s="9" t="str">
        <f>IFERROR(__xludf.DUMMYFUNCTION("""COMPUTED_VALUE"""),"Project One Day")</f>
        <v>Project One Day</v>
      </c>
      <c r="D686" s="9" t="str">
        <f>IFERROR(__xludf.DUMMYFUNCTION("""COMPUTED_VALUE"""),"7000 Bellaire Blvd")</f>
        <v>7000 Bellaire Blvd</v>
      </c>
      <c r="E686" s="9"/>
      <c r="F686" s="9" t="str">
        <f>IFERROR(__xludf.DUMMYFUNCTION("""COMPUTED_VALUE"""),"Houston")</f>
        <v>Houston</v>
      </c>
      <c r="G686" s="9" t="str">
        <f>IFERROR(__xludf.DUMMYFUNCTION("""COMPUTED_VALUE"""),"TX")</f>
        <v>TX</v>
      </c>
      <c r="H686" s="9" t="str">
        <f>IFERROR(__xludf.DUMMYFUNCTION("""COMPUTED_VALUE"""),"77074")</f>
        <v>77074</v>
      </c>
      <c r="I686" s="9"/>
      <c r="J686" s="9" t="str">
        <f>IFERROR(__xludf.DUMMYFUNCTION("""COMPUTED_VALUE"""),"29.7040757714286, -95.5068695714286")</f>
        <v>29.7040757714286, -95.5068695714286</v>
      </c>
      <c r="K686" s="9" t="str">
        <f>IFERROR(__xludf.DUMMYFUNCTION("""COMPUTED_VALUE"""),"{""regular"":[{""days"":[""Mo"",""Tu"",""We"",""Th"",""Fr""],""open"":null,""close"":null}]}")</f>
        <v>{"regular":[{"days":["Mo","Tu","We","Th","Fr"],"open":null,"close":null}]}</v>
      </c>
      <c r="L686" s="9"/>
      <c r="M686" s="10">
        <f>IFERROR(__xludf.DUMMYFUNCTION("""COMPUTED_VALUE"""),44.0)</f>
        <v>44</v>
      </c>
      <c r="N686" s="10" t="str">
        <f>IFERROR(__xludf.DUMMYFUNCTION("""COMPUTED_VALUE"""),"Mother &amp; Child")</f>
        <v>Mother &amp; Child</v>
      </c>
      <c r="O686" s="10">
        <f>IFERROR(__xludf.DUMMYFUNCTION("""COMPUTED_VALUE"""),1.0)</f>
        <v>1</v>
      </c>
      <c r="P686" s="10" t="str">
        <f>IFERROR(__xludf.DUMMYFUNCTION("""COMPUTED_VALUE"""),"ACTIVE")</f>
        <v>ACTIVE</v>
      </c>
      <c r="Q686" s="11">
        <f>IFERROR(__xludf.DUMMYFUNCTION("""COMPUTED_VALUE"""),45761.0)</f>
        <v>45761</v>
      </c>
      <c r="R686" s="9" t="str">
        <f>IFERROR(__xludf.DUMMYFUNCTION("""COMPUTED_VALUE"""),"SVdP Church Help for Moms Ministry")</f>
        <v>SVdP Church Help for Moms Ministry</v>
      </c>
      <c r="S686" s="9" t="str">
        <f>IFERROR(__xludf.DUMMYFUNCTION("""COMPUTED_VALUE"""),"Childcare
Facility for children between ages of six weeks and four years.
Parents volunteer one day a week to receive 40 hours of free childcare.
Free training is provided and takes 30 classroom hours to complete.
Apply online")</f>
        <v>Childcare
Facility for children between ages of six weeks and four years.
Parents volunteer one day a week to receive 40 hours of free childcare.
Free training is provided and takes 30 classroom hours to complete.
Apply online</v>
      </c>
      <c r="T686" s="12" t="b">
        <f>IFERROR(__xludf.DUMMYFUNCTION("""COMPUTED_VALUE"""),FALSE)</f>
        <v>0</v>
      </c>
      <c r="U686" s="12" t="b">
        <f>IFERROR(__xludf.DUMMYFUNCTION("""COMPUTED_VALUE"""),FALSE)</f>
        <v>0</v>
      </c>
      <c r="V686" s="13" t="str">
        <f>IFERROR(__xludf.DUMMYFUNCTION("""COMPUTED_VALUE"""),"https://www.podhouston.org/")</f>
        <v>https://www.podhouston.org/</v>
      </c>
      <c r="W686" s="10"/>
      <c r="X686" s="10"/>
      <c r="Y686" s="9" t="str">
        <f>IFERROR(__xludf.DUMMYFUNCTION("""COMPUTED_VALUE"""),"Houston")</f>
        <v>Houston</v>
      </c>
      <c r="Z686" s="9" t="str">
        <f>IFERROR(__xludf.DUMMYFUNCTION("""COMPUTED_VALUE"""),"Braeburn, Robindell, Sharpstown")</f>
        <v>Braeburn, Robindell, Sharpstown</v>
      </c>
      <c r="AA686" s="9" t="str">
        <f>IFERROR(__xludf.DUMMYFUNCTION("""COMPUTED_VALUE"""),"Project One Day")</f>
        <v>Project One Day</v>
      </c>
      <c r="AB686" s="9" t="str">
        <f>IFERROR(__xludf.DUMMYFUNCTION("""COMPUTED_VALUE"""),"Sharpstown")</f>
        <v>Sharpstown</v>
      </c>
    </row>
    <row r="687" ht="30.0" customHeight="1">
      <c r="A687" s="17">
        <v>686.0</v>
      </c>
      <c r="B687" s="8" t="str">
        <f>IFERROR(__xludf.DUMMYFUNCTION("""COMPUTED_VALUE"""),"[""77568""]")</f>
        <v>["77568"]</v>
      </c>
      <c r="C687" s="9" t="str">
        <f>IFERROR(__xludf.DUMMYFUNCTION("""COMPUTED_VALUE"""),"Queen of Peace LaMarque")</f>
        <v>Queen of Peace LaMarque</v>
      </c>
      <c r="D687" s="9" t="str">
        <f>IFERROR(__xludf.DUMMYFUNCTION("""COMPUTED_VALUE"""),"1224 Cedar Drive")</f>
        <v>1224 Cedar Drive</v>
      </c>
      <c r="E687" s="9"/>
      <c r="F687" s="9" t="str">
        <f>IFERROR(__xludf.DUMMYFUNCTION("""COMPUTED_VALUE"""),"La Marque")</f>
        <v>La Marque</v>
      </c>
      <c r="G687" s="9" t="str">
        <f>IFERROR(__xludf.DUMMYFUNCTION("""COMPUTED_VALUE"""),"TX")</f>
        <v>TX</v>
      </c>
      <c r="H687" s="9" t="str">
        <f>IFERROR(__xludf.DUMMYFUNCTION("""COMPUTED_VALUE"""),"77568")</f>
        <v>77568</v>
      </c>
      <c r="I687" s="9" t="str">
        <f>IFERROR(__xludf.DUMMYFUNCTION("""COMPUTED_VALUE"""),"409-938-7000")</f>
        <v>409-938-7000</v>
      </c>
      <c r="J687" s="9" t="str">
        <f>IFERROR(__xludf.DUMMYFUNCTION("""COMPUTED_VALUE"""),"29.3702104285714, -94.9666921020408")</f>
        <v>29.3702104285714, -94.9666921020408</v>
      </c>
      <c r="K687" s="9" t="str">
        <f>IFERROR(__xludf.DUMMYFUNCTION("""COMPUTED_VALUE"""),"{""regular"":[{""days"":[""Mo"",""Tu"",""We"",""Th""],""open"":""09:00"",""close"":""12:00""}]}")</f>
        <v>{"regular":[{"days":["Mo","Tu","We","Th"],"open":"09:00","close":"12:00"}]}</v>
      </c>
      <c r="L687" s="9"/>
      <c r="M687" s="10">
        <f>IFERROR(__xludf.DUMMYFUNCTION("""COMPUTED_VALUE"""),11.0)</f>
        <v>11</v>
      </c>
      <c r="N687" s="10" t="str">
        <f>IFERROR(__xludf.DUMMYFUNCTION("""COMPUTED_VALUE"""),"Rent")</f>
        <v>Rent</v>
      </c>
      <c r="O687" s="10">
        <f>IFERROR(__xludf.DUMMYFUNCTION("""COMPUTED_VALUE"""),1.0)</f>
        <v>1</v>
      </c>
      <c r="P687" s="10" t="str">
        <f>IFERROR(__xludf.DUMMYFUNCTION("""COMPUTED_VALUE"""),"ACTIVE")</f>
        <v>ACTIVE</v>
      </c>
      <c r="Q687" s="11"/>
      <c r="R687" s="9"/>
      <c r="S687" s="9"/>
      <c r="T687" s="12" t="b">
        <f>IFERROR(__xludf.DUMMYFUNCTION("""COMPUTED_VALUE"""),FALSE)</f>
        <v>0</v>
      </c>
      <c r="U687" s="12" t="b">
        <f>IFERROR(__xludf.DUMMYFUNCTION("""COMPUTED_VALUE"""),FALSE)</f>
        <v>0</v>
      </c>
      <c r="V687" s="13" t="str">
        <f>IFERROR(__xludf.DUMMYFUNCTION("""COMPUTED_VALUE"""),"https://www.queenofpeacelamarque.org/")</f>
        <v>https://www.queenofpeacelamarque.org/</v>
      </c>
      <c r="W687" s="14" t="str">
        <f>IFERROR(__xludf.DUMMYFUNCTION("""COMPUTED_VALUE"""),"https://maps.google.com/?q=Queen%20of%20Peace%20LaMarque%201224%20Cedar%20Dr%20La%20Marque%20TX%2077568")</f>
        <v>https://maps.google.com/?q=Queen%20of%20Peace%20LaMarque%201224%20Cedar%20Dr%20La%20Marque%20TX%2077568</v>
      </c>
      <c r="X687" s="10"/>
      <c r="Y687" s="9" t="str">
        <f>IFERROR(__xludf.DUMMYFUNCTION("""COMPUTED_VALUE"""),"La Marque")</f>
        <v>La Marque</v>
      </c>
      <c r="Z687" s="9" t="str">
        <f>IFERROR(__xludf.DUMMYFUNCTION("""COMPUTED_VALUE"""),"La Marque")</f>
        <v>La Marque</v>
      </c>
      <c r="AA687" s="9" t="str">
        <f>IFERROR(__xludf.DUMMYFUNCTION("""COMPUTED_VALUE"""),"Queen of Peace LaMarque")</f>
        <v>Queen of Peace LaMarque</v>
      </c>
      <c r="AB687" s="9" t="str">
        <f>IFERROR(__xludf.DUMMYFUNCTION("""COMPUTED_VALUE"""),"La Marque")</f>
        <v>La Marque</v>
      </c>
    </row>
    <row r="688" ht="30.0" customHeight="1">
      <c r="A688" s="17">
        <v>687.0</v>
      </c>
      <c r="B688" s="8" t="str">
        <f>IFERROR(__xludf.DUMMYFUNCTION("""COMPUTED_VALUE"""),"[""77568""]")</f>
        <v>["77568"]</v>
      </c>
      <c r="C688" s="9" t="str">
        <f>IFERROR(__xludf.DUMMYFUNCTION("""COMPUTED_VALUE"""),"Queen of Peace LaMarque")</f>
        <v>Queen of Peace LaMarque</v>
      </c>
      <c r="D688" s="9" t="str">
        <f>IFERROR(__xludf.DUMMYFUNCTION("""COMPUTED_VALUE"""),"1224 Cedar Drive")</f>
        <v>1224 Cedar Drive</v>
      </c>
      <c r="E688" s="9"/>
      <c r="F688" s="9" t="str">
        <f>IFERROR(__xludf.DUMMYFUNCTION("""COMPUTED_VALUE"""),"La Marque")</f>
        <v>La Marque</v>
      </c>
      <c r="G688" s="9" t="str">
        <f>IFERROR(__xludf.DUMMYFUNCTION("""COMPUTED_VALUE"""),"TX")</f>
        <v>TX</v>
      </c>
      <c r="H688" s="9" t="str">
        <f>IFERROR(__xludf.DUMMYFUNCTION("""COMPUTED_VALUE"""),"77568")</f>
        <v>77568</v>
      </c>
      <c r="I688" s="9" t="str">
        <f>IFERROR(__xludf.DUMMYFUNCTION("""COMPUTED_VALUE"""),"409-938-7000")</f>
        <v>409-938-7000</v>
      </c>
      <c r="J688" s="9" t="str">
        <f>IFERROR(__xludf.DUMMYFUNCTION("""COMPUTED_VALUE"""),"29.3702104285714, -94.9666921020408")</f>
        <v>29.3702104285714, -94.9666921020408</v>
      </c>
      <c r="K688" s="9" t="str">
        <f>IFERROR(__xludf.DUMMYFUNCTION("""COMPUTED_VALUE"""),"{""regular"":[{""days"":[""Mo"",""Tu"",""We"",""Th""],""open"":""09:00"",""close"":""12:00""}]}")</f>
        <v>{"regular":[{"days":["Mo","Tu","We","Th"],"open":"09:00","close":"12:00"}]}</v>
      </c>
      <c r="L688" s="9"/>
      <c r="M688" s="10">
        <f>IFERROR(__xludf.DUMMYFUNCTION("""COMPUTED_VALUE"""),12.0)</f>
        <v>12</v>
      </c>
      <c r="N688" s="10" t="str">
        <f>IFERROR(__xludf.DUMMYFUNCTION("""COMPUTED_VALUE"""),"Utilities")</f>
        <v>Utilities</v>
      </c>
      <c r="O688" s="10">
        <f>IFERROR(__xludf.DUMMYFUNCTION("""COMPUTED_VALUE"""),1.0)</f>
        <v>1</v>
      </c>
      <c r="P688" s="10" t="str">
        <f>IFERROR(__xludf.DUMMYFUNCTION("""COMPUTED_VALUE"""),"ACTIVE")</f>
        <v>ACTIVE</v>
      </c>
      <c r="Q688" s="11"/>
      <c r="R688" s="9"/>
      <c r="S688" s="9"/>
      <c r="T688" s="12" t="b">
        <f>IFERROR(__xludf.DUMMYFUNCTION("""COMPUTED_VALUE"""),FALSE)</f>
        <v>0</v>
      </c>
      <c r="U688" s="12" t="b">
        <f>IFERROR(__xludf.DUMMYFUNCTION("""COMPUTED_VALUE"""),FALSE)</f>
        <v>0</v>
      </c>
      <c r="V688" s="13" t="str">
        <f>IFERROR(__xludf.DUMMYFUNCTION("""COMPUTED_VALUE"""),"https://www.queenofpeacelamarque.org/")</f>
        <v>https://www.queenofpeacelamarque.org/</v>
      </c>
      <c r="W688" s="14" t="str">
        <f>IFERROR(__xludf.DUMMYFUNCTION("""COMPUTED_VALUE"""),"https://maps.google.com/?q=Queen%20of%20Peace%20LaMarque%201224%20Cedar%20Dr%20La%20Marque%20TX%2077568")</f>
        <v>https://maps.google.com/?q=Queen%20of%20Peace%20LaMarque%201224%20Cedar%20Dr%20La%20Marque%20TX%2077568</v>
      </c>
      <c r="X688" s="10"/>
      <c r="Y688" s="9" t="str">
        <f>IFERROR(__xludf.DUMMYFUNCTION("""COMPUTED_VALUE"""),"La Marque")</f>
        <v>La Marque</v>
      </c>
      <c r="Z688" s="9" t="str">
        <f>IFERROR(__xludf.DUMMYFUNCTION("""COMPUTED_VALUE"""),"La Marque")</f>
        <v>La Marque</v>
      </c>
      <c r="AA688" s="9" t="str">
        <f>IFERROR(__xludf.DUMMYFUNCTION("""COMPUTED_VALUE"""),"Queen of Peace LaMarque")</f>
        <v>Queen of Peace LaMarque</v>
      </c>
      <c r="AB688" s="9" t="str">
        <f>IFERROR(__xludf.DUMMYFUNCTION("""COMPUTED_VALUE"""),"La Marque")</f>
        <v>La Marque</v>
      </c>
    </row>
    <row r="689" ht="30.0" customHeight="1">
      <c r="A689" s="17">
        <v>688.0</v>
      </c>
      <c r="B689" s="8" t="str">
        <f>IFERROR(__xludf.DUMMYFUNCTION("""COMPUTED_VALUE"""),"[""77568""]")</f>
        <v>["77568"]</v>
      </c>
      <c r="C689" s="9" t="str">
        <f>IFERROR(__xludf.DUMMYFUNCTION("""COMPUTED_VALUE"""),"Queen of Peace LaMarque")</f>
        <v>Queen of Peace LaMarque</v>
      </c>
      <c r="D689" s="9" t="str">
        <f>IFERROR(__xludf.DUMMYFUNCTION("""COMPUTED_VALUE"""),"1224 Cedar Drive")</f>
        <v>1224 Cedar Drive</v>
      </c>
      <c r="E689" s="9"/>
      <c r="F689" s="9" t="str">
        <f>IFERROR(__xludf.DUMMYFUNCTION("""COMPUTED_VALUE"""),"La Marque")</f>
        <v>La Marque</v>
      </c>
      <c r="G689" s="9" t="str">
        <f>IFERROR(__xludf.DUMMYFUNCTION("""COMPUTED_VALUE"""),"TX")</f>
        <v>TX</v>
      </c>
      <c r="H689" s="9" t="str">
        <f>IFERROR(__xludf.DUMMYFUNCTION("""COMPUTED_VALUE"""),"77568")</f>
        <v>77568</v>
      </c>
      <c r="I689" s="9" t="str">
        <f>IFERROR(__xludf.DUMMYFUNCTION("""COMPUTED_VALUE"""),"409-938-7000")</f>
        <v>409-938-7000</v>
      </c>
      <c r="J689" s="9" t="str">
        <f>IFERROR(__xludf.DUMMYFUNCTION("""COMPUTED_VALUE"""),"29.3702104285714, -94.9666921020408")</f>
        <v>29.3702104285714, -94.9666921020408</v>
      </c>
      <c r="K689" s="9" t="str">
        <f>IFERROR(__xludf.DUMMYFUNCTION("""COMPUTED_VALUE"""),"{""regular"":[{""days"":[""Mo"",""Tu"",""We"",""Th""],""open"":""09:00"",""close"":""12:00""}]}")</f>
        <v>{"regular":[{"days":["Mo","Tu","We","Th"],"open":"09:00","close":"12:00"}]}</v>
      </c>
      <c r="L689" s="9"/>
      <c r="M689" s="10">
        <f>IFERROR(__xludf.DUMMYFUNCTION("""COMPUTED_VALUE"""),13.0)</f>
        <v>13</v>
      </c>
      <c r="N689" s="10" t="str">
        <f>IFERROR(__xludf.DUMMYFUNCTION("""COMPUTED_VALUE"""),"Food")</f>
        <v>Food</v>
      </c>
      <c r="O689" s="10">
        <f>IFERROR(__xludf.DUMMYFUNCTION("""COMPUTED_VALUE"""),1.0)</f>
        <v>1</v>
      </c>
      <c r="P689" s="10" t="str">
        <f>IFERROR(__xludf.DUMMYFUNCTION("""COMPUTED_VALUE"""),"ACTIVE")</f>
        <v>ACTIVE</v>
      </c>
      <c r="Q689" s="11"/>
      <c r="R689" s="9"/>
      <c r="S689" s="9"/>
      <c r="T689" s="12" t="b">
        <f>IFERROR(__xludf.DUMMYFUNCTION("""COMPUTED_VALUE"""),FALSE)</f>
        <v>0</v>
      </c>
      <c r="U689" s="12" t="b">
        <f>IFERROR(__xludf.DUMMYFUNCTION("""COMPUTED_VALUE"""),FALSE)</f>
        <v>0</v>
      </c>
      <c r="V689" s="13" t="str">
        <f>IFERROR(__xludf.DUMMYFUNCTION("""COMPUTED_VALUE"""),"https://www.queenofpeacelamarque.org/")</f>
        <v>https://www.queenofpeacelamarque.org/</v>
      </c>
      <c r="W689" s="14" t="str">
        <f>IFERROR(__xludf.DUMMYFUNCTION("""COMPUTED_VALUE"""),"https://maps.google.com/?q=Queen%20of%20Peace%20LaMarque%201224%20Cedar%20Dr%20La%20Marque%20TX%2077568")</f>
        <v>https://maps.google.com/?q=Queen%20of%20Peace%20LaMarque%201224%20Cedar%20Dr%20La%20Marque%20TX%2077568</v>
      </c>
      <c r="X689" s="10"/>
      <c r="Y689" s="9" t="str">
        <f>IFERROR(__xludf.DUMMYFUNCTION("""COMPUTED_VALUE"""),"La Marque")</f>
        <v>La Marque</v>
      </c>
      <c r="Z689" s="9" t="str">
        <f>IFERROR(__xludf.DUMMYFUNCTION("""COMPUTED_VALUE"""),"La Marque")</f>
        <v>La Marque</v>
      </c>
      <c r="AA689" s="9" t="str">
        <f>IFERROR(__xludf.DUMMYFUNCTION("""COMPUTED_VALUE"""),"Queen of Peace LaMarque")</f>
        <v>Queen of Peace LaMarque</v>
      </c>
      <c r="AB689" s="9" t="str">
        <f>IFERROR(__xludf.DUMMYFUNCTION("""COMPUTED_VALUE"""),"La Marque")</f>
        <v>La Marque</v>
      </c>
    </row>
    <row r="690" ht="30.0" customHeight="1">
      <c r="A690" s="17">
        <v>689.0</v>
      </c>
      <c r="B690" s="8" t="str">
        <f>IFERROR(__xludf.DUMMYFUNCTION("""COMPUTED_VALUE"""),"[""99999""]")</f>
        <v>["99999"]</v>
      </c>
      <c r="C690" s="9" t="str">
        <f>IFERROR(__xludf.DUMMYFUNCTION("""COMPUTED_VALUE"""),"Rainbow of Love")</f>
        <v>Rainbow of Love</v>
      </c>
      <c r="D690" s="9" t="str">
        <f>IFERROR(__xludf.DUMMYFUNCTION("""COMPUTED_VALUE"""),"10103 Fondren Road")</f>
        <v>10103 Fondren Road</v>
      </c>
      <c r="E690" s="9"/>
      <c r="F690" s="9" t="str">
        <f>IFERROR(__xludf.DUMMYFUNCTION("""COMPUTED_VALUE"""),"Houston")</f>
        <v>Houston</v>
      </c>
      <c r="G690" s="9" t="str">
        <f>IFERROR(__xludf.DUMMYFUNCTION("""COMPUTED_VALUE"""),"TX")</f>
        <v>TX</v>
      </c>
      <c r="H690" s="9" t="str">
        <f>IFERROR(__xludf.DUMMYFUNCTION("""COMPUTED_VALUE"""),"77096")</f>
        <v>77096</v>
      </c>
      <c r="I690" s="9" t="str">
        <f>IFERROR(__xludf.DUMMYFUNCTION("""COMPUTED_VALUE"""),"713-779-8877")</f>
        <v>713-779-8877</v>
      </c>
      <c r="J690" s="9" t="str">
        <f>IFERROR(__xludf.DUMMYFUNCTION("""COMPUTED_VALUE"""),"29.669409637695818, -95.50807288121864")</f>
        <v>29.669409637695818, -95.50807288121864</v>
      </c>
      <c r="K690" s="9" t="str">
        <f>IFERROR(__xludf.DUMMYFUNCTION("""COMPUTED_VALUE"""),"{""regular"":[{""days"":[""Mo"",""Tu"",""We"",""Th"",""Fr""],""open"":""08:00"",""close"":""17:00""}]}")</f>
        <v>{"regular":[{"days":["Mo","Tu","We","Th","Fr"],"open":"08:00","close":"17:00"}]}</v>
      </c>
      <c r="L690" s="9" t="str">
        <f>IFERROR(__xludf.DUMMYFUNCTION("""COMPUTED_VALUE"""),"Offices hours.  Services are 24/7")</f>
        <v>Offices hours.  Services are 24/7</v>
      </c>
      <c r="M690" s="10">
        <f>IFERROR(__xludf.DUMMYFUNCTION("""COMPUTED_VALUE"""),21.0)</f>
        <v>21</v>
      </c>
      <c r="N690" s="10" t="str">
        <f>IFERROR(__xludf.DUMMYFUNCTION("""COMPUTED_VALUE"""),"Homeless - Shelters")</f>
        <v>Homeless - Shelters</v>
      </c>
      <c r="O690" s="10">
        <f>IFERROR(__xludf.DUMMYFUNCTION("""COMPUTED_VALUE"""),1.0)</f>
        <v>1</v>
      </c>
      <c r="P690" s="10" t="str">
        <f>IFERROR(__xludf.DUMMYFUNCTION("""COMPUTED_VALUE"""),"ACTIVE")</f>
        <v>ACTIVE</v>
      </c>
      <c r="Q690" s="11">
        <f>IFERROR(__xludf.DUMMYFUNCTION("""COMPUTED_VALUE"""),45941.0)</f>
        <v>45941</v>
      </c>
      <c r="R690" s="9"/>
      <c r="S690" s="9" t="str">
        <f>IFERROR(__xludf.DUMMYFUNCTION("""COMPUTED_VALUE"""),"Coalition For the Homeless (CFTH) Partner
Operates ROLhouse for youths aged 1 to 17 years.
Services include temporary shelter, meals, hygiene kits, medical care, mental health services.
Educational support, tutoring, financial literacy, job readiness and "&amp;"personal development.
Family mediation and crisis intervention and counseling.
Access to long term or transitional housing programs.")</f>
        <v>Coalition For the Homeless (CFTH) Partner
Operates ROLhouse for youths aged 1 to 17 years.
Services include temporary shelter, meals, hygiene kits, medical care, mental health services.
Educational support, tutoring, financial literacy, job readiness and personal development.
Family mediation and crisis intervention and counseling.
Access to long term or transitional housing programs.</v>
      </c>
      <c r="T690" s="12" t="b">
        <f>IFERROR(__xludf.DUMMYFUNCTION("""COMPUTED_VALUE"""),FALSE)</f>
        <v>0</v>
      </c>
      <c r="U690" s="12" t="b">
        <f>IFERROR(__xludf.DUMMYFUNCTION("""COMPUTED_VALUE"""),FALSE)</f>
        <v>0</v>
      </c>
      <c r="V690" s="13" t="str">
        <f>IFERROR(__xludf.DUMMYFUNCTION("""COMPUTED_VALUE"""),"https://rainbowofloveusa.org/programs/")</f>
        <v>https://rainbowofloveusa.org/programs/</v>
      </c>
      <c r="W690" s="14" t="str">
        <f>IFERROR(__xludf.DUMMYFUNCTION("""COMPUTED_VALUE"""),"https://www.google.com/maps/place/Rainbow+of+Love/@29.6690647,-95.5105405,16z/data=!3m1!4b1!4m6!3m5!1s0x8640e9d98aa414a7:0xc99cf4ee3eef4e84!8m2!3d29.6690601!4d-95.5079656!16s%2Fg%2F1tk239w_?entry=ttu&amp;g_ep=EgoyMDI1MTAwOC4wIKXMDSoASAFQAw%3D%3D")</f>
        <v>https://www.google.com/maps/place/Rainbow+of+Love/@29.6690647,-95.5105405,16z/data=!3m1!4b1!4m6!3m5!1s0x8640e9d98aa414a7:0xc99cf4ee3eef4e84!8m2!3d29.6690601!4d-95.5079656!16s%2Fg%2F1tk239w_?entry=ttu&amp;g_ep=EgoyMDI1MTAwOC4wIKXMDSoASAFQAw%3D%3D</v>
      </c>
      <c r="X690" s="10"/>
      <c r="Y690" s="9" t="str">
        <f>IFERROR(__xludf.DUMMYFUNCTION("""COMPUTED_VALUE"""),"Houston")</f>
        <v>Houston</v>
      </c>
      <c r="Z690" s="9" t="str">
        <f>IFERROR(__xludf.DUMMYFUNCTION("""COMPUTED_VALUE"""),"Brays Oaks, Meyerland, Westbury, Willow Meadows")</f>
        <v>Brays Oaks, Meyerland, Westbury, Willow Meadows</v>
      </c>
      <c r="AA690" s="9" t="str">
        <f>IFERROR(__xludf.DUMMYFUNCTION("""COMPUTED_VALUE"""),"Rainbow of Love")</f>
        <v>Rainbow of Love</v>
      </c>
      <c r="AB690" s="9" t="str">
        <f>IFERROR(__xludf.DUMMYFUNCTION("""COMPUTED_VALUE"""),"Brays Oaks")</f>
        <v>Brays Oaks</v>
      </c>
    </row>
    <row r="691" ht="30.0" customHeight="1">
      <c r="A691" s="17">
        <v>690.0</v>
      </c>
      <c r="B691" s="8" t="str">
        <f>IFERROR(__xludf.DUMMYFUNCTION("""COMPUTED_VALUE"""),"[""99999""]")</f>
        <v>["99999"]</v>
      </c>
      <c r="C691" s="9" t="str">
        <f>IFERROR(__xludf.DUMMYFUNCTION("""COMPUTED_VALUE"""),"Refugee &amp; Immigrant Center for Education and Legal Services (RAICES)")</f>
        <v>Refugee &amp; Immigrant Center for Education and Legal Services (RAICES)</v>
      </c>
      <c r="D691" s="9" t="str">
        <f>IFERROR(__xludf.DUMMYFUNCTION("""COMPUTED_VALUE"""),"1900 St James Place")</f>
        <v>1900 St James Place</v>
      </c>
      <c r="E691" s="9" t="str">
        <f>IFERROR(__xludf.DUMMYFUNCTION("""COMPUTED_VALUE"""),"Suite 450")</f>
        <v>Suite 450</v>
      </c>
      <c r="F691" s="9" t="str">
        <f>IFERROR(__xludf.DUMMYFUNCTION("""COMPUTED_VALUE"""),"Houston")</f>
        <v>Houston</v>
      </c>
      <c r="G691" s="9" t="str">
        <f>IFERROR(__xludf.DUMMYFUNCTION("""COMPUTED_VALUE"""),"TX")</f>
        <v>TX</v>
      </c>
      <c r="H691" s="9" t="str">
        <f>IFERROR(__xludf.DUMMYFUNCTION("""COMPUTED_VALUE"""),"77056")</f>
        <v>77056</v>
      </c>
      <c r="I691" s="9" t="str">
        <f>IFERROR(__xludf.DUMMYFUNCTION("""COMPUTED_VALUE"""),"833-372-4237")</f>
        <v>833-372-4237</v>
      </c>
      <c r="J691" s="9" t="str">
        <f>IFERROR(__xludf.DUMMYFUNCTION("""COMPUTED_VALUE"""),"29.746969, -95.473211")</f>
        <v>29.746969, -95.473211</v>
      </c>
      <c r="K691" s="9" t="str">
        <f>IFERROR(__xludf.DUMMYFUNCTION("""COMPUTED_VALUE"""),"{""regular"":[{""days"":[""Mo"",""Tu"",""We"",""Th"",""Fr""],""open"":null,""close"":null}]}")</f>
        <v>{"regular":[{"days":["Mo","Tu","We","Th","Fr"],"open":null,"close":null}]}</v>
      </c>
      <c r="L691" s="9"/>
      <c r="M691" s="10">
        <f>IFERROR(__xludf.DUMMYFUNCTION("""COMPUTED_VALUE"""),55.0)</f>
        <v>55</v>
      </c>
      <c r="N691" s="10" t="str">
        <f>IFERROR(__xludf.DUMMYFUNCTION("""COMPUTED_VALUE"""),"Immigration")</f>
        <v>Immigration</v>
      </c>
      <c r="O691" s="10">
        <f>IFERROR(__xludf.DUMMYFUNCTION("""COMPUTED_VALUE"""),1.0)</f>
        <v>1</v>
      </c>
      <c r="P691" s="10" t="str">
        <f>IFERROR(__xludf.DUMMYFUNCTION("""COMPUTED_VALUE"""),"ACTIVE")</f>
        <v>ACTIVE</v>
      </c>
      <c r="Q691" s="11">
        <f>IFERROR(__xludf.DUMMYFUNCTION("""COMPUTED_VALUE"""),45757.0)</f>
        <v>45757</v>
      </c>
      <c r="R691" s="9"/>
      <c r="S691" s="9"/>
      <c r="T691" s="12" t="b">
        <f>IFERROR(__xludf.DUMMYFUNCTION("""COMPUTED_VALUE"""),FALSE)</f>
        <v>0</v>
      </c>
      <c r="U691" s="12" t="b">
        <f>IFERROR(__xludf.DUMMYFUNCTION("""COMPUTED_VALUE"""),FALSE)</f>
        <v>0</v>
      </c>
      <c r="V691" s="13" t="str">
        <f>IFERROR(__xludf.DUMMYFUNCTION("""COMPUTED_VALUE"""),"https://www.raicestexas.org/legal")</f>
        <v>https://www.raicestexas.org/legal</v>
      </c>
      <c r="W691" s="10"/>
      <c r="X691" s="10"/>
      <c r="Y691" s="9" t="str">
        <f>IFERROR(__xludf.DUMMYFUNCTION("""COMPUTED_VALUE"""),"Houston")</f>
        <v>Houston</v>
      </c>
      <c r="Z691" s="9" t="str">
        <f>IFERROR(__xludf.DUMMYFUNCTION("""COMPUTED_VALUE"""),"Galleria, Tanglewood, Uptown, Westside")</f>
        <v>Galleria, Tanglewood, Uptown, Westside</v>
      </c>
      <c r="AA691" s="9" t="str">
        <f>IFERROR(__xludf.DUMMYFUNCTION("""COMPUTED_VALUE"""),"Refugee &amp; Immigrant Center for Education and Legal Services (RAICES)")</f>
        <v>Refugee &amp; Immigrant Center for Education and Legal Services (RAICES)</v>
      </c>
      <c r="AB691" s="9" t="str">
        <f>IFERROR(__xludf.DUMMYFUNCTION("""COMPUTED_VALUE"""),"Westside")</f>
        <v>Westside</v>
      </c>
    </row>
    <row r="692" ht="30.0" customHeight="1">
      <c r="A692" s="17">
        <v>691.0</v>
      </c>
      <c r="B692" s="8" t="str">
        <f>IFERROR(__xludf.DUMMYFUNCTION("""COMPUTED_VALUE"""),"[""99999""]")</f>
        <v>["99999"]</v>
      </c>
      <c r="C692" s="9" t="str">
        <f>IFERROR(__xludf.DUMMYFUNCTION("""COMPUTED_VALUE"""),"Rehabilitation Services Volunteer Project (RSVP)")</f>
        <v>Rehabilitation Services Volunteer Project (RSVP)</v>
      </c>
      <c r="D692" s="9" t="str">
        <f>IFERROR(__xludf.DUMMYFUNCTION("""COMPUTED_VALUE"""),"9551 Fannin Street")</f>
        <v>9551 Fannin Street</v>
      </c>
      <c r="E692" s="9"/>
      <c r="F692" s="9" t="str">
        <f>IFERROR(__xludf.DUMMYFUNCTION("""COMPUTED_VALUE"""),"Houston")</f>
        <v>Houston</v>
      </c>
      <c r="G692" s="9" t="str">
        <f>IFERROR(__xludf.DUMMYFUNCTION("""COMPUTED_VALUE"""),"TX")</f>
        <v>TX</v>
      </c>
      <c r="H692" s="9" t="str">
        <f>IFERROR(__xludf.DUMMYFUNCTION("""COMPUTED_VALUE"""),"77030")</f>
        <v>77030</v>
      </c>
      <c r="I692" s="9" t="str">
        <f>IFERROR(__xludf.DUMMYFUNCTION("""COMPUTED_VALUE"""),"855-825-7787")</f>
        <v>855-825-7787</v>
      </c>
      <c r="J692" s="9" t="str">
        <f>IFERROR(__xludf.DUMMYFUNCTION("""COMPUTED_VALUE"""),"29.6643033659053, -95.4026496250862")</f>
        <v>29.6643033659053, -95.4026496250862</v>
      </c>
      <c r="K692" s="9" t="str">
        <f>IFERROR(__xludf.DUMMYFUNCTION("""COMPUTED_VALUE"""),"{""special"":[{""pattern"":""1st &amp; 3rd Sa"",""open"":null,""close"":null}]}")</f>
        <v>{"special":[{"pattern":"1st &amp; 3rd Sa","open":null,"close":null}]}</v>
      </c>
      <c r="L692" s="9" t="str">
        <f>IFERROR(__xludf.DUMMYFUNCTION("""COMPUTED_VALUE"""),"Appointment required")</f>
        <v>Appointment required</v>
      </c>
      <c r="M692" s="10">
        <f>IFERROR(__xludf.DUMMYFUNCTION("""COMPUTED_VALUE"""),31.0)</f>
        <v>31</v>
      </c>
      <c r="N692" s="10" t="str">
        <f>IFERROR(__xludf.DUMMYFUNCTION("""COMPUTED_VALUE"""),"Medical - Primary Care")</f>
        <v>Medical - Primary Care</v>
      </c>
      <c r="O692" s="10">
        <f>IFERROR(__xludf.DUMMYFUNCTION("""COMPUTED_VALUE"""),1.0)</f>
        <v>1</v>
      </c>
      <c r="P692" s="10" t="str">
        <f>IFERROR(__xludf.DUMMYFUNCTION("""COMPUTED_VALUE"""),"ACTIVE")</f>
        <v>ACTIVE</v>
      </c>
      <c r="Q692" s="11">
        <f>IFERROR(__xludf.DUMMYFUNCTION("""COMPUTED_VALUE"""),45816.0)</f>
        <v>45816</v>
      </c>
      <c r="R692" s="9" t="str">
        <f>IFERROR(__xludf.DUMMYFUNCTION("""COMPUTED_VALUE"""),"Verified online")</f>
        <v>Verified online</v>
      </c>
      <c r="S692" s="9" t="str">
        <f>IFERROR(__xludf.DUMMYFUNCTION("""COMPUTED_VALUE"""),"Free of charge physical, speech and occupational therapies for patients with traumatic brain injuries, strokes, spinal cord injuries and amputations only.
Services are free of charge and by appointment only.
Donation of gently used medical equipment based"&amp;" on availability.  Call to inquire about availability and schedule an appointment.
Their website also has videos on how to maintain and assemble some medical equipment.")</f>
        <v>Free of charge physical, speech and occupational therapies for patients with traumatic brain injuries, strokes, spinal cord injuries and amputations only.
Services are free of charge and by appointment only.
Donation of gently used medical equipment based on availability.  Call to inquire about availability and schedule an appointment.
Their website also has videos on how to maintain and assemble some medical equipment.</v>
      </c>
      <c r="T692" s="12" t="b">
        <f>IFERROR(__xludf.DUMMYFUNCTION("""COMPUTED_VALUE"""),FALSE)</f>
        <v>0</v>
      </c>
      <c r="U692" s="12" t="b">
        <f>IFERROR(__xludf.DUMMYFUNCTION("""COMPUTED_VALUE"""),FALSE)</f>
        <v>0</v>
      </c>
      <c r="V692" s="13" t="str">
        <f>IFERROR(__xludf.DUMMYFUNCTION("""COMPUTED_VALUE"""),"https://www.rsvptexas.org/")</f>
        <v>https://www.rsvptexas.org/</v>
      </c>
      <c r="W692" s="10"/>
      <c r="X692" s="10"/>
      <c r="Y692" s="9" t="str">
        <f>IFERROR(__xludf.DUMMYFUNCTION("""COMPUTED_VALUE"""),"Houston")</f>
        <v>Houston</v>
      </c>
      <c r="Z692" s="9" t="str">
        <f>IFERROR(__xludf.DUMMYFUNCTION("""COMPUTED_VALUE"""),"Central Southwest, Houston Museum District, South Central Houston, Southgate, Texas Medical Center")</f>
        <v>Central Southwest, Houston Museum District, South Central Houston, Southgate, Texas Medical Center</v>
      </c>
      <c r="AA692" s="9" t="str">
        <f>IFERROR(__xludf.DUMMYFUNCTION("""COMPUTED_VALUE"""),"Rehabilitation Services Volunteer Project (RSVP)")</f>
        <v>Rehabilitation Services Volunteer Project (RSVP)</v>
      </c>
      <c r="AB692" s="9" t="str">
        <f>IFERROR(__xludf.DUMMYFUNCTION("""COMPUTED_VALUE"""),"Central Southwest")</f>
        <v>Central Southwest</v>
      </c>
    </row>
    <row r="693" ht="30.0" customHeight="1">
      <c r="A693" s="17">
        <v>692.0</v>
      </c>
      <c r="B693" s="8" t="str">
        <f>IFERROR(__xludf.DUMMYFUNCTION("""COMPUTED_VALUE"""),"[""99999""]")</f>
        <v>["99999"]</v>
      </c>
      <c r="C693" s="9" t="str">
        <f>IFERROR(__xludf.DUMMYFUNCTION("""COMPUTED_VALUE"""),"Rejoice Counseling Apostolate")</f>
        <v>Rejoice Counseling Apostolate</v>
      </c>
      <c r="D693" s="9" t="str">
        <f>IFERROR(__xludf.DUMMYFUNCTION("""COMPUTED_VALUE"""),"1801 Sage Road")</f>
        <v>1801 Sage Road</v>
      </c>
      <c r="E693" s="9"/>
      <c r="F693" s="9" t="str">
        <f>IFERROR(__xludf.DUMMYFUNCTION("""COMPUTED_VALUE"""),"Houston")</f>
        <v>Houston</v>
      </c>
      <c r="G693" s="9" t="str">
        <f>IFERROR(__xludf.DUMMYFUNCTION("""COMPUTED_VALUE"""),"TX")</f>
        <v>TX</v>
      </c>
      <c r="H693" s="9" t="str">
        <f>IFERROR(__xludf.DUMMYFUNCTION("""COMPUTED_VALUE"""),"77056")</f>
        <v>77056</v>
      </c>
      <c r="I693" s="9" t="str">
        <f>IFERROR(__xludf.DUMMYFUNCTION("""COMPUTED_VALUE"""),"844-295-3167")</f>
        <v>844-295-3167</v>
      </c>
      <c r="J693" s="9" t="str">
        <f>IFERROR(__xludf.DUMMYFUNCTION("""COMPUTED_VALUE"""),"29.748979509434, -95.4672613207547")</f>
        <v>29.748979509434, -95.4672613207547</v>
      </c>
      <c r="K693" s="9" t="str">
        <f>IFERROR(__xludf.DUMMYFUNCTION("""COMPUTED_VALUE"""),"{""regular"":[{""days"":[""Mo"",""Tu"",""We"",""Th"",""Fr"",""Sa"",""Su""],""open"":null,""close"":null}]}")</f>
        <v>{"regular":[{"days":["Mo","Tu","We","Th","Fr","Sa","Su"],"open":null,"close":null}]}</v>
      </c>
      <c r="L693" s="9"/>
      <c r="M693" s="10">
        <f>IFERROR(__xludf.DUMMYFUNCTION("""COMPUTED_VALUE"""),33.0)</f>
        <v>33</v>
      </c>
      <c r="N693" s="10" t="str">
        <f>IFERROR(__xludf.DUMMYFUNCTION("""COMPUTED_VALUE"""),"Medical - Behavioral Health")</f>
        <v>Medical - Behavioral Health</v>
      </c>
      <c r="O693" s="10">
        <f>IFERROR(__xludf.DUMMYFUNCTION("""COMPUTED_VALUE"""),1.0)</f>
        <v>1</v>
      </c>
      <c r="P693" s="10" t="str">
        <f>IFERROR(__xludf.DUMMYFUNCTION("""COMPUTED_VALUE"""),"ACTIVE")</f>
        <v>ACTIVE</v>
      </c>
      <c r="Q693" s="11">
        <f>IFERROR(__xludf.DUMMYFUNCTION("""COMPUTED_VALUE"""),45761.0)</f>
        <v>45761</v>
      </c>
      <c r="R693" s="9" t="str">
        <f>IFERROR(__xludf.DUMMYFUNCTION("""COMPUTED_VALUE"""),"SVdP Church Help for Moms Ministry")</f>
        <v>SVdP Church Help for Moms Ministry</v>
      </c>
      <c r="S693" s="9" t="str">
        <f>IFERROR(__xludf.DUMMYFUNCTION("""COMPUTED_VALUE"""),"Wide Range of Counseling Services
Mental Health")</f>
        <v>Wide Range of Counseling Services
Mental Health</v>
      </c>
      <c r="T693" s="12" t="b">
        <f>IFERROR(__xludf.DUMMYFUNCTION("""COMPUTED_VALUE"""),FALSE)</f>
        <v>0</v>
      </c>
      <c r="U693" s="12" t="b">
        <f>IFERROR(__xludf.DUMMYFUNCTION("""COMPUTED_VALUE"""),FALSE)</f>
        <v>0</v>
      </c>
      <c r="V693" s="13" t="str">
        <f>IFERROR(__xludf.DUMMYFUNCTION("""COMPUTED_VALUE"""),"https://www.rejoicecounseling.com/houston-tx/")</f>
        <v>https://www.rejoicecounseling.com/houston-tx/</v>
      </c>
      <c r="W693" s="10"/>
      <c r="X693" s="10"/>
      <c r="Y693" s="9" t="str">
        <f>IFERROR(__xludf.DUMMYFUNCTION("""COMPUTED_VALUE"""),"Houston")</f>
        <v>Houston</v>
      </c>
      <c r="Z693" s="9" t="str">
        <f>IFERROR(__xludf.DUMMYFUNCTION("""COMPUTED_VALUE"""),"Galleria, Tanglewood, Uptown, Westside")</f>
        <v>Galleria, Tanglewood, Uptown, Westside</v>
      </c>
      <c r="AA693" s="9" t="str">
        <f>IFERROR(__xludf.DUMMYFUNCTION("""COMPUTED_VALUE"""),"Rejoice Counseling Apostolate")</f>
        <v>Rejoice Counseling Apostolate</v>
      </c>
      <c r="AB693" s="9" t="str">
        <f>IFERROR(__xludf.DUMMYFUNCTION("""COMPUTED_VALUE"""),"Westside")</f>
        <v>Westside</v>
      </c>
    </row>
    <row r="694" ht="30.0" customHeight="1">
      <c r="A694" s="17">
        <v>693.0</v>
      </c>
      <c r="B694" s="8" t="str">
        <f>IFERROR(__xludf.DUMMYFUNCTION("""COMPUTED_VALUE"""),"[""99999""]")</f>
        <v>["99999"]</v>
      </c>
      <c r="C694" s="9" t="str">
        <f>IFERROR(__xludf.DUMMYFUNCTION("""COMPUTED_VALUE"""),"Resource &amp; Crisis Center of Galveston County Inc.")</f>
        <v>Resource &amp; Crisis Center of Galveston County Inc.</v>
      </c>
      <c r="D694" s="9" t="str">
        <f>IFERROR(__xludf.DUMMYFUNCTION("""COMPUTED_VALUE"""),"1204 45th Street")</f>
        <v>1204 45th Street</v>
      </c>
      <c r="E694" s="9"/>
      <c r="F694" s="9" t="str">
        <f>IFERROR(__xludf.DUMMYFUNCTION("""COMPUTED_VALUE"""),"Galveston")</f>
        <v>Galveston</v>
      </c>
      <c r="G694" s="9" t="str">
        <f>IFERROR(__xludf.DUMMYFUNCTION("""COMPUTED_VALUE"""),"TX")</f>
        <v>TX</v>
      </c>
      <c r="H694" s="9" t="str">
        <f>IFERROR(__xludf.DUMMYFUNCTION("""COMPUTED_VALUE"""),"77550")</f>
        <v>77550</v>
      </c>
      <c r="I694" s="9" t="str">
        <f>IFERROR(__xludf.DUMMYFUNCTION("""COMPUTED_VALUE"""),"888-919-7233")</f>
        <v>888-919-7233</v>
      </c>
      <c r="J694" s="9" t="str">
        <f>IFERROR(__xludf.DUMMYFUNCTION("""COMPUTED_VALUE"""),"29.29150335, -94.816199566076")</f>
        <v>29.29150335, -94.816199566076</v>
      </c>
      <c r="K694" s="9" t="str">
        <f>IFERROR(__xludf.DUMMYFUNCTION("""COMPUTED_VALUE"""),"{""regular"":[{""days"":[""Mo"",""Tu"",""We"",""Th"",""Fr"",""Sa"",""Su""],""open"":""00:00"",""close"":""23:59""}]}")</f>
        <v>{"regular":[{"days":["Mo","Tu","We","Th","Fr","Sa","Su"],"open":"00:00","close":"23:59"}]}</v>
      </c>
      <c r="L694" s="9"/>
      <c r="M694" s="10">
        <f>IFERROR(__xludf.DUMMYFUNCTION("""COMPUTED_VALUE"""),41.0)</f>
        <v>41</v>
      </c>
      <c r="N694" s="10" t="str">
        <f>IFERROR(__xludf.DUMMYFUNCTION("""COMPUTED_VALUE"""),"Domestic Abuse - Shelters")</f>
        <v>Domestic Abuse - Shelters</v>
      </c>
      <c r="O694" s="10">
        <f>IFERROR(__xludf.DUMMYFUNCTION("""COMPUTED_VALUE"""),1.0)</f>
        <v>1</v>
      </c>
      <c r="P694" s="10" t="str">
        <f>IFERROR(__xludf.DUMMYFUNCTION("""COMPUTED_VALUE"""),"ACTIVE")</f>
        <v>ACTIVE</v>
      </c>
      <c r="Q694" s="11"/>
      <c r="R694" s="9"/>
      <c r="S694" s="9" t="str">
        <f>IFERROR(__xludf.DUMMYFUNCTION("""COMPUTED_VALUE"""),"Emergency Shelter
Sexual Assault Services
Case Management
Housing Advocacy
Accompaniment
Therapy Referrals
Legal Referrals-Homelessness Prevention
Career Development")</f>
        <v>Emergency Shelter
Sexual Assault Services
Case Management
Housing Advocacy
Accompaniment
Therapy Referrals
Legal Referrals-Homelessness Prevention
Career Development</v>
      </c>
      <c r="T694" s="12" t="b">
        <f>IFERROR(__xludf.DUMMYFUNCTION("""COMPUTED_VALUE"""),FALSE)</f>
        <v>0</v>
      </c>
      <c r="U694" s="12" t="b">
        <f>IFERROR(__xludf.DUMMYFUNCTION("""COMPUTED_VALUE"""),FALSE)</f>
        <v>0</v>
      </c>
      <c r="V694" s="13" t="str">
        <f>IFERROR(__xludf.DUMMYFUNCTION("""COMPUTED_VALUE"""),"https://www.rccgc.org/services")</f>
        <v>https://www.rccgc.org/services</v>
      </c>
      <c r="W694" s="10"/>
      <c r="X694" s="10"/>
      <c r="Y694" s="9" t="str">
        <f>IFERROR(__xludf.DUMMYFUNCTION("""COMPUTED_VALUE"""),"Galveston")</f>
        <v>Galveston</v>
      </c>
      <c r="Z694" s="9" t="str">
        <f>IFERROR(__xludf.DUMMYFUNCTION("""COMPUTED_VALUE"""),"Galveston")</f>
        <v>Galveston</v>
      </c>
      <c r="AA694" s="9" t="str">
        <f>IFERROR(__xludf.DUMMYFUNCTION("""COMPUTED_VALUE"""),"Resource &amp; Crisis Center of Galveston County Inc.")</f>
        <v>Resource &amp; Crisis Center of Galveston County Inc.</v>
      </c>
      <c r="AB694" s="9" t="str">
        <f>IFERROR(__xludf.DUMMYFUNCTION("""COMPUTED_VALUE"""),"Galveston")</f>
        <v>Galveston</v>
      </c>
    </row>
    <row r="695" ht="30.0" customHeight="1">
      <c r="A695" s="17">
        <v>694.0</v>
      </c>
      <c r="B695" s="8" t="str">
        <f>IFERROR(__xludf.DUMMYFUNCTION("""COMPUTED_VALUE"""),"[""99999""]")</f>
        <v>["99999"]</v>
      </c>
      <c r="C695" s="9" t="str">
        <f>IFERROR(__xludf.DUMMYFUNCTION("""COMPUTED_VALUE"""),"Riceville Mt Olive Baptist Church")</f>
        <v>Riceville Mt Olive Baptist Church</v>
      </c>
      <c r="D695" s="9" t="str">
        <f>IFERROR(__xludf.DUMMYFUNCTION("""COMPUTED_VALUE"""),"11539 South Gessner Road")</f>
        <v>11539 South Gessner Road</v>
      </c>
      <c r="E695" s="9"/>
      <c r="F695" s="9" t="str">
        <f>IFERROR(__xludf.DUMMYFUNCTION("""COMPUTED_VALUE"""),"Houston")</f>
        <v>Houston</v>
      </c>
      <c r="G695" s="9" t="str">
        <f>IFERROR(__xludf.DUMMYFUNCTION("""COMPUTED_VALUE"""),"TX")</f>
        <v>TX</v>
      </c>
      <c r="H695" s="9" t="str">
        <f>IFERROR(__xludf.DUMMYFUNCTION("""COMPUTED_VALUE"""),"77071")</f>
        <v>77071</v>
      </c>
      <c r="I695" s="9" t="str">
        <f>IFERROR(__xludf.DUMMYFUNCTION("""COMPUTED_VALUE"""),"713-778-0992")</f>
        <v>713-778-0992</v>
      </c>
      <c r="J695" s="9" t="str">
        <f>IFERROR(__xludf.DUMMYFUNCTION("""COMPUTED_VALUE"""),"29.6530821886792, -95.527891754717")</f>
        <v>29.6530821886792, -95.527891754717</v>
      </c>
      <c r="K695" s="9" t="str">
        <f>IFERROR(__xludf.DUMMYFUNCTION("""COMPUTED_VALUE"""),"{""regular"":[{""days"":[""Mo"",""Tu"",""We"",""Th"",""Fr""],""open"":""08:00"",""close"":""17:00""}]}")</f>
        <v>{"regular":[{"days":["Mo","Tu","We","Th","Fr"],"open":"08:00","close":"17:00"}]}</v>
      </c>
      <c r="L695" s="9" t="str">
        <f>IFERROR(__xludf.DUMMYFUNCTION("""COMPUTED_VALUE"""),"Online applications on 2nd Monday of each month only")</f>
        <v>Online applications on 2nd Monday of each month only</v>
      </c>
      <c r="M695" s="10">
        <f>IFERROR(__xludf.DUMMYFUNCTION("""COMPUTED_VALUE"""),11.0)</f>
        <v>11</v>
      </c>
      <c r="N695" s="10" t="str">
        <f>IFERROR(__xludf.DUMMYFUNCTION("""COMPUTED_VALUE"""),"Rent")</f>
        <v>Rent</v>
      </c>
      <c r="O695" s="10">
        <f>IFERROR(__xludf.DUMMYFUNCTION("""COMPUTED_VALUE"""),2.0)</f>
        <v>2</v>
      </c>
      <c r="P695" s="10" t="str">
        <f>IFERROR(__xludf.DUMMYFUNCTION("""COMPUTED_VALUE"""),"LIMITED")</f>
        <v>LIMITED</v>
      </c>
      <c r="Q695" s="11">
        <f>IFERROR(__xludf.DUMMYFUNCTION("""COMPUTED_VALUE"""),46078.0)</f>
        <v>46078</v>
      </c>
      <c r="R695" s="9" t="str">
        <f>IFERROR(__xludf.DUMMYFUNCTION("""COMPUTED_VALUE"""),"Verified online")</f>
        <v>Verified online</v>
      </c>
      <c r="S695" s="9" t="str">
        <f>IFERROR(__xludf.DUMMYFUNCTION("""COMPUTED_VALUE"""),"Status set to Limited because applications are only accepted one day per month
Apply online
If selected, someone will call on Wednesday with appointment date and time.
")</f>
        <v>Status set to Limited because applications are only accepted one day per month
Apply online
If selected, someone will call on Wednesday with appointment date and time.
</v>
      </c>
      <c r="T695" s="12" t="b">
        <f>IFERROR(__xludf.DUMMYFUNCTION("""COMPUTED_VALUE"""),FALSE)</f>
        <v>0</v>
      </c>
      <c r="U695" s="12" t="b">
        <f>IFERROR(__xludf.DUMMYFUNCTION("""COMPUTED_VALUE"""),FALSE)</f>
        <v>0</v>
      </c>
      <c r="V695" s="13" t="str">
        <f>IFERROR(__xludf.DUMMYFUNCTION("""COMPUTED_VALUE"""),"https://www.ricevillechurch.org/https://ricevillechurch.org/benevolence/#rent")</f>
        <v>https://www.ricevillechurch.org/https://ricevillechurch.org/benevolence/#rent</v>
      </c>
      <c r="W695" s="14" t="str">
        <f>IFERROR(__xludf.DUMMYFUNCTION("""COMPUTED_VALUE"""),"https://maps.google.com/?q=Riceville%20Mt%20Olive%20Baptist%20Church%2011539%20South%20Gessner%20Rd%20Houston%20TX%2077071")</f>
        <v>https://maps.google.com/?q=Riceville%20Mt%20Olive%20Baptist%20Church%2011539%20South%20Gessner%20Rd%20Houston%20TX%2077071</v>
      </c>
      <c r="X695" s="10"/>
      <c r="Y695" s="9" t="str">
        <f>IFERROR(__xludf.DUMMYFUNCTION("""COMPUTED_VALUE"""),"Houston")</f>
        <v>Houston</v>
      </c>
      <c r="Z695" s="9" t="str">
        <f>IFERROR(__xludf.DUMMYFUNCTION("""COMPUTED_VALUE"""),"Brays Oaks, Fondren Gardens, Westbury")</f>
        <v>Brays Oaks, Fondren Gardens, Westbury</v>
      </c>
      <c r="AA695" s="9" t="str">
        <f>IFERROR(__xludf.DUMMYFUNCTION("""COMPUTED_VALUE"""),"Riceville Mt Olive Baptist Church")</f>
        <v>Riceville Mt Olive Baptist Church</v>
      </c>
      <c r="AB695" s="9" t="str">
        <f>IFERROR(__xludf.DUMMYFUNCTION("""COMPUTED_VALUE"""),"Brays Oaks")</f>
        <v>Brays Oaks</v>
      </c>
    </row>
    <row r="696" ht="30.0" customHeight="1">
      <c r="A696" s="17">
        <v>695.0</v>
      </c>
      <c r="B696" s="8" t="str">
        <f>IFERROR(__xludf.DUMMYFUNCTION("""COMPUTED_VALUE"""),"[""99999""]")</f>
        <v>["99999"]</v>
      </c>
      <c r="C696" s="9" t="str">
        <f>IFERROR(__xludf.DUMMYFUNCTION("""COMPUTED_VALUE"""),"Riceville Mt Olive Baptist Church")</f>
        <v>Riceville Mt Olive Baptist Church</v>
      </c>
      <c r="D696" s="9" t="str">
        <f>IFERROR(__xludf.DUMMYFUNCTION("""COMPUTED_VALUE"""),"11539 South Gessner Road")</f>
        <v>11539 South Gessner Road</v>
      </c>
      <c r="E696" s="9"/>
      <c r="F696" s="9" t="str">
        <f>IFERROR(__xludf.DUMMYFUNCTION("""COMPUTED_VALUE"""),"Houston")</f>
        <v>Houston</v>
      </c>
      <c r="G696" s="9" t="str">
        <f>IFERROR(__xludf.DUMMYFUNCTION("""COMPUTED_VALUE"""),"TX")</f>
        <v>TX</v>
      </c>
      <c r="H696" s="9" t="str">
        <f>IFERROR(__xludf.DUMMYFUNCTION("""COMPUTED_VALUE"""),"77071")</f>
        <v>77071</v>
      </c>
      <c r="I696" s="9" t="str">
        <f>IFERROR(__xludf.DUMMYFUNCTION("""COMPUTED_VALUE"""),"713-778-0992")</f>
        <v>713-778-0992</v>
      </c>
      <c r="J696" s="9" t="str">
        <f>IFERROR(__xludf.DUMMYFUNCTION("""COMPUTED_VALUE"""),"29.6530821886792, -95.527891754717")</f>
        <v>29.6530821886792, -95.527891754717</v>
      </c>
      <c r="K696" s="9" t="str">
        <f>IFERROR(__xludf.DUMMYFUNCTION("""COMPUTED_VALUE"""),"{""regular"":[{""days"":[""Mo"",""Tu"",""We"",""Th"",""Fr""],""open"":""08:00"",""close"":""17:00""}]}")</f>
        <v>{"regular":[{"days":["Mo","Tu","We","Th","Fr"],"open":"08:00","close":"17:00"}]}</v>
      </c>
      <c r="L696" s="9" t="str">
        <f>IFERROR(__xludf.DUMMYFUNCTION("""COMPUTED_VALUE"""),"Online applications on 2nd Monday of each month only")</f>
        <v>Online applications on 2nd Monday of each month only</v>
      </c>
      <c r="M696" s="10">
        <f>IFERROR(__xludf.DUMMYFUNCTION("""COMPUTED_VALUE"""),12.0)</f>
        <v>12</v>
      </c>
      <c r="N696" s="10" t="str">
        <f>IFERROR(__xludf.DUMMYFUNCTION("""COMPUTED_VALUE"""),"Utilities")</f>
        <v>Utilities</v>
      </c>
      <c r="O696" s="10">
        <f>IFERROR(__xludf.DUMMYFUNCTION("""COMPUTED_VALUE"""),2.0)</f>
        <v>2</v>
      </c>
      <c r="P696" s="10" t="str">
        <f>IFERROR(__xludf.DUMMYFUNCTION("""COMPUTED_VALUE"""),"LIMITED")</f>
        <v>LIMITED</v>
      </c>
      <c r="Q696" s="11">
        <f>IFERROR(__xludf.DUMMYFUNCTION("""COMPUTED_VALUE"""),46078.0)</f>
        <v>46078</v>
      </c>
      <c r="R696" s="9" t="str">
        <f>IFERROR(__xludf.DUMMYFUNCTION("""COMPUTED_VALUE"""),"Verified online")</f>
        <v>Verified online</v>
      </c>
      <c r="S696" s="9" t="str">
        <f>IFERROR(__xludf.DUMMYFUNCTION("""COMPUTED_VALUE"""),"Status set to Limited because applications are only accepted one day per month
Apply online
If selected, someone will call on Wednesday with appointment date and time.
")</f>
        <v>Status set to Limited because applications are only accepted one day per month
Apply online
If selected, someone will call on Wednesday with appointment date and time.
</v>
      </c>
      <c r="T696" s="12" t="b">
        <f>IFERROR(__xludf.DUMMYFUNCTION("""COMPUTED_VALUE"""),FALSE)</f>
        <v>0</v>
      </c>
      <c r="U696" s="12" t="b">
        <f>IFERROR(__xludf.DUMMYFUNCTION("""COMPUTED_VALUE"""),FALSE)</f>
        <v>0</v>
      </c>
      <c r="V696" s="13" t="str">
        <f>IFERROR(__xludf.DUMMYFUNCTION("""COMPUTED_VALUE"""),"https://www.ricevillechurch.org/https://ricevillechurch.org/benevolence/#rent")</f>
        <v>https://www.ricevillechurch.org/https://ricevillechurch.org/benevolence/#rent</v>
      </c>
      <c r="W696" s="14" t="str">
        <f>IFERROR(__xludf.DUMMYFUNCTION("""COMPUTED_VALUE"""),"https://maps.google.com/?q=Riceville%20Mt%20Olive%20Baptist%20Church%2011539%20South%20Gessner%20Rd%20Houston%20TX%2077071")</f>
        <v>https://maps.google.com/?q=Riceville%20Mt%20Olive%20Baptist%20Church%2011539%20South%20Gessner%20Rd%20Houston%20TX%2077071</v>
      </c>
      <c r="X696" s="10"/>
      <c r="Y696" s="9" t="str">
        <f>IFERROR(__xludf.DUMMYFUNCTION("""COMPUTED_VALUE"""),"Houston")</f>
        <v>Houston</v>
      </c>
      <c r="Z696" s="9" t="str">
        <f>IFERROR(__xludf.DUMMYFUNCTION("""COMPUTED_VALUE"""),"Brays Oaks, Fondren Gardens, Westbury")</f>
        <v>Brays Oaks, Fondren Gardens, Westbury</v>
      </c>
      <c r="AA696" s="9" t="str">
        <f>IFERROR(__xludf.DUMMYFUNCTION("""COMPUTED_VALUE"""),"Riceville Mt Olive Baptist Church")</f>
        <v>Riceville Mt Olive Baptist Church</v>
      </c>
      <c r="AB696" s="9" t="str">
        <f>IFERROR(__xludf.DUMMYFUNCTION("""COMPUTED_VALUE"""),"Brays Oaks")</f>
        <v>Brays Oaks</v>
      </c>
    </row>
    <row r="697" ht="30.0" customHeight="1">
      <c r="A697" s="17">
        <v>696.0</v>
      </c>
      <c r="B697" s="8" t="str">
        <f>IFERROR(__xludf.DUMMYFUNCTION("""COMPUTED_VALUE"""),"[""99999""]")</f>
        <v>["99999"]</v>
      </c>
      <c r="C697" s="9" t="str">
        <f>IFERROR(__xludf.DUMMYFUNCTION("""COMPUTED_VALUE"""),"Riceville Mt Olive Baptist Church")</f>
        <v>Riceville Mt Olive Baptist Church</v>
      </c>
      <c r="D697" s="9" t="str">
        <f>IFERROR(__xludf.DUMMYFUNCTION("""COMPUTED_VALUE"""),"11231 South Gessner Road")</f>
        <v>11231 South Gessner Road</v>
      </c>
      <c r="E697" s="9"/>
      <c r="F697" s="9" t="str">
        <f>IFERROR(__xludf.DUMMYFUNCTION("""COMPUTED_VALUE"""),"Houston")</f>
        <v>Houston</v>
      </c>
      <c r="G697" s="9" t="str">
        <f>IFERROR(__xludf.DUMMYFUNCTION("""COMPUTED_VALUE"""),"TX")</f>
        <v>TX</v>
      </c>
      <c r="H697" s="9" t="str">
        <f>IFERROR(__xludf.DUMMYFUNCTION("""COMPUTED_VALUE"""),"77071")</f>
        <v>77071</v>
      </c>
      <c r="I697" s="9" t="str">
        <f>IFERROR(__xludf.DUMMYFUNCTION("""COMPUTED_VALUE"""),"713-778-0992")</f>
        <v>713-778-0992</v>
      </c>
      <c r="J697" s="9" t="str">
        <f>IFERROR(__xludf.DUMMYFUNCTION("""COMPUTED_VALUE"""),"29.65763182480788, -95.52749386768329")</f>
        <v>29.65763182480788, -95.52749386768329</v>
      </c>
      <c r="K697" s="9" t="str">
        <f>IFERROR(__xludf.DUMMYFUNCTION("""COMPUTED_VALUE"""),"{""special"":[{""pattern"":""3rd Sa"",""open"":""09:00"",""close"":""12:00""}]}")</f>
        <v>{"special":[{"pattern":"3rd Sa","open":"09:00","close":"12:00"}]}</v>
      </c>
      <c r="L697" s="9"/>
      <c r="M697" s="10">
        <f>IFERROR(__xludf.DUMMYFUNCTION("""COMPUTED_VALUE"""),13.0)</f>
        <v>13</v>
      </c>
      <c r="N697" s="10" t="str">
        <f>IFERROR(__xludf.DUMMYFUNCTION("""COMPUTED_VALUE"""),"Food")</f>
        <v>Food</v>
      </c>
      <c r="O697" s="10">
        <f>IFERROR(__xludf.DUMMYFUNCTION("""COMPUTED_VALUE"""),2.0)</f>
        <v>2</v>
      </c>
      <c r="P697" s="10" t="str">
        <f>IFERROR(__xludf.DUMMYFUNCTION("""COMPUTED_VALUE"""),"LIMITED")</f>
        <v>LIMITED</v>
      </c>
      <c r="Q697" s="11">
        <f>IFERROR(__xludf.DUMMYFUNCTION("""COMPUTED_VALUE"""),46078.0)</f>
        <v>46078</v>
      </c>
      <c r="R697" s="9" t="str">
        <f>IFERROR(__xludf.DUMMYFUNCTION("""COMPUTED_VALUE"""),"Verified online")</f>
        <v>Verified online</v>
      </c>
      <c r="S697" s="9" t="str">
        <f>IFERROR(__xludf.DUMMYFUNCTION("""COMPUTED_VALUE"""),"Status set to Limited because pantry is open only one day a month
Appointment not needed.")</f>
        <v>Status set to Limited because pantry is open only one day a month
Appointment not needed.</v>
      </c>
      <c r="T697" s="12" t="b">
        <f>IFERROR(__xludf.DUMMYFUNCTION("""COMPUTED_VALUE"""),FALSE)</f>
        <v>0</v>
      </c>
      <c r="U697" s="12" t="b">
        <f>IFERROR(__xludf.DUMMYFUNCTION("""COMPUTED_VALUE"""),FALSE)</f>
        <v>0</v>
      </c>
      <c r="V697" s="13" t="str">
        <f>IFERROR(__xludf.DUMMYFUNCTION("""COMPUTED_VALUE"""),"https://ricevillechurch.org/benevolence/#food")</f>
        <v>https://ricevillechurch.org/benevolence/#food</v>
      </c>
      <c r="W697" s="14" t="str">
        <f>IFERROR(__xludf.DUMMYFUNCTION("""COMPUTED_VALUE"""),"https://www.google.com/maps/place/11231+S+Gessner+Rd,+Houston,+TX+77071/@29.657203,-95.530101,16z/data=!3m1!4b1!4m6!3m5!1s0x8640e831283eeced:0x3f5372481103960f!8m2!3d29.657203!4d-95.5275207!16s%2Fg%2F11c21gshbs?entry=ttu&amp;g_ep=EgoyMDI2MDIyNC4wIKXMDSoASAFQA"&amp;"w%3D%3D")</f>
        <v>https://www.google.com/maps/place/11231+S+Gessner+Rd,+Houston,+TX+77071/@29.657203,-95.530101,16z/data=!3m1!4b1!4m6!3m5!1s0x8640e831283eeced:0x3f5372481103960f!8m2!3d29.657203!4d-95.5275207!16s%2Fg%2F11c21gshbs?entry=ttu&amp;g_ep=EgoyMDI2MDIyNC4wIKXMDSoASAFQAw%3D%3D</v>
      </c>
      <c r="X697" s="10"/>
      <c r="Y697" s="9" t="str">
        <f>IFERROR(__xludf.DUMMYFUNCTION("""COMPUTED_VALUE"""),"Houston")</f>
        <v>Houston</v>
      </c>
      <c r="Z697" s="9" t="str">
        <f>IFERROR(__xludf.DUMMYFUNCTION("""COMPUTED_VALUE"""),"Brays Oaks, Fondren Gardens, Westbury")</f>
        <v>Brays Oaks, Fondren Gardens, Westbury</v>
      </c>
      <c r="AA697" s="9" t="str">
        <f>IFERROR(__xludf.DUMMYFUNCTION("""COMPUTED_VALUE"""),"Riceville Mt Olive Baptist Church")</f>
        <v>Riceville Mt Olive Baptist Church</v>
      </c>
      <c r="AB697" s="9" t="str">
        <f>IFERROR(__xludf.DUMMYFUNCTION("""COMPUTED_VALUE"""),"Brays Oaks")</f>
        <v>Brays Oaks</v>
      </c>
    </row>
    <row r="698" ht="30.0" customHeight="1">
      <c r="A698" s="17">
        <v>697.0</v>
      </c>
      <c r="B698" s="8" t="str">
        <f>IFERROR(__xludf.DUMMYFUNCTION("""COMPUTED_VALUE"""),"[""99999""]")</f>
        <v>["99999"]</v>
      </c>
      <c r="C698" s="9" t="str">
        <f>IFERROR(__xludf.DUMMYFUNCTION("""COMPUTED_VALUE"""),"Riceville Mt Olive Baptist Church")</f>
        <v>Riceville Mt Olive Baptist Church</v>
      </c>
      <c r="D698" s="9" t="str">
        <f>IFERROR(__xludf.DUMMYFUNCTION("""COMPUTED_VALUE"""),"11231 South Gessner Road")</f>
        <v>11231 South Gessner Road</v>
      </c>
      <c r="E698" s="9"/>
      <c r="F698" s="9" t="str">
        <f>IFERROR(__xludf.DUMMYFUNCTION("""COMPUTED_VALUE"""),"Houston")</f>
        <v>Houston</v>
      </c>
      <c r="G698" s="9" t="str">
        <f>IFERROR(__xludf.DUMMYFUNCTION("""COMPUTED_VALUE"""),"TX")</f>
        <v>TX</v>
      </c>
      <c r="H698" s="9" t="str">
        <f>IFERROR(__xludf.DUMMYFUNCTION("""COMPUTED_VALUE"""),"77071")</f>
        <v>77071</v>
      </c>
      <c r="I698" s="9" t="str">
        <f>IFERROR(__xludf.DUMMYFUNCTION("""COMPUTED_VALUE"""),"713-778-0992")</f>
        <v>713-778-0992</v>
      </c>
      <c r="J698" s="9" t="str">
        <f>IFERROR(__xludf.DUMMYFUNCTION("""COMPUTED_VALUE"""),"29.65763182480788, -95.52749386768329")</f>
        <v>29.65763182480788, -95.52749386768329</v>
      </c>
      <c r="K698" s="9" t="str">
        <f>IFERROR(__xludf.DUMMYFUNCTION("""COMPUTED_VALUE"""),"{""special"":[{""pattern"":""3rd Sa"",""open"":""09:00"",""close"":""12:00""}]}")</f>
        <v>{"special":[{"pattern":"3rd Sa","open":"09:00","close":"12:00"}]}</v>
      </c>
      <c r="L698" s="9"/>
      <c r="M698" s="10">
        <f>IFERROR(__xludf.DUMMYFUNCTION("""COMPUTED_VALUE"""),14.0)</f>
        <v>14</v>
      </c>
      <c r="N698" s="10" t="str">
        <f>IFERROR(__xludf.DUMMYFUNCTION("""COMPUTED_VALUE"""),"Clothing")</f>
        <v>Clothing</v>
      </c>
      <c r="O698" s="10">
        <f>IFERROR(__xludf.DUMMYFUNCTION("""COMPUTED_VALUE"""),2.0)</f>
        <v>2</v>
      </c>
      <c r="P698" s="10" t="str">
        <f>IFERROR(__xludf.DUMMYFUNCTION("""COMPUTED_VALUE"""),"LIMITED")</f>
        <v>LIMITED</v>
      </c>
      <c r="Q698" s="11">
        <f>IFERROR(__xludf.DUMMYFUNCTION("""COMPUTED_VALUE"""),46078.0)</f>
        <v>46078</v>
      </c>
      <c r="R698" s="9" t="str">
        <f>IFERROR(__xludf.DUMMYFUNCTION("""COMPUTED_VALUE"""),"Verified online")</f>
        <v>Verified online</v>
      </c>
      <c r="S698" s="9" t="str">
        <f>IFERROR(__xludf.DUMMYFUNCTION("""COMPUTED_VALUE"""),"Status set to Limited because clothing closet is open only one day a month
Appointment not needed.")</f>
        <v>Status set to Limited because clothing closet is open only one day a month
Appointment not needed.</v>
      </c>
      <c r="T698" s="12" t="b">
        <f>IFERROR(__xludf.DUMMYFUNCTION("""COMPUTED_VALUE"""),FALSE)</f>
        <v>0</v>
      </c>
      <c r="U698" s="12" t="b">
        <f>IFERROR(__xludf.DUMMYFUNCTION("""COMPUTED_VALUE"""),FALSE)</f>
        <v>0</v>
      </c>
      <c r="V698" s="13" t="str">
        <f>IFERROR(__xludf.DUMMYFUNCTION("""COMPUTED_VALUE"""),"https://ricevillechurch.org/benevolence/#food")</f>
        <v>https://ricevillechurch.org/benevolence/#food</v>
      </c>
      <c r="W698" s="14" t="str">
        <f>IFERROR(__xludf.DUMMYFUNCTION("""COMPUTED_VALUE"""),"https://www.google.com/maps/place/11231+S+Gessner+Rd,+Houston,+TX+77071/@29.657203,-95.530101,16z/data=!3m1!4b1!4m6!3m5!1s0x8640e831283eeced:0x3f5372481103960f!8m2!3d29.657203!4d-95.5275207!16s%2Fg%2F11c21gshbs?entry=ttu&amp;g_ep=EgoyMDI2MDIyNC4wIKXMDSoASAFQA"&amp;"w%3D%3D")</f>
        <v>https://www.google.com/maps/place/11231+S+Gessner+Rd,+Houston,+TX+77071/@29.657203,-95.530101,16z/data=!3m1!4b1!4m6!3m5!1s0x8640e831283eeced:0x3f5372481103960f!8m2!3d29.657203!4d-95.5275207!16s%2Fg%2F11c21gshbs?entry=ttu&amp;g_ep=EgoyMDI2MDIyNC4wIKXMDSoASAFQAw%3D%3D</v>
      </c>
      <c r="X698" s="10"/>
      <c r="Y698" s="9" t="str">
        <f>IFERROR(__xludf.DUMMYFUNCTION("""COMPUTED_VALUE"""),"Houston")</f>
        <v>Houston</v>
      </c>
      <c r="Z698" s="9" t="str">
        <f>IFERROR(__xludf.DUMMYFUNCTION("""COMPUTED_VALUE"""),"Brays Oaks, Fondren Gardens, Westbury")</f>
        <v>Brays Oaks, Fondren Gardens, Westbury</v>
      </c>
      <c r="AA698" s="9" t="str">
        <f>IFERROR(__xludf.DUMMYFUNCTION("""COMPUTED_VALUE"""),"Riceville Mt Olive Baptist Church")</f>
        <v>Riceville Mt Olive Baptist Church</v>
      </c>
      <c r="AB698" s="9" t="str">
        <f>IFERROR(__xludf.DUMMYFUNCTION("""COMPUTED_VALUE"""),"Brays Oaks")</f>
        <v>Brays Oaks</v>
      </c>
    </row>
    <row r="699" ht="30.0" customHeight="1">
      <c r="A699" s="17">
        <v>698.0</v>
      </c>
      <c r="B699" s="8" t="str">
        <f>IFERROR(__xludf.DUMMYFUNCTION("""COMPUTED_VALUE"""),"[""99999""]")</f>
        <v>["99999"]</v>
      </c>
      <c r="C699" s="9" t="str">
        <f>IFERROR(__xludf.DUMMYFUNCTION("""COMPUTED_VALUE"""),"Riceville Mt Olive Baptist Church")</f>
        <v>Riceville Mt Olive Baptist Church</v>
      </c>
      <c r="D699" s="9" t="str">
        <f>IFERROR(__xludf.DUMMYFUNCTION("""COMPUTED_VALUE"""),"11539 South Gessner Road")</f>
        <v>11539 South Gessner Road</v>
      </c>
      <c r="E699" s="9"/>
      <c r="F699" s="9" t="str">
        <f>IFERROR(__xludf.DUMMYFUNCTION("""COMPUTED_VALUE"""),"Houston")</f>
        <v>Houston</v>
      </c>
      <c r="G699" s="9" t="str">
        <f>IFERROR(__xludf.DUMMYFUNCTION("""COMPUTED_VALUE"""),"TX")</f>
        <v>TX</v>
      </c>
      <c r="H699" s="9" t="str">
        <f>IFERROR(__xludf.DUMMYFUNCTION("""COMPUTED_VALUE"""),"77071")</f>
        <v>77071</v>
      </c>
      <c r="I699" s="9" t="str">
        <f>IFERROR(__xludf.DUMMYFUNCTION("""COMPUTED_VALUE"""),"713-778-0992")</f>
        <v>713-778-0992</v>
      </c>
      <c r="J699" s="9" t="str">
        <f>IFERROR(__xludf.DUMMYFUNCTION("""COMPUTED_VALUE"""),"29.6530821886792, -95.527891754717")</f>
        <v>29.6530821886792, -95.527891754717</v>
      </c>
      <c r="K699" s="9" t="str">
        <f>IFERROR(__xludf.DUMMYFUNCTION("""COMPUTED_VALUE"""),"{""regular"":[{""days"":[""Mo"",""Tu"",""We"",""Th"",""Fr""],""open"":""10:00"",""close"":""15:00""},{""days"":[""Su""],""open"":""10:00"",""close"":""11:00""}]}")</f>
        <v>{"regular":[{"days":["Mo","Tu","We","Th","Fr"],"open":"10:00","close":"15:00"},{"days":["Su"],"open":"10:00","close":"11:00"}]}</v>
      </c>
      <c r="L699" s="9" t="str">
        <f>IFERROR(__xludf.DUMMYFUNCTION("""COMPUTED_VALUE"""),"Hours are for application pickup, one month before distirbution")</f>
        <v>Hours are for application pickup, one month before distirbution</v>
      </c>
      <c r="M699" s="10">
        <f>IFERROR(__xludf.DUMMYFUNCTION("""COMPUTED_VALUE"""),64.0)</f>
        <v>64</v>
      </c>
      <c r="N699" s="10" t="str">
        <f>IFERROR(__xludf.DUMMYFUNCTION("""COMPUTED_VALUE"""),"Christmas")</f>
        <v>Christmas</v>
      </c>
      <c r="O699" s="10">
        <f>IFERROR(__xludf.DUMMYFUNCTION("""COMPUTED_VALUE"""),1.0)</f>
        <v>1</v>
      </c>
      <c r="P699" s="10" t="str">
        <f>IFERROR(__xludf.DUMMYFUNCTION("""COMPUTED_VALUE"""),"ACTIVE")</f>
        <v>ACTIVE</v>
      </c>
      <c r="Q699" s="11">
        <f>IFERROR(__xludf.DUMMYFUNCTION("""COMPUTED_VALUE"""),46078.0)</f>
        <v>46078</v>
      </c>
      <c r="R699" s="9" t="str">
        <f>IFERROR(__xludf.DUMMYFUNCTION("""COMPUTED_VALUE"""),"Verified online")</f>
        <v>Verified online</v>
      </c>
      <c r="S699" s="9" t="str">
        <f>IFERROR(__xludf.DUMMYFUNCTION("""COMPUTED_VALUE"""),"Thanksgiving &amp; Christmas Food Basket Giveaway.
Start accepting applications a month before distribution.
Gift giveaway for children.  Application available after 10 a.m. worship on four Sundays prior to gift distribution.  ")</f>
        <v>Thanksgiving &amp; Christmas Food Basket Giveaway.
Start accepting applications a month before distribution.
Gift giveaway for children.  Application available after 10 a.m. worship on four Sundays prior to gift distribution.  </v>
      </c>
      <c r="T699" s="12" t="b">
        <f>IFERROR(__xludf.DUMMYFUNCTION("""COMPUTED_VALUE"""),FALSE)</f>
        <v>0</v>
      </c>
      <c r="U699" s="12" t="b">
        <f>IFERROR(__xludf.DUMMYFUNCTION("""COMPUTED_VALUE"""),FALSE)</f>
        <v>0</v>
      </c>
      <c r="V699" s="13" t="str">
        <f>IFERROR(__xludf.DUMMYFUNCTION("""COMPUTED_VALUE"""),"https://www.ricevillechurch.org/https://ricevillechurch.org/benevolence/#rent")</f>
        <v>https://www.ricevillechurch.org/https://ricevillechurch.org/benevolence/#rent</v>
      </c>
      <c r="W699" s="14" t="str">
        <f>IFERROR(__xludf.DUMMYFUNCTION("""COMPUTED_VALUE"""),"https://maps.google.com/?q=Riceville%20Mt%20Olive%20Baptist%20Church%2011539%20South%20Gessner%20Rd%20Houston%20TX%2077071")</f>
        <v>https://maps.google.com/?q=Riceville%20Mt%20Olive%20Baptist%20Church%2011539%20South%20Gessner%20Rd%20Houston%20TX%2077071</v>
      </c>
      <c r="X699" s="10"/>
      <c r="Y699" s="9" t="str">
        <f>IFERROR(__xludf.DUMMYFUNCTION("""COMPUTED_VALUE"""),"Houston")</f>
        <v>Houston</v>
      </c>
      <c r="Z699" s="9" t="str">
        <f>IFERROR(__xludf.DUMMYFUNCTION("""COMPUTED_VALUE"""),"Brays Oaks, Fondren Gardens, Westbury")</f>
        <v>Brays Oaks, Fondren Gardens, Westbury</v>
      </c>
      <c r="AA699" s="9" t="str">
        <f>IFERROR(__xludf.DUMMYFUNCTION("""COMPUTED_VALUE"""),"Riceville Mt Olive Baptist Church")</f>
        <v>Riceville Mt Olive Baptist Church</v>
      </c>
      <c r="AB699" s="9" t="str">
        <f>IFERROR(__xludf.DUMMYFUNCTION("""COMPUTED_VALUE"""),"Brays Oaks")</f>
        <v>Brays Oaks</v>
      </c>
    </row>
    <row r="700" ht="30.0" customHeight="1">
      <c r="A700" s="17">
        <v>699.0</v>
      </c>
      <c r="B700" s="8" t="str">
        <f>IFERROR(__xludf.DUMMYFUNCTION("""COMPUTED_VALUE"""),"[""99999""]")</f>
        <v>["99999"]</v>
      </c>
      <c r="C700" s="9" t="str">
        <f>IFERROR(__xludf.DUMMYFUNCTION("""COMPUTED_VALUE"""),"Ronald McDonald House - Amschwand House")</f>
        <v>Ronald McDonald House - Amschwand House</v>
      </c>
      <c r="D700" s="9" t="str">
        <f>IFERROR(__xludf.DUMMYFUNCTION("""COMPUTED_VALUE"""),"4115 Drake Street")</f>
        <v>4115 Drake Street</v>
      </c>
      <c r="E700" s="9"/>
      <c r="F700" s="9" t="str">
        <f>IFERROR(__xludf.DUMMYFUNCTION("""COMPUTED_VALUE"""),"Houston")</f>
        <v>Houston</v>
      </c>
      <c r="G700" s="9" t="str">
        <f>IFERROR(__xludf.DUMMYFUNCTION("""COMPUTED_VALUE"""),"TX")</f>
        <v>TX</v>
      </c>
      <c r="H700" s="9" t="str">
        <f>IFERROR(__xludf.DUMMYFUNCTION("""COMPUTED_VALUE"""),"77005")</f>
        <v>77005</v>
      </c>
      <c r="I700" s="9"/>
      <c r="J700" s="9" t="str">
        <f>IFERROR(__xludf.DUMMYFUNCTION("""COMPUTED_VALUE"""),"29.72527335630975, -95.44385284212558")</f>
        <v>29.72527335630975, -95.44385284212558</v>
      </c>
      <c r="K700" s="9" t="str">
        <f>IFERROR(__xludf.DUMMYFUNCTION("""COMPUTED_VALUE"""),"{""regular"":[{""days"":[""Mo"",""Tu"",""We"",""Th"",""Fr"",""Sa"",""Su""],""open"":""00:00"",""close"":""23:59""}]}")</f>
        <v>{"regular":[{"days":["Mo","Tu","We","Th","Fr","Sa","Su"],"open":"00:00","close":"23:59"}]}</v>
      </c>
      <c r="L700" s="9" t="str">
        <f>IFERROR(__xludf.DUMMYFUNCTION("""COMPUTED_VALUE"""),"Opens in 2026")</f>
        <v>Opens in 2026</v>
      </c>
      <c r="M700" s="10">
        <f>IFERROR(__xludf.DUMMYFUNCTION("""COMPUTED_VALUE"""),37.0)</f>
        <v>37</v>
      </c>
      <c r="N700" s="10" t="str">
        <f>IFERROR(__xludf.DUMMYFUNCTION("""COMPUTED_VALUE"""),"Medical - Housing")</f>
        <v>Medical - Housing</v>
      </c>
      <c r="O700" s="10">
        <f>IFERROR(__xludf.DUMMYFUNCTION("""COMPUTED_VALUE"""),3.0)</f>
        <v>3</v>
      </c>
      <c r="P700" s="10" t="str">
        <f>IFERROR(__xludf.DUMMYFUNCTION("""COMPUTED_VALUE"""),"INACTIVE")</f>
        <v>INACTIVE</v>
      </c>
      <c r="Q700" s="11">
        <f>IFERROR(__xludf.DUMMYFUNCTION("""COMPUTED_VALUE"""),46019.0)</f>
        <v>46019</v>
      </c>
      <c r="R700" s="9" t="str">
        <f>IFERROR(__xludf.DUMMYFUNCTION("""COMPUTED_VALUE"""),"Verified online")</f>
        <v>Verified online</v>
      </c>
      <c r="S700" s="9" t="str">
        <f>IFERROR(__xludf.DUMMYFUNCTION("""COMPUTED_VALUE"""),"Located 10 minutes from the Texas Medical Center.
This is a 16-unit apartment building, currently being renovated.  Slated to open in 2026.
Each fully furnished one and two-bedroom apartment has queen-sized beds, full kitchen, full bath and in-unit laundr"&amp;"y.
Medical housing.")</f>
        <v>Located 10 minutes from the Texas Medical Center.
This is a 16-unit apartment building, currently being renovated.  Slated to open in 2026.
Each fully furnished one and two-bedroom apartment has queen-sized beds, full kitchen, full bath and in-unit laundry.
Medical housing.</v>
      </c>
      <c r="T700" s="12" t="b">
        <f>IFERROR(__xludf.DUMMYFUNCTION("""COMPUTED_VALUE"""),FALSE)</f>
        <v>0</v>
      </c>
      <c r="U700" s="12" t="b">
        <f>IFERROR(__xludf.DUMMYFUNCTION("""COMPUTED_VALUE"""),FALSE)</f>
        <v>0</v>
      </c>
      <c r="V700" s="12"/>
      <c r="W700" s="14" t="str">
        <f>IFERROR(__xludf.DUMMYFUNCTION("""COMPUTED_VALUE"""),"https://www.google.com/maps/place/4115+Drake+St,+Houston,+TX+77005/@29.7252966,-95.443885,17z/data=!4m16!1m9!3m8!1s0x8640c107a028ad13:0x753df1f9d6823d75!2s4115+Drake+St,+Houston,+TX+77005!3b1!8m2!3d29.725034!4d-95.4438632!10e5!16s%2Fg%2F11c4sr0fdz!3m5!1s0"&amp;"x8640c107a028ad13:0x753df1f9d6823d75!8m2!3d29.725034!4d-95.4438632!16s%2Fg%2F11c4sr0fdz?entry=ttu&amp;g_ep=EgoyMDI1MTIwOS4wIKXMDSoKLDEwMDc5MjA2OUgBUAM%3D")</f>
        <v>https://www.google.com/maps/place/4115+Drake+St,+Houston,+TX+77005/@29.7252966,-95.443885,17z/data=!4m16!1m9!3m8!1s0x8640c107a028ad13:0x753df1f9d6823d75!2s4115+Drake+St,+Houston,+TX+77005!3b1!8m2!3d29.725034!4d-95.4438632!10e5!16s%2Fg%2F11c4sr0fdz!3m5!1s0x8640c107a028ad13:0x753df1f9d6823d75!8m2!3d29.725034!4d-95.4438632!16s%2Fg%2F11c4sr0fdz?entry=ttu&amp;g_ep=EgoyMDI1MTIwOS4wIKXMDSoKLDEwMDc5MjA2OUgBUAM%3D</v>
      </c>
      <c r="X700" s="10"/>
      <c r="Y700" s="9" t="str">
        <f>IFERROR(__xludf.DUMMYFUNCTION("""COMPUTED_VALUE"""),"Houston")</f>
        <v>Houston</v>
      </c>
      <c r="Z700" s="9" t="str">
        <f>IFERROR(__xludf.DUMMYFUNCTION("""COMPUTED_VALUE"""),"Greenway / Upper Kirby Area, Rice Village, Southside Place, West University Place")</f>
        <v>Greenway / Upper Kirby Area, Rice Village, Southside Place, West University Place</v>
      </c>
      <c r="AA700" s="9" t="str">
        <f>IFERROR(__xludf.DUMMYFUNCTION("""COMPUTED_VALUE"""),"Ronald McDonald House")</f>
        <v>Ronald McDonald House</v>
      </c>
      <c r="AB700" s="9" t="str">
        <f>IFERROR(__xludf.DUMMYFUNCTION("""COMPUTED_VALUE"""),"Greenway / Upper Kirby Area")</f>
        <v>Greenway / Upper Kirby Area</v>
      </c>
    </row>
    <row r="701" ht="30.0" customHeight="1">
      <c r="A701" s="17">
        <v>700.0</v>
      </c>
      <c r="B701" s="8" t="str">
        <f>IFERROR(__xludf.DUMMYFUNCTION("""COMPUTED_VALUE"""),"[""99999""]")</f>
        <v>["99999"]</v>
      </c>
      <c r="C701" s="9" t="str">
        <f>IFERROR(__xludf.DUMMYFUNCTION("""COMPUTED_VALUE"""),"Ronald McDonald House - Children's Memorial Hermann Hospital")</f>
        <v>Ronald McDonald House - Children's Memorial Hermann Hospital</v>
      </c>
      <c r="D701" s="9" t="str">
        <f>IFERROR(__xludf.DUMMYFUNCTION("""COMPUTED_VALUE"""),"6411 Fannin Street")</f>
        <v>6411 Fannin Street</v>
      </c>
      <c r="E701" s="9"/>
      <c r="F701" s="9" t="str">
        <f>IFERROR(__xludf.DUMMYFUNCTION("""COMPUTED_VALUE"""),"Houston")</f>
        <v>Houston</v>
      </c>
      <c r="G701" s="9" t="str">
        <f>IFERROR(__xludf.DUMMYFUNCTION("""COMPUTED_VALUE"""),"TX")</f>
        <v>TX</v>
      </c>
      <c r="H701" s="9" t="str">
        <f>IFERROR(__xludf.DUMMYFUNCTION("""COMPUTED_VALUE"""),"77030")</f>
        <v>77030</v>
      </c>
      <c r="I701" s="9" t="str">
        <f>IFERROR(__xludf.DUMMYFUNCTION("""COMPUTED_VALUE"""),"713-704-6827")</f>
        <v>713-704-6827</v>
      </c>
      <c r="J701" s="9" t="str">
        <f>IFERROR(__xludf.DUMMYFUNCTION("""COMPUTED_VALUE"""),"29.713843889409983, -95.3944612906729")</f>
        <v>29.713843889409983, -95.3944612906729</v>
      </c>
      <c r="K701" s="9" t="str">
        <f>IFERROR(__xludf.DUMMYFUNCTION("""COMPUTED_VALUE"""),"{""regular"":[{""days"":[""Mo"",""Tu"",""We"",""Th"",""Fr""],""open"":""09:00"",""close"":""19:00""}]}")</f>
        <v>{"regular":[{"days":["Mo","Tu","We","Th","Fr"],"open":"09:00","close":"19:00"}]}</v>
      </c>
      <c r="L701" s="9"/>
      <c r="M701" s="10">
        <f>IFERROR(__xludf.DUMMYFUNCTION("""COMPUTED_VALUE"""),37.0)</f>
        <v>37</v>
      </c>
      <c r="N701" s="10" t="str">
        <f>IFERROR(__xludf.DUMMYFUNCTION("""COMPUTED_VALUE"""),"Medical - Housing")</f>
        <v>Medical - Housing</v>
      </c>
      <c r="O701" s="10">
        <f>IFERROR(__xludf.DUMMYFUNCTION("""COMPUTED_VALUE"""),1.0)</f>
        <v>1</v>
      </c>
      <c r="P701" s="10" t="str">
        <f>IFERROR(__xludf.DUMMYFUNCTION("""COMPUTED_VALUE"""),"ACTIVE")</f>
        <v>ACTIVE</v>
      </c>
      <c r="Q701" s="11">
        <f>IFERROR(__xludf.DUMMYFUNCTION("""COMPUTED_VALUE"""),46019.0)</f>
        <v>46019</v>
      </c>
      <c r="R701" s="9" t="str">
        <f>IFERROR(__xludf.DUMMYFUNCTION("""COMPUTED_VALUE"""),"Verified online")</f>
        <v>Verified online</v>
      </c>
      <c r="S701" s="9" t="str">
        <f>IFERROR(__xludf.DUMMYFUNCTION("""COMPUTED_VALUE"""),"Located inside the Children's Memorial Hermann Hospital, serving families with children in Pediatric ICU, Neonatal ICU, Neonatal Special Care Unit and Pediatric Heart ICU.
There are 20 private bedrooms with some private and shared bathrooms.  All services"&amp;" free of charge.
Common kitchen and dining area, complimentary grab-and-go meals, laundry facilities and shared spaces for relaxing.
Medical housing.")</f>
        <v>Located inside the Children's Memorial Hermann Hospital, serving families with children in Pediatric ICU, Neonatal ICU, Neonatal Special Care Unit and Pediatric Heart ICU.
There are 20 private bedrooms with some private and shared bathrooms.  All services free of charge.
Common kitchen and dining area, complimentary grab-and-go meals, laundry facilities and shared spaces for relaxing.
Medical housing.</v>
      </c>
      <c r="T701" s="12" t="b">
        <f>IFERROR(__xludf.DUMMYFUNCTION("""COMPUTED_VALUE"""),FALSE)</f>
        <v>0</v>
      </c>
      <c r="U701" s="12" t="b">
        <f>IFERROR(__xludf.DUMMYFUNCTION("""COMPUTED_VALUE"""),FALSE)</f>
        <v>0</v>
      </c>
      <c r="V701" s="13" t="str">
        <f>IFERROR(__xludf.DUMMYFUNCTION("""COMPUTED_VALUE"""),"https://rmhchouston.org/what-we-do/houses-lounges/childrens-memorial-hospital/")</f>
        <v>https://rmhchouston.org/what-we-do/houses-lounges/childrens-memorial-hospital/</v>
      </c>
      <c r="W701" s="14" t="str">
        <f>IFERROR(__xludf.DUMMYFUNCTION("""COMPUTED_VALUE"""),"https://www.google.com/maps/place/Memorial+Hermann+Texas+Medical+Center+Emergency+Room/@29.7143704,-95.3969611,17z/data=!3m1!5s0x886040a97ba498c5:0x94ed68fd3d58385b!4m15!1m8!3m7!1s0x8640c079c8c00001:0x4ebe811552550c3!2s6411+Fannin+St,+Houston,+TX+77030!3b"&amp;"1!8m2!3d29.7143658!4d-95.3969611!16s%2Fg%2F11t_sy4341!3m5!1s0x8640c079d176858f:0x1bbe1c69b7d95949!8m2!3d29.7135985!4d-95.3944754!16s%2Fm%2F04g3lkg?entry=ttu&amp;g_ep=EgoyMDI1MTIwOS4wIKXMDSoKLDEwMDc5MjA2OUgBUAM%3D")</f>
        <v>https://www.google.com/maps/place/Memorial+Hermann+Texas+Medical+Center+Emergency+Room/@29.7143704,-95.3969611,17z/data=!3m1!5s0x886040a97ba498c5:0x94ed68fd3d58385b!4m15!1m8!3m7!1s0x8640c079c8c00001:0x4ebe811552550c3!2s6411+Fannin+St,+Houston,+TX+77030!3b1!8m2!3d29.7143658!4d-95.3969611!16s%2Fg%2F11t_sy4341!3m5!1s0x8640c079d176858f:0x1bbe1c69b7d95949!8m2!3d29.7135985!4d-95.3944754!16s%2Fm%2F04g3lkg?entry=ttu&amp;g_ep=EgoyMDI1MTIwOS4wIKXMDSoKLDEwMDc5MjA2OUgBUAM%3D</v>
      </c>
      <c r="X701" s="10"/>
      <c r="Y701" s="9" t="str">
        <f>IFERROR(__xludf.DUMMYFUNCTION("""COMPUTED_VALUE"""),"Houston")</f>
        <v>Houston</v>
      </c>
      <c r="Z701" s="9" t="str">
        <f>IFERROR(__xludf.DUMMYFUNCTION("""COMPUTED_VALUE"""),"Central Southwest, Houston Museum District, South Central Houston, Southgate, Texas Medical Center")</f>
        <v>Central Southwest, Houston Museum District, South Central Houston, Southgate, Texas Medical Center</v>
      </c>
      <c r="AA701" s="9" t="str">
        <f>IFERROR(__xludf.DUMMYFUNCTION("""COMPUTED_VALUE"""),"Ronald McDonald House")</f>
        <v>Ronald McDonald House</v>
      </c>
      <c r="AB701" s="9" t="str">
        <f>IFERROR(__xludf.DUMMYFUNCTION("""COMPUTED_VALUE"""),"South Central Houston")</f>
        <v>South Central Houston</v>
      </c>
    </row>
    <row r="702" ht="30.0" customHeight="1">
      <c r="A702" s="17">
        <v>701.0</v>
      </c>
      <c r="B702" s="8" t="str">
        <f>IFERROR(__xludf.DUMMYFUNCTION("""COMPUTED_VALUE"""),"[""99999""]")</f>
        <v>["99999"]</v>
      </c>
      <c r="C702" s="9" t="str">
        <f>IFERROR(__xludf.DUMMYFUNCTION("""COMPUTED_VALUE"""),"Ronald McDonald House - Holcombe")</f>
        <v>Ronald McDonald House - Holcombe</v>
      </c>
      <c r="D702" s="9" t="str">
        <f>IFERROR(__xludf.DUMMYFUNCTION("""COMPUTED_VALUE"""),"1907 Holcombe Blvd")</f>
        <v>1907 Holcombe Blvd</v>
      </c>
      <c r="E702" s="9"/>
      <c r="F702" s="9" t="str">
        <f>IFERROR(__xludf.DUMMYFUNCTION("""COMPUTED_VALUE"""),"Houston")</f>
        <v>Houston</v>
      </c>
      <c r="G702" s="9" t="str">
        <f>IFERROR(__xludf.DUMMYFUNCTION("""COMPUTED_VALUE"""),"TX")</f>
        <v>TX</v>
      </c>
      <c r="H702" s="9" t="str">
        <f>IFERROR(__xludf.DUMMYFUNCTION("""COMPUTED_VALUE"""),"77030")</f>
        <v>77030</v>
      </c>
      <c r="I702" s="9" t="str">
        <f>IFERROR(__xludf.DUMMYFUNCTION("""COMPUTED_VALUE"""),"713-765-3500")</f>
        <v>713-765-3500</v>
      </c>
      <c r="J702" s="9" t="str">
        <f>IFERROR(__xludf.DUMMYFUNCTION("""COMPUTED_VALUE"""),"29.706726677127104, -95.39069022246589")</f>
        <v>29.706726677127104, -95.39069022246589</v>
      </c>
      <c r="K702" s="9" t="str">
        <f>IFERROR(__xludf.DUMMYFUNCTION("""COMPUTED_VALUE"""),"{""regular"":[{""days"":[""Mo"",""Tu"",""We"",""Th"",""Fr"",""Sa"",""Su""],""open"":""00:00"",""close"":""23:59""}]}")</f>
        <v>{"regular":[{"days":["Mo","Tu","We","Th","Fr","Sa","Su"],"open":"00:00","close":"23:59"}]}</v>
      </c>
      <c r="L702" s="9"/>
      <c r="M702" s="10">
        <f>IFERROR(__xludf.DUMMYFUNCTION("""COMPUTED_VALUE"""),37.0)</f>
        <v>37</v>
      </c>
      <c r="N702" s="10" t="str">
        <f>IFERROR(__xludf.DUMMYFUNCTION("""COMPUTED_VALUE"""),"Medical - Housing")</f>
        <v>Medical - Housing</v>
      </c>
      <c r="O702" s="10">
        <f>IFERROR(__xludf.DUMMYFUNCTION("""COMPUTED_VALUE"""),1.0)</f>
        <v>1</v>
      </c>
      <c r="P702" s="10" t="str">
        <f>IFERROR(__xludf.DUMMYFUNCTION("""COMPUTED_VALUE"""),"ACTIVE")</f>
        <v>ACTIVE</v>
      </c>
      <c r="Q702" s="11">
        <f>IFERROR(__xludf.DUMMYFUNCTION("""COMPUTED_VALUE"""),46019.0)</f>
        <v>46019</v>
      </c>
      <c r="R702" s="9" t="str">
        <f>IFERROR(__xludf.DUMMYFUNCTION("""COMPUTED_VALUE"""),"Verified online")</f>
        <v>Verified online</v>
      </c>
      <c r="S702" s="9" t="str">
        <f>IFERROR(__xludf.DUMMYFUNCTION("""COMPUTED_VALUE"""),"Located in the Texas Medical Center.  There is a suggested donation per night but no one is turned away due to inability to pay.
There are 70 private rooms with a full bathroom.  Each room has two queen-sized beds.
Prepared meals, laundry facilities, comm"&amp;"unity kitchen and shared spaces.
Shuttle service to Texas Medical Center hospitals and social services for resources and support.
Free parking and staffed 24 hours.
Medical Housing.")</f>
        <v>Located in the Texas Medical Center.  There is a suggested donation per night but no one is turned away due to inability to pay.
There are 70 private rooms with a full bathroom.  Each room has two queen-sized beds.
Prepared meals, laundry facilities, community kitchen and shared spaces.
Shuttle service to Texas Medical Center hospitals and social services for resources and support.
Free parking and staffed 24 hours.
Medical Housing.</v>
      </c>
      <c r="T702" s="12" t="b">
        <f>IFERROR(__xludf.DUMMYFUNCTION("""COMPUTED_VALUE"""),FALSE)</f>
        <v>0</v>
      </c>
      <c r="U702" s="12" t="b">
        <f>IFERROR(__xludf.DUMMYFUNCTION("""COMPUTED_VALUE"""),FALSE)</f>
        <v>0</v>
      </c>
      <c r="V702" s="13" t="str">
        <f>IFERROR(__xludf.DUMMYFUNCTION("""COMPUTED_VALUE"""),"https://rmhchouston.org/what-we-do/houses-lounges/holcombe-house/")</f>
        <v>https://rmhchouston.org/what-we-do/houses-lounges/holcombe-house/</v>
      </c>
      <c r="W702" s="14" t="str">
        <f>IFERROR(__xludf.DUMMYFUNCTION("""COMPUTED_VALUE"""),"https://www.google.com/maps/place/Ronald+McDonald+House+Charities+Greater+Houston/@29.7064704,-95.3932544,17z/data=!3m2!4b1!5s0x8640bf8bba7617ed:0xc87ca6b75c305f37!4m6!3m5!1s0x8640bf8bb092c82b:0xa9d0cf1b95465439!8m2!3d29.7064658!4d-95.3906795!16s%2Fg%2F1t"&amp;"s1n01b?entry=ttu&amp;g_ep=EgoyMDI1MTIwOS4wIKXMDSoKLDEwMDc5MjA2OUgBUAM%3D")</f>
        <v>https://www.google.com/maps/place/Ronald+McDonald+House+Charities+Greater+Houston/@29.7064704,-95.3932544,17z/data=!3m2!4b1!5s0x8640bf8bba7617ed:0xc87ca6b75c305f37!4m6!3m5!1s0x8640bf8bb092c82b:0xa9d0cf1b95465439!8m2!3d29.7064658!4d-95.3906795!16s%2Fg%2F1ts1n01b?entry=ttu&amp;g_ep=EgoyMDI1MTIwOS4wIKXMDSoKLDEwMDc5MjA2OUgBUAM%3D</v>
      </c>
      <c r="X702" s="10"/>
      <c r="Y702" s="9" t="str">
        <f>IFERROR(__xludf.DUMMYFUNCTION("""COMPUTED_VALUE"""),"Houston")</f>
        <v>Houston</v>
      </c>
      <c r="Z702" s="9" t="str">
        <f>IFERROR(__xludf.DUMMYFUNCTION("""COMPUTED_VALUE"""),"Central Southwest, Houston Museum District, South Central Houston, Southgate, Texas Medical Center")</f>
        <v>Central Southwest, Houston Museum District, South Central Houston, Southgate, Texas Medical Center</v>
      </c>
      <c r="AA702" s="9" t="str">
        <f>IFERROR(__xludf.DUMMYFUNCTION("""COMPUTED_VALUE"""),"Ronald McDonald House")</f>
        <v>Ronald McDonald House</v>
      </c>
      <c r="AB702" s="9" t="str">
        <f>IFERROR(__xludf.DUMMYFUNCTION("""COMPUTED_VALUE"""),"South Central Houston")</f>
        <v>South Central Houston</v>
      </c>
    </row>
    <row r="703" ht="30.0" customHeight="1">
      <c r="A703" s="17">
        <v>702.0</v>
      </c>
      <c r="B703" s="8" t="str">
        <f>IFERROR(__xludf.DUMMYFUNCTION("""COMPUTED_VALUE"""),"[""99999""]")</f>
        <v>["99999"]</v>
      </c>
      <c r="C703" s="9" t="str">
        <f>IFERROR(__xludf.DUMMYFUNCTION("""COMPUTED_VALUE"""),"Ronald McDonald House - M.D. Anderson Children's Cancer Hospital")</f>
        <v>Ronald McDonald House - M.D. Anderson Children's Cancer Hospital</v>
      </c>
      <c r="D703" s="9" t="str">
        <f>IFERROR(__xludf.DUMMYFUNCTION("""COMPUTED_VALUE"""),"1515 Holcombe Blvd")</f>
        <v>1515 Holcombe Blvd</v>
      </c>
      <c r="E703" s="9"/>
      <c r="F703" s="9" t="str">
        <f>IFERROR(__xludf.DUMMYFUNCTION("""COMPUTED_VALUE"""),"Houston")</f>
        <v>Houston</v>
      </c>
      <c r="G703" s="9" t="str">
        <f>IFERROR(__xludf.DUMMYFUNCTION("""COMPUTED_VALUE"""),"TX")</f>
        <v>TX</v>
      </c>
      <c r="H703" s="9" t="str">
        <f>IFERROR(__xludf.DUMMYFUNCTION("""COMPUTED_VALUE"""),"77030")</f>
        <v>77030</v>
      </c>
      <c r="I703" s="9" t="str">
        <f>IFERROR(__xludf.DUMMYFUNCTION("""COMPUTED_VALUE"""),"713-745-4930")</f>
        <v>713-745-4930</v>
      </c>
      <c r="J703" s="9" t="str">
        <f>IFERROR(__xludf.DUMMYFUNCTION("""COMPUTED_VALUE"""),"29.70792383865789, -95.39780804629812")</f>
        <v>29.70792383865789, -95.39780804629812</v>
      </c>
      <c r="K703" s="9" t="str">
        <f>IFERROR(__xludf.DUMMYFUNCTION("""COMPUTED_VALUE"""),"{""regular"":[{""days"":[""Mo"",""Tu"",""We"",""Th"",""Fr""],""open"":""09:00"",""close"":""19:00""}]}")</f>
        <v>{"regular":[{"days":["Mo","Tu","We","Th","Fr"],"open":"09:00","close":"19:00"}]}</v>
      </c>
      <c r="L703" s="9"/>
      <c r="M703" s="10">
        <f>IFERROR(__xludf.DUMMYFUNCTION("""COMPUTED_VALUE"""),37.0)</f>
        <v>37</v>
      </c>
      <c r="N703" s="10" t="str">
        <f>IFERROR(__xludf.DUMMYFUNCTION("""COMPUTED_VALUE"""),"Medical - Housing")</f>
        <v>Medical - Housing</v>
      </c>
      <c r="O703" s="10">
        <f>IFERROR(__xludf.DUMMYFUNCTION("""COMPUTED_VALUE"""),1.0)</f>
        <v>1</v>
      </c>
      <c r="P703" s="10" t="str">
        <f>IFERROR(__xludf.DUMMYFUNCTION("""COMPUTED_VALUE"""),"ACTIVE")</f>
        <v>ACTIVE</v>
      </c>
      <c r="Q703" s="11">
        <f>IFERROR(__xludf.DUMMYFUNCTION("""COMPUTED_VALUE"""),46019.0)</f>
        <v>46019</v>
      </c>
      <c r="R703" s="9" t="str">
        <f>IFERROR(__xludf.DUMMYFUNCTION("""COMPUTED_VALUE"""),"Verified online")</f>
        <v>Verified online</v>
      </c>
      <c r="S703" s="9" t="str">
        <f>IFERROR(__xludf.DUMMYFUNCTION("""COMPUTED_VALUE"""),"Located inside the M.D. Anderson Children's Hospital for families of pediatric cancer patients.
There are two private bedrooms with a shared bathroom.  All services are free of charge.
There is a community kitchen and grab-and-go meals.
Medical housing.")</f>
        <v>Located inside the M.D. Anderson Children's Hospital for families of pediatric cancer patients.
There are two private bedrooms with a shared bathroom.  All services are free of charge.
There is a community kitchen and grab-and-go meals.
Medical housing.</v>
      </c>
      <c r="T703" s="12" t="b">
        <f>IFERROR(__xludf.DUMMYFUNCTION("""COMPUTED_VALUE"""),FALSE)</f>
        <v>0</v>
      </c>
      <c r="U703" s="12" t="b">
        <f>IFERROR(__xludf.DUMMYFUNCTION("""COMPUTED_VALUE"""),FALSE)</f>
        <v>0</v>
      </c>
      <c r="V703" s="13" t="str">
        <f>IFERROR(__xludf.DUMMYFUNCTION("""COMPUTED_VALUE"""),"https://rmhchouston.org/what-we-do/houses-lounges/md-anderson/")</f>
        <v>https://rmhchouston.org/what-we-do/houses-lounges/md-anderson/</v>
      </c>
      <c r="W703" s="14" t="str">
        <f>IFERROR(__xludf.DUMMYFUNCTION("""COMPUTED_VALUE"""),"https://www.google.com/maps/place/MD+Anderson+Children's+Cancer+Hospital/@29.7078668,-95.3984437,19z/data=!3m1!4b1!4m6!3m5!1s0x8640c1e9a82f276f:0xf1c0e306b9288982!8m2!3d29.7078656!4d-95.3978!16s%2Fg%2F11f5vby375?entry=ttu&amp;g_ep=EgoyMDI1MTIwOS4wIKXMDSoKLDEw"&amp;"MDc5MjA2OUgBUAM%3D")</f>
        <v>https://www.google.com/maps/place/MD+Anderson+Children's+Cancer+Hospital/@29.7078668,-95.3984437,19z/data=!3m1!4b1!4m6!3m5!1s0x8640c1e9a82f276f:0xf1c0e306b9288982!8m2!3d29.7078656!4d-95.3978!16s%2Fg%2F11f5vby375?entry=ttu&amp;g_ep=EgoyMDI1MTIwOS4wIKXMDSoKLDEwMDc5MjA2OUgBUAM%3D</v>
      </c>
      <c r="X703" s="10"/>
      <c r="Y703" s="9" t="str">
        <f>IFERROR(__xludf.DUMMYFUNCTION("""COMPUTED_VALUE"""),"Houston")</f>
        <v>Houston</v>
      </c>
      <c r="Z703" s="9" t="str">
        <f>IFERROR(__xludf.DUMMYFUNCTION("""COMPUTED_VALUE"""),"Central Southwest, Houston Museum District, South Central Houston, Southgate, Texas Medical Center")</f>
        <v>Central Southwest, Houston Museum District, South Central Houston, Southgate, Texas Medical Center</v>
      </c>
      <c r="AA703" s="9" t="str">
        <f>IFERROR(__xludf.DUMMYFUNCTION("""COMPUTED_VALUE"""),"Ronald McDonald House")</f>
        <v>Ronald McDonald House</v>
      </c>
      <c r="AB703" s="9" t="str">
        <f>IFERROR(__xludf.DUMMYFUNCTION("""COMPUTED_VALUE"""),"South Central Houston")</f>
        <v>South Central Houston</v>
      </c>
    </row>
    <row r="704" ht="30.0" customHeight="1">
      <c r="A704" s="17">
        <v>703.0</v>
      </c>
      <c r="B704" s="8" t="str">
        <f>IFERROR(__xludf.DUMMYFUNCTION("""COMPUTED_VALUE"""),"[""99999""]")</f>
        <v>["99999"]</v>
      </c>
      <c r="C704" s="9" t="str">
        <f>IFERROR(__xludf.DUMMYFUNCTION("""COMPUTED_VALUE"""),"Ronald McDonald House - Texas Children's Hospital")</f>
        <v>Ronald McDonald House - Texas Children's Hospital</v>
      </c>
      <c r="D704" s="9" t="str">
        <f>IFERROR(__xludf.DUMMYFUNCTION("""COMPUTED_VALUE"""),"6621 Fannin Street")</f>
        <v>6621 Fannin Street</v>
      </c>
      <c r="E704" s="9" t="str">
        <f>IFERROR(__xludf.DUMMYFUNCTION("""COMPUTED_VALUE"""),"Abercrombie Building")</f>
        <v>Abercrombie Building</v>
      </c>
      <c r="F704" s="9" t="str">
        <f>IFERROR(__xludf.DUMMYFUNCTION("""COMPUTED_VALUE"""),"Houston")</f>
        <v>Houston</v>
      </c>
      <c r="G704" s="9" t="str">
        <f>IFERROR(__xludf.DUMMYFUNCTION("""COMPUTED_VALUE"""),"TX")</f>
        <v>TX</v>
      </c>
      <c r="H704" s="9" t="str">
        <f>IFERROR(__xludf.DUMMYFUNCTION("""COMPUTED_VALUE"""),"77030")</f>
        <v>77030</v>
      </c>
      <c r="I704" s="9" t="str">
        <f>IFERROR(__xludf.DUMMYFUNCTION("""COMPUTED_VALUE"""),"832-824-8600")</f>
        <v>832-824-8600</v>
      </c>
      <c r="J704" s="9" t="str">
        <f>IFERROR(__xludf.DUMMYFUNCTION("""COMPUTED_VALUE"""),"29.70804401820612, -95.40140610984271")</f>
        <v>29.70804401820612, -95.40140610984271</v>
      </c>
      <c r="K704" s="9" t="str">
        <f>IFERROR(__xludf.DUMMYFUNCTION("""COMPUTED_VALUE"""),"{""regular"":[{""days"":[""Mo"",""Tu"",""We"",""Th"",""Fr""],""open"":""09:00"",""close"":""19:00""}]}")</f>
        <v>{"regular":[{"days":["Mo","Tu","We","Th","Fr"],"open":"09:00","close":"19:00"}]}</v>
      </c>
      <c r="L704" s="9"/>
      <c r="M704" s="10">
        <f>IFERROR(__xludf.DUMMYFUNCTION("""COMPUTED_VALUE"""),37.0)</f>
        <v>37</v>
      </c>
      <c r="N704" s="10" t="str">
        <f>IFERROR(__xludf.DUMMYFUNCTION("""COMPUTED_VALUE"""),"Medical - Housing")</f>
        <v>Medical - Housing</v>
      </c>
      <c r="O704" s="10">
        <f>IFERROR(__xludf.DUMMYFUNCTION("""COMPUTED_VALUE"""),1.0)</f>
        <v>1</v>
      </c>
      <c r="P704" s="10" t="str">
        <f>IFERROR(__xludf.DUMMYFUNCTION("""COMPUTED_VALUE"""),"ACTIVE")</f>
        <v>ACTIVE</v>
      </c>
      <c r="Q704" s="11">
        <f>IFERROR(__xludf.DUMMYFUNCTION("""COMPUTED_VALUE"""),46019.0)</f>
        <v>46019</v>
      </c>
      <c r="R704" s="9" t="str">
        <f>IFERROR(__xludf.DUMMYFUNCTION("""COMPUTED_VALUE"""),"Verified online")</f>
        <v>Verified online</v>
      </c>
      <c r="S704" s="9" t="str">
        <f>IFERROR(__xludf.DUMMYFUNCTION("""COMPUTED_VALUE"""),"Located inside the Texas Children's Hospital, serving families with children in Neonatal, Pediatric and Cardiovascular Intensive Care.
There are 19 bedrooms with a full-size bed and a private bathroom.  Rooms are available free of charge.
Prepared meals, "&amp;"laundry facilities, community kitchen and shared spaces.
Medical housing.")</f>
        <v>Located inside the Texas Children's Hospital, serving families with children in Neonatal, Pediatric and Cardiovascular Intensive Care.
There are 19 bedrooms with a full-size bed and a private bathroom.  Rooms are available free of charge.
Prepared meals, laundry facilities, community kitchen and shared spaces.
Medical housing.</v>
      </c>
      <c r="T704" s="12" t="b">
        <f>IFERROR(__xludf.DUMMYFUNCTION("""COMPUTED_VALUE"""),FALSE)</f>
        <v>0</v>
      </c>
      <c r="U704" s="12" t="b">
        <f>IFERROR(__xludf.DUMMYFUNCTION("""COMPUTED_VALUE"""),FALSE)</f>
        <v>0</v>
      </c>
      <c r="V704" s="13" t="str">
        <f>IFERROR(__xludf.DUMMYFUNCTION("""COMPUTED_VALUE"""),"https://rmhchouston.org/what-we-do/houses-lounges/texas-childrens-hospital/")</f>
        <v>https://rmhchouston.org/what-we-do/houses-lounges/texas-childrens-hospital/</v>
      </c>
      <c r="W704" s="14" t="str">
        <f>IFERROR(__xludf.DUMMYFUNCTION("""COMPUTED_VALUE"""),"https://www.google.com/maps/place/Texas+Children's+Hospital+Abercrombie+Building/@29.7078157,-95.4039381,17z/data=!3m1!4b1!4m6!3m5!1s0x8640c0722a0df095:0x53e2a64bf0938dda!8m2!3d29.7078111!4d-95.4013632!16s%2Fg%2F1tdkmm3t?entry=ttu&amp;g_ep=EgoyMDI1MTIwOS4wIKX"&amp;"MDSoKLDEwMDc5MjA2OUgBUAM%3D")</f>
        <v>https://www.google.com/maps/place/Texas+Children's+Hospital+Abercrombie+Building/@29.7078157,-95.4039381,17z/data=!3m1!4b1!4m6!3m5!1s0x8640c0722a0df095:0x53e2a64bf0938dda!8m2!3d29.7078111!4d-95.4013632!16s%2Fg%2F1tdkmm3t?entry=ttu&amp;g_ep=EgoyMDI1MTIwOS4wIKXMDSoKLDEwMDc5MjA2OUgBUAM%3D</v>
      </c>
      <c r="X704" s="10"/>
      <c r="Y704" s="9" t="str">
        <f>IFERROR(__xludf.DUMMYFUNCTION("""COMPUTED_VALUE"""),"Houston")</f>
        <v>Houston</v>
      </c>
      <c r="Z704" s="9" t="str">
        <f>IFERROR(__xludf.DUMMYFUNCTION("""COMPUTED_VALUE"""),"Central Southwest, Houston Museum District, South Central Houston, Southgate, Texas Medical Center")</f>
        <v>Central Southwest, Houston Museum District, South Central Houston, Southgate, Texas Medical Center</v>
      </c>
      <c r="AA704" s="9" t="str">
        <f>IFERROR(__xludf.DUMMYFUNCTION("""COMPUTED_VALUE"""),"Ronald McDonald House")</f>
        <v>Ronald McDonald House</v>
      </c>
      <c r="AB704" s="9" t="str">
        <f>IFERROR(__xludf.DUMMYFUNCTION("""COMPUTED_VALUE"""),"South Central Houston")</f>
        <v>South Central Houston</v>
      </c>
    </row>
    <row r="705" ht="30.0" customHeight="1">
      <c r="A705" s="17">
        <v>704.0</v>
      </c>
      <c r="B705" s="8" t="str">
        <f>IFERROR(__xludf.DUMMYFUNCTION("""COMPUTED_VALUE"""),"[""77301"", ""77302"", ""77303"", ""77304"", ""77306"", ""77316"", ""77327"", ""77328"", ""77356"", ""77378""]")</f>
        <v>["77301", "77302", "77303", "77304", "77306", "77316", "77327", "77328", "77356", "77378"]</v>
      </c>
      <c r="C705" s="9" t="str">
        <f>IFERROR(__xludf.DUMMYFUNCTION("""COMPUTED_VALUE"""),"Sacred Heart (SVdP D6) Conroe")</f>
        <v>Sacred Heart (SVdP D6) Conroe</v>
      </c>
      <c r="D705" s="9" t="str">
        <f>IFERROR(__xludf.DUMMYFUNCTION("""COMPUTED_VALUE"""),"109 N Frazier Street")</f>
        <v>109 N Frazier Street</v>
      </c>
      <c r="E705" s="9"/>
      <c r="F705" s="9" t="str">
        <f>IFERROR(__xludf.DUMMYFUNCTION("""COMPUTED_VALUE"""),"Conroe")</f>
        <v>Conroe</v>
      </c>
      <c r="G705" s="9" t="str">
        <f>IFERROR(__xludf.DUMMYFUNCTION("""COMPUTED_VALUE"""),"TX")</f>
        <v>TX</v>
      </c>
      <c r="H705" s="9" t="str">
        <f>IFERROR(__xludf.DUMMYFUNCTION("""COMPUTED_VALUE"""),"77301")</f>
        <v>77301</v>
      </c>
      <c r="I705" s="9" t="str">
        <f>IFERROR(__xludf.DUMMYFUNCTION("""COMPUTED_VALUE"""),"936-539-1188")</f>
        <v>936-539-1188</v>
      </c>
      <c r="J705" s="9" t="str">
        <f>IFERROR(__xludf.DUMMYFUNCTION("""COMPUTED_VALUE"""),"30.3092954, -95.4614134729342")</f>
        <v>30.3092954, -95.4614134729342</v>
      </c>
      <c r="K705" s="9" t="str">
        <f>IFERROR(__xludf.DUMMYFUNCTION("""COMPUTED_VALUE"""),"{""regular"":[{""days"":[""Mo"",""Tu"",""We"",""Th""],""open"":""10:00"",""close"":""14:00""}]}")</f>
        <v>{"regular":[{"days":["Mo","Tu","We","Th"],"open":"10:00","close":"14:00"}]}</v>
      </c>
      <c r="L705" s="9"/>
      <c r="M705" s="10">
        <f>IFERROR(__xludf.DUMMYFUNCTION("""COMPUTED_VALUE"""),11.0)</f>
        <v>11</v>
      </c>
      <c r="N705" s="10" t="str">
        <f>IFERROR(__xludf.DUMMYFUNCTION("""COMPUTED_VALUE"""),"Rent")</f>
        <v>Rent</v>
      </c>
      <c r="O705" s="10">
        <f>IFERROR(__xludf.DUMMYFUNCTION("""COMPUTED_VALUE"""),1.0)</f>
        <v>1</v>
      </c>
      <c r="P705" s="10" t="str">
        <f>IFERROR(__xludf.DUMMYFUNCTION("""COMPUTED_VALUE"""),"ACTIVE")</f>
        <v>ACTIVE</v>
      </c>
      <c r="Q705" s="11">
        <f>IFERROR(__xludf.DUMMYFUNCTION("""COMPUTED_VALUE"""),45637.0)</f>
        <v>45637</v>
      </c>
      <c r="R705" s="9"/>
      <c r="S705" s="9"/>
      <c r="T705" s="12" t="b">
        <f>IFERROR(__xludf.DUMMYFUNCTION("""COMPUTED_VALUE"""),FALSE)</f>
        <v>0</v>
      </c>
      <c r="U705" s="12" t="b">
        <f>IFERROR(__xludf.DUMMYFUNCTION("""COMPUTED_VALUE"""),FALSE)</f>
        <v>0</v>
      </c>
      <c r="V705" s="13" t="str">
        <f>IFERROR(__xludf.DUMMYFUNCTION("""COMPUTED_VALUE"""),"https://shconroe.org/st-vincent-de-paul/")</f>
        <v>https://shconroe.org/st-vincent-de-paul/</v>
      </c>
      <c r="W705" s="14" t="str">
        <f>IFERROR(__xludf.DUMMYFUNCTION("""COMPUTED_VALUE"""),"https://maps.google.com/?q=Sacred%20Heart%20(SVdP%20D6)%20Conroe%20109%20N%20Frazier%20St%20Conroe%20TX%2077301")</f>
        <v>https://maps.google.com/?q=Sacred%20Heart%20(SVdP%20D6)%20Conroe%20109%20N%20Frazier%20St%20Conroe%20TX%2077301</v>
      </c>
      <c r="X705" s="10"/>
      <c r="Y705" s="9" t="str">
        <f>IFERROR(__xludf.DUMMYFUNCTION("""COMPUTED_VALUE"""),"Conroe")</f>
        <v>Conroe</v>
      </c>
      <c r="Z705" s="9" t="str">
        <f>IFERROR(__xludf.DUMMYFUNCTION("""COMPUTED_VALUE"""),"Conroe (Central/Downtown), Panorama Village")</f>
        <v>Conroe (Central/Downtown), Panorama Village</v>
      </c>
      <c r="AA705" s="9" t="str">
        <f>IFERROR(__xludf.DUMMYFUNCTION("""COMPUTED_VALUE"""),"Society of St Vincent de Paul")</f>
        <v>Society of St Vincent de Paul</v>
      </c>
      <c r="AB705" s="9" t="str">
        <f>IFERROR(__xludf.DUMMYFUNCTION("""COMPUTED_VALUE"""),"Conroe")</f>
        <v>Conroe</v>
      </c>
    </row>
    <row r="706" ht="30.0" customHeight="1">
      <c r="A706" s="17">
        <v>705.0</v>
      </c>
      <c r="B706" s="8" t="str">
        <f>IFERROR(__xludf.DUMMYFUNCTION("""COMPUTED_VALUE"""),"[""77301"", ""77302"", ""77303"", ""77304"", ""77306"", ""77316"", ""77327"", ""77328"", ""77356"", ""77378""]")</f>
        <v>["77301", "77302", "77303", "77304", "77306", "77316", "77327", "77328", "77356", "77378"]</v>
      </c>
      <c r="C706" s="9" t="str">
        <f>IFERROR(__xludf.DUMMYFUNCTION("""COMPUTED_VALUE"""),"Sacred Heart (SVdP D6) Conroe")</f>
        <v>Sacred Heart (SVdP D6) Conroe</v>
      </c>
      <c r="D706" s="9" t="str">
        <f>IFERROR(__xludf.DUMMYFUNCTION("""COMPUTED_VALUE"""),"109 N Frazier Street")</f>
        <v>109 N Frazier Street</v>
      </c>
      <c r="E706" s="9"/>
      <c r="F706" s="9" t="str">
        <f>IFERROR(__xludf.DUMMYFUNCTION("""COMPUTED_VALUE"""),"Conroe")</f>
        <v>Conroe</v>
      </c>
      <c r="G706" s="9" t="str">
        <f>IFERROR(__xludf.DUMMYFUNCTION("""COMPUTED_VALUE"""),"TX")</f>
        <v>TX</v>
      </c>
      <c r="H706" s="9" t="str">
        <f>IFERROR(__xludf.DUMMYFUNCTION("""COMPUTED_VALUE"""),"77301")</f>
        <v>77301</v>
      </c>
      <c r="I706" s="9" t="str">
        <f>IFERROR(__xludf.DUMMYFUNCTION("""COMPUTED_VALUE"""),"936-539-1188")</f>
        <v>936-539-1188</v>
      </c>
      <c r="J706" s="9" t="str">
        <f>IFERROR(__xludf.DUMMYFUNCTION("""COMPUTED_VALUE"""),"30.3092954, -95.4614134729342")</f>
        <v>30.3092954, -95.4614134729342</v>
      </c>
      <c r="K706" s="9" t="str">
        <f>IFERROR(__xludf.DUMMYFUNCTION("""COMPUTED_VALUE"""),"{""regular"":[{""days"":[""Mo"",""Tu"",""We"",""Th""],""open"":""10:00"",""close"":""14:00""}]}")</f>
        <v>{"regular":[{"days":["Mo","Tu","We","Th"],"open":"10:00","close":"14:00"}]}</v>
      </c>
      <c r="L706" s="9"/>
      <c r="M706" s="10">
        <f>IFERROR(__xludf.DUMMYFUNCTION("""COMPUTED_VALUE"""),12.0)</f>
        <v>12</v>
      </c>
      <c r="N706" s="10" t="str">
        <f>IFERROR(__xludf.DUMMYFUNCTION("""COMPUTED_VALUE"""),"Utilities")</f>
        <v>Utilities</v>
      </c>
      <c r="O706" s="10">
        <f>IFERROR(__xludf.DUMMYFUNCTION("""COMPUTED_VALUE"""),1.0)</f>
        <v>1</v>
      </c>
      <c r="P706" s="10" t="str">
        <f>IFERROR(__xludf.DUMMYFUNCTION("""COMPUTED_VALUE"""),"ACTIVE")</f>
        <v>ACTIVE</v>
      </c>
      <c r="Q706" s="11">
        <f>IFERROR(__xludf.DUMMYFUNCTION("""COMPUTED_VALUE"""),45637.0)</f>
        <v>45637</v>
      </c>
      <c r="R706" s="9"/>
      <c r="S706" s="9"/>
      <c r="T706" s="12" t="b">
        <f>IFERROR(__xludf.DUMMYFUNCTION("""COMPUTED_VALUE"""),FALSE)</f>
        <v>0</v>
      </c>
      <c r="U706" s="12" t="b">
        <f>IFERROR(__xludf.DUMMYFUNCTION("""COMPUTED_VALUE"""),FALSE)</f>
        <v>0</v>
      </c>
      <c r="V706" s="13" t="str">
        <f>IFERROR(__xludf.DUMMYFUNCTION("""COMPUTED_VALUE"""),"https://shconroe.org/st-vincent-de-paul/")</f>
        <v>https://shconroe.org/st-vincent-de-paul/</v>
      </c>
      <c r="W706" s="14" t="str">
        <f>IFERROR(__xludf.DUMMYFUNCTION("""COMPUTED_VALUE"""),"https://maps.google.com/?q=Sacred%20Heart%20(SVdP%20D6)%20Conroe%20109%20N%20Frazier%20St%20Conroe%20TX%2077301")</f>
        <v>https://maps.google.com/?q=Sacred%20Heart%20(SVdP%20D6)%20Conroe%20109%20N%20Frazier%20St%20Conroe%20TX%2077301</v>
      </c>
      <c r="X706" s="10"/>
      <c r="Y706" s="9" t="str">
        <f>IFERROR(__xludf.DUMMYFUNCTION("""COMPUTED_VALUE"""),"Conroe")</f>
        <v>Conroe</v>
      </c>
      <c r="Z706" s="9" t="str">
        <f>IFERROR(__xludf.DUMMYFUNCTION("""COMPUTED_VALUE"""),"Conroe (Central/Downtown), Panorama Village")</f>
        <v>Conroe (Central/Downtown), Panorama Village</v>
      </c>
      <c r="AA706" s="9" t="str">
        <f>IFERROR(__xludf.DUMMYFUNCTION("""COMPUTED_VALUE"""),"Society of St Vincent de Paul")</f>
        <v>Society of St Vincent de Paul</v>
      </c>
      <c r="AB706" s="9" t="str">
        <f>IFERROR(__xludf.DUMMYFUNCTION("""COMPUTED_VALUE"""),"Conroe")</f>
        <v>Conroe</v>
      </c>
    </row>
    <row r="707" ht="30.0" customHeight="1">
      <c r="A707" s="17">
        <v>706.0</v>
      </c>
      <c r="B707" s="8" t="str">
        <f>IFERROR(__xludf.DUMMYFUNCTION("""COMPUTED_VALUE"""),"[""77301"", ""77302"", ""77303"", ""77304"", ""77306"", ""77316"", ""77327"", ""77328"", ""77356"", ""77378""]")</f>
        <v>["77301", "77302", "77303", "77304", "77306", "77316", "77327", "77328", "77356", "77378"]</v>
      </c>
      <c r="C707" s="9" t="str">
        <f>IFERROR(__xludf.DUMMYFUNCTION("""COMPUTED_VALUE"""),"Sacred Heart (SVdP D6) Conroe")</f>
        <v>Sacred Heart (SVdP D6) Conroe</v>
      </c>
      <c r="D707" s="9" t="str">
        <f>IFERROR(__xludf.DUMMYFUNCTION("""COMPUTED_VALUE"""),"109 N Frazier Street")</f>
        <v>109 N Frazier Street</v>
      </c>
      <c r="E707" s="9"/>
      <c r="F707" s="9" t="str">
        <f>IFERROR(__xludf.DUMMYFUNCTION("""COMPUTED_VALUE"""),"Conroe")</f>
        <v>Conroe</v>
      </c>
      <c r="G707" s="9" t="str">
        <f>IFERROR(__xludf.DUMMYFUNCTION("""COMPUTED_VALUE"""),"TX")</f>
        <v>TX</v>
      </c>
      <c r="H707" s="9" t="str">
        <f>IFERROR(__xludf.DUMMYFUNCTION("""COMPUTED_VALUE"""),"77301")</f>
        <v>77301</v>
      </c>
      <c r="I707" s="9" t="str">
        <f>IFERROR(__xludf.DUMMYFUNCTION("""COMPUTED_VALUE"""),"936-539-1188")</f>
        <v>936-539-1188</v>
      </c>
      <c r="J707" s="9" t="str">
        <f>IFERROR(__xludf.DUMMYFUNCTION("""COMPUTED_VALUE"""),"30.3092954, -95.4614134729342")</f>
        <v>30.3092954, -95.4614134729342</v>
      </c>
      <c r="K707" s="9" t="str">
        <f>IFERROR(__xludf.DUMMYFUNCTION("""COMPUTED_VALUE"""),"{""regular"":[{""days"":[""We""],""open"":""09:00"",""close"":""12:00""}]}")</f>
        <v>{"regular":[{"days":["We"],"open":"09:00","close":"12:00"}]}</v>
      </c>
      <c r="L707" s="9"/>
      <c r="M707" s="10">
        <f>IFERROR(__xludf.DUMMYFUNCTION("""COMPUTED_VALUE"""),13.0)</f>
        <v>13</v>
      </c>
      <c r="N707" s="10" t="str">
        <f>IFERROR(__xludf.DUMMYFUNCTION("""COMPUTED_VALUE"""),"Food")</f>
        <v>Food</v>
      </c>
      <c r="O707" s="10">
        <f>IFERROR(__xludf.DUMMYFUNCTION("""COMPUTED_VALUE"""),1.0)</f>
        <v>1</v>
      </c>
      <c r="P707" s="10" t="str">
        <f>IFERROR(__xludf.DUMMYFUNCTION("""COMPUTED_VALUE"""),"ACTIVE")</f>
        <v>ACTIVE</v>
      </c>
      <c r="Q707" s="11">
        <f>IFERROR(__xludf.DUMMYFUNCTION("""COMPUTED_VALUE"""),45637.0)</f>
        <v>45637</v>
      </c>
      <c r="R707" s="9"/>
      <c r="S707" s="9"/>
      <c r="T707" s="12" t="b">
        <f>IFERROR(__xludf.DUMMYFUNCTION("""COMPUTED_VALUE"""),FALSE)</f>
        <v>0</v>
      </c>
      <c r="U707" s="12" t="b">
        <f>IFERROR(__xludf.DUMMYFUNCTION("""COMPUTED_VALUE"""),FALSE)</f>
        <v>0</v>
      </c>
      <c r="V707" s="13" t="str">
        <f>IFERROR(__xludf.DUMMYFUNCTION("""COMPUTED_VALUE"""),"https://shconroe.org/st-vincent-de-paul/")</f>
        <v>https://shconroe.org/st-vincent-de-paul/</v>
      </c>
      <c r="W707" s="14" t="str">
        <f>IFERROR(__xludf.DUMMYFUNCTION("""COMPUTED_VALUE"""),"https://maps.google.com/?q=Sacred%20Heart%20(SVdP%20D6)%20Conroe%20109%20N%20Frazier%20St%20Conroe%20TX%2077301")</f>
        <v>https://maps.google.com/?q=Sacred%20Heart%20(SVdP%20D6)%20Conroe%20109%20N%20Frazier%20St%20Conroe%20TX%2077301</v>
      </c>
      <c r="X707" s="10"/>
      <c r="Y707" s="9" t="str">
        <f>IFERROR(__xludf.DUMMYFUNCTION("""COMPUTED_VALUE"""),"Conroe")</f>
        <v>Conroe</v>
      </c>
      <c r="Z707" s="9" t="str">
        <f>IFERROR(__xludf.DUMMYFUNCTION("""COMPUTED_VALUE"""),"Conroe (Central/Downtown), Panorama Village")</f>
        <v>Conroe (Central/Downtown), Panorama Village</v>
      </c>
      <c r="AA707" s="9" t="str">
        <f>IFERROR(__xludf.DUMMYFUNCTION("""COMPUTED_VALUE"""),"Society of St Vincent de Paul")</f>
        <v>Society of St Vincent de Paul</v>
      </c>
      <c r="AB707" s="9" t="str">
        <f>IFERROR(__xludf.DUMMYFUNCTION("""COMPUTED_VALUE"""),"Conroe")</f>
        <v>Conroe</v>
      </c>
    </row>
    <row r="708" ht="30.0" customHeight="1">
      <c r="A708" s="17">
        <v>707.0</v>
      </c>
      <c r="B708" s="8" t="str">
        <f>IFERROR(__xludf.DUMMYFUNCTION("""COMPUTED_VALUE"""),"[""77301"", ""77302"", ""77303"", ""77304"", ""77306"", ""77316"", ""77327"", ""77328"", ""77356"", ""77378""]")</f>
        <v>["77301", "77302", "77303", "77304", "77306", "77316", "77327", "77328", "77356", "77378"]</v>
      </c>
      <c r="C708" s="9" t="str">
        <f>IFERROR(__xludf.DUMMYFUNCTION("""COMPUTED_VALUE"""),"Sacred Heart (SVdP D6) Conroe")</f>
        <v>Sacred Heart (SVdP D6) Conroe</v>
      </c>
      <c r="D708" s="9" t="str">
        <f>IFERROR(__xludf.DUMMYFUNCTION("""COMPUTED_VALUE"""),"109 N Frazier Street")</f>
        <v>109 N Frazier Street</v>
      </c>
      <c r="E708" s="9"/>
      <c r="F708" s="9" t="str">
        <f>IFERROR(__xludf.DUMMYFUNCTION("""COMPUTED_VALUE"""),"Conroe")</f>
        <v>Conroe</v>
      </c>
      <c r="G708" s="9" t="str">
        <f>IFERROR(__xludf.DUMMYFUNCTION("""COMPUTED_VALUE"""),"TX")</f>
        <v>TX</v>
      </c>
      <c r="H708" s="9" t="str">
        <f>IFERROR(__xludf.DUMMYFUNCTION("""COMPUTED_VALUE"""),"77301")</f>
        <v>77301</v>
      </c>
      <c r="I708" s="9" t="str">
        <f>IFERROR(__xludf.DUMMYFUNCTION("""COMPUTED_VALUE"""),"936-539-1188")</f>
        <v>936-539-1188</v>
      </c>
      <c r="J708" s="9" t="str">
        <f>IFERROR(__xludf.DUMMYFUNCTION("""COMPUTED_VALUE"""),"30.3092954, -95.4614134729342")</f>
        <v>30.3092954, -95.4614134729342</v>
      </c>
      <c r="K708" s="9" t="str">
        <f>IFERROR(__xludf.DUMMYFUNCTION("""COMPUTED_VALUE"""),"{""regular"":[{""days"":[""Mo"",""Tu"",""We"",""Th""],""open"":""10:00"",""close"":""14:00""}]}")</f>
        <v>{"regular":[{"days":["Mo","Tu","We","Th"],"open":"10:00","close":"14:00"}]}</v>
      </c>
      <c r="L708" s="9"/>
      <c r="M708" s="10">
        <f>IFERROR(__xludf.DUMMYFUNCTION("""COMPUTED_VALUE"""),14.0)</f>
        <v>14</v>
      </c>
      <c r="N708" s="10" t="str">
        <f>IFERROR(__xludf.DUMMYFUNCTION("""COMPUTED_VALUE"""),"Clothing")</f>
        <v>Clothing</v>
      </c>
      <c r="O708" s="10">
        <f>IFERROR(__xludf.DUMMYFUNCTION("""COMPUTED_VALUE"""),1.0)</f>
        <v>1</v>
      </c>
      <c r="P708" s="10" t="str">
        <f>IFERROR(__xludf.DUMMYFUNCTION("""COMPUTED_VALUE"""),"ACTIVE")</f>
        <v>ACTIVE</v>
      </c>
      <c r="Q708" s="11">
        <f>IFERROR(__xludf.DUMMYFUNCTION("""COMPUTED_VALUE"""),45637.0)</f>
        <v>45637</v>
      </c>
      <c r="R708" s="9"/>
      <c r="S708" s="9"/>
      <c r="T708" s="12" t="b">
        <f>IFERROR(__xludf.DUMMYFUNCTION("""COMPUTED_VALUE"""),FALSE)</f>
        <v>0</v>
      </c>
      <c r="U708" s="12" t="b">
        <f>IFERROR(__xludf.DUMMYFUNCTION("""COMPUTED_VALUE"""),FALSE)</f>
        <v>0</v>
      </c>
      <c r="V708" s="13" t="str">
        <f>IFERROR(__xludf.DUMMYFUNCTION("""COMPUTED_VALUE"""),"https://shconroe.org/st-vincent-de-paul/")</f>
        <v>https://shconroe.org/st-vincent-de-paul/</v>
      </c>
      <c r="W708" s="14" t="str">
        <f>IFERROR(__xludf.DUMMYFUNCTION("""COMPUTED_VALUE"""),"https://maps.google.com/?q=Sacred%20Heart%20(SVdP%20D6)%20Conroe%20109%20N%20Frazier%20St%20Conroe%20TX%2077301")</f>
        <v>https://maps.google.com/?q=Sacred%20Heart%20(SVdP%20D6)%20Conroe%20109%20N%20Frazier%20St%20Conroe%20TX%2077301</v>
      </c>
      <c r="X708" s="10"/>
      <c r="Y708" s="9" t="str">
        <f>IFERROR(__xludf.DUMMYFUNCTION("""COMPUTED_VALUE"""),"Conroe")</f>
        <v>Conroe</v>
      </c>
      <c r="Z708" s="9" t="str">
        <f>IFERROR(__xludf.DUMMYFUNCTION("""COMPUTED_VALUE"""),"Conroe (Central/Downtown), Panorama Village")</f>
        <v>Conroe (Central/Downtown), Panorama Village</v>
      </c>
      <c r="AA708" s="9" t="str">
        <f>IFERROR(__xludf.DUMMYFUNCTION("""COMPUTED_VALUE"""),"Society of St Vincent de Paul")</f>
        <v>Society of St Vincent de Paul</v>
      </c>
      <c r="AB708" s="9" t="str">
        <f>IFERROR(__xludf.DUMMYFUNCTION("""COMPUTED_VALUE"""),"Conroe")</f>
        <v>Conroe</v>
      </c>
    </row>
    <row r="709" ht="30.0" customHeight="1">
      <c r="A709" s="17">
        <v>708.0</v>
      </c>
      <c r="B709" s="8" t="str">
        <f>IFERROR(__xludf.DUMMYFUNCTION("""COMPUTED_VALUE"""),"[""77002""]")</f>
        <v>["77002"]</v>
      </c>
      <c r="C709" s="9" t="str">
        <f>IFERROR(__xludf.DUMMYFUNCTION("""COMPUTED_VALUE"""),"Sacred Heart Co-Cathedral")</f>
        <v>Sacred Heart Co-Cathedral</v>
      </c>
      <c r="D709" s="9" t="str">
        <f>IFERROR(__xludf.DUMMYFUNCTION("""COMPUTED_VALUE"""),"1111 St Joseph Pkwy")</f>
        <v>1111 St Joseph Pkwy</v>
      </c>
      <c r="E709" s="9"/>
      <c r="F709" s="9" t="str">
        <f>IFERROR(__xludf.DUMMYFUNCTION("""COMPUTED_VALUE"""),"Houston")</f>
        <v>Houston</v>
      </c>
      <c r="G709" s="9" t="str">
        <f>IFERROR(__xludf.DUMMYFUNCTION("""COMPUTED_VALUE"""),"TX")</f>
        <v>TX</v>
      </c>
      <c r="H709" s="9" t="str">
        <f>IFERROR(__xludf.DUMMYFUNCTION("""COMPUTED_VALUE"""),"77002")</f>
        <v>77002</v>
      </c>
      <c r="I709" s="9" t="str">
        <f>IFERROR(__xludf.DUMMYFUNCTION("""COMPUTED_VALUE"""),"713-659-1561")</f>
        <v>713-659-1561</v>
      </c>
      <c r="J709" s="9" t="str">
        <f>IFERROR(__xludf.DUMMYFUNCTION("""COMPUTED_VALUE"""),"29.74987725, -95.3686941480549")</f>
        <v>29.74987725, -95.3686941480549</v>
      </c>
      <c r="K709" s="9" t="str">
        <f>IFERROR(__xludf.DUMMYFUNCTION("""COMPUTED_VALUE"""),"{""regular"":[{""days"":[""Mo""],""open"":""09:00"",""close"":""17:00""}]}")</f>
        <v>{"regular":[{"days":["Mo"],"open":"09:00","close":"17:00"}]}</v>
      </c>
      <c r="L709" s="9"/>
      <c r="M709" s="10">
        <f>IFERROR(__xludf.DUMMYFUNCTION("""COMPUTED_VALUE"""),13.0)</f>
        <v>13</v>
      </c>
      <c r="N709" s="10" t="str">
        <f>IFERROR(__xludf.DUMMYFUNCTION("""COMPUTED_VALUE"""),"Food")</f>
        <v>Food</v>
      </c>
      <c r="O709" s="10">
        <f>IFERROR(__xludf.DUMMYFUNCTION("""COMPUTED_VALUE"""),1.0)</f>
        <v>1</v>
      </c>
      <c r="P709" s="10" t="str">
        <f>IFERROR(__xludf.DUMMYFUNCTION("""COMPUTED_VALUE"""),"ACTIVE")</f>
        <v>ACTIVE</v>
      </c>
      <c r="Q709" s="11"/>
      <c r="R709" s="9"/>
      <c r="S709" s="9"/>
      <c r="T709" s="12" t="b">
        <f>IFERROR(__xludf.DUMMYFUNCTION("""COMPUTED_VALUE"""),FALSE)</f>
        <v>0</v>
      </c>
      <c r="U709" s="12" t="b">
        <f>IFERROR(__xludf.DUMMYFUNCTION("""COMPUTED_VALUE"""),FALSE)</f>
        <v>0</v>
      </c>
      <c r="V709" s="13" t="str">
        <f>IFERROR(__xludf.DUMMYFUNCTION("""COMPUTED_VALUE"""),"https://www.sacredhearthouston.org/")</f>
        <v>https://www.sacredhearthouston.org/</v>
      </c>
      <c r="W709" s="14" t="str">
        <f>IFERROR(__xludf.DUMMYFUNCTION("""COMPUTED_VALUE"""),"https://maps.google.com/?q=Sacred%20Heart%20Co-Cathedral%201111%20St%20Joseph%20Pkwy%20Houston%20TX%2077002")</f>
        <v>https://maps.google.com/?q=Sacred%20Heart%20Co-Cathedral%201111%20St%20Joseph%20Pkwy%20Houston%20TX%2077002</v>
      </c>
      <c r="X709" s="10"/>
      <c r="Y709" s="9" t="str">
        <f>IFERROR(__xludf.DUMMYFUNCTION("""COMPUTED_VALUE"""),"Houston")</f>
        <v>Houston</v>
      </c>
      <c r="Z709"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09" s="9" t="str">
        <f>IFERROR(__xludf.DUMMYFUNCTION("""COMPUTED_VALUE"""),"Sacred Heart Co-Cathedral")</f>
        <v>Sacred Heart Co-Cathedral</v>
      </c>
      <c r="AB709" s="9" t="str">
        <f>IFERROR(__xludf.DUMMYFUNCTION("""COMPUTED_VALUE"""),"Downtown Houston")</f>
        <v>Downtown Houston</v>
      </c>
    </row>
    <row r="710" ht="30.0" customHeight="1">
      <c r="A710" s="17">
        <v>709.0</v>
      </c>
      <c r="B710" s="8" t="str">
        <f>IFERROR(__xludf.DUMMYFUNCTION("""COMPUTED_VALUE"""),"[""77532""]")</f>
        <v>["77532"]</v>
      </c>
      <c r="C710" s="9" t="str">
        <f>IFERROR(__xludf.DUMMYFUNCTION("""COMPUTED_VALUE"""),"Sacred Heart Crosby (SVdP D5)")</f>
        <v>Sacred Heart Crosby (SVdP D5)</v>
      </c>
      <c r="D710" s="9" t="str">
        <f>IFERROR(__xludf.DUMMYFUNCTION("""COMPUTED_VALUE"""),"915 Runneburg Road")</f>
        <v>915 Runneburg Road</v>
      </c>
      <c r="E710" s="9"/>
      <c r="F710" s="9" t="str">
        <f>IFERROR(__xludf.DUMMYFUNCTION("""COMPUTED_VALUE"""),"Crosby")</f>
        <v>Crosby</v>
      </c>
      <c r="G710" s="9" t="str">
        <f>IFERROR(__xludf.DUMMYFUNCTION("""COMPUTED_VALUE"""),"TX")</f>
        <v>TX</v>
      </c>
      <c r="H710" s="9" t="str">
        <f>IFERROR(__xludf.DUMMYFUNCTION("""COMPUTED_VALUE"""),"77532")</f>
        <v>77532</v>
      </c>
      <c r="I710" s="9" t="str">
        <f>IFERROR(__xludf.DUMMYFUNCTION("""COMPUTED_VALUE"""),"281-328-1967")</f>
        <v>281-328-1967</v>
      </c>
      <c r="J710" s="9" t="str">
        <f>IFERROR(__xludf.DUMMYFUNCTION("""COMPUTED_VALUE"""),"29.9118805, -95.058928")</f>
        <v>29.9118805, -95.058928</v>
      </c>
      <c r="K710" s="9"/>
      <c r="L710" s="9" t="str">
        <f>IFERROR(__xludf.DUMMYFUNCTION("""COMPUTED_VALUE"""),"Leave message")</f>
        <v>Leave message</v>
      </c>
      <c r="M710" s="10">
        <f>IFERROR(__xludf.DUMMYFUNCTION("""COMPUTED_VALUE"""),11.0)</f>
        <v>11</v>
      </c>
      <c r="N710" s="10" t="str">
        <f>IFERROR(__xludf.DUMMYFUNCTION("""COMPUTED_VALUE"""),"Rent")</f>
        <v>Rent</v>
      </c>
      <c r="O710" s="10">
        <f>IFERROR(__xludf.DUMMYFUNCTION("""COMPUTED_VALUE"""),1.0)</f>
        <v>1</v>
      </c>
      <c r="P710" s="10" t="str">
        <f>IFERROR(__xludf.DUMMYFUNCTION("""COMPUTED_VALUE"""),"ACTIVE")</f>
        <v>ACTIVE</v>
      </c>
      <c r="Q710" s="11">
        <f>IFERROR(__xludf.DUMMYFUNCTION("""COMPUTED_VALUE"""),45637.0)</f>
        <v>45637</v>
      </c>
      <c r="R710" s="9"/>
      <c r="S710" s="9"/>
      <c r="T710" s="12" t="b">
        <f>IFERROR(__xludf.DUMMYFUNCTION("""COMPUTED_VALUE"""),FALSE)</f>
        <v>0</v>
      </c>
      <c r="U710" s="12" t="b">
        <f>IFERROR(__xludf.DUMMYFUNCTION("""COMPUTED_VALUE"""),FALSE)</f>
        <v>0</v>
      </c>
      <c r="V710" s="13" t="str">
        <f>IFERROR(__xludf.DUMMYFUNCTION("""COMPUTED_VALUE"""),"https://shcrosby.org/ministries/st-vincent-de-paul/")</f>
        <v>https://shcrosby.org/ministries/st-vincent-de-paul/</v>
      </c>
      <c r="W710" s="14" t="str">
        <f>IFERROR(__xludf.DUMMYFUNCTION("""COMPUTED_VALUE"""),"https://maps.google.com/?q=Sacred%20Heart%20Crosby%20(SVdP%20D5)%20915%20Runneburg%20Rd%20Crosby%20TX%2077532")</f>
        <v>https://maps.google.com/?q=Sacred%20Heart%20Crosby%20(SVdP%20D5)%20915%20Runneburg%20Rd%20Crosby%20TX%2077532</v>
      </c>
      <c r="X710" s="10"/>
      <c r="Y710" s="9" t="str">
        <f>IFERROR(__xludf.DUMMYFUNCTION("""COMPUTED_VALUE"""),"Crosby")</f>
        <v>Crosby</v>
      </c>
      <c r="Z710" s="9" t="str">
        <f>IFERROR(__xludf.DUMMYFUNCTION("""COMPUTED_VALUE"""),"Burris, Crosby")</f>
        <v>Burris, Crosby</v>
      </c>
      <c r="AA710" s="9" t="str">
        <f>IFERROR(__xludf.DUMMYFUNCTION("""COMPUTED_VALUE"""),"Society of St Vincent de Paul")</f>
        <v>Society of St Vincent de Paul</v>
      </c>
      <c r="AB710" s="9" t="str">
        <f>IFERROR(__xludf.DUMMYFUNCTION("""COMPUTED_VALUE"""),"Burris")</f>
        <v>Burris</v>
      </c>
    </row>
    <row r="711" ht="30.0" customHeight="1">
      <c r="A711" s="17">
        <v>710.0</v>
      </c>
      <c r="B711" s="8" t="str">
        <f>IFERROR(__xludf.DUMMYFUNCTION("""COMPUTED_VALUE"""),"[""77532""]")</f>
        <v>["77532"]</v>
      </c>
      <c r="C711" s="9" t="str">
        <f>IFERROR(__xludf.DUMMYFUNCTION("""COMPUTED_VALUE"""),"Sacred Heart Crosby (SVdP D5)")</f>
        <v>Sacred Heart Crosby (SVdP D5)</v>
      </c>
      <c r="D711" s="9" t="str">
        <f>IFERROR(__xludf.DUMMYFUNCTION("""COMPUTED_VALUE"""),"915 Runneburg Road")</f>
        <v>915 Runneburg Road</v>
      </c>
      <c r="E711" s="9"/>
      <c r="F711" s="9" t="str">
        <f>IFERROR(__xludf.DUMMYFUNCTION("""COMPUTED_VALUE"""),"Crosby")</f>
        <v>Crosby</v>
      </c>
      <c r="G711" s="9" t="str">
        <f>IFERROR(__xludf.DUMMYFUNCTION("""COMPUTED_VALUE"""),"TX")</f>
        <v>TX</v>
      </c>
      <c r="H711" s="9" t="str">
        <f>IFERROR(__xludf.DUMMYFUNCTION("""COMPUTED_VALUE"""),"77532")</f>
        <v>77532</v>
      </c>
      <c r="I711" s="9" t="str">
        <f>IFERROR(__xludf.DUMMYFUNCTION("""COMPUTED_VALUE"""),"281-328-1967")</f>
        <v>281-328-1967</v>
      </c>
      <c r="J711" s="9" t="str">
        <f>IFERROR(__xludf.DUMMYFUNCTION("""COMPUTED_VALUE"""),"29.9118805, -95.058928")</f>
        <v>29.9118805, -95.058928</v>
      </c>
      <c r="K711" s="9"/>
      <c r="L711" s="9" t="str">
        <f>IFERROR(__xludf.DUMMYFUNCTION("""COMPUTED_VALUE"""),"Appointment required")</f>
        <v>Appointment required</v>
      </c>
      <c r="M711" s="10">
        <f>IFERROR(__xludf.DUMMYFUNCTION("""COMPUTED_VALUE"""),12.0)</f>
        <v>12</v>
      </c>
      <c r="N711" s="10" t="str">
        <f>IFERROR(__xludf.DUMMYFUNCTION("""COMPUTED_VALUE"""),"Utilities")</f>
        <v>Utilities</v>
      </c>
      <c r="O711" s="10">
        <f>IFERROR(__xludf.DUMMYFUNCTION("""COMPUTED_VALUE"""),1.0)</f>
        <v>1</v>
      </c>
      <c r="P711" s="10" t="str">
        <f>IFERROR(__xludf.DUMMYFUNCTION("""COMPUTED_VALUE"""),"ACTIVE")</f>
        <v>ACTIVE</v>
      </c>
      <c r="Q711" s="11">
        <f>IFERROR(__xludf.DUMMYFUNCTION("""COMPUTED_VALUE"""),45637.0)</f>
        <v>45637</v>
      </c>
      <c r="R711" s="9"/>
      <c r="S711" s="9"/>
      <c r="T711" s="12" t="b">
        <f>IFERROR(__xludf.DUMMYFUNCTION("""COMPUTED_VALUE"""),FALSE)</f>
        <v>0</v>
      </c>
      <c r="U711" s="12" t="b">
        <f>IFERROR(__xludf.DUMMYFUNCTION("""COMPUTED_VALUE"""),FALSE)</f>
        <v>0</v>
      </c>
      <c r="V711" s="13" t="str">
        <f>IFERROR(__xludf.DUMMYFUNCTION("""COMPUTED_VALUE"""),"https://shcrosby.org/ministries/st-vincent-de-paul/")</f>
        <v>https://shcrosby.org/ministries/st-vincent-de-paul/</v>
      </c>
      <c r="W711" s="14" t="str">
        <f>IFERROR(__xludf.DUMMYFUNCTION("""COMPUTED_VALUE"""),"https://maps.google.com/?q=Sacred%20Heart%20Crosby%20(SVdP%20D5)%20915%20Runneburg%20Rd%20Crosby%20TX%2077532")</f>
        <v>https://maps.google.com/?q=Sacred%20Heart%20Crosby%20(SVdP%20D5)%20915%20Runneburg%20Rd%20Crosby%20TX%2077532</v>
      </c>
      <c r="X711" s="10"/>
      <c r="Y711" s="9" t="str">
        <f>IFERROR(__xludf.DUMMYFUNCTION("""COMPUTED_VALUE"""),"Crosby")</f>
        <v>Crosby</v>
      </c>
      <c r="Z711" s="9" t="str">
        <f>IFERROR(__xludf.DUMMYFUNCTION("""COMPUTED_VALUE"""),"Burris, Crosby")</f>
        <v>Burris, Crosby</v>
      </c>
      <c r="AA711" s="9" t="str">
        <f>IFERROR(__xludf.DUMMYFUNCTION("""COMPUTED_VALUE"""),"Society of St Vincent de Paul")</f>
        <v>Society of St Vincent de Paul</v>
      </c>
      <c r="AB711" s="9" t="str">
        <f>IFERROR(__xludf.DUMMYFUNCTION("""COMPUTED_VALUE"""),"Burris")</f>
        <v>Burris</v>
      </c>
    </row>
    <row r="712" ht="30.0" customHeight="1">
      <c r="A712" s="17">
        <v>711.0</v>
      </c>
      <c r="B712" s="8" t="str">
        <f>IFERROR(__xludf.DUMMYFUNCTION("""COMPUTED_VALUE"""),"[""77532""]")</f>
        <v>["77532"]</v>
      </c>
      <c r="C712" s="9" t="str">
        <f>IFERROR(__xludf.DUMMYFUNCTION("""COMPUTED_VALUE"""),"Sacred Heart Crosby (SVdP D5)")</f>
        <v>Sacred Heart Crosby (SVdP D5)</v>
      </c>
      <c r="D712" s="9" t="str">
        <f>IFERROR(__xludf.DUMMYFUNCTION("""COMPUTED_VALUE"""),"915 Runneburg Road")</f>
        <v>915 Runneburg Road</v>
      </c>
      <c r="E712" s="9"/>
      <c r="F712" s="9" t="str">
        <f>IFERROR(__xludf.DUMMYFUNCTION("""COMPUTED_VALUE"""),"Crosby")</f>
        <v>Crosby</v>
      </c>
      <c r="G712" s="9" t="str">
        <f>IFERROR(__xludf.DUMMYFUNCTION("""COMPUTED_VALUE"""),"TX")</f>
        <v>TX</v>
      </c>
      <c r="H712" s="9" t="str">
        <f>IFERROR(__xludf.DUMMYFUNCTION("""COMPUTED_VALUE"""),"77532")</f>
        <v>77532</v>
      </c>
      <c r="I712" s="9" t="str">
        <f>IFERROR(__xludf.DUMMYFUNCTION("""COMPUTED_VALUE"""),"281-328-1967")</f>
        <v>281-328-1967</v>
      </c>
      <c r="J712" s="9" t="str">
        <f>IFERROR(__xludf.DUMMYFUNCTION("""COMPUTED_VALUE"""),"29.9118805, -95.058928")</f>
        <v>29.9118805, -95.058928</v>
      </c>
      <c r="K712" s="9"/>
      <c r="L712" s="9" t="str">
        <f>IFERROR(__xludf.DUMMYFUNCTION("""COMPUTED_VALUE"""),"Appointment required")</f>
        <v>Appointment required</v>
      </c>
      <c r="M712" s="10">
        <f>IFERROR(__xludf.DUMMYFUNCTION("""COMPUTED_VALUE"""),13.0)</f>
        <v>13</v>
      </c>
      <c r="N712" s="10" t="str">
        <f>IFERROR(__xludf.DUMMYFUNCTION("""COMPUTED_VALUE"""),"Food")</f>
        <v>Food</v>
      </c>
      <c r="O712" s="10">
        <f>IFERROR(__xludf.DUMMYFUNCTION("""COMPUTED_VALUE"""),1.0)</f>
        <v>1</v>
      </c>
      <c r="P712" s="10" t="str">
        <f>IFERROR(__xludf.DUMMYFUNCTION("""COMPUTED_VALUE"""),"ACTIVE")</f>
        <v>ACTIVE</v>
      </c>
      <c r="Q712" s="11">
        <f>IFERROR(__xludf.DUMMYFUNCTION("""COMPUTED_VALUE"""),45637.0)</f>
        <v>45637</v>
      </c>
      <c r="R712" s="9"/>
      <c r="S712" s="9"/>
      <c r="T712" s="12" t="b">
        <f>IFERROR(__xludf.DUMMYFUNCTION("""COMPUTED_VALUE"""),FALSE)</f>
        <v>0</v>
      </c>
      <c r="U712" s="12" t="b">
        <f>IFERROR(__xludf.DUMMYFUNCTION("""COMPUTED_VALUE"""),FALSE)</f>
        <v>0</v>
      </c>
      <c r="V712" s="13" t="str">
        <f>IFERROR(__xludf.DUMMYFUNCTION("""COMPUTED_VALUE"""),"https://shcrosby.org/ministries/st-vincent-de-paul/")</f>
        <v>https://shcrosby.org/ministries/st-vincent-de-paul/</v>
      </c>
      <c r="W712" s="14" t="str">
        <f>IFERROR(__xludf.DUMMYFUNCTION("""COMPUTED_VALUE"""),"https://maps.google.com/?q=Sacred%20Heart%20Crosby%20(SVdP%20D5)%20915%20Runneburg%20Rd%20Crosby%20TX%2077532")</f>
        <v>https://maps.google.com/?q=Sacred%20Heart%20Crosby%20(SVdP%20D5)%20915%20Runneburg%20Rd%20Crosby%20TX%2077532</v>
      </c>
      <c r="X712" s="10"/>
      <c r="Y712" s="9" t="str">
        <f>IFERROR(__xludf.DUMMYFUNCTION("""COMPUTED_VALUE"""),"Crosby")</f>
        <v>Crosby</v>
      </c>
      <c r="Z712" s="9" t="str">
        <f>IFERROR(__xludf.DUMMYFUNCTION("""COMPUTED_VALUE"""),"Burris, Crosby")</f>
        <v>Burris, Crosby</v>
      </c>
      <c r="AA712" s="9" t="str">
        <f>IFERROR(__xludf.DUMMYFUNCTION("""COMPUTED_VALUE"""),"Society of St Vincent de Paul")</f>
        <v>Society of St Vincent de Paul</v>
      </c>
      <c r="AB712" s="9" t="str">
        <f>IFERROR(__xludf.DUMMYFUNCTION("""COMPUTED_VALUE"""),"Burris")</f>
        <v>Burris</v>
      </c>
    </row>
    <row r="713" ht="30.0" customHeight="1">
      <c r="A713" s="17">
        <v>712.0</v>
      </c>
      <c r="B713" s="8" t="str">
        <f>IFERROR(__xludf.DUMMYFUNCTION("""COMPUTED_VALUE"""),"[""99999""]")</f>
        <v>["99999"]</v>
      </c>
      <c r="C713" s="9" t="str">
        <f>IFERROR(__xludf.DUMMYFUNCTION("""COMPUTED_VALUE"""),"Sacred Heart of Jesus/Manvel")</f>
        <v>Sacred Heart of Jesus/Manvel</v>
      </c>
      <c r="D713" s="9" t="str">
        <f>IFERROR(__xludf.DUMMYFUNCTION("""COMPUTED_VALUE"""),"14307 Hwy 6")</f>
        <v>14307 Hwy 6</v>
      </c>
      <c r="E713" s="9"/>
      <c r="F713" s="9" t="str">
        <f>IFERROR(__xludf.DUMMYFUNCTION("""COMPUTED_VALUE"""),"Rosharon")</f>
        <v>Rosharon</v>
      </c>
      <c r="G713" s="9" t="str">
        <f>IFERROR(__xludf.DUMMYFUNCTION("""COMPUTED_VALUE"""),"TX")</f>
        <v>TX</v>
      </c>
      <c r="H713" s="9" t="str">
        <f>IFERROR(__xludf.DUMMYFUNCTION("""COMPUTED_VALUE"""),"77583")</f>
        <v>77583</v>
      </c>
      <c r="I713" s="9" t="str">
        <f>IFERROR(__xludf.DUMMYFUNCTION("""COMPUTED_VALUE"""),"281-431-0969")</f>
        <v>281-431-0969</v>
      </c>
      <c r="J713" s="9" t="str">
        <f>IFERROR(__xludf.DUMMYFUNCTION("""COMPUTED_VALUE"""),"29.490524696787435, -95.41601662028063")</f>
        <v>29.490524696787435, -95.41601662028063</v>
      </c>
      <c r="K713" s="9" t="str">
        <f>IFERROR(__xludf.DUMMYFUNCTION("""COMPUTED_VALUE"""),"{""regular"":[{""days"":[""Mo""],""open"":""13:00"",""close"":""15:00""},{""days"":[""We""],""open"":""10:00"",""close"":""12:00""}]}")</f>
        <v>{"regular":[{"days":["Mo"],"open":"13:00","close":"15:00"},{"days":["We"],"open":"10:00","close":"12:00"}]}</v>
      </c>
      <c r="L713" s="9" t="str">
        <f>IFERROR(__xludf.DUMMYFUNCTION("""COMPUTED_VALUE"""),"Mo for Seniors only.")</f>
        <v>Mo for Seniors only.</v>
      </c>
      <c r="M713" s="10">
        <f>IFERROR(__xludf.DUMMYFUNCTION("""COMPUTED_VALUE"""),13.0)</f>
        <v>13</v>
      </c>
      <c r="N713" s="10" t="str">
        <f>IFERROR(__xludf.DUMMYFUNCTION("""COMPUTED_VALUE"""),"Food")</f>
        <v>Food</v>
      </c>
      <c r="O713" s="10">
        <f>IFERROR(__xludf.DUMMYFUNCTION("""COMPUTED_VALUE"""),1.0)</f>
        <v>1</v>
      </c>
      <c r="P713" s="10" t="str">
        <f>IFERROR(__xludf.DUMMYFUNCTION("""COMPUTED_VALUE"""),"ACTIVE")</f>
        <v>ACTIVE</v>
      </c>
      <c r="Q713" s="11"/>
      <c r="R713" s="9"/>
      <c r="S713" s="9"/>
      <c r="T713" s="12" t="b">
        <f>IFERROR(__xludf.DUMMYFUNCTION("""COMPUTED_VALUE"""),FALSE)</f>
        <v>0</v>
      </c>
      <c r="U713" s="12" t="b">
        <f>IFERROR(__xludf.DUMMYFUNCTION("""COMPUTED_VALUE"""),FALSE)</f>
        <v>0</v>
      </c>
      <c r="V713" s="13" t="str">
        <f>IFERROR(__xludf.DUMMYFUNCTION("""COMPUTED_VALUE"""),"https://sacredheartmanvel.org/food-pantry")</f>
        <v>https://sacredheartmanvel.org/food-pantry</v>
      </c>
      <c r="W713" s="14" t="str">
        <f>IFERROR(__xludf.DUMMYFUNCTION("""COMPUTED_VALUE"""),"https://maps.google.com/?q=Sacred%20Heart%20of%20Jesus%2FManvel%2014307%20Hwy%206%20Rosharon%20TX%2077583")</f>
        <v>https://maps.google.com/?q=Sacred%20Heart%20of%20Jesus%2FManvel%2014307%20Hwy%206%20Rosharon%20TX%2077583</v>
      </c>
      <c r="X713" s="10"/>
      <c r="Y713" s="9" t="str">
        <f>IFERROR(__xludf.DUMMYFUNCTION("""COMPUTED_VALUE"""),"Rosharon")</f>
        <v>Rosharon</v>
      </c>
      <c r="Z713" s="9" t="str">
        <f>IFERROR(__xludf.DUMMYFUNCTION("""COMPUTED_VALUE"""),"Manvel, Rosharon")</f>
        <v>Manvel, Rosharon</v>
      </c>
      <c r="AA713" s="9" t="str">
        <f>IFERROR(__xludf.DUMMYFUNCTION("""COMPUTED_VALUE"""),"Sacred Heart of Jesus/Manvel")</f>
        <v>Sacred Heart of Jesus/Manvel</v>
      </c>
      <c r="AB713" s="9" t="str">
        <f>IFERROR(__xludf.DUMMYFUNCTION("""COMPUTED_VALUE"""),"Manvel")</f>
        <v>Manvel</v>
      </c>
    </row>
    <row r="714" ht="30.0" customHeight="1">
      <c r="A714" s="17">
        <v>713.0</v>
      </c>
      <c r="B714" s="8" t="str">
        <f>IFERROR(__xludf.DUMMYFUNCTION("""COMPUTED_VALUE"""),"[""99999""]")</f>
        <v>["99999"]</v>
      </c>
      <c r="C714" s="9" t="str">
        <f>IFERROR(__xludf.DUMMYFUNCTION("""COMPUTED_VALUE"""),"Sagetree Terrace (RHF)")</f>
        <v>Sagetree Terrace (RHF)</v>
      </c>
      <c r="D714" s="9" t="str">
        <f>IFERROR(__xludf.DUMMYFUNCTION("""COMPUTED_VALUE"""),"15505 Bammel N Houston Road")</f>
        <v>15505 Bammel N Houston Road</v>
      </c>
      <c r="E714" s="9"/>
      <c r="F714" s="9" t="str">
        <f>IFERROR(__xludf.DUMMYFUNCTION("""COMPUTED_VALUE"""),"Houston")</f>
        <v>Houston</v>
      </c>
      <c r="G714" s="9" t="str">
        <f>IFERROR(__xludf.DUMMYFUNCTION("""COMPUTED_VALUE"""),"TX")</f>
        <v>TX</v>
      </c>
      <c r="H714" s="9" t="str">
        <f>IFERROR(__xludf.DUMMYFUNCTION("""COMPUTED_VALUE"""),"77014")</f>
        <v>77014</v>
      </c>
      <c r="I714" s="9" t="str">
        <f>IFERROR(__xludf.DUMMYFUNCTION("""COMPUTED_VALUE"""),"281-440-7000")</f>
        <v>281-440-7000</v>
      </c>
      <c r="J714" s="9" t="str">
        <f>IFERROR(__xludf.DUMMYFUNCTION("""COMPUTED_VALUE"""),"29.995578738725143, -95.48004162342973")</f>
        <v>29.995578738725143, -95.48004162342973</v>
      </c>
      <c r="K714" s="9"/>
      <c r="L714" s="9"/>
      <c r="M714" s="10">
        <f>IFERROR(__xludf.DUMMYFUNCTION("""COMPUTED_VALUE"""),24.0)</f>
        <v>24</v>
      </c>
      <c r="N714" s="10" t="str">
        <f>IFERROR(__xludf.DUMMYFUNCTION("""COMPUTED_VALUE"""),"Housing")</f>
        <v>Housing</v>
      </c>
      <c r="O714" s="10">
        <f>IFERROR(__xludf.DUMMYFUNCTION("""COMPUTED_VALUE"""),1.0)</f>
        <v>1</v>
      </c>
      <c r="P714" s="10" t="str">
        <f>IFERROR(__xludf.DUMMYFUNCTION("""COMPUTED_VALUE"""),"ACTIVE")</f>
        <v>ACTIVE</v>
      </c>
      <c r="Q714" s="11">
        <f>IFERROR(__xludf.DUMMYFUNCTION("""COMPUTED_VALUE"""),45791.0)</f>
        <v>45791</v>
      </c>
      <c r="R714" s="9" t="str">
        <f>IFERROR(__xludf.DUMMYFUNCTION("""COMPUTED_VALUE"""),"Verified online")</f>
        <v>Verified online</v>
      </c>
      <c r="S714" s="9" t="str">
        <f>IFERROR(__xludf.DUMMYFUNCTION("""COMPUTED_VALUE"""),"Subsidised housing for older adults (62+).
Rent is approx 30% of adjusted gross income.
A Retirement Housing Foundation (RHF) community.")</f>
        <v>Subsidised housing for older adults (62+).
Rent is approx 30% of adjusted gross income.
A Retirement Housing Foundation (RHF) community.</v>
      </c>
      <c r="T714" s="12" t="b">
        <f>IFERROR(__xludf.DUMMYFUNCTION("""COMPUTED_VALUE"""),FALSE)</f>
        <v>0</v>
      </c>
      <c r="U714" s="12" t="b">
        <f>IFERROR(__xludf.DUMMYFUNCTION("""COMPUTED_VALUE"""),FALSE)</f>
        <v>0</v>
      </c>
      <c r="V714" s="13" t="str">
        <f>IFERROR(__xludf.DUMMYFUNCTION("""COMPUTED_VALUE"""),"https://rhf.org/sagetree-terrace/")</f>
        <v>https://rhf.org/sagetree-terrace/</v>
      </c>
      <c r="W714" s="14" t="str">
        <f>IFERROR(__xludf.DUMMYFUNCTION("""COMPUTED_VALUE"""),"https://www.google.com/maps/place/Sagetree+Terrace/@29.9956106,-95.4826693,17z/data=!3m1!4b1!4m6!3m5!1s0x8640cc7f013378cb:0xecf01f4027b1350f!8m2!3d29.995606!4d-95.4800944!16s%2Fg%2F11h3vby36j?entry=ttu&amp;g_ep=EgoyMDI1MDUxMS4wIKXMDSoASAFQAw%3D%3D")</f>
        <v>https://www.google.com/maps/place/Sagetree+Terrace/@29.9956106,-95.4826693,17z/data=!3m1!4b1!4m6!3m5!1s0x8640cc7f013378cb:0xecf01f4027b1350f!8m2!3d29.995606!4d-95.4800944!16s%2Fg%2F11h3vby36j?entry=ttu&amp;g_ep=EgoyMDI1MDUxMS4wIKXMDSoASAFQAw%3D%3D</v>
      </c>
      <c r="X714" s="10"/>
      <c r="Y714" s="9" t="str">
        <f>IFERROR(__xludf.DUMMYFUNCTION("""COMPUTED_VALUE"""),"Houston")</f>
        <v>Houston</v>
      </c>
      <c r="Z714" s="9" t="str">
        <f>IFERROR(__xludf.DUMMYFUNCTION("""COMPUTED_VALUE"""),"Bammel Village, Cornerstone Village North, Northchase")</f>
        <v>Bammel Village, Cornerstone Village North, Northchase</v>
      </c>
      <c r="AA714" s="9" t="str">
        <f>IFERROR(__xludf.DUMMYFUNCTION("""COMPUTED_VALUE"""),"Sagetree Terrace (RHF)")</f>
        <v>Sagetree Terrace (RHF)</v>
      </c>
      <c r="AB714" s="9" t="str">
        <f>IFERROR(__xludf.DUMMYFUNCTION("""COMPUTED_VALUE"""),"Cornerstone Village North")</f>
        <v>Cornerstone Village North</v>
      </c>
    </row>
    <row r="715" ht="30.0" customHeight="1">
      <c r="A715" s="17">
        <v>714.0</v>
      </c>
      <c r="B715" s="8" t="str">
        <f>IFERROR(__xludf.DUMMYFUNCTION("""COMPUTED_VALUE"""),"[""99999""]")</f>
        <v>["99999"]</v>
      </c>
      <c r="C715" s="9" t="str">
        <f>IFERROR(__xludf.DUMMYFUNCTION("""COMPUTED_VALUE"""),"Salute, Inc.")</f>
        <v>Salute, Inc.</v>
      </c>
      <c r="D715" s="9" t="str">
        <f>IFERROR(__xludf.DUMMYFUNCTION("""COMPUTED_VALUE"""),"P.O. Box 2663")</f>
        <v>P.O. Box 2663</v>
      </c>
      <c r="E715" s="9"/>
      <c r="F715" s="9" t="str">
        <f>IFERROR(__xludf.DUMMYFUNCTION("""COMPUTED_VALUE"""),"Palatine")</f>
        <v>Palatine</v>
      </c>
      <c r="G715" s="9" t="str">
        <f>IFERROR(__xludf.DUMMYFUNCTION("""COMPUTED_VALUE"""),"IL")</f>
        <v>IL</v>
      </c>
      <c r="H715" s="9" t="str">
        <f>IFERROR(__xludf.DUMMYFUNCTION("""COMPUTED_VALUE"""),"60078")</f>
        <v>60078</v>
      </c>
      <c r="I715" s="9" t="str">
        <f>IFERROR(__xludf.DUMMYFUNCTION("""COMPUTED_VALUE"""),"847-359-8811")</f>
        <v>847-359-8811</v>
      </c>
      <c r="J715" s="9" t="str">
        <f>IFERROR(__xludf.DUMMYFUNCTION("""COMPUTED_VALUE"""),"41.8119, -87.6873")</f>
        <v>41.8119, -87.6873</v>
      </c>
      <c r="K715" s="9" t="str">
        <f>IFERROR(__xludf.DUMMYFUNCTION("""COMPUTED_VALUE"""),"{""regular"":[{""days"":[""Mo"",""Tu"",""We"",""Th"",""Fr"",""Sa"",""Su""],""open"":""00:00"",""close"":""23:59""}]}")</f>
        <v>{"regular":[{"days":["Mo","Tu","We","Th","Fr","Sa","Su"],"open":"00:00","close":"23:59"}]}</v>
      </c>
      <c r="L715" s="9" t="str">
        <f>IFERROR(__xludf.DUMMYFUNCTION("""COMPUTED_VALUE"""),"Apply online")</f>
        <v>Apply online</v>
      </c>
      <c r="M715" s="10">
        <f>IFERROR(__xludf.DUMMYFUNCTION("""COMPUTED_VALUE"""),11.0)</f>
        <v>11</v>
      </c>
      <c r="N715" s="10" t="str">
        <f>IFERROR(__xludf.DUMMYFUNCTION("""COMPUTED_VALUE"""),"Rent")</f>
        <v>Rent</v>
      </c>
      <c r="O715" s="10">
        <f>IFERROR(__xludf.DUMMYFUNCTION("""COMPUTED_VALUE"""),2.0)</f>
        <v>2</v>
      </c>
      <c r="P715" s="10" t="str">
        <f>IFERROR(__xludf.DUMMYFUNCTION("""COMPUTED_VALUE"""),"LIMITED")</f>
        <v>LIMITED</v>
      </c>
      <c r="Q715" s="11">
        <f>IFERROR(__xludf.DUMMYFUNCTION("""COMPUTED_VALUE"""),45815.0)</f>
        <v>45815</v>
      </c>
      <c r="R715" s="9" t="str">
        <f>IFERROR(__xludf.DUMMYFUNCTION("""COMPUTED_VALUE"""),"Post 9/11 veterans and active duty service members")</f>
        <v>Post 9/11 veterans and active duty service members</v>
      </c>
      <c r="S715" s="9" t="str">
        <f>IFERROR(__xludf.DUMMYFUNCTION("""COMPUTED_VALUE"""),"Reason for financial assistance must be medical or military related.
Very specific requirements.  Check website to make sure you qualify.")</f>
        <v>Reason for financial assistance must be medical or military related.
Very specific requirements.  Check website to make sure you qualify.</v>
      </c>
      <c r="T715" s="12" t="b">
        <f>IFERROR(__xludf.DUMMYFUNCTION("""COMPUTED_VALUE"""),FALSE)</f>
        <v>0</v>
      </c>
      <c r="U715" s="12" t="b">
        <f>IFERROR(__xludf.DUMMYFUNCTION("""COMPUTED_VALUE"""),FALSE)</f>
        <v>0</v>
      </c>
      <c r="V715" s="13" t="str">
        <f>IFERROR(__xludf.DUMMYFUNCTION("""COMPUTED_VALUE"""),"https://www.saluteinc.org/get-assistance/")</f>
        <v>https://www.saluteinc.org/get-assistance/</v>
      </c>
      <c r="W715" s="10"/>
      <c r="X715" s="10"/>
      <c r="Y715" s="9" t="str">
        <f>IFERROR(__xludf.DUMMYFUNCTION("""COMPUTED_VALUE"""),"Palatine")</f>
        <v>Palatine</v>
      </c>
      <c r="Z715" s="9" t="str">
        <f>IFERROR(__xludf.DUMMYFUNCTION("""COMPUTED_VALUE"""),"P.O. Boxes")</f>
        <v>P.O. Boxes</v>
      </c>
      <c r="AA715" s="9" t="str">
        <f>IFERROR(__xludf.DUMMYFUNCTION("""COMPUTED_VALUE"""),"Salute, Inc.")</f>
        <v>Salute, Inc.</v>
      </c>
      <c r="AB715" s="9"/>
    </row>
    <row r="716" ht="30.0" customHeight="1">
      <c r="A716" s="17">
        <v>715.0</v>
      </c>
      <c r="B716" s="8" t="str">
        <f>IFERROR(__xludf.DUMMYFUNCTION("""COMPUTED_VALUE"""),"[""99999""]")</f>
        <v>["99999"]</v>
      </c>
      <c r="C716" s="9" t="str">
        <f>IFERROR(__xludf.DUMMYFUNCTION("""COMPUTED_VALUE"""),"Salute, Inc.")</f>
        <v>Salute, Inc.</v>
      </c>
      <c r="D716" s="9" t="str">
        <f>IFERROR(__xludf.DUMMYFUNCTION("""COMPUTED_VALUE"""),"P.O. Box 2663")</f>
        <v>P.O. Box 2663</v>
      </c>
      <c r="E716" s="9"/>
      <c r="F716" s="9" t="str">
        <f>IFERROR(__xludf.DUMMYFUNCTION("""COMPUTED_VALUE"""),"Palatine")</f>
        <v>Palatine</v>
      </c>
      <c r="G716" s="9" t="str">
        <f>IFERROR(__xludf.DUMMYFUNCTION("""COMPUTED_VALUE"""),"IL")</f>
        <v>IL</v>
      </c>
      <c r="H716" s="9" t="str">
        <f>IFERROR(__xludf.DUMMYFUNCTION("""COMPUTED_VALUE"""),"60078")</f>
        <v>60078</v>
      </c>
      <c r="I716" s="9" t="str">
        <f>IFERROR(__xludf.DUMMYFUNCTION("""COMPUTED_VALUE"""),"847-359-8811")</f>
        <v>847-359-8811</v>
      </c>
      <c r="J716" s="9" t="str">
        <f>IFERROR(__xludf.DUMMYFUNCTION("""COMPUTED_VALUE"""),"41.8119, -87.6873")</f>
        <v>41.8119, -87.6873</v>
      </c>
      <c r="K716" s="9" t="str">
        <f>IFERROR(__xludf.DUMMYFUNCTION("""COMPUTED_VALUE"""),"{""regular"":[{""days"":[""Mo"",""Tu"",""We"",""Th"",""Fr"",""Sa"",""Su""],""open"":""00:00"",""close"":""23:59""}]}")</f>
        <v>{"regular":[{"days":["Mo","Tu","We","Th","Fr","Sa","Su"],"open":"00:00","close":"23:59"}]}</v>
      </c>
      <c r="L716" s="9" t="str">
        <f>IFERROR(__xludf.DUMMYFUNCTION("""COMPUTED_VALUE"""),"Apply online")</f>
        <v>Apply online</v>
      </c>
      <c r="M716" s="10">
        <f>IFERROR(__xludf.DUMMYFUNCTION("""COMPUTED_VALUE"""),12.0)</f>
        <v>12</v>
      </c>
      <c r="N716" s="10" t="str">
        <f>IFERROR(__xludf.DUMMYFUNCTION("""COMPUTED_VALUE"""),"Utilities")</f>
        <v>Utilities</v>
      </c>
      <c r="O716" s="10">
        <f>IFERROR(__xludf.DUMMYFUNCTION("""COMPUTED_VALUE"""),2.0)</f>
        <v>2</v>
      </c>
      <c r="P716" s="10" t="str">
        <f>IFERROR(__xludf.DUMMYFUNCTION("""COMPUTED_VALUE"""),"LIMITED")</f>
        <v>LIMITED</v>
      </c>
      <c r="Q716" s="11">
        <f>IFERROR(__xludf.DUMMYFUNCTION("""COMPUTED_VALUE"""),45815.0)</f>
        <v>45815</v>
      </c>
      <c r="R716" s="9" t="str">
        <f>IFERROR(__xludf.DUMMYFUNCTION("""COMPUTED_VALUE"""),"Post 9/11 veterans and active duty service members")</f>
        <v>Post 9/11 veterans and active duty service members</v>
      </c>
      <c r="S716" s="9" t="str">
        <f>IFERROR(__xludf.DUMMYFUNCTION("""COMPUTED_VALUE"""),"Reason for financial assistance must be medical or military related.
Very specific requirements.  Check website to make sure you qualify.")</f>
        <v>Reason for financial assistance must be medical or military related.
Very specific requirements.  Check website to make sure you qualify.</v>
      </c>
      <c r="T716" s="12" t="b">
        <f>IFERROR(__xludf.DUMMYFUNCTION("""COMPUTED_VALUE"""),FALSE)</f>
        <v>0</v>
      </c>
      <c r="U716" s="12" t="b">
        <f>IFERROR(__xludf.DUMMYFUNCTION("""COMPUTED_VALUE"""),FALSE)</f>
        <v>0</v>
      </c>
      <c r="V716" s="13" t="str">
        <f>IFERROR(__xludf.DUMMYFUNCTION("""COMPUTED_VALUE"""),"https://www.saluteinc.org/get-assistance/")</f>
        <v>https://www.saluteinc.org/get-assistance/</v>
      </c>
      <c r="W716" s="10"/>
      <c r="X716" s="10"/>
      <c r="Y716" s="9" t="str">
        <f>IFERROR(__xludf.DUMMYFUNCTION("""COMPUTED_VALUE"""),"Palatine")</f>
        <v>Palatine</v>
      </c>
      <c r="Z716" s="9" t="str">
        <f>IFERROR(__xludf.DUMMYFUNCTION("""COMPUTED_VALUE"""),"P.O. Boxes")</f>
        <v>P.O. Boxes</v>
      </c>
      <c r="AA716" s="9" t="str">
        <f>IFERROR(__xludf.DUMMYFUNCTION("""COMPUTED_VALUE"""),"Salute, Inc.")</f>
        <v>Salute, Inc.</v>
      </c>
      <c r="AB716" s="9"/>
    </row>
    <row r="717" ht="30.0" customHeight="1">
      <c r="A717" s="17">
        <v>716.0</v>
      </c>
      <c r="B717" s="8" t="str">
        <f>IFERROR(__xludf.DUMMYFUNCTION("""COMPUTED_VALUE"""),"[""99999""]")</f>
        <v>["99999"]</v>
      </c>
      <c r="C717" s="9" t="str">
        <f>IFERROR(__xludf.DUMMYFUNCTION("""COMPUTED_VALUE"""),"Salute, Inc.")</f>
        <v>Salute, Inc.</v>
      </c>
      <c r="D717" s="9" t="str">
        <f>IFERROR(__xludf.DUMMYFUNCTION("""COMPUTED_VALUE"""),"P.O. Box 2663")</f>
        <v>P.O. Box 2663</v>
      </c>
      <c r="E717" s="9"/>
      <c r="F717" s="9" t="str">
        <f>IFERROR(__xludf.DUMMYFUNCTION("""COMPUTED_VALUE"""),"Palatine")</f>
        <v>Palatine</v>
      </c>
      <c r="G717" s="9" t="str">
        <f>IFERROR(__xludf.DUMMYFUNCTION("""COMPUTED_VALUE"""),"IL")</f>
        <v>IL</v>
      </c>
      <c r="H717" s="9" t="str">
        <f>IFERROR(__xludf.DUMMYFUNCTION("""COMPUTED_VALUE"""),"60078")</f>
        <v>60078</v>
      </c>
      <c r="I717" s="9" t="str">
        <f>IFERROR(__xludf.DUMMYFUNCTION("""COMPUTED_VALUE"""),"847-359-8811")</f>
        <v>847-359-8811</v>
      </c>
      <c r="J717" s="9" t="str">
        <f>IFERROR(__xludf.DUMMYFUNCTION("""COMPUTED_VALUE"""),"41.8119, -87.6873")</f>
        <v>41.8119, -87.6873</v>
      </c>
      <c r="K717" s="9" t="str">
        <f>IFERROR(__xludf.DUMMYFUNCTION("""COMPUTED_VALUE"""),"{""regular"":[{""days"":[""Mo"",""Tu"",""We"",""Th"",""Fr"",""Sa"",""Su""],""open"":""00:00"",""close"":""23:59""}]}")</f>
        <v>{"regular":[{"days":["Mo","Tu","We","Th","Fr","Sa","Su"],"open":"00:00","close":"23:59"}]}</v>
      </c>
      <c r="L717" s="9" t="str">
        <f>IFERROR(__xludf.DUMMYFUNCTION("""COMPUTED_VALUE"""),"Apply online")</f>
        <v>Apply online</v>
      </c>
      <c r="M717" s="10">
        <f>IFERROR(__xludf.DUMMYFUNCTION("""COMPUTED_VALUE"""),65.0)</f>
        <v>65</v>
      </c>
      <c r="N717" s="10" t="str">
        <f>IFERROR(__xludf.DUMMYFUNCTION("""COMPUTED_VALUE"""),"Other")</f>
        <v>Other</v>
      </c>
      <c r="O717" s="10">
        <f>IFERROR(__xludf.DUMMYFUNCTION("""COMPUTED_VALUE"""),2.0)</f>
        <v>2</v>
      </c>
      <c r="P717" s="10" t="str">
        <f>IFERROR(__xludf.DUMMYFUNCTION("""COMPUTED_VALUE"""),"LIMITED")</f>
        <v>LIMITED</v>
      </c>
      <c r="Q717" s="11">
        <f>IFERROR(__xludf.DUMMYFUNCTION("""COMPUTED_VALUE"""),45815.0)</f>
        <v>45815</v>
      </c>
      <c r="R717" s="9" t="str">
        <f>IFERROR(__xludf.DUMMYFUNCTION("""COMPUTED_VALUE"""),"Post 9/11 veterans and active duty service members")</f>
        <v>Post 9/11 veterans and active duty service members</v>
      </c>
      <c r="S717" s="9" t="str">
        <f>IFERROR(__xludf.DUMMYFUNCTION("""COMPUTED_VALUE"""),"Other financial assistance besides rent and utilities including auto and everyday expenses.
Reason for financial assistance must be medical or military related.
Very specific requirements.  Check website to make sure you qualify.")</f>
        <v>Other financial assistance besides rent and utilities including auto and everyday expenses.
Reason for financial assistance must be medical or military related.
Very specific requirements.  Check website to make sure you qualify.</v>
      </c>
      <c r="T717" s="12" t="b">
        <f>IFERROR(__xludf.DUMMYFUNCTION("""COMPUTED_VALUE"""),FALSE)</f>
        <v>0</v>
      </c>
      <c r="U717" s="12" t="b">
        <f>IFERROR(__xludf.DUMMYFUNCTION("""COMPUTED_VALUE"""),FALSE)</f>
        <v>0</v>
      </c>
      <c r="V717" s="13" t="str">
        <f>IFERROR(__xludf.DUMMYFUNCTION("""COMPUTED_VALUE"""),"https://www.saluteinc.org/get-assistance/")</f>
        <v>https://www.saluteinc.org/get-assistance/</v>
      </c>
      <c r="W717" s="10"/>
      <c r="X717" s="10"/>
      <c r="Y717" s="9" t="str">
        <f>IFERROR(__xludf.DUMMYFUNCTION("""COMPUTED_VALUE"""),"Palatine")</f>
        <v>Palatine</v>
      </c>
      <c r="Z717" s="9" t="str">
        <f>IFERROR(__xludf.DUMMYFUNCTION("""COMPUTED_VALUE"""),"P.O. Boxes")</f>
        <v>P.O. Boxes</v>
      </c>
      <c r="AA717" s="9" t="str">
        <f>IFERROR(__xludf.DUMMYFUNCTION("""COMPUTED_VALUE"""),"Salute, Inc.")</f>
        <v>Salute, Inc.</v>
      </c>
      <c r="AB717" s="9"/>
    </row>
    <row r="718" ht="30.0" customHeight="1">
      <c r="A718" s="17">
        <v>717.0</v>
      </c>
      <c r="B718" s="8" t="str">
        <f>IFERROR(__xludf.DUMMYFUNCTION("""COMPUTED_VALUE"""),"[""99999""]")</f>
        <v>["99999"]</v>
      </c>
      <c r="C718" s="9" t="str">
        <f>IFERROR(__xludf.DUMMYFUNCTION("""COMPUTED_VALUE"""),"Salvation Army - Jones Residence")</f>
        <v>Salvation Army - Jones Residence</v>
      </c>
      <c r="D718" s="9" t="str">
        <f>IFERROR(__xludf.DUMMYFUNCTION("""COMPUTED_VALUE"""),"1603 McGowen Street")</f>
        <v>1603 McGowen Street</v>
      </c>
      <c r="E718" s="9"/>
      <c r="F718" s="9" t="str">
        <f>IFERROR(__xludf.DUMMYFUNCTION("""COMPUTED_VALUE"""),"Houston")</f>
        <v>Houston</v>
      </c>
      <c r="G718" s="9" t="str">
        <f>IFERROR(__xludf.DUMMYFUNCTION("""COMPUTED_VALUE"""),"TX")</f>
        <v>TX</v>
      </c>
      <c r="H718" s="9" t="str">
        <f>IFERROR(__xludf.DUMMYFUNCTION("""COMPUTED_VALUE"""),"77004")</f>
        <v>77004</v>
      </c>
      <c r="I718" s="9" t="str">
        <f>IFERROR(__xludf.DUMMYFUNCTION("""COMPUTED_VALUE"""),"713-650-6530")</f>
        <v>713-650-6530</v>
      </c>
      <c r="J718" s="9" t="str">
        <f>IFERROR(__xludf.DUMMYFUNCTION("""COMPUTED_VALUE"""),"29.742373497815162, -95.36853706758512")</f>
        <v>29.742373497815162, -95.36853706758512</v>
      </c>
      <c r="K718" s="9" t="str">
        <f>IFERROR(__xludf.DUMMYFUNCTION("""COMPUTED_VALUE"""),"{""labeled"":[{""days"":[""Mo"",""Tu"",""We"",""Th"",""Fr""],""open"":""08:30"",""close"":""16:30"",""label"":""Office""},{""label"":""Shelter"",""days"":null,""open"":""16:00"",""close"":""20:00""}]}")</f>
        <v>{"labeled":[{"days":["Mo","Tu","We","Th","Fr"],"open":"08:30","close":"16:30","label":"Office"},{"label":"Shelter","days":null,"open":"16:00","close":"20:00"}]}</v>
      </c>
      <c r="L718" s="9"/>
      <c r="M718" s="10">
        <f>IFERROR(__xludf.DUMMYFUNCTION("""COMPUTED_VALUE"""),21.0)</f>
        <v>21</v>
      </c>
      <c r="N718" s="10" t="str">
        <f>IFERROR(__xludf.DUMMYFUNCTION("""COMPUTED_VALUE"""),"Homeless - Shelters")</f>
        <v>Homeless - Shelters</v>
      </c>
      <c r="O718" s="10">
        <f>IFERROR(__xludf.DUMMYFUNCTION("""COMPUTED_VALUE"""),1.0)</f>
        <v>1</v>
      </c>
      <c r="P718" s="10" t="str">
        <f>IFERROR(__xludf.DUMMYFUNCTION("""COMPUTED_VALUE"""),"ACTIVE")</f>
        <v>ACTIVE</v>
      </c>
      <c r="Q718" s="11">
        <f>IFERROR(__xludf.DUMMYFUNCTION("""COMPUTED_VALUE"""),45941.0)</f>
        <v>45941</v>
      </c>
      <c r="R718" s="9"/>
      <c r="S718" s="9" t="str">
        <f>IFERROR(__xludf.DUMMYFUNCTION("""COMPUTED_VALUE"""),"Coalition for the Homeless (CFTH) Partner/Rapid Rehousing
Case management, childcare, job skills training, substance abuse counseling and job placement.")</f>
        <v>Coalition for the Homeless (CFTH) Partner/Rapid Rehousing
Case management, childcare, job skills training, substance abuse counseling and job placement.</v>
      </c>
      <c r="T718" s="12" t="b">
        <f>IFERROR(__xludf.DUMMYFUNCTION("""COMPUTED_VALUE"""),FALSE)</f>
        <v>0</v>
      </c>
      <c r="U718" s="12" t="b">
        <f>IFERROR(__xludf.DUMMYFUNCTION("""COMPUTED_VALUE"""),FALSE)</f>
        <v>0</v>
      </c>
      <c r="V718" s="13" t="str">
        <f>IFERROR(__xludf.DUMMYFUNCTION("""COMPUTED_VALUE"""),"https://salvationarmyhouston.org/houston/sns/")</f>
        <v>https://salvationarmyhouston.org/houston/sns/</v>
      </c>
      <c r="W718" s="14" t="str">
        <f>IFERROR(__xludf.DUMMYFUNCTION("""COMPUTED_VALUE"""),"https://www.google.com/maps/place/The+Salvation+Army+Jones+Residence/@29.7422291,-95.3711227,17z/data=!3m1!4b1!4m6!3m5!1s0x8640bf13c357bf79:0xf13cf6213aa637b0!8m2!3d29.7422245!4d-95.3685478!16s%2Fg%2F1tg_gfg1?entry=ttu&amp;g_ep=EgoyMDI1MTAwOC4wIKXMDSoASAFQAw%"&amp;"3D%3D")</f>
        <v>https://www.google.com/maps/place/The+Salvation+Army+Jones+Residence/@29.7422291,-95.3711227,17z/data=!3m1!4b1!4m6!3m5!1s0x8640bf13c357bf79:0xf13cf6213aa637b0!8m2!3d29.7422245!4d-95.3685478!16s%2Fg%2F1tg_gfg1?entry=ttu&amp;g_ep=EgoyMDI1MTAwOC4wIKXMDSoASAFQAw%3D%3D</v>
      </c>
      <c r="X718" s="10"/>
      <c r="Y718" s="9" t="str">
        <f>IFERROR(__xludf.DUMMYFUNCTION("""COMPUTED_VALUE"""),"Houston")</f>
        <v>Houston</v>
      </c>
      <c r="Z718"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718" s="9" t="str">
        <f>IFERROR(__xludf.DUMMYFUNCTION("""COMPUTED_VALUE"""),"Salvation Army of Greater Houston")</f>
        <v>Salvation Army of Greater Houston</v>
      </c>
      <c r="AB718" s="9" t="str">
        <f>IFERROR(__xludf.DUMMYFUNCTION("""COMPUTED_VALUE"""),"South Central Houston")</f>
        <v>South Central Houston</v>
      </c>
    </row>
    <row r="719" ht="30.0" customHeight="1">
      <c r="A719" s="17">
        <v>718.0</v>
      </c>
      <c r="B719" s="8" t="str">
        <f>IFERROR(__xludf.DUMMYFUNCTION("""COMPUTED_VALUE"""),"[""99999""]")</f>
        <v>["99999"]</v>
      </c>
      <c r="C719" s="9" t="str">
        <f>IFERROR(__xludf.DUMMYFUNCTION("""COMPUTED_VALUE"""),"Salvation Army - Wayne Bergstrom Center of Hope")</f>
        <v>Salvation Army - Wayne Bergstrom Center of Hope</v>
      </c>
      <c r="D719" s="9" t="str">
        <f>IFERROR(__xludf.DUMMYFUNCTION("""COMPUTED_VALUE"""),"304 Avenue E")</f>
        <v>304 Avenue E</v>
      </c>
      <c r="E719" s="9"/>
      <c r="F719" s="9" t="str">
        <f>IFERROR(__xludf.DUMMYFUNCTION("""COMPUTED_VALUE"""),"Conroe")</f>
        <v>Conroe</v>
      </c>
      <c r="G719" s="9" t="str">
        <f>IFERROR(__xludf.DUMMYFUNCTION("""COMPUTED_VALUE"""),"TX")</f>
        <v>TX</v>
      </c>
      <c r="H719" s="9" t="str">
        <f>IFERROR(__xludf.DUMMYFUNCTION("""COMPUTED_VALUE"""),"77301")</f>
        <v>77301</v>
      </c>
      <c r="I719" s="9" t="str">
        <f>IFERROR(__xludf.DUMMYFUNCTION("""COMPUTED_VALUE"""),"936-760-2440")</f>
        <v>936-760-2440</v>
      </c>
      <c r="J719" s="9" t="str">
        <f>IFERROR(__xludf.DUMMYFUNCTION("""COMPUTED_VALUE"""),"30.309533850651913, -95.45309812457769")</f>
        <v>30.309533850651913, -95.45309812457769</v>
      </c>
      <c r="K719" s="9" t="str">
        <f>IFERROR(__xludf.DUMMYFUNCTION("""COMPUTED_VALUE"""),"{""labeled"":[{""days"":[""Mo"",""Tu"",""We"",""Th"",""Fr""],""open"":""08:30"",""close"":""16:30"",""label"":""Office""},{""label"":""Shelter"",""days"":null,""open"":""16:00"",""close"":""20:00""}]}")</f>
        <v>{"labeled":[{"days":["Mo","Tu","We","Th","Fr"],"open":"08:30","close":"16:30","label":"Office"},{"label":"Shelter","days":null,"open":"16:00","close":"20:00"}]}</v>
      </c>
      <c r="L719" s="9"/>
      <c r="M719" s="10">
        <f>IFERROR(__xludf.DUMMYFUNCTION("""COMPUTED_VALUE"""),21.0)</f>
        <v>21</v>
      </c>
      <c r="N719" s="10" t="str">
        <f>IFERROR(__xludf.DUMMYFUNCTION("""COMPUTED_VALUE"""),"Homeless - Shelters")</f>
        <v>Homeless - Shelters</v>
      </c>
      <c r="O719" s="10">
        <f>IFERROR(__xludf.DUMMYFUNCTION("""COMPUTED_VALUE"""),1.0)</f>
        <v>1</v>
      </c>
      <c r="P719" s="10" t="str">
        <f>IFERROR(__xludf.DUMMYFUNCTION("""COMPUTED_VALUE"""),"ACTIVE")</f>
        <v>ACTIVE</v>
      </c>
      <c r="Q719" s="11">
        <f>IFERROR(__xludf.DUMMYFUNCTION("""COMPUTED_VALUE"""),45941.0)</f>
        <v>45941</v>
      </c>
      <c r="R719" s="9"/>
      <c r="S719" s="9" t="str">
        <f>IFERROR(__xludf.DUMMYFUNCTION("""COMPUTED_VALUE"""),"Coalition for the Homeless (CFTH) Partner/Rapid Rehousing")</f>
        <v>Coalition for the Homeless (CFTH) Partner/Rapid Rehousing</v>
      </c>
      <c r="T719" s="12" t="b">
        <f>IFERROR(__xludf.DUMMYFUNCTION("""COMPUTED_VALUE"""),FALSE)</f>
        <v>0</v>
      </c>
      <c r="U719" s="12" t="b">
        <f>IFERROR(__xludf.DUMMYFUNCTION("""COMPUTED_VALUE"""),FALSE)</f>
        <v>0</v>
      </c>
      <c r="V719" s="13" t="str">
        <f>IFERROR(__xludf.DUMMYFUNCTION("""COMPUTED_VALUE"""),"https://salvationarmyhouston.org/houston/conroe/")</f>
        <v>https://salvationarmyhouston.org/houston/conroe/</v>
      </c>
      <c r="W719" s="14" t="str">
        <f>IFERROR(__xludf.DUMMYFUNCTION("""COMPUTED_VALUE"""),"https://www.google.com/maps/place/The+Salvation+Army+Conroe+Community+Center/@30.3093695,-95.4551366,18z/data=!4m6!3m5!1s0x8647393994c125cd:0x6e6f43952e2a3c51!8m2!3d30.3094517!4d-95.4531108!16s%2Fg%2F1tt1t22y?entry=ttu&amp;g_ep=EgoyMDI1MTAwOC4wIKXMDSoASAFQAw%"&amp;"3D%3D")</f>
        <v>https://www.google.com/maps/place/The+Salvation+Army+Conroe+Community+Center/@30.3093695,-95.4551366,18z/data=!4m6!3m5!1s0x8647393994c125cd:0x6e6f43952e2a3c51!8m2!3d30.3094517!4d-95.4531108!16s%2Fg%2F1tt1t22y?entry=ttu&amp;g_ep=EgoyMDI1MTAwOC4wIKXMDSoASAFQAw%3D%3D</v>
      </c>
      <c r="X719" s="10"/>
      <c r="Y719" s="9" t="str">
        <f>IFERROR(__xludf.DUMMYFUNCTION("""COMPUTED_VALUE"""),"Conroe")</f>
        <v>Conroe</v>
      </c>
      <c r="Z719" s="9" t="str">
        <f>IFERROR(__xludf.DUMMYFUNCTION("""COMPUTED_VALUE"""),"Conroe (Central/Downtown), Panorama Village")</f>
        <v>Conroe (Central/Downtown), Panorama Village</v>
      </c>
      <c r="AA719" s="9" t="str">
        <f>IFERROR(__xludf.DUMMYFUNCTION("""COMPUTED_VALUE"""),"Salvation Army of Greater Houston")</f>
        <v>Salvation Army of Greater Houston</v>
      </c>
      <c r="AB719" s="9" t="str">
        <f>IFERROR(__xludf.DUMMYFUNCTION("""COMPUTED_VALUE"""),"Conroe")</f>
        <v>Conroe</v>
      </c>
    </row>
    <row r="720" ht="30.0" customHeight="1">
      <c r="A720" s="17">
        <v>719.0</v>
      </c>
      <c r="B720" s="8" t="str">
        <f>IFERROR(__xludf.DUMMYFUNCTION("""COMPUTED_VALUE"""),"[""99999""]")</f>
        <v>["99999"]</v>
      </c>
      <c r="C720" s="9" t="str">
        <f>IFERROR(__xludf.DUMMYFUNCTION("""COMPUTED_VALUE"""),"Salvation Army - Young Adult Resource Center")</f>
        <v>Salvation Army - Young Adult Resource Center</v>
      </c>
      <c r="D720" s="9" t="str">
        <f>IFERROR(__xludf.DUMMYFUNCTION("""COMPUTED_VALUE"""),"1621 McGowen Street")</f>
        <v>1621 McGowen Street</v>
      </c>
      <c r="E720" s="9"/>
      <c r="F720" s="9" t="str">
        <f>IFERROR(__xludf.DUMMYFUNCTION("""COMPUTED_VALUE"""),"Houston")</f>
        <v>Houston</v>
      </c>
      <c r="G720" s="9" t="str">
        <f>IFERROR(__xludf.DUMMYFUNCTION("""COMPUTED_VALUE"""),"TX")</f>
        <v>TX</v>
      </c>
      <c r="H720" s="9" t="str">
        <f>IFERROR(__xludf.DUMMYFUNCTION("""COMPUTED_VALUE"""),"77004")</f>
        <v>77004</v>
      </c>
      <c r="I720" s="9" t="str">
        <f>IFERROR(__xludf.DUMMYFUNCTION("""COMPUTED_VALUE"""),"713-752-0677")</f>
        <v>713-752-0677</v>
      </c>
      <c r="J720" s="9" t="str">
        <f>IFERROR(__xludf.DUMMYFUNCTION("""COMPUTED_VALUE"""),"29.74247698340284, -95.36857814108662")</f>
        <v>29.74247698340284, -95.36857814108662</v>
      </c>
      <c r="K720" s="9" t="str">
        <f>IFERROR(__xludf.DUMMYFUNCTION("""COMPUTED_VALUE"""),"{""regular"":[{""days"":[""Mo"",""Tu"",""We"",""Th""],""open"":""11:00"",""close"":""15:00""}]}")</f>
        <v>{"regular":[{"days":["Mo","Tu","We","Th"],"open":"11:00","close":"15:00"}]}</v>
      </c>
      <c r="L720" s="9"/>
      <c r="M720" s="10">
        <f>IFERROR(__xludf.DUMMYFUNCTION("""COMPUTED_VALUE"""),22.0)</f>
        <v>22</v>
      </c>
      <c r="N720" s="10" t="str">
        <f>IFERROR(__xludf.DUMMYFUNCTION("""COMPUTED_VALUE"""),"Homeless - Day Centers")</f>
        <v>Homeless - Day Centers</v>
      </c>
      <c r="O720" s="10">
        <f>IFERROR(__xludf.DUMMYFUNCTION("""COMPUTED_VALUE"""),1.0)</f>
        <v>1</v>
      </c>
      <c r="P720" s="10" t="str">
        <f>IFERROR(__xludf.DUMMYFUNCTION("""COMPUTED_VALUE"""),"ACTIVE")</f>
        <v>ACTIVE</v>
      </c>
      <c r="Q720" s="11">
        <f>IFERROR(__xludf.DUMMYFUNCTION("""COMPUTED_VALUE"""),45941.0)</f>
        <v>45941</v>
      </c>
      <c r="R720" s="9"/>
      <c r="S720" s="9" t="str">
        <f>IFERROR(__xludf.DUMMYFUNCTION("""COMPUTED_VALUE"""),"Coalition for the Homeless (CFTH) Partner/Rapid Rehousing
For homeless youths aged 18 to 25 years.
Hot lunches, carryout meals and snacks.
Access to phones, internet, computer lab, showers, lockers, laundry facilities, hygiene kits, clothing, assistance i"&amp;"n obtaining an ID, referrals to emergency shelters.")</f>
        <v>Coalition for the Homeless (CFTH) Partner/Rapid Rehousing
For homeless youths aged 18 to 25 years.
Hot lunches, carryout meals and snacks.
Access to phones, internet, computer lab, showers, lockers, laundry facilities, hygiene kits, clothing, assistance in obtaining an ID, referrals to emergency shelters.</v>
      </c>
      <c r="T720" s="12" t="b">
        <f>IFERROR(__xludf.DUMMYFUNCTION("""COMPUTED_VALUE"""),FALSE)</f>
        <v>0</v>
      </c>
      <c r="U720" s="12" t="b">
        <f>IFERROR(__xludf.DUMMYFUNCTION("""COMPUTED_VALUE"""),FALSE)</f>
        <v>0</v>
      </c>
      <c r="V720" s="13" t="str">
        <f>IFERROR(__xludf.DUMMYFUNCTION("""COMPUTED_VALUE"""),"https://salvationarmyhouston.org/houston/YARC")</f>
        <v>https://salvationarmyhouston.org/houston/YARC</v>
      </c>
      <c r="W720" s="14" t="str">
        <f>IFERROR(__xludf.DUMMYFUNCTION("""COMPUTED_VALUE"""),"https://www.google.com/maps/place/The+Salvation+Army+Young+Adult+Resource+Center+(YARC)/@29.7423419,-95.3710994,17z/data=!3m1!4b1!4m6!3m5!1s0x8640bf1482fc5e7d:0xb671a23d50703073!8m2!3d29.7423373!4d-95.3685245!16s%2Fg%2F1hc27yfkd?entry=ttu&amp;g_ep=EgoyMDI1MTA"&amp;"wOC4wIKXMDSoASAFQAw%3D%3D")</f>
        <v>https://www.google.com/maps/place/The+Salvation+Army+Young+Adult+Resource+Center+(YARC)/@29.7423419,-95.3710994,17z/data=!3m1!4b1!4m6!3m5!1s0x8640bf1482fc5e7d:0xb671a23d50703073!8m2!3d29.7423373!4d-95.3685245!16s%2Fg%2F1hc27yfkd?entry=ttu&amp;g_ep=EgoyMDI1MTAwOC4wIKXMDSoASAFQAw%3D%3D</v>
      </c>
      <c r="X720" s="10"/>
      <c r="Y720" s="9" t="str">
        <f>IFERROR(__xludf.DUMMYFUNCTION("""COMPUTED_VALUE"""),"Houston")</f>
        <v>Houston</v>
      </c>
      <c r="Z720"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720" s="9" t="str">
        <f>IFERROR(__xludf.DUMMYFUNCTION("""COMPUTED_VALUE"""),"Salvation Army of Greater Houston")</f>
        <v>Salvation Army of Greater Houston</v>
      </c>
      <c r="AB720" s="9" t="str">
        <f>IFERROR(__xludf.DUMMYFUNCTION("""COMPUTED_VALUE"""),"South Central Houston")</f>
        <v>South Central Houston</v>
      </c>
    </row>
    <row r="721" ht="30.0" customHeight="1">
      <c r="A721" s="17">
        <v>720.0</v>
      </c>
      <c r="B721" s="8" t="str">
        <f>IFERROR(__xludf.DUMMYFUNCTION("""COMPUTED_VALUE"""),"[""99999""]")</f>
        <v>["99999"]</v>
      </c>
      <c r="C721" s="9" t="str">
        <f>IFERROR(__xludf.DUMMYFUNCTION("""COMPUTED_VALUE"""),"Salvation Army of Greater Houston")</f>
        <v>Salvation Army of Greater Houston</v>
      </c>
      <c r="D721" s="9" t="str">
        <f>IFERROR(__xludf.DUMMYFUNCTION("""COMPUTED_VALUE"""),"1500 Austin Street")</f>
        <v>1500 Austin Street</v>
      </c>
      <c r="E721" s="9"/>
      <c r="F721" s="9" t="str">
        <f>IFERROR(__xludf.DUMMYFUNCTION("""COMPUTED_VALUE"""),"Houston")</f>
        <v>Houston</v>
      </c>
      <c r="G721" s="9" t="str">
        <f>IFERROR(__xludf.DUMMYFUNCTION("""COMPUTED_VALUE"""),"TX")</f>
        <v>TX</v>
      </c>
      <c r="H721" s="9" t="str">
        <f>IFERROR(__xludf.DUMMYFUNCTION("""COMPUTED_VALUE"""),"77002")</f>
        <v>77002</v>
      </c>
      <c r="I721" s="9" t="str">
        <f>IFERROR(__xludf.DUMMYFUNCTION("""COMPUTED_VALUE"""),"713-752-0677")</f>
        <v>713-752-0677</v>
      </c>
      <c r="J721" s="9" t="str">
        <f>IFERROR(__xludf.DUMMYFUNCTION("""COMPUTED_VALUE"""),"29.751086, -95.364578")</f>
        <v>29.751086, -95.364578</v>
      </c>
      <c r="K721" s="9" t="str">
        <f>IFERROR(__xludf.DUMMYFUNCTION("""COMPUTED_VALUE"""),"{""regular"":[{""days"":[""Mo"",""Tu"",""We"",""Th"",""Fr""],""open"":""08:30"",""close"":""16:30""}]}")</f>
        <v>{"regular":[{"days":["Mo","Tu","We","Th","Fr"],"open":"08:30","close":"16:30"}]}</v>
      </c>
      <c r="L721" s="9"/>
      <c r="M721" s="10">
        <f>IFERROR(__xludf.DUMMYFUNCTION("""COMPUTED_VALUE"""),11.0)</f>
        <v>11</v>
      </c>
      <c r="N721" s="10" t="str">
        <f>IFERROR(__xludf.DUMMYFUNCTION("""COMPUTED_VALUE"""),"Rent")</f>
        <v>Rent</v>
      </c>
      <c r="O721" s="10">
        <f>IFERROR(__xludf.DUMMYFUNCTION("""COMPUTED_VALUE"""),1.0)</f>
        <v>1</v>
      </c>
      <c r="P721" s="10" t="str">
        <f>IFERROR(__xludf.DUMMYFUNCTION("""COMPUTED_VALUE"""),"ACTIVE")</f>
        <v>ACTIVE</v>
      </c>
      <c r="Q721" s="11">
        <f>IFERROR(__xludf.DUMMYFUNCTION("""COMPUTED_VALUE"""),45916.0)</f>
        <v>45916</v>
      </c>
      <c r="R721" s="9" t="str">
        <f>IFERROR(__xludf.DUMMYFUNCTION("""COMPUTED_VALUE"""),"Only when grant money is available.")</f>
        <v>Only when grant money is available.</v>
      </c>
      <c r="S721" s="9" t="str">
        <f>IFERROR(__xludf.DUMMYFUNCTION("""COMPUTED_VALUE"""),"Call in advance to ensure funds are available.
Must have eviction notice.
Live within the Harris County Appraisal District.
Demonstrate loss of income, ability to maintain home after assistance and financial need.
Bring late notice, eviction notice or cou"&amp;"rt eviction documents.
Bring lease 
all pages and addendums.
Documentation of unexpected loss of income.
Two forms of ID")</f>
        <v>Call in advance to ensure funds are available.
Must have eviction notice.
Live within the Harris County Appraisal District.
Demonstrate loss of income, ability to maintain home after assistance and financial need.
Bring late notice, eviction notice or court eviction documents.
Bring lease 
all pages and addendums.
Documentation of unexpected loss of income.
Two forms of ID</v>
      </c>
      <c r="T721" s="12" t="b">
        <f>IFERROR(__xludf.DUMMYFUNCTION("""COMPUTED_VALUE"""),FALSE)</f>
        <v>0</v>
      </c>
      <c r="U721" s="12" t="b">
        <f>IFERROR(__xludf.DUMMYFUNCTION("""COMPUTED_VALUE"""),FALSE)</f>
        <v>0</v>
      </c>
      <c r="V721" s="13" t="str">
        <f>IFERROR(__xludf.DUMMYFUNCTION("""COMPUTED_VALUE"""),"https://salvationarmyhouston.org/")</f>
        <v>https://salvationarmyhouston.org/</v>
      </c>
      <c r="W721" s="14" t="str">
        <f>IFERROR(__xludf.DUMMYFUNCTION("""COMPUTED_VALUE"""),"https://maps.google.com/?q=Salvation%20Army%20of%20Greater%20Houston%201500%20Austin%20St%20Houston%20TX%2077002")</f>
        <v>https://maps.google.com/?q=Salvation%20Army%20of%20Greater%20Houston%201500%20Austin%20St%20Houston%20TX%2077002</v>
      </c>
      <c r="X721" s="10"/>
      <c r="Y721" s="9" t="str">
        <f>IFERROR(__xludf.DUMMYFUNCTION("""COMPUTED_VALUE"""),"Houston")</f>
        <v>Houston</v>
      </c>
      <c r="Z721"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21" s="9" t="str">
        <f>IFERROR(__xludf.DUMMYFUNCTION("""COMPUTED_VALUE"""),"Salvation Army of Greater Houston")</f>
        <v>Salvation Army of Greater Houston</v>
      </c>
      <c r="AB721" s="9" t="str">
        <f>IFERROR(__xludf.DUMMYFUNCTION("""COMPUTED_VALUE"""),"Downtown Houston")</f>
        <v>Downtown Houston</v>
      </c>
    </row>
    <row r="722" ht="30.0" customHeight="1">
      <c r="A722" s="17">
        <v>721.0</v>
      </c>
      <c r="B722" s="8" t="str">
        <f>IFERROR(__xludf.DUMMYFUNCTION("""COMPUTED_VALUE"""),"[""99999""]")</f>
        <v>["99999"]</v>
      </c>
      <c r="C722" s="9" t="str">
        <f>IFERROR(__xludf.DUMMYFUNCTION("""COMPUTED_VALUE"""),"Salvation Army of Greater Houston")</f>
        <v>Salvation Army of Greater Houston</v>
      </c>
      <c r="D722" s="9" t="str">
        <f>IFERROR(__xludf.DUMMYFUNCTION("""COMPUTED_VALUE"""),"1500 Austin Street")</f>
        <v>1500 Austin Street</v>
      </c>
      <c r="E722" s="9"/>
      <c r="F722" s="9" t="str">
        <f>IFERROR(__xludf.DUMMYFUNCTION("""COMPUTED_VALUE"""),"Houston")</f>
        <v>Houston</v>
      </c>
      <c r="G722" s="9" t="str">
        <f>IFERROR(__xludf.DUMMYFUNCTION("""COMPUTED_VALUE"""),"TX")</f>
        <v>TX</v>
      </c>
      <c r="H722" s="9" t="str">
        <f>IFERROR(__xludf.DUMMYFUNCTION("""COMPUTED_VALUE"""),"77002")</f>
        <v>77002</v>
      </c>
      <c r="I722" s="9" t="str">
        <f>IFERROR(__xludf.DUMMYFUNCTION("""COMPUTED_VALUE"""),"713-752-0677")</f>
        <v>713-752-0677</v>
      </c>
      <c r="J722" s="9" t="str">
        <f>IFERROR(__xludf.DUMMYFUNCTION("""COMPUTED_VALUE"""),"29.751086, -95.364578")</f>
        <v>29.751086, -95.364578</v>
      </c>
      <c r="K722" s="9"/>
      <c r="L722" s="9"/>
      <c r="M722" s="10">
        <f>IFERROR(__xludf.DUMMYFUNCTION("""COMPUTED_VALUE"""),13.0)</f>
        <v>13</v>
      </c>
      <c r="N722" s="10" t="str">
        <f>IFERROR(__xludf.DUMMYFUNCTION("""COMPUTED_VALUE"""),"Food")</f>
        <v>Food</v>
      </c>
      <c r="O722" s="10">
        <f>IFERROR(__xludf.DUMMYFUNCTION("""COMPUTED_VALUE"""),1.0)</f>
        <v>1</v>
      </c>
      <c r="P722" s="10" t="str">
        <f>IFERROR(__xludf.DUMMYFUNCTION("""COMPUTED_VALUE"""),"ACTIVE")</f>
        <v>ACTIVE</v>
      </c>
      <c r="Q722" s="11">
        <f>IFERROR(__xludf.DUMMYFUNCTION("""COMPUTED_VALUE"""),45546.0)</f>
        <v>45546</v>
      </c>
      <c r="R722" s="9"/>
      <c r="S722" s="9" t="str">
        <f>IFERROR(__xludf.DUMMYFUNCTION("""COMPUTED_VALUE"""),"Call in advance.
One box of groceries every 12 months.
Two forms of ID
Lease 
all pages and addendums.
Letter of referral from SNAP if not the first time receiving food.")</f>
        <v>Call in advance.
One box of groceries every 12 months.
Two forms of ID
Lease 
all pages and addendums.
Letter of referral from SNAP if not the first time receiving food.</v>
      </c>
      <c r="T722" s="12" t="b">
        <f>IFERROR(__xludf.DUMMYFUNCTION("""COMPUTED_VALUE"""),FALSE)</f>
        <v>0</v>
      </c>
      <c r="U722" s="12" t="b">
        <f>IFERROR(__xludf.DUMMYFUNCTION("""COMPUTED_VALUE"""),FALSE)</f>
        <v>0</v>
      </c>
      <c r="V722" s="13" t="str">
        <f>IFERROR(__xludf.DUMMYFUNCTION("""COMPUTED_VALUE"""),"https://salvationarmyhouston.org/")</f>
        <v>https://salvationarmyhouston.org/</v>
      </c>
      <c r="W722" s="14" t="str">
        <f>IFERROR(__xludf.DUMMYFUNCTION("""COMPUTED_VALUE"""),"https://maps.google.com/?q=Salvation%20Army%20of%20Greater%20Houston%201500%20Austin%20St%20Houston%20TX%2077002")</f>
        <v>https://maps.google.com/?q=Salvation%20Army%20of%20Greater%20Houston%201500%20Austin%20St%20Houston%20TX%2077002</v>
      </c>
      <c r="X722" s="10"/>
      <c r="Y722" s="9" t="str">
        <f>IFERROR(__xludf.DUMMYFUNCTION("""COMPUTED_VALUE"""),"Houston")</f>
        <v>Houston</v>
      </c>
      <c r="Z722"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22" s="9" t="str">
        <f>IFERROR(__xludf.DUMMYFUNCTION("""COMPUTED_VALUE"""),"Salvation Army of Greater Houston")</f>
        <v>Salvation Army of Greater Houston</v>
      </c>
      <c r="AB722" s="9" t="str">
        <f>IFERROR(__xludf.DUMMYFUNCTION("""COMPUTED_VALUE"""),"Downtown Houston")</f>
        <v>Downtown Houston</v>
      </c>
    </row>
    <row r="723" ht="30.0" customHeight="1">
      <c r="A723" s="17">
        <v>722.0</v>
      </c>
      <c r="B723" s="8" t="str">
        <f>IFERROR(__xludf.DUMMYFUNCTION("""COMPUTED_VALUE"""),"[""99999""]")</f>
        <v>["99999"]</v>
      </c>
      <c r="C723" s="9" t="str">
        <f>IFERROR(__xludf.DUMMYFUNCTION("""COMPUTED_VALUE"""),"Salvation Army of Greater Houston")</f>
        <v>Salvation Army of Greater Houston</v>
      </c>
      <c r="D723" s="9" t="str">
        <f>IFERROR(__xludf.DUMMYFUNCTION("""COMPUTED_VALUE"""),"1500 Austin Street")</f>
        <v>1500 Austin Street</v>
      </c>
      <c r="E723" s="9"/>
      <c r="F723" s="9" t="str">
        <f>IFERROR(__xludf.DUMMYFUNCTION("""COMPUTED_VALUE"""),"Houston")</f>
        <v>Houston</v>
      </c>
      <c r="G723" s="9" t="str">
        <f>IFERROR(__xludf.DUMMYFUNCTION("""COMPUTED_VALUE"""),"TX")</f>
        <v>TX</v>
      </c>
      <c r="H723" s="9" t="str">
        <f>IFERROR(__xludf.DUMMYFUNCTION("""COMPUTED_VALUE"""),"77002")</f>
        <v>77002</v>
      </c>
      <c r="I723" s="9" t="str">
        <f>IFERROR(__xludf.DUMMYFUNCTION("""COMPUTED_VALUE"""),"713-658-9205")</f>
        <v>713-658-9205</v>
      </c>
      <c r="J723" s="9" t="str">
        <f>IFERROR(__xludf.DUMMYFUNCTION("""COMPUTED_VALUE"""),"29.751086, -95.364578")</f>
        <v>29.751086, -95.364578</v>
      </c>
      <c r="K723" s="9"/>
      <c r="L723" s="9"/>
      <c r="M723" s="10">
        <f>IFERROR(__xludf.DUMMYFUNCTION("""COMPUTED_VALUE"""),64.0)</f>
        <v>64</v>
      </c>
      <c r="N723" s="10" t="str">
        <f>IFERROR(__xludf.DUMMYFUNCTION("""COMPUTED_VALUE"""),"Christmas")</f>
        <v>Christmas</v>
      </c>
      <c r="O723" s="10">
        <f>IFERROR(__xludf.DUMMYFUNCTION("""COMPUTED_VALUE"""),1.0)</f>
        <v>1</v>
      </c>
      <c r="P723" s="10" t="str">
        <f>IFERROR(__xludf.DUMMYFUNCTION("""COMPUTED_VALUE"""),"ACTIVE")</f>
        <v>ACTIVE</v>
      </c>
      <c r="Q723" s="11"/>
      <c r="R723" s="9"/>
      <c r="S723" s="9" t="str">
        <f>IFERROR(__xludf.DUMMYFUNCTION("""COMPUTED_VALUE"""),"Toys &amp; Food.")</f>
        <v>Toys &amp; Food.</v>
      </c>
      <c r="T723" s="12" t="b">
        <f>IFERROR(__xludf.DUMMYFUNCTION("""COMPUTED_VALUE"""),FALSE)</f>
        <v>0</v>
      </c>
      <c r="U723" s="12" t="b">
        <f>IFERROR(__xludf.DUMMYFUNCTION("""COMPUTED_VALUE"""),FALSE)</f>
        <v>0</v>
      </c>
      <c r="V723" s="13" t="str">
        <f>IFERROR(__xludf.DUMMYFUNCTION("""COMPUTED_VALUE"""),"https://salvationarmyhouston.org/")</f>
        <v>https://salvationarmyhouston.org/</v>
      </c>
      <c r="W723" s="14" t="str">
        <f>IFERROR(__xludf.DUMMYFUNCTION("""COMPUTED_VALUE"""),"https://maps.google.com/?q=Salvation%20Army%20of%20Greater%20Houston%201500%20Austin%20St%20Houston%20TX%2077002")</f>
        <v>https://maps.google.com/?q=Salvation%20Army%20of%20Greater%20Houston%201500%20Austin%20St%20Houston%20TX%2077002</v>
      </c>
      <c r="X723" s="10"/>
      <c r="Y723" s="9" t="str">
        <f>IFERROR(__xludf.DUMMYFUNCTION("""COMPUTED_VALUE"""),"Houston")</f>
        <v>Houston</v>
      </c>
      <c r="Z723"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23" s="9" t="str">
        <f>IFERROR(__xludf.DUMMYFUNCTION("""COMPUTED_VALUE"""),"Salvation Army of Greater Houston")</f>
        <v>Salvation Army of Greater Houston</v>
      </c>
      <c r="AB723" s="9" t="str">
        <f>IFERROR(__xludf.DUMMYFUNCTION("""COMPUTED_VALUE"""),"Downtown Houston")</f>
        <v>Downtown Houston</v>
      </c>
    </row>
    <row r="724" ht="30.0" customHeight="1">
      <c r="A724" s="17">
        <v>723.0</v>
      </c>
      <c r="B724" s="8" t="str">
        <f>IFERROR(__xludf.DUMMYFUNCTION("""COMPUTED_VALUE"""),"[""99999""]")</f>
        <v>["99999"]</v>
      </c>
      <c r="C724" s="9" t="str">
        <f>IFERROR(__xludf.DUMMYFUNCTION("""COMPUTED_VALUE"""),"San Jose Clinic")</f>
        <v>San Jose Clinic</v>
      </c>
      <c r="D724" s="9" t="str">
        <f>IFERROR(__xludf.DUMMYFUNCTION("""COMPUTED_VALUE"""),"2615 Fannin Street")</f>
        <v>2615 Fannin Street</v>
      </c>
      <c r="E724" s="9"/>
      <c r="F724" s="9" t="str">
        <f>IFERROR(__xludf.DUMMYFUNCTION("""COMPUTED_VALUE"""),"Houston")</f>
        <v>Houston</v>
      </c>
      <c r="G724" s="9" t="str">
        <f>IFERROR(__xludf.DUMMYFUNCTION("""COMPUTED_VALUE"""),"TX")</f>
        <v>TX</v>
      </c>
      <c r="H724" s="9" t="str">
        <f>IFERROR(__xludf.DUMMYFUNCTION("""COMPUTED_VALUE"""),"77002")</f>
        <v>77002</v>
      </c>
      <c r="I724" s="9" t="str">
        <f>IFERROR(__xludf.DUMMYFUNCTION("""COMPUTED_VALUE"""),"713-490-2610")</f>
        <v>713-490-2610</v>
      </c>
      <c r="J724" s="9" t="str">
        <f>IFERROR(__xludf.DUMMYFUNCTION("""COMPUTED_VALUE"""),"29.7446491428571, -95.3732587142857")</f>
        <v>29.7446491428571, -95.3732587142857</v>
      </c>
      <c r="K724" s="9" t="str">
        <f>IFERROR(__xludf.DUMMYFUNCTION("""COMPUTED_VALUE"""),"{""regular"":[{""days"":[""Mo"",""Tu"",""We"",""Th"",""Fr""],""open"":""08:00"",""close"":""17:00""}],""special"":[{""pattern"":""2nd Sa"",""open"":""08:00"",""close"":""16:30""}]}")</f>
        <v>{"regular":[{"days":["Mo","Tu","We","Th","Fr"],"open":"08:00","close":"17:00"}],"special":[{"pattern":"2nd Sa","open":"08:00","close":"16:30"}]}</v>
      </c>
      <c r="L724" s="9"/>
      <c r="M724" s="10">
        <f>IFERROR(__xludf.DUMMYFUNCTION("""COMPUTED_VALUE"""),31.0)</f>
        <v>31</v>
      </c>
      <c r="N724" s="10" t="str">
        <f>IFERROR(__xludf.DUMMYFUNCTION("""COMPUTED_VALUE"""),"Medical - Primary Care")</f>
        <v>Medical - Primary Care</v>
      </c>
      <c r="O724" s="10">
        <f>IFERROR(__xludf.DUMMYFUNCTION("""COMPUTED_VALUE"""),1.0)</f>
        <v>1</v>
      </c>
      <c r="P724" s="10" t="str">
        <f>IFERROR(__xludf.DUMMYFUNCTION("""COMPUTED_VALUE"""),"ACTIVE")</f>
        <v>ACTIVE</v>
      </c>
      <c r="Q724" s="11">
        <f>IFERROR(__xludf.DUMMYFUNCTION("""COMPUTED_VALUE"""),45696.0)</f>
        <v>45696</v>
      </c>
      <c r="R724" s="9"/>
      <c r="S724" s="9" t="str">
        <f>IFERROR(__xludf.DUMMYFUNCTION("""COMPUTED_VALUE"""),"Serving uninsured and the uninsurable communities.
Primary care, dental, vision, laboratory, and pharmacy services.
Must complete eligibility interview.
Photo ID, proof of household income and address")</f>
        <v>Serving uninsured and the uninsurable communities.
Primary care, dental, vision, laboratory, and pharmacy services.
Must complete eligibility interview.
Photo ID, proof of household income and address</v>
      </c>
      <c r="T724" s="12" t="b">
        <f>IFERROR(__xludf.DUMMYFUNCTION("""COMPUTED_VALUE"""),FALSE)</f>
        <v>0</v>
      </c>
      <c r="U724" s="12" t="b">
        <f>IFERROR(__xludf.DUMMYFUNCTION("""COMPUTED_VALUE"""),FALSE)</f>
        <v>0</v>
      </c>
      <c r="V724" s="13" t="str">
        <f>IFERROR(__xludf.DUMMYFUNCTION("""COMPUTED_VALUE"""),"https://www.sanjoseclinic.org")</f>
        <v>https://www.sanjoseclinic.org</v>
      </c>
      <c r="W724" s="10" t="str">
        <f>IFERROR(__xludf.DUMMYFUNCTION("""COMPUTED_VALUE"""),"https://www.google.com/maps/place/San+José+Clinic+(Midtown)/@29.7444641,-95.3744277,18z/data=!3m1!5s0x8640bf6b53201e67:0x8d4dcaf421678526!4m15!1m8!3m7!1s0x8640bf6b5322b615:0x45a7696543bcce6b!2s2615+Fannin+St,+Houston,+TX+77002!3b1!8m2!3d29.7444595!4d-95.3"&amp;"731402!16s%2Fg%2F11bw3zns_s!3m5!1s0x8640bf2743d93a0f:0x9ee05ba74ffee0e1!8m2!3d29.7445857!4d-95.3731026!16s%2Fg%2F1tdh8v29?entry=ttu&amp;g_ep=EgoyMDI0MDkxNi4wIKXMDSoASAFQAw%3D%3D")</f>
        <v>https://www.google.com/maps/place/San+José+Clinic+(Midtown)/@29.7444641,-95.3744277,18z/data=!3m1!5s0x8640bf6b53201e67:0x8d4dcaf421678526!4m15!1m8!3m7!1s0x8640bf6b5322b615:0x45a7696543bcce6b!2s2615+Fannin+St,+Houston,+TX+77002!3b1!8m2!3d29.7444595!4d-95.3731402!16s%2Fg%2F11bw3zns_s!3m5!1s0x8640bf2743d93a0f:0x9ee05ba74ffee0e1!8m2!3d29.7445857!4d-95.3731026!16s%2Fg%2F1tdh8v29?entry=ttu&amp;g_ep=EgoyMDI0MDkxNi4wIKXMDSoASAFQAw%3D%3D</v>
      </c>
      <c r="X724" s="10"/>
      <c r="Y724" s="9" t="str">
        <f>IFERROR(__xludf.DUMMYFUNCTION("""COMPUTED_VALUE"""),"Houston")</f>
        <v>Houston</v>
      </c>
      <c r="Z724"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24" s="9" t="str">
        <f>IFERROR(__xludf.DUMMYFUNCTION("""COMPUTED_VALUE"""),"San Jose Clinic")</f>
        <v>San Jose Clinic</v>
      </c>
      <c r="AB724" s="9" t="str">
        <f>IFERROR(__xludf.DUMMYFUNCTION("""COMPUTED_VALUE"""),"South Central Houston")</f>
        <v>South Central Houston</v>
      </c>
    </row>
    <row r="725" ht="30.0" customHeight="1">
      <c r="A725" s="17">
        <v>724.0</v>
      </c>
      <c r="B725" s="8" t="str">
        <f>IFERROR(__xludf.DUMMYFUNCTION("""COMPUTED_VALUE"""),"[""99999""]")</f>
        <v>["99999"]</v>
      </c>
      <c r="C725" s="9" t="str">
        <f>IFERROR(__xludf.DUMMYFUNCTION("""COMPUTED_VALUE"""),"San Jose Clinic")</f>
        <v>San Jose Clinic</v>
      </c>
      <c r="D725" s="9" t="str">
        <f>IFERROR(__xludf.DUMMYFUNCTION("""COMPUTED_VALUE"""),"2615 Fannin Street")</f>
        <v>2615 Fannin Street</v>
      </c>
      <c r="E725" s="9"/>
      <c r="F725" s="9" t="str">
        <f>IFERROR(__xludf.DUMMYFUNCTION("""COMPUTED_VALUE"""),"Houston")</f>
        <v>Houston</v>
      </c>
      <c r="G725" s="9" t="str">
        <f>IFERROR(__xludf.DUMMYFUNCTION("""COMPUTED_VALUE"""),"TX")</f>
        <v>TX</v>
      </c>
      <c r="H725" s="9" t="str">
        <f>IFERROR(__xludf.DUMMYFUNCTION("""COMPUTED_VALUE"""),"77002")</f>
        <v>77002</v>
      </c>
      <c r="I725" s="9" t="str">
        <f>IFERROR(__xludf.DUMMYFUNCTION("""COMPUTED_VALUE"""),"713-490-2610")</f>
        <v>713-490-2610</v>
      </c>
      <c r="J725" s="9" t="str">
        <f>IFERROR(__xludf.DUMMYFUNCTION("""COMPUTED_VALUE"""),"29.7446491428571, -95.3732587142857")</f>
        <v>29.7446491428571, -95.3732587142857</v>
      </c>
      <c r="K725" s="9" t="str">
        <f>IFERROR(__xludf.DUMMYFUNCTION("""COMPUTED_VALUE"""),"{""regular"":[{""days"":[""Mo"",""Tu"",""We"",""Th"",""Fr""],""open"":""08:00"",""close"":""17:00""}],""special"":[{""pattern"":""2nd Sa"",""open"":""08:00"",""close"":""16:30""}]}")</f>
        <v>{"regular":[{"days":["Mo","Tu","We","Th","Fr"],"open":"08:00","close":"17:00"}],"special":[{"pattern":"2nd Sa","open":"08:00","close":"16:30"}]}</v>
      </c>
      <c r="L725" s="9"/>
      <c r="M725" s="10">
        <f>IFERROR(__xludf.DUMMYFUNCTION("""COMPUTED_VALUE"""),32.0)</f>
        <v>32</v>
      </c>
      <c r="N725" s="10" t="str">
        <f>IFERROR(__xludf.DUMMYFUNCTION("""COMPUTED_VALUE"""),"Medical - Dental &amp; Vision")</f>
        <v>Medical - Dental &amp; Vision</v>
      </c>
      <c r="O725" s="10">
        <f>IFERROR(__xludf.DUMMYFUNCTION("""COMPUTED_VALUE"""),1.0)</f>
        <v>1</v>
      </c>
      <c r="P725" s="10" t="str">
        <f>IFERROR(__xludf.DUMMYFUNCTION("""COMPUTED_VALUE"""),"ACTIVE")</f>
        <v>ACTIVE</v>
      </c>
      <c r="Q725" s="11">
        <f>IFERROR(__xludf.DUMMYFUNCTION("""COMPUTED_VALUE"""),46049.0)</f>
        <v>46049</v>
      </c>
      <c r="R725" s="9" t="str">
        <f>IFERROR(__xludf.DUMMYFUNCTION("""COMPUTED_VALUE"""),"Verified online")</f>
        <v>Verified online</v>
      </c>
      <c r="S725" s="9" t="str">
        <f>IFERROR(__xludf.DUMMYFUNCTION("""COMPUTED_VALUE"""),"Dental &amp; Vision
Serving uninsured and the uninsurable communities.
Dental services include comprehensive care, preventatives, fillings, root canals, crowns extractions and dentures/partials.
Vision includes ophthalmology and optometry
Must complete eligib"&amp;"ility interview.
Photo ID, proof of household income and address")</f>
        <v>Dental &amp; Vision
Serving uninsured and the uninsurable communities.
Dental services include comprehensive care, preventatives, fillings, root canals, crowns extractions and dentures/partials.
Vision includes ophthalmology and optometry
Must complete eligibility interview.
Photo ID, proof of household income and address</v>
      </c>
      <c r="T725" s="12" t="b">
        <f>IFERROR(__xludf.DUMMYFUNCTION("""COMPUTED_VALUE"""),TRUE)</f>
        <v>1</v>
      </c>
      <c r="U725" s="12" t="b">
        <f>IFERROR(__xludf.DUMMYFUNCTION("""COMPUTED_VALUE"""),FALSE)</f>
        <v>0</v>
      </c>
      <c r="V725" s="13" t="str">
        <f>IFERROR(__xludf.DUMMYFUNCTION("""COMPUTED_VALUE"""),"https://www.sanjoseclinic.org")</f>
        <v>https://www.sanjoseclinic.org</v>
      </c>
      <c r="W725" s="10" t="str">
        <f>IFERROR(__xludf.DUMMYFUNCTION("""COMPUTED_VALUE"""),"https://www.google.com/maps/place/San+José+Clinic+(Midtown)/@29.7444641,-95.3744277,18z/data=!3m1!5s0x8640bf6b53201e67:0x8d4dcaf421678526!4m15!1m8!3m7!1s0x8640bf6b5322b615:0x45a7696543bcce6b!2s2615+Fannin+St,+Houston,+TX+77002!3b1!8m2!3d29.7444595!4d-95.3"&amp;"731402!16s%2Fg%2F11bw3zns_s!3m5!1s0x8640bf2743d93a0f:0x9ee05ba74ffee0e1!8m2!3d29.7445857!4d-95.3731026!16s%2Fg%2F1tdh8v29?entry=ttu&amp;g_ep=EgoyMDI0MDkxNi4wIKXMDSoASAFQAw%3D%3D")</f>
        <v>https://www.google.com/maps/place/San+José+Clinic+(Midtown)/@29.7444641,-95.3744277,18z/data=!3m1!5s0x8640bf6b53201e67:0x8d4dcaf421678526!4m15!1m8!3m7!1s0x8640bf6b5322b615:0x45a7696543bcce6b!2s2615+Fannin+St,+Houston,+TX+77002!3b1!8m2!3d29.7444595!4d-95.3731402!16s%2Fg%2F11bw3zns_s!3m5!1s0x8640bf2743d93a0f:0x9ee05ba74ffee0e1!8m2!3d29.7445857!4d-95.3731026!16s%2Fg%2F1tdh8v29?entry=ttu&amp;g_ep=EgoyMDI0MDkxNi4wIKXMDSoASAFQAw%3D%3D</v>
      </c>
      <c r="X725" s="10"/>
      <c r="Y725" s="9" t="str">
        <f>IFERROR(__xludf.DUMMYFUNCTION("""COMPUTED_VALUE"""),"Houston")</f>
        <v>Houston</v>
      </c>
      <c r="Z725"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25" s="9" t="str">
        <f>IFERROR(__xludf.DUMMYFUNCTION("""COMPUTED_VALUE"""),"San Jose Clinic")</f>
        <v>San Jose Clinic</v>
      </c>
      <c r="AB725" s="9" t="str">
        <f>IFERROR(__xludf.DUMMYFUNCTION("""COMPUTED_VALUE"""),"South Central Houston")</f>
        <v>South Central Houston</v>
      </c>
    </row>
    <row r="726" ht="30.0" customHeight="1">
      <c r="A726" s="17">
        <v>725.0</v>
      </c>
      <c r="B726" s="8" t="str">
        <f>IFERROR(__xludf.DUMMYFUNCTION("""COMPUTED_VALUE"""),"[""99999""]")</f>
        <v>["99999"]</v>
      </c>
      <c r="C726" s="9" t="str">
        <f>IFERROR(__xludf.DUMMYFUNCTION("""COMPUTED_VALUE"""),"Santa Maria - Bonita House")</f>
        <v>Santa Maria - Bonita House</v>
      </c>
      <c r="D726" s="9" t="str">
        <f>IFERROR(__xludf.DUMMYFUNCTION("""COMPUTED_VALUE"""),"2605 Parker Road")</f>
        <v>2605 Parker Road</v>
      </c>
      <c r="E726" s="9"/>
      <c r="F726" s="9" t="str">
        <f>IFERROR(__xludf.DUMMYFUNCTION("""COMPUTED_VALUE"""),"Houston")</f>
        <v>Houston</v>
      </c>
      <c r="G726" s="9" t="str">
        <f>IFERROR(__xludf.DUMMYFUNCTION("""COMPUTED_VALUE"""),"TX")</f>
        <v>TX</v>
      </c>
      <c r="H726" s="9" t="str">
        <f>IFERROR(__xludf.DUMMYFUNCTION("""COMPUTED_VALUE"""),"77093")</f>
        <v>77093</v>
      </c>
      <c r="I726" s="9" t="str">
        <f>IFERROR(__xludf.DUMMYFUNCTION("""COMPUTED_VALUE"""),"713-691-0900")</f>
        <v>713-691-0900</v>
      </c>
      <c r="J726" s="9" t="str">
        <f>IFERROR(__xludf.DUMMYFUNCTION("""COMPUTED_VALUE"""),"29.8595536063434, -95.3452350820779")</f>
        <v>29.8595536063434, -95.3452350820779</v>
      </c>
      <c r="K726" s="9" t="str">
        <f>IFERROR(__xludf.DUMMYFUNCTION("""COMPUTED_VALUE"""),"{""regular"":[{""days"":[""Mo"",""Tu"",""We"",""Th"",""Fr""],""open"":null,""close"":null}]}")</f>
        <v>{"regular":[{"days":["Mo","Tu","We","Th","Fr"],"open":null,"close":null}]}</v>
      </c>
      <c r="L726" s="9"/>
      <c r="M726" s="10">
        <f>IFERROR(__xludf.DUMMYFUNCTION("""COMPUTED_VALUE"""),34.0)</f>
        <v>34</v>
      </c>
      <c r="N726" s="10" t="str">
        <f>IFERROR(__xludf.DUMMYFUNCTION("""COMPUTED_VALUE"""),"Medical - Addiction Recovery")</f>
        <v>Medical - Addiction Recovery</v>
      </c>
      <c r="O726" s="10">
        <f>IFERROR(__xludf.DUMMYFUNCTION("""COMPUTED_VALUE"""),1.0)</f>
        <v>1</v>
      </c>
      <c r="P726" s="10" t="str">
        <f>IFERROR(__xludf.DUMMYFUNCTION("""COMPUTED_VALUE"""),"ACTIVE")</f>
        <v>ACTIVE</v>
      </c>
      <c r="Q726" s="11">
        <f>IFERROR(__xludf.DUMMYFUNCTION("""COMPUTED_VALUE"""),45941.0)</f>
        <v>45941</v>
      </c>
      <c r="R726" s="9" t="str">
        <f>IFERROR(__xludf.DUMMYFUNCTION("""COMPUTED_VALUE"""),"Verified online")</f>
        <v>Verified online</v>
      </c>
      <c r="S726" s="9" t="str">
        <f>IFERROR(__xludf.DUMMYFUNCTION("""COMPUTED_VALUE"""),"Coalition for the Homeless (CFTH) Partner
Outpatient and residential substance abuse treatment center
Care for pregnant and parenting women and their children
Court Liaison Services
Transitional Living (Shelter)")</f>
        <v>Coalition for the Homeless (CFTH) Partner
Outpatient and residential substance abuse treatment center
Care for pregnant and parenting women and their children
Court Liaison Services
Transitional Living (Shelter)</v>
      </c>
      <c r="T726" s="12" t="b">
        <f>IFERROR(__xludf.DUMMYFUNCTION("""COMPUTED_VALUE"""),FALSE)</f>
        <v>0</v>
      </c>
      <c r="U726" s="12" t="b">
        <f>IFERROR(__xludf.DUMMYFUNCTION("""COMPUTED_VALUE"""),FALSE)</f>
        <v>0</v>
      </c>
      <c r="V726" s="13" t="str">
        <f>IFERROR(__xludf.DUMMYFUNCTION("""COMPUTED_VALUE"""),"https://www.santamariahostel.org/")</f>
        <v>https://www.santamariahostel.org/</v>
      </c>
      <c r="W726" s="14" t="str">
        <f>IFERROR(__xludf.DUMMYFUNCTION("""COMPUTED_VALUE"""),"https://www.google.com/maps/place/Santa+Maria+Hostel,+Inc./@29.859774,-95.3469676,17z/data=!3m1!4b1!4m6!3m5!1s0x8640cf6555555555:0x4ac7fac4e0510aa2!8m2!3d29.859774!4d-95.3443927!16s%2Fg%2F1tk1zf9j?entry=ttu&amp;g_ep=EgoyMDI1MDQwOS4wIKXMDSoASAFQAw%3D%3D")</f>
        <v>https://www.google.com/maps/place/Santa+Maria+Hostel,+Inc./@29.859774,-95.3469676,17z/data=!3m1!4b1!4m6!3m5!1s0x8640cf6555555555:0x4ac7fac4e0510aa2!8m2!3d29.859774!4d-95.3443927!16s%2Fg%2F1tk1zf9j?entry=ttu&amp;g_ep=EgoyMDI1MDQwOS4wIKXMDSoASAFQAw%3D%3D</v>
      </c>
      <c r="X726" s="10"/>
      <c r="Y726" s="9" t="str">
        <f>IFERROR(__xludf.DUMMYFUNCTION("""COMPUTED_VALUE"""),"Houston")</f>
        <v>Houston</v>
      </c>
      <c r="Z726" s="9" t="str">
        <f>IFERROR(__xludf.DUMMYFUNCTION("""COMPUTED_VALUE"""),"Eastex, Jensen, Northeast Houston")</f>
        <v>Eastex, Jensen, Northeast Houston</v>
      </c>
      <c r="AA726" s="9" t="str">
        <f>IFERROR(__xludf.DUMMYFUNCTION("""COMPUTED_VALUE"""),"Santa Maria")</f>
        <v>Santa Maria</v>
      </c>
      <c r="AB726" s="9" t="str">
        <f>IFERROR(__xludf.DUMMYFUNCTION("""COMPUTED_VALUE"""),"Northeast Houston")</f>
        <v>Northeast Houston</v>
      </c>
    </row>
    <row r="727" ht="30.0" customHeight="1">
      <c r="A727" s="17">
        <v>726.0</v>
      </c>
      <c r="B727" s="8" t="str">
        <f>IFERROR(__xludf.DUMMYFUNCTION("""COMPUTED_VALUE"""),"[""99999""]")</f>
        <v>["99999"]</v>
      </c>
      <c r="C727" s="9" t="str">
        <f>IFERROR(__xludf.DUMMYFUNCTION("""COMPUTED_VALUE"""),"Santa Maria - Women's Recovery")</f>
        <v>Santa Maria - Women's Recovery</v>
      </c>
      <c r="D727" s="9" t="str">
        <f>IFERROR(__xludf.DUMMYFUNCTION("""COMPUTED_VALUE"""),"807 Paschall Street")</f>
        <v>807 Paschall Street</v>
      </c>
      <c r="E727" s="9"/>
      <c r="F727" s="9" t="str">
        <f>IFERROR(__xludf.DUMMYFUNCTION("""COMPUTED_VALUE"""),"Houston")</f>
        <v>Houston</v>
      </c>
      <c r="G727" s="9" t="str">
        <f>IFERROR(__xludf.DUMMYFUNCTION("""COMPUTED_VALUE"""),"TX")</f>
        <v>TX</v>
      </c>
      <c r="H727" s="9" t="str">
        <f>IFERROR(__xludf.DUMMYFUNCTION("""COMPUTED_VALUE"""),"77009")</f>
        <v>77009</v>
      </c>
      <c r="I727" s="9" t="str">
        <f>IFERROR(__xludf.DUMMYFUNCTION("""COMPUTED_VALUE"""),"713-691-0900")</f>
        <v>713-691-0900</v>
      </c>
      <c r="J727" s="9" t="str">
        <f>IFERROR(__xludf.DUMMYFUNCTION("""COMPUTED_VALUE"""),"29.779966090609097, -95.36069101405802")</f>
        <v>29.779966090609097, -95.36069101405802</v>
      </c>
      <c r="K727" s="9" t="str">
        <f>IFERROR(__xludf.DUMMYFUNCTION("""COMPUTED_VALUE"""),"{""regular"":[{""days"":[""Mo"",""Tu"",""We"",""Th"",""Fr""],""open"":null,""close"":null}]}")</f>
        <v>{"regular":[{"days":["Mo","Tu","We","Th","Fr"],"open":null,"close":null}]}</v>
      </c>
      <c r="L727" s="9"/>
      <c r="M727" s="10">
        <f>IFERROR(__xludf.DUMMYFUNCTION("""COMPUTED_VALUE"""),34.0)</f>
        <v>34</v>
      </c>
      <c r="N727" s="10" t="str">
        <f>IFERROR(__xludf.DUMMYFUNCTION("""COMPUTED_VALUE"""),"Medical - Addiction Recovery")</f>
        <v>Medical - Addiction Recovery</v>
      </c>
      <c r="O727" s="10">
        <f>IFERROR(__xludf.DUMMYFUNCTION("""COMPUTED_VALUE"""),1.0)</f>
        <v>1</v>
      </c>
      <c r="P727" s="10" t="str">
        <f>IFERROR(__xludf.DUMMYFUNCTION("""COMPUTED_VALUE"""),"ACTIVE")</f>
        <v>ACTIVE</v>
      </c>
      <c r="Q727" s="11">
        <f>IFERROR(__xludf.DUMMYFUNCTION("""COMPUTED_VALUE"""),45941.0)</f>
        <v>45941</v>
      </c>
      <c r="R727" s="9" t="str">
        <f>IFERROR(__xludf.DUMMYFUNCTION("""COMPUTED_VALUE"""),"Verified online")</f>
        <v>Verified online</v>
      </c>
      <c r="S727" s="9" t="str">
        <f>IFERROR(__xludf.DUMMYFUNCTION("""COMPUTED_VALUE"""),"Coalition for the Homeless (CFTH) Partner
Outpatient and residential substance abuse treatment center
Care for pregnant and parenting women and their children
Court Liaison Services
Transitional Living (Shelter)")</f>
        <v>Coalition for the Homeless (CFTH) Partner
Outpatient and residential substance abuse treatment center
Care for pregnant and parenting women and their children
Court Liaison Services
Transitional Living (Shelter)</v>
      </c>
      <c r="T727" s="12" t="b">
        <f>IFERROR(__xludf.DUMMYFUNCTION("""COMPUTED_VALUE"""),FALSE)</f>
        <v>0</v>
      </c>
      <c r="U727" s="12" t="b">
        <f>IFERROR(__xludf.DUMMYFUNCTION("""COMPUTED_VALUE"""),FALSE)</f>
        <v>0</v>
      </c>
      <c r="V727" s="13" t="str">
        <f>IFERROR(__xludf.DUMMYFUNCTION("""COMPUTED_VALUE"""),"https://www.santamariahostel.org/")</f>
        <v>https://www.santamariahostel.org/</v>
      </c>
      <c r="W727" s="14" t="str">
        <f>IFERROR(__xludf.DUMMYFUNCTION("""COMPUTED_VALUE"""),"https://www.google.com/maps/place/Santa+Maria+Hostel/@29.7794353,-95.3633303,16z/data=!4m15!1m8!3m7!1s0x8640b8d18f02a06f:0xbd79310d1fd1c64b!2s807+Paschall+St,+Houston,+TX+77009!3b1!8m2!3d29.7794307!4d-95.3607554!16s%2Fg%2F11whsz6z_c!3m5!1s0x8640b8d18fab19"&amp;"35:0xda20999e55dd4d22!8m2!3d29.7793616!4d-95.3607524!16s%2Fg%2F1v_0k3tp?entry=ttu&amp;g_ep=EgoyMDI1MTAwOC4wIKXMDSoASAFQAw%3D%3D")</f>
        <v>https://www.google.com/maps/place/Santa+Maria+Hostel/@29.7794353,-95.3633303,16z/data=!4m15!1m8!3m7!1s0x8640b8d18f02a06f:0xbd79310d1fd1c64b!2s807+Paschall+St,+Houston,+TX+77009!3b1!8m2!3d29.7794307!4d-95.3607554!16s%2Fg%2F11whsz6z_c!3m5!1s0x8640b8d18fab1935:0xda20999e55dd4d22!8m2!3d29.7793616!4d-95.3607524!16s%2Fg%2F1v_0k3tp?entry=ttu&amp;g_ep=EgoyMDI1MTAwOC4wIKXMDSoASAFQAw%3D%3D</v>
      </c>
      <c r="X727" s="10"/>
      <c r="Y727" s="9" t="str">
        <f>IFERROR(__xludf.DUMMYFUNCTION("""COMPUTED_VALUE"""),"Houston")</f>
        <v>Houston</v>
      </c>
      <c r="Z727" s="9" t="str">
        <f>IFERROR(__xludf.DUMMYFUNCTION("""COMPUTED_VALUE"""),"Lindale Park, Near Northside, Northside, Woodland Heights")</f>
        <v>Lindale Park, Near Northside, Northside, Woodland Heights</v>
      </c>
      <c r="AA727" s="9" t="str">
        <f>IFERROR(__xludf.DUMMYFUNCTION("""COMPUTED_VALUE"""),"Santa Maria")</f>
        <v>Santa Maria</v>
      </c>
      <c r="AB727" s="9" t="str">
        <f>IFERROR(__xludf.DUMMYFUNCTION("""COMPUTED_VALUE"""),"Northside")</f>
        <v>Northside</v>
      </c>
    </row>
    <row r="728" ht="30.0" customHeight="1">
      <c r="A728" s="17">
        <v>727.0</v>
      </c>
      <c r="B728" s="8" t="str">
        <f>IFERROR(__xludf.DUMMYFUNCTION("""COMPUTED_VALUE"""),"[""99999""]")</f>
        <v>["99999"]</v>
      </c>
      <c r="C728" s="9" t="str">
        <f>IFERROR(__xludf.DUMMYFUNCTION("""COMPUTED_VALUE"""),"Sarah's House")</f>
        <v>Sarah's House</v>
      </c>
      <c r="D728" s="9" t="str">
        <f>IFERROR(__xludf.DUMMYFUNCTION("""COMPUTED_VALUE"""),"711 Perla Road")</f>
        <v>711 Perla Road</v>
      </c>
      <c r="E728" s="9"/>
      <c r="F728" s="9" t="str">
        <f>IFERROR(__xludf.DUMMYFUNCTION("""COMPUTED_VALUE"""),"Pasadena")</f>
        <v>Pasadena</v>
      </c>
      <c r="G728" s="9" t="str">
        <f>IFERROR(__xludf.DUMMYFUNCTION("""COMPUTED_VALUE"""),"TX")</f>
        <v>TX</v>
      </c>
      <c r="H728" s="9" t="str">
        <f>IFERROR(__xludf.DUMMYFUNCTION("""COMPUTED_VALUE"""),"77502")</f>
        <v>77502</v>
      </c>
      <c r="I728" s="9" t="str">
        <f>IFERROR(__xludf.DUMMYFUNCTION("""COMPUTED_VALUE"""),"24/7 Hotline:  833-954-8050, 713-475-1480")</f>
        <v>24/7 Hotline:  833-954-8050, 713-475-1480</v>
      </c>
      <c r="J728" s="9" t="str">
        <f>IFERROR(__xludf.DUMMYFUNCTION("""COMPUTED_VALUE"""),"29.673868420419332, -95.20169762295687")</f>
        <v>29.673868420419332, -95.20169762295687</v>
      </c>
      <c r="K728" s="9" t="str">
        <f>IFERROR(__xludf.DUMMYFUNCTION("""COMPUTED_VALUE"""),"{""regular"":[{""days"":[""Mo"",""Tu"",""We"",""Th"",""Fr""],""open"":null,""close"":null}]}")</f>
        <v>{"regular":[{"days":["Mo","Tu","We","Th","Fr"],"open":null,"close":null}]}</v>
      </c>
      <c r="L728" s="9"/>
      <c r="M728" s="10">
        <f>IFERROR(__xludf.DUMMYFUNCTION("""COMPUTED_VALUE"""),21.0)</f>
        <v>21</v>
      </c>
      <c r="N728" s="10" t="str">
        <f>IFERROR(__xludf.DUMMYFUNCTION("""COMPUTED_VALUE"""),"Homeless - Shelters")</f>
        <v>Homeless - Shelters</v>
      </c>
      <c r="O728" s="10">
        <f>IFERROR(__xludf.DUMMYFUNCTION("""COMPUTED_VALUE"""),1.0)</f>
        <v>1</v>
      </c>
      <c r="P728" s="10" t="str">
        <f>IFERROR(__xludf.DUMMYFUNCTION("""COMPUTED_VALUE"""),"ACTIVE")</f>
        <v>ACTIVE</v>
      </c>
      <c r="Q728" s="11">
        <f>IFERROR(__xludf.DUMMYFUNCTION("""COMPUTED_VALUE"""),45941.0)</f>
        <v>45941</v>
      </c>
      <c r="R728" s="9" t="str">
        <f>IFERROR(__xludf.DUMMYFUNCTION("""COMPUTED_VALUE"""),"Verified online")</f>
        <v>Verified online</v>
      </c>
      <c r="S728" s="9" t="str">
        <f>IFERROR(__xludf.DUMMYFUNCTION("""COMPUTED_VALUE"""),"Coalition for the Homeless (CFTH) Partner/Rapid Rehousing
Geared to women and families escaping domestic abuse.")</f>
        <v>Coalition for the Homeless (CFTH) Partner/Rapid Rehousing
Geared to women and families escaping domestic abuse.</v>
      </c>
      <c r="T728" s="12" t="b">
        <f>IFERROR(__xludf.DUMMYFUNCTION("""COMPUTED_VALUE"""),FALSE)</f>
        <v>0</v>
      </c>
      <c r="U728" s="12" t="b">
        <f>IFERROR(__xludf.DUMMYFUNCTION("""COMPUTED_VALUE"""),FALSE)</f>
        <v>0</v>
      </c>
      <c r="V728" s="13" t="str">
        <f>IFERROR(__xludf.DUMMYFUNCTION("""COMPUTED_VALUE"""),"https://www.sarahshouse.org/index.html")</f>
        <v>https://www.sarahshouse.org/index.html</v>
      </c>
      <c r="W728" s="14" t="str">
        <f>IFERROR(__xludf.DUMMYFUNCTION("""COMPUTED_VALUE"""),"https://www.google.com/maps/place/Sarah's+House/@29.6737146,-95.2043369,17z/data=!3m1!4b1!4m6!3m5!1s0x8640998f60adb379:0x6f41c69f62f1964b!8m2!3d29.67371!4d-95.201762!16s%2Fg%2F11v5j79v1k?entry=ttu&amp;g_ep=EgoyMDI1MTAwOC4wIKXMDSoASAFQAw%3D%3D")</f>
        <v>https://www.google.com/maps/place/Sarah's+House/@29.6737146,-95.2043369,17z/data=!3m1!4b1!4m6!3m5!1s0x8640998f60adb379:0x6f41c69f62f1964b!8m2!3d29.67371!4d-95.201762!16s%2Fg%2F11v5j79v1k?entry=ttu&amp;g_ep=EgoyMDI1MTAwOC4wIKXMDSoASAFQAw%3D%3D</v>
      </c>
      <c r="X728" s="10"/>
      <c r="Y728" s="9" t="str">
        <f>IFERROR(__xludf.DUMMYFUNCTION("""COMPUTED_VALUE"""),"Pasadena")</f>
        <v>Pasadena</v>
      </c>
      <c r="Z728" s="9" t="str">
        <f>IFERROR(__xludf.DUMMYFUNCTION("""COMPUTED_VALUE"""),"Pasadena (Southmore), Queens Knoll")</f>
        <v>Pasadena (Southmore), Queens Knoll</v>
      </c>
      <c r="AA728" s="9" t="str">
        <f>IFERROR(__xludf.DUMMYFUNCTION("""COMPUTED_VALUE"""),"Sarah's House")</f>
        <v>Sarah's House</v>
      </c>
      <c r="AB728" s="9" t="str">
        <f>IFERROR(__xludf.DUMMYFUNCTION("""COMPUTED_VALUE"""),"Pasadena")</f>
        <v>Pasadena</v>
      </c>
    </row>
    <row r="729" ht="30.0" customHeight="1">
      <c r="A729" s="17">
        <v>728.0</v>
      </c>
      <c r="B729" s="8" t="str">
        <f>IFERROR(__xludf.DUMMYFUNCTION("""COMPUTED_VALUE"""),"[""99999""]")</f>
        <v>["99999"]</v>
      </c>
      <c r="C729" s="9" t="str">
        <f>IFERROR(__xludf.DUMMYFUNCTION("""COMPUTED_VALUE"""),"Search Homeless Services")</f>
        <v>Search Homeless Services</v>
      </c>
      <c r="D729" s="9" t="str">
        <f>IFERROR(__xludf.DUMMYFUNCTION("""COMPUTED_VALUE"""),"2015 Congress Street")</f>
        <v>2015 Congress Street</v>
      </c>
      <c r="E729" s="9"/>
      <c r="F729" s="9" t="str">
        <f>IFERROR(__xludf.DUMMYFUNCTION("""COMPUTED_VALUE"""),"Houston")</f>
        <v>Houston</v>
      </c>
      <c r="G729" s="9" t="str">
        <f>IFERROR(__xludf.DUMMYFUNCTION("""COMPUTED_VALUE"""),"TX")</f>
        <v>TX</v>
      </c>
      <c r="H729" s="9" t="str">
        <f>IFERROR(__xludf.DUMMYFUNCTION("""COMPUTED_VALUE"""),"77002")</f>
        <v>77002</v>
      </c>
      <c r="I729" s="9" t="str">
        <f>IFERROR(__xludf.DUMMYFUNCTION("""COMPUTED_VALUE"""),"713-739-7752")</f>
        <v>713-739-7752</v>
      </c>
      <c r="J729" s="9" t="str">
        <f>IFERROR(__xludf.DUMMYFUNCTION("""COMPUTED_VALUE"""),"29.7570242857143, -95.3518517142857")</f>
        <v>29.7570242857143, -95.3518517142857</v>
      </c>
      <c r="K729" s="9" t="str">
        <f>IFERROR(__xludf.DUMMYFUNCTION("""COMPUTED_VALUE"""),"{""regular"":[{""days"":[""Mo"",""Tu"",""We"",""Th"",""Fr""],""open"":""09:00"",""close"":""16:00""}]}")</f>
        <v>{"regular":[{"days":["Mo","Tu","We","Th","Fr"],"open":"09:00","close":"16:00"}]}</v>
      </c>
      <c r="L729" s="9"/>
      <c r="M729" s="10">
        <f>IFERROR(__xludf.DUMMYFUNCTION("""COMPUTED_VALUE"""),24.0)</f>
        <v>24</v>
      </c>
      <c r="N729" s="10" t="str">
        <f>IFERROR(__xludf.DUMMYFUNCTION("""COMPUTED_VALUE"""),"Housing")</f>
        <v>Housing</v>
      </c>
      <c r="O729" s="10">
        <f>IFERROR(__xludf.DUMMYFUNCTION("""COMPUTED_VALUE"""),1.0)</f>
        <v>1</v>
      </c>
      <c r="P729" s="10" t="str">
        <f>IFERROR(__xludf.DUMMYFUNCTION("""COMPUTED_VALUE"""),"ACTIVE")</f>
        <v>ACTIVE</v>
      </c>
      <c r="Q729" s="11"/>
      <c r="R729" s="9"/>
      <c r="S729" s="9"/>
      <c r="T729" s="12" t="b">
        <f>IFERROR(__xludf.DUMMYFUNCTION("""COMPUTED_VALUE"""),FALSE)</f>
        <v>0</v>
      </c>
      <c r="U729" s="12" t="b">
        <f>IFERROR(__xludf.DUMMYFUNCTION("""COMPUTED_VALUE"""),FALSE)</f>
        <v>0</v>
      </c>
      <c r="V729" s="13" t="str">
        <f>IFERROR(__xludf.DUMMYFUNCTION("""COMPUTED_VALUE"""),"https://www.searchhomeless.org/services/house/")</f>
        <v>https://www.searchhomeless.org/services/house/</v>
      </c>
      <c r="W729" s="14" t="str">
        <f>IFERROR(__xludf.DUMMYFUNCTION("""COMPUTED_VALUE"""),"https://www.google.com/maps/place/SEARCH+Homeless+Services/@29.7568616,-95.3544119,19z/data=!4m15!1m8!3m7!1s0x8640bed8b00b107f:0x37cd7d58344059ed!2s2015+Congress+St,+Houston,+TX+77002!3b1!8m2!3d29.756857!4d-95.3514668!16s%2Fg%2F11csp4qz70!3m5!1s0x8640bf14"&amp;"b43f1027:0x5d73ed6e7be99135!8m2!3d29.7570978!4d-95.351522!16s%2Fg%2F1v_vt8s2?entry=ttu&amp;g_ep=EgoyMDI1MDcwOS4wIKXMDSoASAFQAw%3D%3D")</f>
        <v>https://www.google.com/maps/place/SEARCH+Homeless+Services/@29.7568616,-95.3544119,19z/data=!4m15!1m8!3m7!1s0x8640bed8b00b107f:0x37cd7d58344059ed!2s2015+Congress+St,+Houston,+TX+77002!3b1!8m2!3d29.756857!4d-95.3514668!16s%2Fg%2F11csp4qz70!3m5!1s0x8640bf14b43f1027:0x5d73ed6e7be99135!8m2!3d29.7570978!4d-95.351522!16s%2Fg%2F1v_vt8s2?entry=ttu&amp;g_ep=EgoyMDI1MDcwOS4wIKXMDSoASAFQAw%3D%3D</v>
      </c>
      <c r="X729" s="10"/>
      <c r="Y729" s="9" t="str">
        <f>IFERROR(__xludf.DUMMYFUNCTION("""COMPUTED_VALUE"""),"Houston")</f>
        <v>Houston</v>
      </c>
      <c r="Z729"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29" s="9" t="str">
        <f>IFERROR(__xludf.DUMMYFUNCTION("""COMPUTED_VALUE"""),"Search Homeless Services")</f>
        <v>Search Homeless Services</v>
      </c>
      <c r="AB729" s="9" t="str">
        <f>IFERROR(__xludf.DUMMYFUNCTION("""COMPUTED_VALUE"""),"East Downtown")</f>
        <v>East Downtown</v>
      </c>
    </row>
    <row r="730" ht="30.0" customHeight="1">
      <c r="A730" s="17">
        <v>729.0</v>
      </c>
      <c r="B730" s="8" t="str">
        <f>IFERROR(__xludf.DUMMYFUNCTION("""COMPUTED_VALUE"""),"[""77477""]")</f>
        <v>["77477"]</v>
      </c>
      <c r="C730" s="9" t="str">
        <f>IFERROR(__xludf.DUMMYFUNCTION("""COMPUTED_VALUE"""),"Second Mile")</f>
        <v>Second Mile</v>
      </c>
      <c r="D730" s="9" t="str">
        <f>IFERROR(__xludf.DUMMYFUNCTION("""COMPUTED_VALUE"""),"1135 Hwy 90 Alt")</f>
        <v>1135 Hwy 90 Alt</v>
      </c>
      <c r="E730" s="9" t="str">
        <f>IFERROR(__xludf.DUMMYFUNCTION("""COMPUTED_VALUE"""),"Suite E")</f>
        <v>Suite E</v>
      </c>
      <c r="F730" s="9" t="str">
        <f>IFERROR(__xludf.DUMMYFUNCTION("""COMPUTED_VALUE"""),"Missouri City")</f>
        <v>Missouri City</v>
      </c>
      <c r="G730" s="9" t="str">
        <f>IFERROR(__xludf.DUMMYFUNCTION("""COMPUTED_VALUE"""),"TX")</f>
        <v>TX</v>
      </c>
      <c r="H730" s="9" t="str">
        <f>IFERROR(__xludf.DUMMYFUNCTION("""COMPUTED_VALUE"""),"77489")</f>
        <v>77489</v>
      </c>
      <c r="I730" s="9" t="str">
        <f>IFERROR(__xludf.DUMMYFUNCTION("""COMPUTED_VALUE"""),"281-261-9199")</f>
        <v>281-261-9199</v>
      </c>
      <c r="J730" s="9" t="str">
        <f>IFERROR(__xludf.DUMMYFUNCTION("""COMPUTED_VALUE"""),"29.620701912018554, -95.52988893726626")</f>
        <v>29.620701912018554, -95.52988893726626</v>
      </c>
      <c r="K730" s="9" t="str">
        <f>IFERROR(__xludf.DUMMYFUNCTION("""COMPUTED_VALUE"""),"{""regular"":[{""days"":[""Mo"",""Tu"",""We"",""Th"",""Fr""],""open"":""10:00"",""close"":""16:00""}]}")</f>
        <v>{"regular":[{"days":["Mo","Tu","We","Th","Fr"],"open":"10:00","close":"16:00"}]}</v>
      </c>
      <c r="L730" s="9" t="str">
        <f>IFERROR(__xludf.DUMMYFUNCTION("""COMPUTED_VALUE"""),"Apply online")</f>
        <v>Apply online</v>
      </c>
      <c r="M730" s="10">
        <f>IFERROR(__xludf.DUMMYFUNCTION("""COMPUTED_VALUE"""),13.0)</f>
        <v>13</v>
      </c>
      <c r="N730" s="10" t="str">
        <f>IFERROR(__xludf.DUMMYFUNCTION("""COMPUTED_VALUE"""),"Food")</f>
        <v>Food</v>
      </c>
      <c r="O730" s="10">
        <f>IFERROR(__xludf.DUMMYFUNCTION("""COMPUTED_VALUE"""),1.0)</f>
        <v>1</v>
      </c>
      <c r="P730" s="10" t="str">
        <f>IFERROR(__xludf.DUMMYFUNCTION("""COMPUTED_VALUE"""),"ACTIVE")</f>
        <v>ACTIVE</v>
      </c>
      <c r="Q730" s="11">
        <f>IFERROR(__xludf.DUMMYFUNCTION("""COMPUTED_VALUE"""),46022.0)</f>
        <v>46022</v>
      </c>
      <c r="R730" s="9" t="str">
        <f>IFERROR(__xludf.DUMMYFUNCTION("""COMPUTED_VALUE"""),"Verified online")</f>
        <v>Verified online</v>
      </c>
      <c r="S730" s="9" t="str">
        <f>IFERROR(__xludf.DUMMYFUNCTION("""COMPUTED_VALUE"""),"Groceries every two weeks.
Schedule appointment online.")</f>
        <v>Groceries every two weeks.
Schedule appointment online.</v>
      </c>
      <c r="T730" s="12" t="b">
        <f>IFERROR(__xludf.DUMMYFUNCTION("""COMPUTED_VALUE"""),FALSE)</f>
        <v>0</v>
      </c>
      <c r="U730" s="12" t="b">
        <f>IFERROR(__xludf.DUMMYFUNCTION("""COMPUTED_VALUE"""),FALSE)</f>
        <v>0</v>
      </c>
      <c r="V730" s="13" t="str">
        <f>IFERROR(__xludf.DUMMYFUNCTION("""COMPUTED_VALUE"""),"https://secondmile.org/programs/food/")</f>
        <v>https://secondmile.org/programs/food/</v>
      </c>
      <c r="W730" s="14" t="str">
        <f>IFERROR(__xludf.DUMMYFUNCTION("""COMPUTED_VALUE"""),"https://maps.google.com/?q=Second%20Mile%201135%20Hwy%2090%20Alt%20Suite%20E%20Missouri%20City%20TX%2077489")</f>
        <v>https://maps.google.com/?q=Second%20Mile%201135%20Hwy%2090%20Alt%20Suite%20E%20Missouri%20City%20TX%2077489</v>
      </c>
      <c r="X730" s="10"/>
      <c r="Y730" s="9" t="str">
        <f>IFERROR(__xludf.DUMMYFUNCTION("""COMPUTED_VALUE"""),"Missouri City")</f>
        <v>Missouri City</v>
      </c>
      <c r="Z730" s="9" t="str">
        <f>IFERROR(__xludf.DUMMYFUNCTION("""COMPUTED_VALUE"""),"Missouri City, Olde Missouri City Market Place, Quail Green South, Quail Valley, Sta-mo Annex")</f>
        <v>Missouri City, Olde Missouri City Market Place, Quail Green South, Quail Valley, Sta-mo Annex</v>
      </c>
      <c r="AA730" s="9" t="str">
        <f>IFERROR(__xludf.DUMMYFUNCTION("""COMPUTED_VALUE"""),"Second Mile")</f>
        <v>Second Mile</v>
      </c>
      <c r="AB730" s="9" t="str">
        <f>IFERROR(__xludf.DUMMYFUNCTION("""COMPUTED_VALUE"""),"Missouri City")</f>
        <v>Missouri City</v>
      </c>
    </row>
    <row r="731" ht="30.0" customHeight="1">
      <c r="A731" s="17">
        <v>730.0</v>
      </c>
      <c r="B731" s="8" t="str">
        <f>IFERROR(__xludf.DUMMYFUNCTION("""COMPUTED_VALUE"""),"[""77477""]")</f>
        <v>["77477"]</v>
      </c>
      <c r="C731" s="9" t="str">
        <f>IFERROR(__xludf.DUMMYFUNCTION("""COMPUTED_VALUE"""),"Second Mile")</f>
        <v>Second Mile</v>
      </c>
      <c r="D731" s="9" t="str">
        <f>IFERROR(__xludf.DUMMYFUNCTION("""COMPUTED_VALUE"""),"1135 Hwy 90 Alt")</f>
        <v>1135 Hwy 90 Alt</v>
      </c>
      <c r="E731" s="9" t="str">
        <f>IFERROR(__xludf.DUMMYFUNCTION("""COMPUTED_VALUE"""),"Suite E")</f>
        <v>Suite E</v>
      </c>
      <c r="F731" s="9" t="str">
        <f>IFERROR(__xludf.DUMMYFUNCTION("""COMPUTED_VALUE"""),"Missouri City")</f>
        <v>Missouri City</v>
      </c>
      <c r="G731" s="9" t="str">
        <f>IFERROR(__xludf.DUMMYFUNCTION("""COMPUTED_VALUE"""),"TX")</f>
        <v>TX</v>
      </c>
      <c r="H731" s="9" t="str">
        <f>IFERROR(__xludf.DUMMYFUNCTION("""COMPUTED_VALUE"""),"77489")</f>
        <v>77489</v>
      </c>
      <c r="I731" s="9" t="str">
        <f>IFERROR(__xludf.DUMMYFUNCTION("""COMPUTED_VALUE"""),"281-261-9199")</f>
        <v>281-261-9199</v>
      </c>
      <c r="J731" s="9" t="str">
        <f>IFERROR(__xludf.DUMMYFUNCTION("""COMPUTED_VALUE"""),"29.620701912018554, -95.52988893726626")</f>
        <v>29.620701912018554, -95.52988893726626</v>
      </c>
      <c r="K731" s="9" t="str">
        <f>IFERROR(__xludf.DUMMYFUNCTION("""COMPUTED_VALUE"""),"{""regular"":[{""days"":[""Mo"",""Tu"",""We"",""Th"",""Fr""],""open"":""10:00"",""close"":""16:00""}]}")</f>
        <v>{"regular":[{"days":["Mo","Tu","We","Th","Fr"],"open":"10:00","close":"16:00"}]}</v>
      </c>
      <c r="L731" s="9"/>
      <c r="M731" s="10">
        <f>IFERROR(__xludf.DUMMYFUNCTION("""COMPUTED_VALUE"""),51.0)</f>
        <v>51</v>
      </c>
      <c r="N731" s="10" t="str">
        <f>IFERROR(__xludf.DUMMYFUNCTION("""COMPUTED_VALUE"""),"Education - Adults")</f>
        <v>Education - Adults</v>
      </c>
      <c r="O731" s="10">
        <f>IFERROR(__xludf.DUMMYFUNCTION("""COMPUTED_VALUE"""),1.0)</f>
        <v>1</v>
      </c>
      <c r="P731" s="10" t="str">
        <f>IFERROR(__xludf.DUMMYFUNCTION("""COMPUTED_VALUE"""),"ACTIVE")</f>
        <v>ACTIVE</v>
      </c>
      <c r="Q731" s="11">
        <f>IFERROR(__xludf.DUMMYFUNCTION("""COMPUTED_VALUE"""),46022.0)</f>
        <v>46022</v>
      </c>
      <c r="R731" s="9" t="str">
        <f>IFERROR(__xludf.DUMMYFUNCTION("""COMPUTED_VALUE"""),"Verified online")</f>
        <v>Verified online</v>
      </c>
      <c r="S731" s="9" t="str">
        <f>IFERROR(__xludf.DUMMYFUNCTION("""COMPUTED_VALUE"""),"Periodic classes on finding a job, ESL, finance, fitness and nutrition.
Check website for classes being offered and schedule.")</f>
        <v>Periodic classes on finding a job, ESL, finance, fitness and nutrition.
Check website for classes being offered and schedule.</v>
      </c>
      <c r="T731" s="12" t="b">
        <f>IFERROR(__xludf.DUMMYFUNCTION("""COMPUTED_VALUE"""),FALSE)</f>
        <v>0</v>
      </c>
      <c r="U731" s="12" t="b">
        <f>IFERROR(__xludf.DUMMYFUNCTION("""COMPUTED_VALUE"""),FALSE)</f>
        <v>0</v>
      </c>
      <c r="V731" s="13" t="str">
        <f>IFERROR(__xludf.DUMMYFUNCTION("""COMPUTED_VALUE"""),"https://secondmile.org/programs/classes/")</f>
        <v>https://secondmile.org/programs/classes/</v>
      </c>
      <c r="W731" s="14" t="str">
        <f>IFERROR(__xludf.DUMMYFUNCTION("""COMPUTED_VALUE"""),"https://maps.google.com/?q=Second%20Mile%201135%20Hwy%2090%20Alt%20Suite%20E%20Missouri%20City%20TX%2077489")</f>
        <v>https://maps.google.com/?q=Second%20Mile%201135%20Hwy%2090%20Alt%20Suite%20E%20Missouri%20City%20TX%2077489</v>
      </c>
      <c r="X731" s="10"/>
      <c r="Y731" s="9" t="str">
        <f>IFERROR(__xludf.DUMMYFUNCTION("""COMPUTED_VALUE"""),"Missouri City")</f>
        <v>Missouri City</v>
      </c>
      <c r="Z731" s="9" t="str">
        <f>IFERROR(__xludf.DUMMYFUNCTION("""COMPUTED_VALUE"""),"Missouri City, Olde Missouri City Market Place, Quail Green South, Quail Valley, Sta-mo Annex")</f>
        <v>Missouri City, Olde Missouri City Market Place, Quail Green South, Quail Valley, Sta-mo Annex</v>
      </c>
      <c r="AA731" s="9" t="str">
        <f>IFERROR(__xludf.DUMMYFUNCTION("""COMPUTED_VALUE"""),"Second Mile")</f>
        <v>Second Mile</v>
      </c>
      <c r="AB731" s="9" t="str">
        <f>IFERROR(__xludf.DUMMYFUNCTION("""COMPUTED_VALUE"""),"Missouri City")</f>
        <v>Missouri City</v>
      </c>
    </row>
    <row r="732" ht="30.0" customHeight="1">
      <c r="A732" s="17">
        <v>731.0</v>
      </c>
      <c r="B732" s="8" t="str">
        <f>IFERROR(__xludf.DUMMYFUNCTION("""COMPUTED_VALUE"""),"[""99999""]")</f>
        <v>["99999"]</v>
      </c>
      <c r="C732" s="9" t="str">
        <f>IFERROR(__xludf.DUMMYFUNCTION("""COMPUTED_VALUE"""),"SERJobs Houston")</f>
        <v>SERJobs Houston</v>
      </c>
      <c r="D732" s="9" t="str">
        <f>IFERROR(__xludf.DUMMYFUNCTION("""COMPUTED_VALUE"""),"1710 Telephone Road")</f>
        <v>1710 Telephone Road</v>
      </c>
      <c r="E732" s="9"/>
      <c r="F732" s="9" t="str">
        <f>IFERROR(__xludf.DUMMYFUNCTION("""COMPUTED_VALUE"""),"Houston")</f>
        <v>Houston</v>
      </c>
      <c r="G732" s="9" t="str">
        <f>IFERROR(__xludf.DUMMYFUNCTION("""COMPUTED_VALUE"""),"TX")</f>
        <v>TX</v>
      </c>
      <c r="H732" s="9" t="str">
        <f>IFERROR(__xludf.DUMMYFUNCTION("""COMPUTED_VALUE"""),"77023")</f>
        <v>77023</v>
      </c>
      <c r="I732" s="9" t="str">
        <f>IFERROR(__xludf.DUMMYFUNCTION("""COMPUTED_VALUE"""),"713-773-6000")</f>
        <v>713-773-6000</v>
      </c>
      <c r="J732" s="9" t="str">
        <f>IFERROR(__xludf.DUMMYFUNCTION("""COMPUTED_VALUE"""),"29.7255463061224, -95.324533244898")</f>
        <v>29.7255463061224, -95.324533244898</v>
      </c>
      <c r="K732" s="9" t="str">
        <f>IFERROR(__xludf.DUMMYFUNCTION("""COMPUTED_VALUE"""),"{""regular"":[{""days"":[""Mo"",""Tu"",""We"",""Th"",""Fr""],""open"":""08:00"",""close"":""17:00""}]}")</f>
        <v>{"regular":[{"days":["Mo","Tu","We","Th","Fr"],"open":"08:00","close":"17:00"}]}</v>
      </c>
      <c r="L732" s="9"/>
      <c r="M732" s="10">
        <f>IFERROR(__xludf.DUMMYFUNCTION("""COMPUTED_VALUE"""),52.0)</f>
        <v>52</v>
      </c>
      <c r="N732" s="10" t="str">
        <f>IFERROR(__xludf.DUMMYFUNCTION("""COMPUTED_VALUE"""),"Jobs")</f>
        <v>Jobs</v>
      </c>
      <c r="O732" s="10">
        <f>IFERROR(__xludf.DUMMYFUNCTION("""COMPUTED_VALUE"""),1.0)</f>
        <v>1</v>
      </c>
      <c r="P732" s="10" t="str">
        <f>IFERROR(__xludf.DUMMYFUNCTION("""COMPUTED_VALUE"""),"ACTIVE")</f>
        <v>ACTIVE</v>
      </c>
      <c r="Q732" s="11">
        <f>IFERROR(__xludf.DUMMYFUNCTION("""COMPUTED_VALUE"""),45835.0)</f>
        <v>45835</v>
      </c>
      <c r="R732" s="9" t="str">
        <f>IFERROR(__xludf.DUMMYFUNCTION("""COMPUTED_VALUE"""),"Verified online")</f>
        <v>Verified online</v>
      </c>
      <c r="S732" s="9" t="str">
        <f>IFERROR(__xludf.DUMMYFUNCTION("""COMPUTED_VALUE"""),"Occupational training and apprenticeships in a wide range of blue and white collar jobs.
Job readiness skills, financial counselling and career coaching.
Assistance with transitional employment and part-time jobs.
US Citizens/Permanent Residents.
Women in"&amp;" non-traditional occupations encouraged to apply.
Online application.")</f>
        <v>Occupational training and apprenticeships in a wide range of blue and white collar jobs.
Job readiness skills, financial counselling and career coaching.
Assistance with transitional employment and part-time jobs.
US Citizens/Permanent Residents.
Women in non-traditional occupations encouraged to apply.
Online application.</v>
      </c>
      <c r="T732" s="12" t="b">
        <f>IFERROR(__xludf.DUMMYFUNCTION("""COMPUTED_VALUE"""),FALSE)</f>
        <v>0</v>
      </c>
      <c r="U732" s="12" t="b">
        <f>IFERROR(__xludf.DUMMYFUNCTION("""COMPUTED_VALUE"""),FALSE)</f>
        <v>0</v>
      </c>
      <c r="V732" s="13" t="str">
        <f>IFERROR(__xludf.DUMMYFUNCTION("""COMPUTED_VALUE"""),"https://serjobs.org")</f>
        <v>https://serjobs.org</v>
      </c>
      <c r="W732" s="14" t="str">
        <f>IFERROR(__xludf.DUMMYFUNCTION("""COMPUTED_VALUE"""),"https://www.google.com/maps/place/SERJobs/@29.7254776,-95.3272402,17z/data=!3m1!4b1!4m6!3m5!1s0x8640bdaded861397:0x6bd4fc532a2a61ba!8m2!3d29.7254776!4d-95.3246599!16s%2Fg%2F1tfl0l98?entry=ttu&amp;g_ep=EgoyMDI1MDYyNi4wIKXMDSoASAFQAw%3D%3D")</f>
        <v>https://www.google.com/maps/place/SERJobs/@29.7254776,-95.3272402,17z/data=!3m1!4b1!4m6!3m5!1s0x8640bdaded861397:0x6bd4fc532a2a61ba!8m2!3d29.7254776!4d-95.3246599!16s%2Fg%2F1tfl0l98?entry=ttu&amp;g_ep=EgoyMDI1MDYyNi4wIKXMDSoASAFQAw%3D%3D</v>
      </c>
      <c r="X732" s="10"/>
      <c r="Y732" s="9" t="str">
        <f>IFERROR(__xludf.DUMMYFUNCTION("""COMPUTED_VALUE"""),"Houston")</f>
        <v>Houston</v>
      </c>
      <c r="Z732" s="9" t="str">
        <f>IFERROR(__xludf.DUMMYFUNCTION("""COMPUTED_VALUE"""),"Eastwood, Gulfgate Riverview / Pine Valley, Idylwood, Lawndale / Wayside, Magnolia Park, South Central Houston")</f>
        <v>Eastwood, Gulfgate Riverview / Pine Valley, Idylwood, Lawndale / Wayside, Magnolia Park, South Central Houston</v>
      </c>
      <c r="AA732" s="9" t="str">
        <f>IFERROR(__xludf.DUMMYFUNCTION("""COMPUTED_VALUE"""),"SERJobs Houston")</f>
        <v>SERJobs Houston</v>
      </c>
      <c r="AB732" s="9" t="str">
        <f>IFERROR(__xludf.DUMMYFUNCTION("""COMPUTED_VALUE"""),"Lawndale / Wayside")</f>
        <v>Lawndale / Wayside</v>
      </c>
    </row>
    <row r="733" ht="30.0" customHeight="1">
      <c r="A733" s="17">
        <v>732.0</v>
      </c>
      <c r="B73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33" s="9" t="str">
        <f>IFERROR(__xludf.DUMMYFUNCTION("""COMPUTED_VALUE"""),"Sheldon Health Hub")</f>
        <v>Sheldon Health Hub</v>
      </c>
      <c r="D733" s="9" t="str">
        <f>IFERROR(__xludf.DUMMYFUNCTION("""COMPUTED_VALUE"""),"8530 C.E. King Pkwy")</f>
        <v>8530 C.E. King Pkwy</v>
      </c>
      <c r="E733" s="9"/>
      <c r="F733" s="9" t="str">
        <f>IFERROR(__xludf.DUMMYFUNCTION("""COMPUTED_VALUE"""),"Houston")</f>
        <v>Houston</v>
      </c>
      <c r="G733" s="9" t="str">
        <f>IFERROR(__xludf.DUMMYFUNCTION("""COMPUTED_VALUE"""),"TX")</f>
        <v>TX</v>
      </c>
      <c r="H733" s="9" t="str">
        <f>IFERROR(__xludf.DUMMYFUNCTION("""COMPUTED_VALUE"""),"77044")</f>
        <v>77044</v>
      </c>
      <c r="I733" s="9" t="str">
        <f>IFERROR(__xludf.DUMMYFUNCTION("""COMPUTED_VALUE"""),"832-927-7350")</f>
        <v>832-927-7350</v>
      </c>
      <c r="J733" s="9" t="str">
        <f>IFERROR(__xludf.DUMMYFUNCTION("""COMPUTED_VALUE"""),"29.84864505110939, -95.21149254781372")</f>
        <v>29.84864505110939, -95.21149254781372</v>
      </c>
      <c r="K733" s="9" t="str">
        <f>IFERROR(__xludf.DUMMYFUNCTION("""COMPUTED_VALUE"""),"{""regular"":[{""days"":[""Mo"",""Tu"",""We"",""Th""],""open"":""09:00"",""close"":""18:00""},{""days"":[""Sa""],""open"":""09:00"",""close"":""14:00""}]}")</f>
        <v>{"regular":[{"days":["Mo","Tu","We","Th"],"open":"09:00","close":"18:00"},{"days":["Sa"],"open":"09:00","close":"14:00"}]}</v>
      </c>
      <c r="L733" s="9" t="str">
        <f>IFERROR(__xludf.DUMMYFUNCTION("""COMPUTED_VALUE"""),"Appointment required")</f>
        <v>Appointment required</v>
      </c>
      <c r="M733" s="10">
        <f>IFERROR(__xludf.DUMMYFUNCTION("""COMPUTED_VALUE"""),31.0)</f>
        <v>31</v>
      </c>
      <c r="N733" s="10" t="str">
        <f>IFERROR(__xludf.DUMMYFUNCTION("""COMPUTED_VALUE"""),"Medical - Primary Care")</f>
        <v>Medical - Primary Care</v>
      </c>
      <c r="O733" s="10">
        <f>IFERROR(__xludf.DUMMYFUNCTION("""COMPUTED_VALUE"""),1.0)</f>
        <v>1</v>
      </c>
      <c r="P733" s="10" t="str">
        <f>IFERROR(__xludf.DUMMYFUNCTION("""COMPUTED_VALUE"""),"ACTIVE")</f>
        <v>ACTIVE</v>
      </c>
      <c r="Q733" s="11">
        <f>IFERROR(__xludf.DUMMYFUNCTION("""COMPUTED_VALUE"""),46050.0)</f>
        <v>46050</v>
      </c>
      <c r="R733" s="9" t="str">
        <f>IFERROR(__xludf.DUMMYFUNCTION("""COMPUTED_VALUE"""),"Verified online")</f>
        <v>Verified online</v>
      </c>
      <c r="S733" s="9" t="str">
        <f>IFERROR(__xludf.DUMMYFUNCTION("""COMPUTED_VALUE"""),"Low-cost preventive health services.
Co-pays are based on family income and household size.")</f>
        <v>Low-cost preventive health services.
Co-pays are based on family income and household size.</v>
      </c>
      <c r="T733" s="12" t="b">
        <f>IFERROR(__xludf.DUMMYFUNCTION("""COMPUTED_VALUE"""),FALSE)</f>
        <v>0</v>
      </c>
      <c r="U733" s="12" t="b">
        <f>IFERROR(__xludf.DUMMYFUNCTION("""COMPUTED_VALUE"""),FALSE)</f>
        <v>0</v>
      </c>
      <c r="V733" s="13" t="str">
        <f>IFERROR(__xludf.DUMMYFUNCTION("""COMPUTED_VALUE"""),"https://publichealth.harriscountytx.gov/Divisions-Offices/Divisions/Community-Health-Wellness-Division/Health-Services")</f>
        <v>https://publichealth.harriscountytx.gov/Divisions-Offices/Divisions/Community-Health-Wellness-Division/Health-Services</v>
      </c>
      <c r="W733" s="14" t="str">
        <f>IFERROR(__xludf.DUMMYFUNCTION("""COMPUTED_VALUE"""),"https://www.google.com/maps/place/Sheldon+Health+Hub/@29.8484311,-95.2163474,17z/data=!3m1!4b1!4m6!3m5!1s0x8640a5006bf10a5f:0x25d8b2446202eb3b!8m2!3d29.8484312!4d-95.2114711!16s%2Fg%2F11xtkk2zg_?entry=ttu&amp;g_ep=EgoyMDI2MDEyNi4wIKXMDSoKLDEwMDc5MjA2OUgBUAM%3"&amp;"D")</f>
        <v>https://www.google.com/maps/place/Sheldon+Health+Hub/@29.8484311,-95.2163474,17z/data=!3m1!4b1!4m6!3m5!1s0x8640a5006bf10a5f:0x25d8b2446202eb3b!8m2!3d29.8484312!4d-95.2114711!16s%2Fg%2F11xtkk2zg_?entry=ttu&amp;g_ep=EgoyMDI2MDEyNi4wIKXMDSoKLDEwMDc5MjA2OUgBUAM%3D</v>
      </c>
      <c r="X733" s="10"/>
      <c r="Y733" s="9" t="str">
        <f>IFERROR(__xludf.DUMMYFUNCTION("""COMPUTED_VALUE"""),"Houston")</f>
        <v>Houston</v>
      </c>
      <c r="Z733" s="9" t="str">
        <f>IFERROR(__xludf.DUMMYFUNCTION("""COMPUTED_VALUE"""),"Houmont Park, Lake Houston, Summerwood")</f>
        <v>Houmont Park, Lake Houston, Summerwood</v>
      </c>
      <c r="AA733" s="9" t="str">
        <f>IFERROR(__xludf.DUMMYFUNCTION("""COMPUTED_VALUE"""),"Harris County Public Health")</f>
        <v>Harris County Public Health</v>
      </c>
      <c r="AB733" s="9" t="str">
        <f>IFERROR(__xludf.DUMMYFUNCTION("""COMPUTED_VALUE"""),"Houmont Park")</f>
        <v>Houmont Park</v>
      </c>
    </row>
    <row r="734" ht="30.0" customHeight="1">
      <c r="A734" s="17">
        <v>733.0</v>
      </c>
      <c r="B73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34" s="9" t="str">
        <f>IFERROR(__xludf.DUMMYFUNCTION("""COMPUTED_VALUE"""),"Sheldon Health Hub")</f>
        <v>Sheldon Health Hub</v>
      </c>
      <c r="D734" s="9" t="str">
        <f>IFERROR(__xludf.DUMMYFUNCTION("""COMPUTED_VALUE"""),"8530 C.E. King Pkwy")</f>
        <v>8530 C.E. King Pkwy</v>
      </c>
      <c r="E734" s="9"/>
      <c r="F734" s="9" t="str">
        <f>IFERROR(__xludf.DUMMYFUNCTION("""COMPUTED_VALUE"""),"Houston")</f>
        <v>Houston</v>
      </c>
      <c r="G734" s="9" t="str">
        <f>IFERROR(__xludf.DUMMYFUNCTION("""COMPUTED_VALUE"""),"TX")</f>
        <v>TX</v>
      </c>
      <c r="H734" s="9" t="str">
        <f>IFERROR(__xludf.DUMMYFUNCTION("""COMPUTED_VALUE"""),"77044")</f>
        <v>77044</v>
      </c>
      <c r="I734" s="9" t="str">
        <f>IFERROR(__xludf.DUMMYFUNCTION("""COMPUTED_VALUE"""),"832-927-1335")</f>
        <v>832-927-1335</v>
      </c>
      <c r="J734" s="9" t="str">
        <f>IFERROR(__xludf.DUMMYFUNCTION("""COMPUTED_VALUE"""),"29.84864505110939, -95.21149254781372")</f>
        <v>29.84864505110939, -95.21149254781372</v>
      </c>
      <c r="K734" s="9" t="str">
        <f>IFERROR(__xludf.DUMMYFUNCTION("""COMPUTED_VALUE"""),"{""regular"":[{""days"":[""Mo"",""Tu"",""We"",""Th"",""Fr""],""open"":""08:00"",""close"":""17:00""}]}")</f>
        <v>{"regular":[{"days":["Mo","Tu","We","Th","Fr"],"open":"08:00","close":"17:00"}]}</v>
      </c>
      <c r="L734" s="9" t="str">
        <f>IFERROR(__xludf.DUMMYFUNCTION("""COMPUTED_VALUE"""),"Appointment required")</f>
        <v>Appointment required</v>
      </c>
      <c r="M734" s="10">
        <f>IFERROR(__xludf.DUMMYFUNCTION("""COMPUTED_VALUE"""),33.0)</f>
        <v>33</v>
      </c>
      <c r="N734" s="10" t="str">
        <f>IFERROR(__xludf.DUMMYFUNCTION("""COMPUTED_VALUE"""),"Medical - Behavioral Health")</f>
        <v>Medical - Behavioral Health</v>
      </c>
      <c r="O734" s="10">
        <f>IFERROR(__xludf.DUMMYFUNCTION("""COMPUTED_VALUE"""),1.0)</f>
        <v>1</v>
      </c>
      <c r="P734" s="10" t="str">
        <f>IFERROR(__xludf.DUMMYFUNCTION("""COMPUTED_VALUE"""),"ACTIVE")</f>
        <v>ACTIVE</v>
      </c>
      <c r="Q734" s="11">
        <f>IFERROR(__xludf.DUMMYFUNCTION("""COMPUTED_VALUE"""),46050.0)</f>
        <v>46050</v>
      </c>
      <c r="R734" s="9" t="str">
        <f>IFERROR(__xludf.DUMMYFUNCTION("""COMPUTED_VALUE"""),"Verified online")</f>
        <v>Verified online</v>
      </c>
      <c r="S734" s="9" t="str">
        <f>IFERROR(__xludf.DUMMYFUNCTION("""COMPUTED_VALUE"""),"Individual, couples, family and group therapy provided at no cost.
Maternal mental health services. a home based program, for pregnant and postpartum households.
Anxiety, depression, PTSD, bipolar disorder and schizophrenia.")</f>
        <v>Individual, couples, family and group therapy provided at no cost.
Maternal mental health services. a home based program, for pregnant and postpartum households.
Anxiety, depression, PTSD, bipolar disorder and schizophrenia.</v>
      </c>
      <c r="T734" s="12" t="b">
        <f>IFERROR(__xludf.DUMMYFUNCTION("""COMPUTED_VALUE"""),FALSE)</f>
        <v>0</v>
      </c>
      <c r="U734" s="12" t="b">
        <f>IFERROR(__xludf.DUMMYFUNCTION("""COMPUTED_VALUE"""),FALSE)</f>
        <v>0</v>
      </c>
      <c r="V734" s="13" t="str">
        <f>IFERROR(__xludf.DUMMYFUNCTION("""COMPUTED_VALUE"""),"https://publichealth.harriscountytx.gov/Divisions-Offices/Divisions/Community-Health-Wellness-Division/Behavioral-Health-Services")</f>
        <v>https://publichealth.harriscountytx.gov/Divisions-Offices/Divisions/Community-Health-Wellness-Division/Behavioral-Health-Services</v>
      </c>
      <c r="W734" s="14" t="str">
        <f>IFERROR(__xludf.DUMMYFUNCTION("""COMPUTED_VALUE"""),"https://www.google.com/maps/place/Sheldon+Health+Hub/@29.8484311,-95.2163474,17z/data=!3m1!4b1!4m6!3m5!1s0x8640a5006bf10a5f:0x25d8b2446202eb3b!8m2!3d29.8484312!4d-95.2114711!16s%2Fg%2F11xtkk2zg_?entry=ttu&amp;g_ep=EgoyMDI2MDEyNi4wIKXMDSoKLDEwMDc5MjA2OUgBUAM%3"&amp;"D")</f>
        <v>https://www.google.com/maps/place/Sheldon+Health+Hub/@29.8484311,-95.2163474,17z/data=!3m1!4b1!4m6!3m5!1s0x8640a5006bf10a5f:0x25d8b2446202eb3b!8m2!3d29.8484312!4d-95.2114711!16s%2Fg%2F11xtkk2zg_?entry=ttu&amp;g_ep=EgoyMDI2MDEyNi4wIKXMDSoKLDEwMDc5MjA2OUgBUAM%3D</v>
      </c>
      <c r="X734" s="10"/>
      <c r="Y734" s="9" t="str">
        <f>IFERROR(__xludf.DUMMYFUNCTION("""COMPUTED_VALUE"""),"Houston")</f>
        <v>Houston</v>
      </c>
      <c r="Z734" s="9" t="str">
        <f>IFERROR(__xludf.DUMMYFUNCTION("""COMPUTED_VALUE"""),"Houmont Park, Lake Houston, Summerwood")</f>
        <v>Houmont Park, Lake Houston, Summerwood</v>
      </c>
      <c r="AA734" s="9" t="str">
        <f>IFERROR(__xludf.DUMMYFUNCTION("""COMPUTED_VALUE"""),"Harris County Public Health")</f>
        <v>Harris County Public Health</v>
      </c>
      <c r="AB734" s="9" t="str">
        <f>IFERROR(__xludf.DUMMYFUNCTION("""COMPUTED_VALUE"""),"Houmont Park")</f>
        <v>Houmont Park</v>
      </c>
    </row>
    <row r="735" ht="30.0" customHeight="1">
      <c r="A735" s="17">
        <v>734.0</v>
      </c>
      <c r="B73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35" s="9" t="str">
        <f>IFERROR(__xludf.DUMMYFUNCTION("""COMPUTED_VALUE"""),"Sheldon Health Hub")</f>
        <v>Sheldon Health Hub</v>
      </c>
      <c r="D735" s="9" t="str">
        <f>IFERROR(__xludf.DUMMYFUNCTION("""COMPUTED_VALUE"""),"8530 C.E. King Pkwy")</f>
        <v>8530 C.E. King Pkwy</v>
      </c>
      <c r="E735" s="9"/>
      <c r="F735" s="9" t="str">
        <f>IFERROR(__xludf.DUMMYFUNCTION("""COMPUTED_VALUE"""),"Houston")</f>
        <v>Houston</v>
      </c>
      <c r="G735" s="9" t="str">
        <f>IFERROR(__xludf.DUMMYFUNCTION("""COMPUTED_VALUE"""),"TX")</f>
        <v>TX</v>
      </c>
      <c r="H735" s="9" t="str">
        <f>IFERROR(__xludf.DUMMYFUNCTION("""COMPUTED_VALUE"""),"77044")</f>
        <v>77044</v>
      </c>
      <c r="I735" s="9" t="str">
        <f>IFERROR(__xludf.DUMMYFUNCTION("""COMPUTED_VALUE"""),"832-927-1335")</f>
        <v>832-927-1335</v>
      </c>
      <c r="J735" s="9" t="str">
        <f>IFERROR(__xludf.DUMMYFUNCTION("""COMPUTED_VALUE"""),"29.84864505110939, -95.21149254781372")</f>
        <v>29.84864505110939, -95.21149254781372</v>
      </c>
      <c r="K735" s="9" t="str">
        <f>IFERROR(__xludf.DUMMYFUNCTION("""COMPUTED_VALUE"""),"{""regular"":[{""days"":[""Mo"",""Tu"",""We"",""Th"",""Fr""],""open"":""08:00"",""close"":""17:00""}]}")</f>
        <v>{"regular":[{"days":["Mo","Tu","We","Th","Fr"],"open":"08:00","close":"17:00"}]}</v>
      </c>
      <c r="L735" s="9" t="str">
        <f>IFERROR(__xludf.DUMMYFUNCTION("""COMPUTED_VALUE"""),"Appointment required")</f>
        <v>Appointment required</v>
      </c>
      <c r="M735" s="10">
        <f>IFERROR(__xludf.DUMMYFUNCTION("""COMPUTED_VALUE"""),55.0)</f>
        <v>55</v>
      </c>
      <c r="N735" s="10" t="str">
        <f>IFERROR(__xludf.DUMMYFUNCTION("""COMPUTED_VALUE"""),"Immigration")</f>
        <v>Immigration</v>
      </c>
      <c r="O735" s="10">
        <f>IFERROR(__xludf.DUMMYFUNCTION("""COMPUTED_VALUE"""),1.0)</f>
        <v>1</v>
      </c>
      <c r="P735" s="10" t="str">
        <f>IFERROR(__xludf.DUMMYFUNCTION("""COMPUTED_VALUE"""),"ACTIVE")</f>
        <v>ACTIVE</v>
      </c>
      <c r="Q735" s="11">
        <f>IFERROR(__xludf.DUMMYFUNCTION("""COMPUTED_VALUE"""),46050.0)</f>
        <v>46050</v>
      </c>
      <c r="R735" s="9" t="str">
        <f>IFERROR(__xludf.DUMMYFUNCTION("""COMPUTED_VALUE"""),"Verified online")</f>
        <v>Verified online</v>
      </c>
      <c r="S735" s="9" t="str">
        <f>IFERROR(__xludf.DUMMYFUNCTION("""COMPUTED_VALUE"""),"Under contract with the US Committee For Refugees, HCPH provides free health screenings including physicals, screening for tuberculosis and other infectious diseases, immunizations, basic screening lab tests and referrals to primary care providers to refu"&amp;"gees.
Full civil surgeon immigration and medical exams are not included.
See website for specific population groups eligible for these free services.")</f>
        <v>Under contract with the US Committee For Refugees, HCPH provides free health screenings including physicals, screening for tuberculosis and other infectious diseases, immunizations, basic screening lab tests and referrals to primary care providers to refugees.
Full civil surgeon immigration and medical exams are not included.
See website for specific population groups eligible for these free services.</v>
      </c>
      <c r="T735" s="12" t="b">
        <f>IFERROR(__xludf.DUMMYFUNCTION("""COMPUTED_VALUE"""),FALSE)</f>
        <v>0</v>
      </c>
      <c r="U735" s="12" t="b">
        <f>IFERROR(__xludf.DUMMYFUNCTION("""COMPUTED_VALUE"""),FALSE)</f>
        <v>0</v>
      </c>
      <c r="V735" s="13" t="str">
        <f>IFERROR(__xludf.DUMMYFUNCTION("""COMPUTED_VALUE"""),"https://publichealth.harriscountytx.gov/Divisions-Offices/Divisions/Community-Health-Wellness-Division/Refugee-Health-Services")</f>
        <v>https://publichealth.harriscountytx.gov/Divisions-Offices/Divisions/Community-Health-Wellness-Division/Refugee-Health-Services</v>
      </c>
      <c r="W735" s="14" t="str">
        <f>IFERROR(__xludf.DUMMYFUNCTION("""COMPUTED_VALUE"""),"https://www.google.com/maps/place/Sheldon+Health+Hub/@29.8484311,-95.2163474,17z/data=!3m1!4b1!4m6!3m5!1s0x8640a5006bf10a5f:0x25d8b2446202eb3b!8m2!3d29.8484312!4d-95.2114711!16s%2Fg%2F11xtkk2zg_?entry=ttu&amp;g_ep=EgoyMDI2MDEyNi4wIKXMDSoKLDEwMDc5MjA2OUgBUAM%3"&amp;"D")</f>
        <v>https://www.google.com/maps/place/Sheldon+Health+Hub/@29.8484311,-95.2163474,17z/data=!3m1!4b1!4m6!3m5!1s0x8640a5006bf10a5f:0x25d8b2446202eb3b!8m2!3d29.8484312!4d-95.2114711!16s%2Fg%2F11xtkk2zg_?entry=ttu&amp;g_ep=EgoyMDI2MDEyNi4wIKXMDSoKLDEwMDc5MjA2OUgBUAM%3D</v>
      </c>
      <c r="X735" s="10"/>
      <c r="Y735" s="9" t="str">
        <f>IFERROR(__xludf.DUMMYFUNCTION("""COMPUTED_VALUE"""),"Houston")</f>
        <v>Houston</v>
      </c>
      <c r="Z735" s="9" t="str">
        <f>IFERROR(__xludf.DUMMYFUNCTION("""COMPUTED_VALUE"""),"Houmont Park, Lake Houston, Summerwood")</f>
        <v>Houmont Park, Lake Houston, Summerwood</v>
      </c>
      <c r="AA735" s="9" t="str">
        <f>IFERROR(__xludf.DUMMYFUNCTION("""COMPUTED_VALUE"""),"Harris County Public Health")</f>
        <v>Harris County Public Health</v>
      </c>
      <c r="AB735" s="9" t="str">
        <f>IFERROR(__xludf.DUMMYFUNCTION("""COMPUTED_VALUE"""),"Houmont Park")</f>
        <v>Houmont Park</v>
      </c>
    </row>
    <row r="736" ht="30.0" customHeight="1">
      <c r="A736" s="17">
        <v>735.0</v>
      </c>
      <c r="B736" s="8" t="str">
        <f>IFERROR(__xludf.DUMMYFUNCTION("""COMPUTED_VALUE"""),"[""99999""]")</f>
        <v>["99999"]</v>
      </c>
      <c r="C736" s="9" t="str">
        <f>IFERROR(__xludf.DUMMYFUNCTION("""COMPUTED_VALUE"""),"Sheltering Arms &amp; Neighborhood Center Emergency Assistance Program")</f>
        <v>Sheltering Arms &amp; Neighborhood Center Emergency Assistance Program</v>
      </c>
      <c r="D736" s="9" t="str">
        <f>IFERROR(__xludf.DUMMYFUNCTION("""COMPUTED_VALUE"""),"3838 Aberdeen Way")</f>
        <v>3838 Aberdeen Way</v>
      </c>
      <c r="E736" s="9"/>
      <c r="F736" s="9" t="str">
        <f>IFERROR(__xludf.DUMMYFUNCTION("""COMPUTED_VALUE"""),"Houston")</f>
        <v>Houston</v>
      </c>
      <c r="G736" s="9" t="str">
        <f>IFERROR(__xludf.DUMMYFUNCTION("""COMPUTED_VALUE"""),"TX")</f>
        <v>TX</v>
      </c>
      <c r="H736" s="9" t="str">
        <f>IFERROR(__xludf.DUMMYFUNCTION("""COMPUTED_VALUE"""),"77025")</f>
        <v>77025</v>
      </c>
      <c r="I736" s="9" t="str">
        <f>IFERROR(__xludf.DUMMYFUNCTION("""COMPUTED_VALUE"""),"713-685-6577")</f>
        <v>713-685-6577</v>
      </c>
      <c r="J736" s="9" t="str">
        <f>IFERROR(__xludf.DUMMYFUNCTION("""COMPUTED_VALUE"""),"29.6977629795918, -95.4383455918367")</f>
        <v>29.6977629795918, -95.4383455918367</v>
      </c>
      <c r="K736" s="9" t="str">
        <f>IFERROR(__xludf.DUMMYFUNCTION("""COMPUTED_VALUE"""),"{""regular"":[{""days"":[""Mo"",""Tu"",""We"",""Th"",""Fr""],""open"":""08:00"",""close"":""17:00""}]}")</f>
        <v>{"regular":[{"days":["Mo","Tu","We","Th","Fr"],"open":"08:00","close":"17:00"}]}</v>
      </c>
      <c r="L736" s="9"/>
      <c r="M736" s="10">
        <f>IFERROR(__xludf.DUMMYFUNCTION("""COMPUTED_VALUE"""),12.0)</f>
        <v>12</v>
      </c>
      <c r="N736" s="10" t="str">
        <f>IFERROR(__xludf.DUMMYFUNCTION("""COMPUTED_VALUE"""),"Utilities")</f>
        <v>Utilities</v>
      </c>
      <c r="O736" s="10">
        <f>IFERROR(__xludf.DUMMYFUNCTION("""COMPUTED_VALUE"""),4.0)</f>
        <v>4</v>
      </c>
      <c r="P736" s="10" t="str">
        <f>IFERROR(__xludf.DUMMYFUNCTION("""COMPUTED_VALUE"""),"CLOSED")</f>
        <v>CLOSED</v>
      </c>
      <c r="Q736" s="11">
        <f>IFERROR(__xludf.DUMMYFUNCTION("""COMPUTED_VALUE"""),45663.0)</f>
        <v>45663</v>
      </c>
      <c r="R736" s="9" t="str">
        <f>IFERROR(__xludf.DUMMYFUNCTION("""COMPUTED_VALUE"""),"Phone disconnected")</f>
        <v>Phone disconnected</v>
      </c>
      <c r="S736" s="9" t="str">
        <f>IFERROR(__xludf.DUMMYFUNCTION("""COMPUTED_VALUE"""),"Call to schedule an appointment.
Resident of Harris County.
Must meet US Dept of Health &amp; Human Services Poverty Income Guidelines.
Proof of Income for last 30 days for all household members over 18 years, e.g. wages, Social Security, Unemployment, Food S"&amp;"tamp award Letter, Retirement, VA Disability, etc.
Current utility bill and, if applicable, disconnect notice. Reliant customers must provide meter number.")</f>
        <v>Call to schedule an appointment.
Resident of Harris County.
Must meet US Dept of Health &amp; Human Services Poverty Income Guidelines.
Proof of Income for last 30 days for all household members over 18 years, e.g. wages, Social Security, Unemployment, Food Stamp award Letter, Retirement, VA Disability, etc.
Current utility bill and, if applicable, disconnect notice. Reliant customers must provide meter number.</v>
      </c>
      <c r="T736" s="12" t="b">
        <f>IFERROR(__xludf.DUMMYFUNCTION("""COMPUTED_VALUE"""),FALSE)</f>
        <v>0</v>
      </c>
      <c r="U736" s="12" t="b">
        <f>IFERROR(__xludf.DUMMYFUNCTION("""COMPUTED_VALUE"""),FALSE)</f>
        <v>0</v>
      </c>
      <c r="V736" s="12"/>
      <c r="W736" s="10"/>
      <c r="X736" s="10"/>
      <c r="Y736" s="9" t="str">
        <f>IFERROR(__xludf.DUMMYFUNCTION("""COMPUTED_VALUE"""),"Houston")</f>
        <v>Houston</v>
      </c>
      <c r="Z736" s="9" t="str">
        <f>IFERROR(__xludf.DUMMYFUNCTION("""COMPUTED_VALUE"""),"Braeswood, Braeswood Place, Knollwood Village")</f>
        <v>Braeswood, Braeswood Place, Knollwood Village</v>
      </c>
      <c r="AA736" s="9" t="str">
        <f>IFERROR(__xludf.DUMMYFUNCTION("""COMPUTED_VALUE"""),"Sheltering Arms &amp; Neighborhood Center Emergency Assistance Program")</f>
        <v>Sheltering Arms &amp; Neighborhood Center Emergency Assistance Program</v>
      </c>
      <c r="AB736" s="9" t="str">
        <f>IFERROR(__xludf.DUMMYFUNCTION("""COMPUTED_VALUE"""),"Braeswood")</f>
        <v>Braeswood</v>
      </c>
    </row>
    <row r="737" ht="30.0" customHeight="1">
      <c r="A737" s="17">
        <v>736.0</v>
      </c>
      <c r="B737" s="8" t="str">
        <f>IFERROR(__xludf.DUMMYFUNCTION("""COMPUTED_VALUE"""),"[""77539""]")</f>
        <v>["77539"]</v>
      </c>
      <c r="C737" s="9" t="str">
        <f>IFERROR(__xludf.DUMMYFUNCTION("""COMPUTED_VALUE"""),"Shrine of the True Cross (SVdP) Missouri City")</f>
        <v>Shrine of the True Cross (SVdP) Missouri City</v>
      </c>
      <c r="D737" s="9" t="str">
        <f>IFERROR(__xludf.DUMMYFUNCTION("""COMPUTED_VALUE"""),"300 FM 517 Road E")</f>
        <v>300 FM 517 Road E</v>
      </c>
      <c r="E737" s="9"/>
      <c r="F737" s="9" t="str">
        <f>IFERROR(__xludf.DUMMYFUNCTION("""COMPUTED_VALUE"""),"Dickinson")</f>
        <v>Dickinson</v>
      </c>
      <c r="G737" s="9" t="str">
        <f>IFERROR(__xludf.DUMMYFUNCTION("""COMPUTED_VALUE"""),"TX")</f>
        <v>TX</v>
      </c>
      <c r="H737" s="9" t="str">
        <f>IFERROR(__xludf.DUMMYFUNCTION("""COMPUTED_VALUE"""),"77539")</f>
        <v>77539</v>
      </c>
      <c r="I737" s="9" t="str">
        <f>IFERROR(__xludf.DUMMYFUNCTION("""COMPUTED_VALUE"""),"832-820-8325")</f>
        <v>832-820-8325</v>
      </c>
      <c r="J737" s="9" t="str">
        <f>IFERROR(__xludf.DUMMYFUNCTION("""COMPUTED_VALUE"""),"29.449580530145095, -95.07404476483545")</f>
        <v>29.449580530145095, -95.07404476483545</v>
      </c>
      <c r="K737" s="9" t="str">
        <f>IFERROR(__xludf.DUMMYFUNCTION("""COMPUTED_VALUE"""),"{""regular"":[{""days"":[""Tu"",""We"",""Th""],""open"":""09:30"",""close"":""11:30""}]}")</f>
        <v>{"regular":[{"days":["Tu","We","Th"],"open":"09:30","close":"11:30"}]}</v>
      </c>
      <c r="L737" s="9"/>
      <c r="M737" s="10">
        <f>IFERROR(__xludf.DUMMYFUNCTION("""COMPUTED_VALUE"""),11.0)</f>
        <v>11</v>
      </c>
      <c r="N737" s="10" t="str">
        <f>IFERROR(__xludf.DUMMYFUNCTION("""COMPUTED_VALUE"""),"Rent")</f>
        <v>Rent</v>
      </c>
      <c r="O737" s="10">
        <f>IFERROR(__xludf.DUMMYFUNCTION("""COMPUTED_VALUE"""),3.0)</f>
        <v>3</v>
      </c>
      <c r="P737" s="10" t="str">
        <f>IFERROR(__xludf.DUMMYFUNCTION("""COMPUTED_VALUE"""),"INACTIVE")</f>
        <v>INACTIVE</v>
      </c>
      <c r="Q737" s="11">
        <f>IFERROR(__xludf.DUMMYFUNCTION("""COMPUTED_VALUE"""),45519.0)</f>
        <v>45519</v>
      </c>
      <c r="R737" s="9" t="str">
        <f>IFERROR(__xludf.DUMMYFUNCTION("""COMPUTED_VALUE"""),"The associated Society of St Vincent de Paul (SVdP) is closed.")</f>
        <v>The associated Society of St Vincent de Paul (SVdP) is closed.</v>
      </c>
      <c r="S737" s="9"/>
      <c r="T737" s="12" t="b">
        <f>IFERROR(__xludf.DUMMYFUNCTION("""COMPUTED_VALUE"""),FALSE)</f>
        <v>0</v>
      </c>
      <c r="U737" s="12" t="b">
        <f>IFERROR(__xludf.DUMMYFUNCTION("""COMPUTED_VALUE"""),FALSE)</f>
        <v>0</v>
      </c>
      <c r="V737" s="13" t="str">
        <f>IFERROR(__xludf.DUMMYFUNCTION("""COMPUTED_VALUE"""),"https://www.truecrosschurch.org/st-vincent-de-paul")</f>
        <v>https://www.truecrosschurch.org/st-vincent-de-paul</v>
      </c>
      <c r="W737" s="14" t="str">
        <f>IFERROR(__xludf.DUMMYFUNCTION("""COMPUTED_VALUE"""),"https://maps.google.com/?q=Shrine%20of%20the%20True%20Cross%20(SVdP)%20Missouri%20City%20%20%20TX%20")</f>
        <v>https://maps.google.com/?q=Shrine%20of%20the%20True%20Cross%20(SVdP)%20Missouri%20City%20%20%20TX%20</v>
      </c>
      <c r="X737" s="10"/>
      <c r="Y737" s="9" t="str">
        <f>IFERROR(__xludf.DUMMYFUNCTION("""COMPUTED_VALUE"""),"Dickinson")</f>
        <v>Dickinson</v>
      </c>
      <c r="Z737" s="9" t="str">
        <f>IFERROR(__xludf.DUMMYFUNCTION("""COMPUTED_VALUE"""),"Dickinson")</f>
        <v>Dickinson</v>
      </c>
      <c r="AA737" s="9" t="str">
        <f>IFERROR(__xludf.DUMMYFUNCTION("""COMPUTED_VALUE"""),"Society of St Vincent de Paul")</f>
        <v>Society of St Vincent de Paul</v>
      </c>
      <c r="AB737" s="9" t="str">
        <f>IFERROR(__xludf.DUMMYFUNCTION("""COMPUTED_VALUE"""),"Dickinson")</f>
        <v>Dickinson</v>
      </c>
    </row>
    <row r="738" ht="30.0" customHeight="1">
      <c r="A738" s="17">
        <v>737.0</v>
      </c>
      <c r="B738" s="8" t="str">
        <f>IFERROR(__xludf.DUMMYFUNCTION("""COMPUTED_VALUE"""),"[""77539""]")</f>
        <v>["77539"]</v>
      </c>
      <c r="C738" s="9" t="str">
        <f>IFERROR(__xludf.DUMMYFUNCTION("""COMPUTED_VALUE"""),"Shrine of the True Cross (SVdP) Missouri City")</f>
        <v>Shrine of the True Cross (SVdP) Missouri City</v>
      </c>
      <c r="D738" s="9" t="str">
        <f>IFERROR(__xludf.DUMMYFUNCTION("""COMPUTED_VALUE"""),"300 FM 517 Road E")</f>
        <v>300 FM 517 Road E</v>
      </c>
      <c r="E738" s="9"/>
      <c r="F738" s="9" t="str">
        <f>IFERROR(__xludf.DUMMYFUNCTION("""COMPUTED_VALUE"""),"Dickinson")</f>
        <v>Dickinson</v>
      </c>
      <c r="G738" s="9" t="str">
        <f>IFERROR(__xludf.DUMMYFUNCTION("""COMPUTED_VALUE"""),"TX")</f>
        <v>TX</v>
      </c>
      <c r="H738" s="9" t="str">
        <f>IFERROR(__xludf.DUMMYFUNCTION("""COMPUTED_VALUE"""),"77539")</f>
        <v>77539</v>
      </c>
      <c r="I738" s="9" t="str">
        <f>IFERROR(__xludf.DUMMYFUNCTION("""COMPUTED_VALUE"""),"832-820-8325")</f>
        <v>832-820-8325</v>
      </c>
      <c r="J738" s="9" t="str">
        <f>IFERROR(__xludf.DUMMYFUNCTION("""COMPUTED_VALUE"""),"29.449580530145095, -95.07404476483545")</f>
        <v>29.449580530145095, -95.07404476483545</v>
      </c>
      <c r="K738" s="9" t="str">
        <f>IFERROR(__xludf.DUMMYFUNCTION("""COMPUTED_VALUE"""),"{""regular"":[{""days"":[""Tu"",""We"",""Th""],""open"":""09:30"",""close"":""11:30""}]}")</f>
        <v>{"regular":[{"days":["Tu","We","Th"],"open":"09:30","close":"11:30"}]}</v>
      </c>
      <c r="L738" s="9"/>
      <c r="M738" s="10">
        <f>IFERROR(__xludf.DUMMYFUNCTION("""COMPUTED_VALUE"""),12.0)</f>
        <v>12</v>
      </c>
      <c r="N738" s="10" t="str">
        <f>IFERROR(__xludf.DUMMYFUNCTION("""COMPUTED_VALUE"""),"Utilities")</f>
        <v>Utilities</v>
      </c>
      <c r="O738" s="10">
        <f>IFERROR(__xludf.DUMMYFUNCTION("""COMPUTED_VALUE"""),4.0)</f>
        <v>4</v>
      </c>
      <c r="P738" s="10" t="str">
        <f>IFERROR(__xludf.DUMMYFUNCTION("""COMPUTED_VALUE"""),"CLOSED")</f>
        <v>CLOSED</v>
      </c>
      <c r="Q738" s="11">
        <f>IFERROR(__xludf.DUMMYFUNCTION("""COMPUTED_VALUE"""),45519.0)</f>
        <v>45519</v>
      </c>
      <c r="R738" s="9" t="str">
        <f>IFERROR(__xludf.DUMMYFUNCTION("""COMPUTED_VALUE"""),"The associated Society of St Vincent de Paul (SVdP) is closed.")</f>
        <v>The associated Society of St Vincent de Paul (SVdP) is closed.</v>
      </c>
      <c r="S738" s="9"/>
      <c r="T738" s="12" t="b">
        <f>IFERROR(__xludf.DUMMYFUNCTION("""COMPUTED_VALUE"""),FALSE)</f>
        <v>0</v>
      </c>
      <c r="U738" s="12" t="b">
        <f>IFERROR(__xludf.DUMMYFUNCTION("""COMPUTED_VALUE"""),FALSE)</f>
        <v>0</v>
      </c>
      <c r="V738" s="13" t="str">
        <f>IFERROR(__xludf.DUMMYFUNCTION("""COMPUTED_VALUE"""),"https://www.truecrosschurch.org/st-vincent-de-paul")</f>
        <v>https://www.truecrosschurch.org/st-vincent-de-paul</v>
      </c>
      <c r="W738" s="14" t="str">
        <f>IFERROR(__xludf.DUMMYFUNCTION("""COMPUTED_VALUE"""),"https://maps.google.com/?q=Shrine%20of%20the%20True%20Cross%20(SVdP)%20Missouri%20City%20%20%20TX%20")</f>
        <v>https://maps.google.com/?q=Shrine%20of%20the%20True%20Cross%20(SVdP)%20Missouri%20City%20%20%20TX%20</v>
      </c>
      <c r="X738" s="10"/>
      <c r="Y738" s="9" t="str">
        <f>IFERROR(__xludf.DUMMYFUNCTION("""COMPUTED_VALUE"""),"Dickinson")</f>
        <v>Dickinson</v>
      </c>
      <c r="Z738" s="9" t="str">
        <f>IFERROR(__xludf.DUMMYFUNCTION("""COMPUTED_VALUE"""),"Dickinson")</f>
        <v>Dickinson</v>
      </c>
      <c r="AA738" s="9" t="str">
        <f>IFERROR(__xludf.DUMMYFUNCTION("""COMPUTED_VALUE"""),"Society of St Vincent de Paul")</f>
        <v>Society of St Vincent de Paul</v>
      </c>
      <c r="AB738" s="9" t="str">
        <f>IFERROR(__xludf.DUMMYFUNCTION("""COMPUTED_VALUE"""),"Dickinson")</f>
        <v>Dickinson</v>
      </c>
    </row>
    <row r="739" ht="30.0" customHeight="1">
      <c r="A739" s="17">
        <v>738.0</v>
      </c>
      <c r="B739" s="8" t="str">
        <f>IFERROR(__xludf.DUMMYFUNCTION("""COMPUTED_VALUE"""),"[""77539""]")</f>
        <v>["77539"]</v>
      </c>
      <c r="C739" s="9" t="str">
        <f>IFERROR(__xludf.DUMMYFUNCTION("""COMPUTED_VALUE"""),"Shrine of the True Cross (SVdP) Missouri City")</f>
        <v>Shrine of the True Cross (SVdP) Missouri City</v>
      </c>
      <c r="D739" s="9" t="str">
        <f>IFERROR(__xludf.DUMMYFUNCTION("""COMPUTED_VALUE"""),"300 FM 517 Road E")</f>
        <v>300 FM 517 Road E</v>
      </c>
      <c r="E739" s="9"/>
      <c r="F739" s="9" t="str">
        <f>IFERROR(__xludf.DUMMYFUNCTION("""COMPUTED_VALUE"""),"Dickinson")</f>
        <v>Dickinson</v>
      </c>
      <c r="G739" s="9" t="str">
        <f>IFERROR(__xludf.DUMMYFUNCTION("""COMPUTED_VALUE"""),"TX")</f>
        <v>TX</v>
      </c>
      <c r="H739" s="9" t="str">
        <f>IFERROR(__xludf.DUMMYFUNCTION("""COMPUTED_VALUE"""),"77539")</f>
        <v>77539</v>
      </c>
      <c r="I739" s="9" t="str">
        <f>IFERROR(__xludf.DUMMYFUNCTION("""COMPUTED_VALUE"""),"832-820-8325")</f>
        <v>832-820-8325</v>
      </c>
      <c r="J739" s="9" t="str">
        <f>IFERROR(__xludf.DUMMYFUNCTION("""COMPUTED_VALUE"""),"29.449580530145095, -95.07404476483545")</f>
        <v>29.449580530145095, -95.07404476483545</v>
      </c>
      <c r="K739" s="9" t="str">
        <f>IFERROR(__xludf.DUMMYFUNCTION("""COMPUTED_VALUE"""),"{""regular"":[{""days"":[""Tu"",""We"",""Th""],""open"":""09:30"",""close"":""11:30""}]}")</f>
        <v>{"regular":[{"days":["Tu","We","Th"],"open":"09:30","close":"11:30"}]}</v>
      </c>
      <c r="L739" s="9"/>
      <c r="M739" s="10">
        <f>IFERROR(__xludf.DUMMYFUNCTION("""COMPUTED_VALUE"""),13.0)</f>
        <v>13</v>
      </c>
      <c r="N739" s="10" t="str">
        <f>IFERROR(__xludf.DUMMYFUNCTION("""COMPUTED_VALUE"""),"Food")</f>
        <v>Food</v>
      </c>
      <c r="O739" s="10">
        <f>IFERROR(__xludf.DUMMYFUNCTION("""COMPUTED_VALUE"""),4.0)</f>
        <v>4</v>
      </c>
      <c r="P739" s="10" t="str">
        <f>IFERROR(__xludf.DUMMYFUNCTION("""COMPUTED_VALUE"""),"CLOSED")</f>
        <v>CLOSED</v>
      </c>
      <c r="Q739" s="11">
        <f>IFERROR(__xludf.DUMMYFUNCTION("""COMPUTED_VALUE"""),45519.0)</f>
        <v>45519</v>
      </c>
      <c r="R739" s="9" t="str">
        <f>IFERROR(__xludf.DUMMYFUNCTION("""COMPUTED_VALUE"""),"The associated Society of St Vincent de Paul (SVdP) is closed.")</f>
        <v>The associated Society of St Vincent de Paul (SVdP) is closed.</v>
      </c>
      <c r="S739" s="9"/>
      <c r="T739" s="12" t="b">
        <f>IFERROR(__xludf.DUMMYFUNCTION("""COMPUTED_VALUE"""),FALSE)</f>
        <v>0</v>
      </c>
      <c r="U739" s="12" t="b">
        <f>IFERROR(__xludf.DUMMYFUNCTION("""COMPUTED_VALUE"""),FALSE)</f>
        <v>0</v>
      </c>
      <c r="V739" s="13" t="str">
        <f>IFERROR(__xludf.DUMMYFUNCTION("""COMPUTED_VALUE"""),"https://www.truecrosschurch.org/st-vincent-de-paul")</f>
        <v>https://www.truecrosschurch.org/st-vincent-de-paul</v>
      </c>
      <c r="W739" s="14" t="str">
        <f>IFERROR(__xludf.DUMMYFUNCTION("""COMPUTED_VALUE"""),"https://maps.google.com/?q=Shrine%20of%20the%20True%20Cross%20(SVdP)%20Missouri%20City%20%20%20TX%20")</f>
        <v>https://maps.google.com/?q=Shrine%20of%20the%20True%20Cross%20(SVdP)%20Missouri%20City%20%20%20TX%20</v>
      </c>
      <c r="X739" s="10"/>
      <c r="Y739" s="9" t="str">
        <f>IFERROR(__xludf.DUMMYFUNCTION("""COMPUTED_VALUE"""),"Dickinson")</f>
        <v>Dickinson</v>
      </c>
      <c r="Z739" s="9" t="str">
        <f>IFERROR(__xludf.DUMMYFUNCTION("""COMPUTED_VALUE"""),"Dickinson")</f>
        <v>Dickinson</v>
      </c>
      <c r="AA739" s="9" t="str">
        <f>IFERROR(__xludf.DUMMYFUNCTION("""COMPUTED_VALUE"""),"Society of St Vincent de Paul")</f>
        <v>Society of St Vincent de Paul</v>
      </c>
      <c r="AB739" s="9" t="str">
        <f>IFERROR(__xludf.DUMMYFUNCTION("""COMPUTED_VALUE"""),"Dickinson")</f>
        <v>Dickinson</v>
      </c>
    </row>
    <row r="740" ht="30.0" customHeight="1">
      <c r="A740" s="17">
        <v>739.0</v>
      </c>
      <c r="B740" s="8" t="str">
        <f>IFERROR(__xludf.DUMMYFUNCTION("""COMPUTED_VALUE"""),"[""99999""]")</f>
        <v>["99999"]</v>
      </c>
      <c r="C740" s="9" t="str">
        <f>IFERROR(__xludf.DUMMYFUNCTION("""COMPUTED_VALUE"""),"Small Steps Nurturing Center")</f>
        <v>Small Steps Nurturing Center</v>
      </c>
      <c r="D740" s="9" t="str">
        <f>IFERROR(__xludf.DUMMYFUNCTION("""COMPUTED_VALUE"""),"2902 Jensen Drive")</f>
        <v>2902 Jensen Drive</v>
      </c>
      <c r="E740" s="9"/>
      <c r="F740" s="9" t="str">
        <f>IFERROR(__xludf.DUMMYFUNCTION("""COMPUTED_VALUE"""),"Houston")</f>
        <v>Houston</v>
      </c>
      <c r="G740" s="9" t="str">
        <f>IFERROR(__xludf.DUMMYFUNCTION("""COMPUTED_VALUE"""),"TX")</f>
        <v>TX</v>
      </c>
      <c r="H740" s="9" t="str">
        <f>IFERROR(__xludf.DUMMYFUNCTION("""COMPUTED_VALUE"""),"77026")</f>
        <v>77026</v>
      </c>
      <c r="I740" s="9" t="str">
        <f>IFERROR(__xludf.DUMMYFUNCTION("""COMPUTED_VALUE"""),"713-236-0330")</f>
        <v>713-236-0330</v>
      </c>
      <c r="J740" s="9" t="str">
        <f>IFERROR(__xludf.DUMMYFUNCTION("""COMPUTED_VALUE"""),"29.7876667959184, -95.3418676734694")</f>
        <v>29.7876667959184, -95.3418676734694</v>
      </c>
      <c r="K740" s="9" t="str">
        <f>IFERROR(__xludf.DUMMYFUNCTION("""COMPUTED_VALUE"""),"{""regular"":[{""days"":[""Mo"",""Tu"",""We"",""Th"",""Fr""],""open"":null,""close"":null}]}")</f>
        <v>{"regular":[{"days":["Mo","Tu","We","Th","Fr"],"open":null,"close":null}]}</v>
      </c>
      <c r="L740" s="9"/>
      <c r="M740" s="10">
        <f>IFERROR(__xludf.DUMMYFUNCTION("""COMPUTED_VALUE"""),44.0)</f>
        <v>44</v>
      </c>
      <c r="N740" s="10" t="str">
        <f>IFERROR(__xludf.DUMMYFUNCTION("""COMPUTED_VALUE"""),"Mother &amp; Child")</f>
        <v>Mother &amp; Child</v>
      </c>
      <c r="O740" s="10">
        <f>IFERROR(__xludf.DUMMYFUNCTION("""COMPUTED_VALUE"""),1.0)</f>
        <v>1</v>
      </c>
      <c r="P740" s="10" t="str">
        <f>IFERROR(__xludf.DUMMYFUNCTION("""COMPUTED_VALUE"""),"ACTIVE")</f>
        <v>ACTIVE</v>
      </c>
      <c r="Q740" s="11">
        <f>IFERROR(__xludf.DUMMYFUNCTION("""COMPUTED_VALUE"""),45761.0)</f>
        <v>45761</v>
      </c>
      <c r="R740" s="9" t="str">
        <f>IFERROR(__xludf.DUMMYFUNCTION("""COMPUTED_VALUE"""),"SVdP Church Help for Moms Ministry")</f>
        <v>SVdP Church Help for Moms Ministry</v>
      </c>
      <c r="S740" s="9" t="str">
        <f>IFERROR(__xludf.DUMMYFUNCTION("""COMPUTED_VALUE"""),"Childcare
Accredited program providing high quality education, transportation and nutritious meals to economically at risk children between the ages of two through six living in poverty.
Fill out online application to see if child qualifies")</f>
        <v>Childcare
Accredited program providing high quality education, transportation and nutritious meals to economically at risk children between the ages of two through six living in poverty.
Fill out online application to see if child qualifies</v>
      </c>
      <c r="T740" s="12" t="b">
        <f>IFERROR(__xludf.DUMMYFUNCTION("""COMPUTED_VALUE"""),FALSE)</f>
        <v>0</v>
      </c>
      <c r="U740" s="12" t="b">
        <f>IFERROR(__xludf.DUMMYFUNCTION("""COMPUTED_VALUE"""),FALSE)</f>
        <v>0</v>
      </c>
      <c r="V740" s="13" t="str">
        <f>IFERROR(__xludf.DUMMYFUNCTION("""COMPUTED_VALUE"""),"https://ssnc.org/about-small-steps/our-program/")</f>
        <v>https://ssnc.org/about-small-steps/our-program/</v>
      </c>
      <c r="W740" s="14" t="str">
        <f>IFERROR(__xludf.DUMMYFUNCTION("""COMPUTED_VALUE"""),"https://www.google.com/maps/place/Small+Steps+Nurturing+Center/@29.787857,-95.3441581,16z/data=!3m1!4b1!4m6!3m5!1s0x8640b9252b5acec3:0xbda8297edc60a00b!8m2!3d29.787857!4d-95.3415832!16s%2Fg%2F1v3h_c2r?entry=ttu&amp;g_ep=EgoyMDI1MDQwOS4wIKXMDSoASAFQAw%3D%3D")</f>
        <v>https://www.google.com/maps/place/Small+Steps+Nurturing+Center/@29.787857,-95.3441581,16z/data=!3m1!4b1!4m6!3m5!1s0x8640b9252b5acec3:0xbda8297edc60a00b!8m2!3d29.787857!4d-95.3415832!16s%2Fg%2F1v3h_c2r?entry=ttu&amp;g_ep=EgoyMDI1MDQwOS4wIKXMDSoASAFQAw%3D%3D</v>
      </c>
      <c r="X740" s="10"/>
      <c r="Y740" s="9" t="str">
        <f>IFERROR(__xludf.DUMMYFUNCTION("""COMPUTED_VALUE"""),"Houston")</f>
        <v>Houston</v>
      </c>
      <c r="Z740" s="9" t="str">
        <f>IFERROR(__xludf.DUMMYFUNCTION("""COMPUTED_VALUE"""),"Kashmere Gardens, Northside, Trinity / Houston Gardens")</f>
        <v>Kashmere Gardens, Northside, Trinity / Houston Gardens</v>
      </c>
      <c r="AA740" s="9" t="str">
        <f>IFERROR(__xludf.DUMMYFUNCTION("""COMPUTED_VALUE"""),"Small Steps Nurturing Center")</f>
        <v>Small Steps Nurturing Center</v>
      </c>
      <c r="AB740" s="9" t="str">
        <f>IFERROR(__xludf.DUMMYFUNCTION("""COMPUTED_VALUE"""),"Northside")</f>
        <v>Northside</v>
      </c>
    </row>
    <row r="741" ht="30.0" customHeight="1">
      <c r="A741" s="17">
        <v>740.0</v>
      </c>
      <c r="B741" s="8" t="str">
        <f>IFERROR(__xludf.DUMMYFUNCTION("""COMPUTED_VALUE"""),"[""99999""]")</f>
        <v>["99999"]</v>
      </c>
      <c r="C741" s="9" t="str">
        <f>IFERROR(__xludf.DUMMYFUNCTION("""COMPUTED_VALUE"""),"Small Steps Nurturing Center")</f>
        <v>Small Steps Nurturing Center</v>
      </c>
      <c r="D741" s="9" t="str">
        <f>IFERROR(__xludf.DUMMYFUNCTION("""COMPUTED_VALUE"""),"6856 Bellaire Blvd")</f>
        <v>6856 Bellaire Blvd</v>
      </c>
      <c r="E741" s="9"/>
      <c r="F741" s="9" t="str">
        <f>IFERROR(__xludf.DUMMYFUNCTION("""COMPUTED_VALUE"""),"Houston")</f>
        <v>Houston</v>
      </c>
      <c r="G741" s="9" t="str">
        <f>IFERROR(__xludf.DUMMYFUNCTION("""COMPUTED_VALUE"""),"TX")</f>
        <v>TX</v>
      </c>
      <c r="H741" s="9" t="str">
        <f>IFERROR(__xludf.DUMMYFUNCTION("""COMPUTED_VALUE"""),"77074")</f>
        <v>77074</v>
      </c>
      <c r="I741" s="9" t="str">
        <f>IFERROR(__xludf.DUMMYFUNCTION("""COMPUTED_VALUE"""),"713-402-5196")</f>
        <v>713-402-5196</v>
      </c>
      <c r="J741" s="9" t="str">
        <f>IFERROR(__xludf.DUMMYFUNCTION("""COMPUTED_VALUE"""),"29.70585725, -95.5037901509174")</f>
        <v>29.70585725, -95.5037901509174</v>
      </c>
      <c r="K741" s="9" t="str">
        <f>IFERROR(__xludf.DUMMYFUNCTION("""COMPUTED_VALUE"""),"{""regular"":[{""days"":[""Mo"",""Tu"",""We"",""Th"",""Fr""],""open"":null,""close"":null}]}")</f>
        <v>{"regular":[{"days":["Mo","Tu","We","Th","Fr"],"open":null,"close":null}]}</v>
      </c>
      <c r="L741" s="9"/>
      <c r="M741" s="10">
        <f>IFERROR(__xludf.DUMMYFUNCTION("""COMPUTED_VALUE"""),44.0)</f>
        <v>44</v>
      </c>
      <c r="N741" s="10" t="str">
        <f>IFERROR(__xludf.DUMMYFUNCTION("""COMPUTED_VALUE"""),"Mother &amp; Child")</f>
        <v>Mother &amp; Child</v>
      </c>
      <c r="O741" s="10">
        <f>IFERROR(__xludf.DUMMYFUNCTION("""COMPUTED_VALUE"""),1.0)</f>
        <v>1</v>
      </c>
      <c r="P741" s="10" t="str">
        <f>IFERROR(__xludf.DUMMYFUNCTION("""COMPUTED_VALUE"""),"ACTIVE")</f>
        <v>ACTIVE</v>
      </c>
      <c r="Q741" s="11">
        <f>IFERROR(__xludf.DUMMYFUNCTION("""COMPUTED_VALUE"""),45761.0)</f>
        <v>45761</v>
      </c>
      <c r="R741" s="9" t="str">
        <f>IFERROR(__xludf.DUMMYFUNCTION("""COMPUTED_VALUE"""),"SVdP Church Help for Moms Ministry")</f>
        <v>SVdP Church Help for Moms Ministry</v>
      </c>
      <c r="S741" s="9" t="str">
        <f>IFERROR(__xludf.DUMMYFUNCTION("""COMPUTED_VALUE"""),"Childcare
Accredited program providing high quality education, transportation and nutritious meals to economically at risk children between the ages of two through six living in poverty.
Located in St Luke's Methodist Church campus
Fill out online applica"&amp;"tion to see if child qualifies")</f>
        <v>Childcare
Accredited program providing high quality education, transportation and nutritious meals to economically at risk children between the ages of two through six living in poverty.
Located in St Luke's Methodist Church campus
Fill out online application to see if child qualifies</v>
      </c>
      <c r="T741" s="12" t="b">
        <f>IFERROR(__xludf.DUMMYFUNCTION("""COMPUTED_VALUE"""),FALSE)</f>
        <v>0</v>
      </c>
      <c r="U741" s="12" t="b">
        <f>IFERROR(__xludf.DUMMYFUNCTION("""COMPUTED_VALUE"""),FALSE)</f>
        <v>0</v>
      </c>
      <c r="V741" s="13" t="str">
        <f>IFERROR(__xludf.DUMMYFUNCTION("""COMPUTED_VALUE"""),"https://ssnc.org/about-small-steps/our-program/")</f>
        <v>https://ssnc.org/about-small-steps/our-program/</v>
      </c>
      <c r="W741" s="14" t="str">
        <f>IFERROR(__xludf.DUMMYFUNCTION("""COMPUTED_VALUE"""),"https://www.google.com/maps/place/Small+Steps+Nurturing+Center+-+Gulfton/@29.7059031,-95.5063715,16z/data=!3m1!4b1!4m6!3m5!1s0x8640c3fb3d12fe23:0x8dfaa86fdd2a5c32!8m2!3d29.7059031!4d-95.5037966!16s%2Fg%2F11trtsn8hg?entry=ttu&amp;g_ep=EgoyMDI1MDQwOS4wIKXMDSoAS"&amp;"AFQAw%3D%3D")</f>
        <v>https://www.google.com/maps/place/Small+Steps+Nurturing+Center+-+Gulfton/@29.7059031,-95.5063715,16z/data=!3m1!4b1!4m6!3m5!1s0x8640c3fb3d12fe23:0x8dfaa86fdd2a5c32!8m2!3d29.7059031!4d-95.5037966!16s%2Fg%2F11trtsn8hg?entry=ttu&amp;g_ep=EgoyMDI1MDQwOS4wIKXMDSoASAFQAw%3D%3D</v>
      </c>
      <c r="X741" s="10"/>
      <c r="Y741" s="9" t="str">
        <f>IFERROR(__xludf.DUMMYFUNCTION("""COMPUTED_VALUE"""),"Houston")</f>
        <v>Houston</v>
      </c>
      <c r="Z741" s="9" t="str">
        <f>IFERROR(__xludf.DUMMYFUNCTION("""COMPUTED_VALUE"""),"Braeburn, Robindell, Sharpstown")</f>
        <v>Braeburn, Robindell, Sharpstown</v>
      </c>
      <c r="AA741" s="9" t="str">
        <f>IFERROR(__xludf.DUMMYFUNCTION("""COMPUTED_VALUE"""),"Small Steps Nurturing Center")</f>
        <v>Small Steps Nurturing Center</v>
      </c>
      <c r="AB741" s="9" t="str">
        <f>IFERROR(__xludf.DUMMYFUNCTION("""COMPUTED_VALUE"""),"Sharpstown")</f>
        <v>Sharpstown</v>
      </c>
    </row>
    <row r="742" ht="30.0" customHeight="1">
      <c r="A742" s="17">
        <v>741.0</v>
      </c>
      <c r="B742" s="8" t="str">
        <f>IFERROR(__xludf.DUMMYFUNCTION("""COMPUTED_VALUE"""),"[""77336"", ""77339"", ""77345"", ""77346"", ""77357"", ""77365""]")</f>
        <v>["77336", "77339", "77345", "77346", "77357", "77365"]</v>
      </c>
      <c r="C742" s="9" t="str">
        <f>IFERROR(__xludf.DUMMYFUNCTION("""COMPUTED_VALUE"""),"Society of St Stephen")</f>
        <v>Society of St Stephen</v>
      </c>
      <c r="D742" s="9" t="str">
        <f>IFERROR(__xludf.DUMMYFUNCTION("""COMPUTED_VALUE"""),"2307 Crystal Springs Drive")</f>
        <v>2307 Crystal Springs Drive</v>
      </c>
      <c r="E742" s="9"/>
      <c r="F742" s="9" t="str">
        <f>IFERROR(__xludf.DUMMYFUNCTION("""COMPUTED_VALUE"""),"Kingwood")</f>
        <v>Kingwood</v>
      </c>
      <c r="G742" s="9" t="str">
        <f>IFERROR(__xludf.DUMMYFUNCTION("""COMPUTED_VALUE"""),"TX")</f>
        <v>TX</v>
      </c>
      <c r="H742" s="9" t="str">
        <f>IFERROR(__xludf.DUMMYFUNCTION("""COMPUTED_VALUE"""),"77339")</f>
        <v>77339</v>
      </c>
      <c r="I742" s="9" t="str">
        <f>IFERROR(__xludf.DUMMYFUNCTION("""COMPUTED_VALUE"""),"281-358-7722")</f>
        <v>281-358-7722</v>
      </c>
      <c r="J742" s="9" t="str">
        <f>IFERROR(__xludf.DUMMYFUNCTION("""COMPUTED_VALUE"""),"30.0414524846694, -95.2228750911494")</f>
        <v>30.0414524846694, -95.2228750911494</v>
      </c>
      <c r="K742" s="9" t="str">
        <f>IFERROR(__xludf.DUMMYFUNCTION("""COMPUTED_VALUE"""),"{""regular"":[{""days"":[""Mo"",""We"",""Fr""],""open"":""09:30"",""close"":""11:30""}]}")</f>
        <v>{"regular":[{"days":["Mo","We","Fr"],"open":"09:30","close":"11:30"}]}</v>
      </c>
      <c r="L742" s="9"/>
      <c r="M742" s="10">
        <f>IFERROR(__xludf.DUMMYFUNCTION("""COMPUTED_VALUE"""),11.0)</f>
        <v>11</v>
      </c>
      <c r="N742" s="10" t="str">
        <f>IFERROR(__xludf.DUMMYFUNCTION("""COMPUTED_VALUE"""),"Rent")</f>
        <v>Rent</v>
      </c>
      <c r="O742" s="10">
        <f>IFERROR(__xludf.DUMMYFUNCTION("""COMPUTED_VALUE"""),3.0)</f>
        <v>3</v>
      </c>
      <c r="P742" s="10" t="str">
        <f>IFERROR(__xludf.DUMMYFUNCTION("""COMPUTED_VALUE"""),"INACTIVE")</f>
        <v>INACTIVE</v>
      </c>
      <c r="Q742" s="11">
        <f>IFERROR(__xludf.DUMMYFUNCTION("""COMPUTED_VALUE"""),45637.0)</f>
        <v>45637</v>
      </c>
      <c r="R742" s="9"/>
      <c r="S742" s="9"/>
      <c r="T742" s="12" t="b">
        <f>IFERROR(__xludf.DUMMYFUNCTION("""COMPUTED_VALUE"""),FALSE)</f>
        <v>0</v>
      </c>
      <c r="U742" s="12" t="b">
        <f>IFERROR(__xludf.DUMMYFUNCTION("""COMPUTED_VALUE"""),FALSE)</f>
        <v>0</v>
      </c>
      <c r="V742" s="13" t="str">
        <f>IFERROR(__xludf.DUMMYFUNCTION("""COMPUTED_VALUE"""),"https://kingwoodmethodist.org/community-support/")</f>
        <v>https://kingwoodmethodist.org/community-support/</v>
      </c>
      <c r="W742" s="14" t="str">
        <f>IFERROR(__xludf.DUMMYFUNCTION("""COMPUTED_VALUE"""),"https://maps.google.com/?q=Society%20of%20St%20Stephen%202307%20Crystal%20Springs%20Dr%20Kingwood%20TX%2077339")</f>
        <v>https://maps.google.com/?q=Society%20of%20St%20Stephen%202307%20Crystal%20Springs%20Dr%20Kingwood%20TX%2077339</v>
      </c>
      <c r="X742" s="10"/>
      <c r="Y742" s="9" t="str">
        <f>IFERROR(__xludf.DUMMYFUNCTION("""COMPUTED_VALUE"""),"Kingwood")</f>
        <v>Kingwood</v>
      </c>
      <c r="Z742" s="9" t="str">
        <f>IFERROR(__xludf.DUMMYFUNCTION("""COMPUTED_VALUE"""),"Kingwood (Trailwood, Elm Grove villages)")</f>
        <v>Kingwood (Trailwood, Elm Grove villages)</v>
      </c>
      <c r="AA742" s="9" t="str">
        <f>IFERROR(__xludf.DUMMYFUNCTION("""COMPUTED_VALUE"""),"Society of St Stephen")</f>
        <v>Society of St Stephen</v>
      </c>
      <c r="AB742" s="9" t="str">
        <f>IFERROR(__xludf.DUMMYFUNCTION("""COMPUTED_VALUE"""),"Kingwood")</f>
        <v>Kingwood</v>
      </c>
    </row>
    <row r="743" ht="30.0" customHeight="1">
      <c r="A743" s="17">
        <v>742.0</v>
      </c>
      <c r="B743" s="8" t="str">
        <f>IFERROR(__xludf.DUMMYFUNCTION("""COMPUTED_VALUE"""),"[""77336"", ""77339"", ""77345"", ""77346"", ""77357"", ""77365"", ""77372""]")</f>
        <v>["77336", "77339", "77345", "77346", "77357", "77365", "77372"]</v>
      </c>
      <c r="C743" s="9" t="str">
        <f>IFERROR(__xludf.DUMMYFUNCTION("""COMPUTED_VALUE"""),"Society of St Stephen")</f>
        <v>Society of St Stephen</v>
      </c>
      <c r="D743" s="9" t="str">
        <f>IFERROR(__xludf.DUMMYFUNCTION("""COMPUTED_VALUE"""),"2307 Crystal Springs Drive")</f>
        <v>2307 Crystal Springs Drive</v>
      </c>
      <c r="E743" s="9"/>
      <c r="F743" s="9" t="str">
        <f>IFERROR(__xludf.DUMMYFUNCTION("""COMPUTED_VALUE"""),"Kingwood")</f>
        <v>Kingwood</v>
      </c>
      <c r="G743" s="9" t="str">
        <f>IFERROR(__xludf.DUMMYFUNCTION("""COMPUTED_VALUE"""),"TX")</f>
        <v>TX</v>
      </c>
      <c r="H743" s="9" t="str">
        <f>IFERROR(__xludf.DUMMYFUNCTION("""COMPUTED_VALUE"""),"77339")</f>
        <v>77339</v>
      </c>
      <c r="I743" s="9" t="str">
        <f>IFERROR(__xludf.DUMMYFUNCTION("""COMPUTED_VALUE"""),"281-358-7722")</f>
        <v>281-358-7722</v>
      </c>
      <c r="J743" s="9" t="str">
        <f>IFERROR(__xludf.DUMMYFUNCTION("""COMPUTED_VALUE"""),"30.0414524846694, -95.2228750911494")</f>
        <v>30.0414524846694, -95.2228750911494</v>
      </c>
      <c r="K743" s="9" t="str">
        <f>IFERROR(__xludf.DUMMYFUNCTION("""COMPUTED_VALUE"""),"{""regular"":[{""days"":[""Mo"",""We"",""Fr""],""open"":""09:30"",""close"":""11:30""}]}")</f>
        <v>{"regular":[{"days":["Mo","We","Fr"],"open":"09:30","close":"11:30"}]}</v>
      </c>
      <c r="L743" s="9"/>
      <c r="M743" s="10">
        <f>IFERROR(__xludf.DUMMYFUNCTION("""COMPUTED_VALUE"""),12.0)</f>
        <v>12</v>
      </c>
      <c r="N743" s="10" t="str">
        <f>IFERROR(__xludf.DUMMYFUNCTION("""COMPUTED_VALUE"""),"Utilities")</f>
        <v>Utilities</v>
      </c>
      <c r="O743" s="10">
        <f>IFERROR(__xludf.DUMMYFUNCTION("""COMPUTED_VALUE"""),1.0)</f>
        <v>1</v>
      </c>
      <c r="P743" s="10" t="str">
        <f>IFERROR(__xludf.DUMMYFUNCTION("""COMPUTED_VALUE"""),"ACTIVE")</f>
        <v>ACTIVE</v>
      </c>
      <c r="Q743" s="11">
        <f>IFERROR(__xludf.DUMMYFUNCTION("""COMPUTED_VALUE"""),45772.0)</f>
        <v>45772</v>
      </c>
      <c r="R743" s="9" t="str">
        <f>IFERROR(__xludf.DUMMYFUNCTION("""COMPUTED_VALUE"""),"First 10 clients for the day.")</f>
        <v>First 10 clients for the day.</v>
      </c>
      <c r="S743" s="9" t="str">
        <f>IFERROR(__xludf.DUMMYFUNCTION("""COMPUTED_VALUE"""),"Photo ID.
Current utility bill &amp; lease.
Official documentation for everyone in the household (birth certificate, Social Security card, Medicaid card, school report card, shot record for children).
US Citizens/Permanent Residents.
Rent assistance is limite"&amp;"d to once every 12 months.")</f>
        <v>Photo ID.
Current utility bill &amp; lease.
Official documentation for everyone in the household (birth certificate, Social Security card, Medicaid card, school report card, shot record for children).
US Citizens/Permanent Residents.
Rent assistance is limited to once every 12 months.</v>
      </c>
      <c r="T743" s="12" t="b">
        <f>IFERROR(__xludf.DUMMYFUNCTION("""COMPUTED_VALUE"""),FALSE)</f>
        <v>0</v>
      </c>
      <c r="U743" s="12" t="b">
        <f>IFERROR(__xludf.DUMMYFUNCTION("""COMPUTED_VALUE"""),FALSE)</f>
        <v>0</v>
      </c>
      <c r="V743" s="13" t="str">
        <f>IFERROR(__xludf.DUMMYFUNCTION("""COMPUTED_VALUE"""),"https://kingwoodmethodist.org/community-support/")</f>
        <v>https://kingwoodmethodist.org/community-support/</v>
      </c>
      <c r="W743" s="14" t="str">
        <f>IFERROR(__xludf.DUMMYFUNCTION("""COMPUTED_VALUE"""),"https://maps.google.com/?q=Society%20of%20St%20Stephen%202307%20Crystal%20Springs%20Dr%20Kingwood%20TX%2077339")</f>
        <v>https://maps.google.com/?q=Society%20of%20St%20Stephen%202307%20Crystal%20Springs%20Dr%20Kingwood%20TX%2077339</v>
      </c>
      <c r="X743" s="10"/>
      <c r="Y743" s="9" t="str">
        <f>IFERROR(__xludf.DUMMYFUNCTION("""COMPUTED_VALUE"""),"Kingwood")</f>
        <v>Kingwood</v>
      </c>
      <c r="Z743" s="9" t="str">
        <f>IFERROR(__xludf.DUMMYFUNCTION("""COMPUTED_VALUE"""),"Kingwood (Trailwood, Elm Grove villages)")</f>
        <v>Kingwood (Trailwood, Elm Grove villages)</v>
      </c>
      <c r="AA743" s="9" t="str">
        <f>IFERROR(__xludf.DUMMYFUNCTION("""COMPUTED_VALUE"""),"Society of St Stephen")</f>
        <v>Society of St Stephen</v>
      </c>
      <c r="AB743" s="9" t="str">
        <f>IFERROR(__xludf.DUMMYFUNCTION("""COMPUTED_VALUE"""),"Kingwood")</f>
        <v>Kingwood</v>
      </c>
    </row>
    <row r="744" ht="30.0" customHeight="1">
      <c r="A744" s="17">
        <v>743.0</v>
      </c>
      <c r="B744" s="8" t="str">
        <f>IFERROR(__xludf.DUMMYFUNCTION("""COMPUTED_VALUE"""),"[""77336"", ""77339"", ""77345"", ""77346"", ""77357"", ""77365"", ""77372""]")</f>
        <v>["77336", "77339", "77345", "77346", "77357", "77365", "77372"]</v>
      </c>
      <c r="C744" s="9" t="str">
        <f>IFERROR(__xludf.DUMMYFUNCTION("""COMPUTED_VALUE"""),"Society of St Stephen")</f>
        <v>Society of St Stephen</v>
      </c>
      <c r="D744" s="9" t="str">
        <f>IFERROR(__xludf.DUMMYFUNCTION("""COMPUTED_VALUE"""),"2307 Crystal Springs Drive")</f>
        <v>2307 Crystal Springs Drive</v>
      </c>
      <c r="E744" s="9"/>
      <c r="F744" s="9" t="str">
        <f>IFERROR(__xludf.DUMMYFUNCTION("""COMPUTED_VALUE"""),"Kingwood")</f>
        <v>Kingwood</v>
      </c>
      <c r="G744" s="9" t="str">
        <f>IFERROR(__xludf.DUMMYFUNCTION("""COMPUTED_VALUE"""),"TX")</f>
        <v>TX</v>
      </c>
      <c r="H744" s="9" t="str">
        <f>IFERROR(__xludf.DUMMYFUNCTION("""COMPUTED_VALUE"""),"77339")</f>
        <v>77339</v>
      </c>
      <c r="I744" s="9" t="str">
        <f>IFERROR(__xludf.DUMMYFUNCTION("""COMPUTED_VALUE"""),"281-358-7722")</f>
        <v>281-358-7722</v>
      </c>
      <c r="J744" s="9" t="str">
        <f>IFERROR(__xludf.DUMMYFUNCTION("""COMPUTED_VALUE"""),"30.0414524846694, -95.2228750911494")</f>
        <v>30.0414524846694, -95.2228750911494</v>
      </c>
      <c r="K744" s="9" t="str">
        <f>IFERROR(__xludf.DUMMYFUNCTION("""COMPUTED_VALUE"""),"{""regular"":[{""days"":[""Mo"",""We"",""Fr""],""open"":""09:30"",""close"":""11:30""}]}")</f>
        <v>{"regular":[{"days":["Mo","We","Fr"],"open":"09:30","close":"11:30"}]}</v>
      </c>
      <c r="L744" s="9"/>
      <c r="M744" s="10">
        <f>IFERROR(__xludf.DUMMYFUNCTION("""COMPUTED_VALUE"""),13.0)</f>
        <v>13</v>
      </c>
      <c r="N744" s="10" t="str">
        <f>IFERROR(__xludf.DUMMYFUNCTION("""COMPUTED_VALUE"""),"Food")</f>
        <v>Food</v>
      </c>
      <c r="O744" s="10">
        <f>IFERROR(__xludf.DUMMYFUNCTION("""COMPUTED_VALUE"""),1.0)</f>
        <v>1</v>
      </c>
      <c r="P744" s="10" t="str">
        <f>IFERROR(__xludf.DUMMYFUNCTION("""COMPUTED_VALUE"""),"ACTIVE")</f>
        <v>ACTIVE</v>
      </c>
      <c r="Q744" s="11">
        <f>IFERROR(__xludf.DUMMYFUNCTION("""COMPUTED_VALUE"""),45772.0)</f>
        <v>45772</v>
      </c>
      <c r="R744" s="9" t="str">
        <f>IFERROR(__xludf.DUMMYFUNCTION("""COMPUTED_VALUE"""),"First 10 clients for the day.")</f>
        <v>First 10 clients for the day.</v>
      </c>
      <c r="S744" s="9" t="str">
        <f>IFERROR(__xludf.DUMMYFUNCTION("""COMPUTED_VALUE"""),"Photo ID.
Current utility bill &amp; lease.
Official documentation for everyone in the household (birth certificate, Social Security card, Medicaid card, school report card, shot record for children).
US Citizens/Permanent Residents.
Food Pantry is limited to"&amp;" once every 30 days.")</f>
        <v>Photo ID.
Current utility bill &amp; lease.
Official documentation for everyone in the household (birth certificate, Social Security card, Medicaid card, school report card, shot record for children).
US Citizens/Permanent Residents.
Food Pantry is limited to once every 30 days.</v>
      </c>
      <c r="T744" s="12" t="b">
        <f>IFERROR(__xludf.DUMMYFUNCTION("""COMPUTED_VALUE"""),FALSE)</f>
        <v>0</v>
      </c>
      <c r="U744" s="12" t="b">
        <f>IFERROR(__xludf.DUMMYFUNCTION("""COMPUTED_VALUE"""),FALSE)</f>
        <v>0</v>
      </c>
      <c r="V744" s="13" t="str">
        <f>IFERROR(__xludf.DUMMYFUNCTION("""COMPUTED_VALUE"""),"https://kingwoodmethodist.org/community-support/")</f>
        <v>https://kingwoodmethodist.org/community-support/</v>
      </c>
      <c r="W744" s="14" t="str">
        <f>IFERROR(__xludf.DUMMYFUNCTION("""COMPUTED_VALUE"""),"https://maps.google.com/?q=Society%20of%20St%20Stephen%202307%20Crystal%20Springs%20Dr%20Kingwood%20TX%2077339")</f>
        <v>https://maps.google.com/?q=Society%20of%20St%20Stephen%202307%20Crystal%20Springs%20Dr%20Kingwood%20TX%2077339</v>
      </c>
      <c r="X744" s="10"/>
      <c r="Y744" s="9" t="str">
        <f>IFERROR(__xludf.DUMMYFUNCTION("""COMPUTED_VALUE"""),"Kingwood")</f>
        <v>Kingwood</v>
      </c>
      <c r="Z744" s="9" t="str">
        <f>IFERROR(__xludf.DUMMYFUNCTION("""COMPUTED_VALUE"""),"Kingwood (Trailwood, Elm Grove villages)")</f>
        <v>Kingwood (Trailwood, Elm Grove villages)</v>
      </c>
      <c r="AA744" s="9" t="str">
        <f>IFERROR(__xludf.DUMMYFUNCTION("""COMPUTED_VALUE"""),"Society of St Stephen")</f>
        <v>Society of St Stephen</v>
      </c>
      <c r="AB744" s="9" t="str">
        <f>IFERROR(__xludf.DUMMYFUNCTION("""COMPUTED_VALUE"""),"Kingwood")</f>
        <v>Kingwood</v>
      </c>
    </row>
    <row r="745" ht="30.0" customHeight="1">
      <c r="A745" s="17">
        <v>744.0</v>
      </c>
      <c r="B745" s="8" t="str">
        <f>IFERROR(__xludf.DUMMYFUNCTION("""COMPUTED_VALUE"""),"[""77336"", ""77339"", ""77345"", ""77346"", ""77357"", ""77365"", ""77372""]")</f>
        <v>["77336", "77339", "77345", "77346", "77357", "77365", "77372"]</v>
      </c>
      <c r="C745" s="9" t="str">
        <f>IFERROR(__xludf.DUMMYFUNCTION("""COMPUTED_VALUE"""),"Society of St Stephen")</f>
        <v>Society of St Stephen</v>
      </c>
      <c r="D745" s="9" t="str">
        <f>IFERROR(__xludf.DUMMYFUNCTION("""COMPUTED_VALUE"""),"2307 Crystal Springs Drive")</f>
        <v>2307 Crystal Springs Drive</v>
      </c>
      <c r="E745" s="9"/>
      <c r="F745" s="9" t="str">
        <f>IFERROR(__xludf.DUMMYFUNCTION("""COMPUTED_VALUE"""),"Kingwood")</f>
        <v>Kingwood</v>
      </c>
      <c r="G745" s="9" t="str">
        <f>IFERROR(__xludf.DUMMYFUNCTION("""COMPUTED_VALUE"""),"TX")</f>
        <v>TX</v>
      </c>
      <c r="H745" s="9" t="str">
        <f>IFERROR(__xludf.DUMMYFUNCTION("""COMPUTED_VALUE"""),"77339")</f>
        <v>77339</v>
      </c>
      <c r="I745" s="9" t="str">
        <f>IFERROR(__xludf.DUMMYFUNCTION("""COMPUTED_VALUE"""),"281-358-7722")</f>
        <v>281-358-7722</v>
      </c>
      <c r="J745" s="9" t="str">
        <f>IFERROR(__xludf.DUMMYFUNCTION("""COMPUTED_VALUE"""),"30.0414524846694, -95.2228750911494")</f>
        <v>30.0414524846694, -95.2228750911494</v>
      </c>
      <c r="K745" s="9" t="str">
        <f>IFERROR(__xludf.DUMMYFUNCTION("""COMPUTED_VALUE"""),"{""regular"":[{""days"":[""Mo"",""We"",""Fr""],""open"":""09:30"",""close"":""11:30""}]}")</f>
        <v>{"regular":[{"days":["Mo","We","Fr"],"open":"09:30","close":"11:30"}]}</v>
      </c>
      <c r="L745" s="9"/>
      <c r="M745" s="10">
        <f>IFERROR(__xludf.DUMMYFUNCTION("""COMPUTED_VALUE"""),14.0)</f>
        <v>14</v>
      </c>
      <c r="N745" s="10" t="str">
        <f>IFERROR(__xludf.DUMMYFUNCTION("""COMPUTED_VALUE"""),"Clothing")</f>
        <v>Clothing</v>
      </c>
      <c r="O745" s="10">
        <f>IFERROR(__xludf.DUMMYFUNCTION("""COMPUTED_VALUE"""),1.0)</f>
        <v>1</v>
      </c>
      <c r="P745" s="10" t="str">
        <f>IFERROR(__xludf.DUMMYFUNCTION("""COMPUTED_VALUE"""),"ACTIVE")</f>
        <v>ACTIVE</v>
      </c>
      <c r="Q745" s="11">
        <f>IFERROR(__xludf.DUMMYFUNCTION("""COMPUTED_VALUE"""),45772.0)</f>
        <v>45772</v>
      </c>
      <c r="R745" s="9" t="str">
        <f>IFERROR(__xludf.DUMMYFUNCTION("""COMPUTED_VALUE"""),"First 10 clients for the day.")</f>
        <v>First 10 clients for the day.</v>
      </c>
      <c r="S745" s="9" t="str">
        <f>IFERROR(__xludf.DUMMYFUNCTION("""COMPUTED_VALUE"""),"Photo ID.
Current utility bill &amp; lease.
Official documentation for everyone in the household (birth certificate, Social Security card, Medicaid card, school report card, shot record for children) 
US Citizens/Permanent Residents.
Clothing is limited to on"&amp;"ce every 30 days.")</f>
        <v>Photo ID.
Current utility bill &amp; lease.
Official documentation for everyone in the household (birth certificate, Social Security card, Medicaid card, school report card, shot record for children) 
US Citizens/Permanent Residents.
Clothing is limited to once every 30 days.</v>
      </c>
      <c r="T745" s="12" t="b">
        <f>IFERROR(__xludf.DUMMYFUNCTION("""COMPUTED_VALUE"""),FALSE)</f>
        <v>0</v>
      </c>
      <c r="U745" s="12" t="b">
        <f>IFERROR(__xludf.DUMMYFUNCTION("""COMPUTED_VALUE"""),FALSE)</f>
        <v>0</v>
      </c>
      <c r="V745" s="13" t="str">
        <f>IFERROR(__xludf.DUMMYFUNCTION("""COMPUTED_VALUE"""),"https://kingwoodmethodist.org/community-support/")</f>
        <v>https://kingwoodmethodist.org/community-support/</v>
      </c>
      <c r="W745" s="14" t="str">
        <f>IFERROR(__xludf.DUMMYFUNCTION("""COMPUTED_VALUE"""),"https://maps.google.com/?q=Society%20of%20St%20Stephen%202307%20Crystal%20Springs%20Dr%20Kingwood%20TX%2077339")</f>
        <v>https://maps.google.com/?q=Society%20of%20St%20Stephen%202307%20Crystal%20Springs%20Dr%20Kingwood%20TX%2077339</v>
      </c>
      <c r="X745" s="10"/>
      <c r="Y745" s="9" t="str">
        <f>IFERROR(__xludf.DUMMYFUNCTION("""COMPUTED_VALUE"""),"Kingwood")</f>
        <v>Kingwood</v>
      </c>
      <c r="Z745" s="9" t="str">
        <f>IFERROR(__xludf.DUMMYFUNCTION("""COMPUTED_VALUE"""),"Kingwood (Trailwood, Elm Grove villages)")</f>
        <v>Kingwood (Trailwood, Elm Grove villages)</v>
      </c>
      <c r="AA745" s="9" t="str">
        <f>IFERROR(__xludf.DUMMYFUNCTION("""COMPUTED_VALUE"""),"Society of St Stephen")</f>
        <v>Society of St Stephen</v>
      </c>
      <c r="AB745" s="9" t="str">
        <f>IFERROR(__xludf.DUMMYFUNCTION("""COMPUTED_VALUE"""),"Kingwood")</f>
        <v>Kingwood</v>
      </c>
    </row>
    <row r="746" ht="30.0" customHeight="1">
      <c r="A746" s="17">
        <v>745.0</v>
      </c>
      <c r="B746" s="8" t="str">
        <f>IFERROR(__xludf.DUMMYFUNCTION("""COMPUTED_VALUE"""),"[""77336"", ""77339"", ""77345"", ""77346"", ""77357"", ""77365""]")</f>
        <v>["77336", "77339", "77345", "77346", "77357", "77365"]</v>
      </c>
      <c r="C746" s="9" t="str">
        <f>IFERROR(__xludf.DUMMYFUNCTION("""COMPUTED_VALUE"""),"Society of St Stephen")</f>
        <v>Society of St Stephen</v>
      </c>
      <c r="D746" s="9" t="str">
        <f>IFERROR(__xludf.DUMMYFUNCTION("""COMPUTED_VALUE"""),"2307 Crystal Springs Drive")</f>
        <v>2307 Crystal Springs Drive</v>
      </c>
      <c r="E746" s="9"/>
      <c r="F746" s="9" t="str">
        <f>IFERROR(__xludf.DUMMYFUNCTION("""COMPUTED_VALUE"""),"Kingwood")</f>
        <v>Kingwood</v>
      </c>
      <c r="G746" s="9" t="str">
        <f>IFERROR(__xludf.DUMMYFUNCTION("""COMPUTED_VALUE"""),"TX")</f>
        <v>TX</v>
      </c>
      <c r="H746" s="9" t="str">
        <f>IFERROR(__xludf.DUMMYFUNCTION("""COMPUTED_VALUE"""),"77339")</f>
        <v>77339</v>
      </c>
      <c r="I746" s="9" t="str">
        <f>IFERROR(__xludf.DUMMYFUNCTION("""COMPUTED_VALUE"""),"281-358-7722")</f>
        <v>281-358-7722</v>
      </c>
      <c r="J746" s="9" t="str">
        <f>IFERROR(__xludf.DUMMYFUNCTION("""COMPUTED_VALUE"""),"30.0414524846694, -95.2228750911494")</f>
        <v>30.0414524846694, -95.2228750911494</v>
      </c>
      <c r="K746" s="9" t="str">
        <f>IFERROR(__xludf.DUMMYFUNCTION("""COMPUTED_VALUE"""),"{""regular"":[{""days"":[""Mo"",""We"",""Fr""],""open"":""09:30"",""close"":""11:30""}]}")</f>
        <v>{"regular":[{"days":["Mo","We","Fr"],"open":"09:30","close":"11:30"}]}</v>
      </c>
      <c r="L746" s="9"/>
      <c r="M746" s="10">
        <f>IFERROR(__xludf.DUMMYFUNCTION("""COMPUTED_VALUE"""),64.0)</f>
        <v>64</v>
      </c>
      <c r="N746" s="10" t="str">
        <f>IFERROR(__xludf.DUMMYFUNCTION("""COMPUTED_VALUE"""),"Christmas")</f>
        <v>Christmas</v>
      </c>
      <c r="O746" s="10">
        <f>IFERROR(__xludf.DUMMYFUNCTION("""COMPUTED_VALUE"""),1.0)</f>
        <v>1</v>
      </c>
      <c r="P746" s="10" t="str">
        <f>IFERROR(__xludf.DUMMYFUNCTION("""COMPUTED_VALUE"""),"ACTIVE")</f>
        <v>ACTIVE</v>
      </c>
      <c r="Q746" s="11"/>
      <c r="R746" s="9"/>
      <c r="S746" s="9" t="str">
        <f>IFERROR(__xludf.DUMMYFUNCTION("""COMPUTED_VALUE"""),"Toys &amp; Food.")</f>
        <v>Toys &amp; Food.</v>
      </c>
      <c r="T746" s="12" t="b">
        <f>IFERROR(__xludf.DUMMYFUNCTION("""COMPUTED_VALUE"""),FALSE)</f>
        <v>0</v>
      </c>
      <c r="U746" s="12" t="b">
        <f>IFERROR(__xludf.DUMMYFUNCTION("""COMPUTED_VALUE"""),FALSE)</f>
        <v>0</v>
      </c>
      <c r="V746" s="13" t="str">
        <f>IFERROR(__xludf.DUMMYFUNCTION("""COMPUTED_VALUE"""),"https://kingwoodmethodist.org/community-support/")</f>
        <v>https://kingwoodmethodist.org/community-support/</v>
      </c>
      <c r="W746" s="14" t="str">
        <f>IFERROR(__xludf.DUMMYFUNCTION("""COMPUTED_VALUE"""),"https://maps.google.com/?q=Society%20of%20St%20Stephen%202307%20Crystal%20Springs%20Dr%20Kingwood%20TX%2077339")</f>
        <v>https://maps.google.com/?q=Society%20of%20St%20Stephen%202307%20Crystal%20Springs%20Dr%20Kingwood%20TX%2077339</v>
      </c>
      <c r="X746" s="10"/>
      <c r="Y746" s="9" t="str">
        <f>IFERROR(__xludf.DUMMYFUNCTION("""COMPUTED_VALUE"""),"Kingwood")</f>
        <v>Kingwood</v>
      </c>
      <c r="Z746" s="9" t="str">
        <f>IFERROR(__xludf.DUMMYFUNCTION("""COMPUTED_VALUE"""),"Kingwood (Trailwood, Elm Grove villages)")</f>
        <v>Kingwood (Trailwood, Elm Grove villages)</v>
      </c>
      <c r="AA746" s="9" t="str">
        <f>IFERROR(__xludf.DUMMYFUNCTION("""COMPUTED_VALUE"""),"Society of St Stephen")</f>
        <v>Society of St Stephen</v>
      </c>
      <c r="AB746" s="9" t="str">
        <f>IFERROR(__xludf.DUMMYFUNCTION("""COMPUTED_VALUE"""),"Kingwood")</f>
        <v>Kingwood</v>
      </c>
    </row>
    <row r="747" ht="30.0" customHeight="1">
      <c r="A747" s="17">
        <v>746.0</v>
      </c>
      <c r="B747" s="8" t="str">
        <f>IFERROR(__xludf.DUMMYFUNCTION("""COMPUTED_VALUE"""),"[""99999""]")</f>
        <v>["99999"]</v>
      </c>
      <c r="C747" s="9" t="str">
        <f>IFERROR(__xludf.DUMMYFUNCTION("""COMPUTED_VALUE"""),"South Texas College of Law Houston")</f>
        <v>South Texas College of Law Houston</v>
      </c>
      <c r="D747" s="9" t="str">
        <f>IFERROR(__xludf.DUMMYFUNCTION("""COMPUTED_VALUE"""),"1303 San Jacinto Street")</f>
        <v>1303 San Jacinto Street</v>
      </c>
      <c r="E747" s="9"/>
      <c r="F747" s="9" t="str">
        <f>IFERROR(__xludf.DUMMYFUNCTION("""COMPUTED_VALUE"""),"Houston")</f>
        <v>Houston</v>
      </c>
      <c r="G747" s="9" t="str">
        <f>IFERROR(__xludf.DUMMYFUNCTION("""COMPUTED_VALUE"""),"TX")</f>
        <v>TX</v>
      </c>
      <c r="H747" s="9" t="str">
        <f>IFERROR(__xludf.DUMMYFUNCTION("""COMPUTED_VALUE"""),"77002")</f>
        <v>77002</v>
      </c>
      <c r="I747" s="9" t="str">
        <f>IFERROR(__xludf.DUMMYFUNCTION("""COMPUTED_VALUE"""),"713-646-2990")</f>
        <v>713-646-2990</v>
      </c>
      <c r="J747" s="9" t="str">
        <f>IFERROR(__xludf.DUMMYFUNCTION("""COMPUTED_VALUE"""),"29.7534991428571, -95.3649745918367")</f>
        <v>29.7534991428571, -95.3649745918367</v>
      </c>
      <c r="K747" s="9" t="str">
        <f>IFERROR(__xludf.DUMMYFUNCTION("""COMPUTED_VALUE"""),"{""regular"":[{""days"":[""Mo"",""Tu"",""We"",""Th"",""Fr""],""open"":null,""close"":null}]}")</f>
        <v>{"regular":[{"days":["Mo","Tu","We","Th","Fr"],"open":null,"close":null}]}</v>
      </c>
      <c r="L747" s="9"/>
      <c r="M747" s="10">
        <f>IFERROR(__xludf.DUMMYFUNCTION("""COMPUTED_VALUE"""),55.0)</f>
        <v>55</v>
      </c>
      <c r="N747" s="10" t="str">
        <f>IFERROR(__xludf.DUMMYFUNCTION("""COMPUTED_VALUE"""),"Immigration")</f>
        <v>Immigration</v>
      </c>
      <c r="O747" s="10">
        <f>IFERROR(__xludf.DUMMYFUNCTION("""COMPUTED_VALUE"""),1.0)</f>
        <v>1</v>
      </c>
      <c r="P747" s="10" t="str">
        <f>IFERROR(__xludf.DUMMYFUNCTION("""COMPUTED_VALUE"""),"ACTIVE")</f>
        <v>ACTIVE</v>
      </c>
      <c r="Q747" s="11">
        <f>IFERROR(__xludf.DUMMYFUNCTION("""COMPUTED_VALUE"""),45757.0)</f>
        <v>45757</v>
      </c>
      <c r="R747" s="9"/>
      <c r="S747" s="9"/>
      <c r="T747" s="12" t="b">
        <f>IFERROR(__xludf.DUMMYFUNCTION("""COMPUTED_VALUE"""),FALSE)</f>
        <v>0</v>
      </c>
      <c r="U747" s="12" t="b">
        <f>IFERROR(__xludf.DUMMYFUNCTION("""COMPUTED_VALUE"""),FALSE)</f>
        <v>0</v>
      </c>
      <c r="V747" s="13" t="str">
        <f>IFERROR(__xludf.DUMMYFUNCTION("""COMPUTED_VALUE"""),"https://www.stcl.edu/academics/legal-clinics/request-legal-assistance/")</f>
        <v>https://www.stcl.edu/academics/legal-clinics/request-legal-assistance/</v>
      </c>
      <c r="W747" s="10"/>
      <c r="X747" s="10"/>
      <c r="Y747" s="9" t="str">
        <f>IFERROR(__xludf.DUMMYFUNCTION("""COMPUTED_VALUE"""),"Houston")</f>
        <v>Houston</v>
      </c>
      <c r="Z747"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747" s="9" t="str">
        <f>IFERROR(__xludf.DUMMYFUNCTION("""COMPUTED_VALUE"""),"South Texas College of Law Houston")</f>
        <v>South Texas College of Law Houston</v>
      </c>
      <c r="AB747" s="9" t="str">
        <f>IFERROR(__xludf.DUMMYFUNCTION("""COMPUTED_VALUE"""),"Downtown Houston")</f>
        <v>Downtown Houston</v>
      </c>
    </row>
    <row r="748" ht="30.0" customHeight="1">
      <c r="A748" s="17">
        <v>747.0</v>
      </c>
      <c r="B748" s="8" t="str">
        <f>IFERROR(__xludf.DUMMYFUNCTION("""COMPUTED_VALUE"""),"[""77017"", ""77034"", ""77061"", ""77075"", ""77087"", ""77089"", ""77587"", ""77598""]")</f>
        <v>["77017", "77034", "77061", "77075", "77087", "77089", "77587", "77598"]</v>
      </c>
      <c r="C748" s="9" t="str">
        <f>IFERROR(__xludf.DUMMYFUNCTION("""COMPUTED_VALUE"""),"Southeast Area Ministries")</f>
        <v>Southeast Area Ministries</v>
      </c>
      <c r="D748" s="9" t="str">
        <f>IFERROR(__xludf.DUMMYFUNCTION("""COMPUTED_VALUE"""),"2102 Houston Blvd")</f>
        <v>2102 Houston Blvd</v>
      </c>
      <c r="E748" s="9"/>
      <c r="F748" s="9" t="str">
        <f>IFERROR(__xludf.DUMMYFUNCTION("""COMPUTED_VALUE"""),"South Houston")</f>
        <v>South Houston</v>
      </c>
      <c r="G748" s="9" t="str">
        <f>IFERROR(__xludf.DUMMYFUNCTION("""COMPUTED_VALUE"""),"TX")</f>
        <v>TX</v>
      </c>
      <c r="H748" s="9" t="str">
        <f>IFERROR(__xludf.DUMMYFUNCTION("""COMPUTED_VALUE"""),"77587")</f>
        <v>77587</v>
      </c>
      <c r="I748" s="9" t="str">
        <f>IFERROR(__xludf.DUMMYFUNCTION("""COMPUTED_VALUE"""),"713-944-0093")</f>
        <v>713-944-0093</v>
      </c>
      <c r="J748" s="9" t="str">
        <f>IFERROR(__xludf.DUMMYFUNCTION("""COMPUTED_VALUE"""),"29.657224, -95.230515")</f>
        <v>29.657224, -95.230515</v>
      </c>
      <c r="K748" s="9"/>
      <c r="L748" s="9" t="str">
        <f>IFERROR(__xludf.DUMMYFUNCTION("""COMPUTED_VALUE"""),"Appointment required")</f>
        <v>Appointment required</v>
      </c>
      <c r="M748" s="10">
        <f>IFERROR(__xludf.DUMMYFUNCTION("""COMPUTED_VALUE"""),12.0)</f>
        <v>12</v>
      </c>
      <c r="N748" s="10" t="str">
        <f>IFERROR(__xludf.DUMMYFUNCTION("""COMPUTED_VALUE"""),"Utilities")</f>
        <v>Utilities</v>
      </c>
      <c r="O748" s="10">
        <f>IFERROR(__xludf.DUMMYFUNCTION("""COMPUTED_VALUE"""),4.0)</f>
        <v>4</v>
      </c>
      <c r="P748" s="10" t="str">
        <f>IFERROR(__xludf.DUMMYFUNCTION("""COMPUTED_VALUE"""),"CLOSED")</f>
        <v>CLOSED</v>
      </c>
      <c r="Q748" s="11">
        <f>IFERROR(__xludf.DUMMYFUNCTION("""COMPUTED_VALUE"""),45671.0)</f>
        <v>45671</v>
      </c>
      <c r="R748" s="9" t="str">
        <f>IFERROR(__xludf.DUMMYFUNCTION("""COMPUTED_VALUE"""),"Permanently Closed")</f>
        <v>Permanently Closed</v>
      </c>
      <c r="S748" s="9" t="str">
        <f>IFERROR(__xludf.DUMMYFUNCTION("""COMPUTED_VALUE"""),"Call to schedule interview.
Photo ID
US Citizens/Permanent Residents.
Proof of address.
Proof of income.
Late or Disconnect Notice.")</f>
        <v>Call to schedule interview.
Photo ID
US Citizens/Permanent Residents.
Proof of address.
Proof of income.
Late or Disconnect Notice.</v>
      </c>
      <c r="T748" s="12" t="b">
        <f>IFERROR(__xludf.DUMMYFUNCTION("""COMPUTED_VALUE"""),FALSE)</f>
        <v>0</v>
      </c>
      <c r="U748" s="12" t="b">
        <f>IFERROR(__xludf.DUMMYFUNCTION("""COMPUTED_VALUE"""),FALSE)</f>
        <v>0</v>
      </c>
      <c r="V748" s="13" t="str">
        <f>IFERROR(__xludf.DUMMYFUNCTION("""COMPUTED_VALUE"""),"https://southeastareaministries.com/houston-assistance-ministries/")</f>
        <v>https://southeastareaministries.com/houston-assistance-ministries/</v>
      </c>
      <c r="W748" s="14" t="str">
        <f>IFERROR(__xludf.DUMMYFUNCTION("""COMPUTED_VALUE"""),"https://maps.google.com/?q=Southeast%20Area%20Ministries%202102%20Houston%20Blvd%20South%20Houston%20TX%2077587")</f>
        <v>https://maps.google.com/?q=Southeast%20Area%20Ministries%202102%20Houston%20Blvd%20South%20Houston%20TX%2077587</v>
      </c>
      <c r="X748" s="10"/>
      <c r="Y748" s="9" t="str">
        <f>IFERROR(__xludf.DUMMYFUNCTION("""COMPUTED_VALUE"""),"South Houston")</f>
        <v>South Houston</v>
      </c>
      <c r="Z748" s="9" t="str">
        <f>IFERROR(__xludf.DUMMYFUNCTION("""COMPUTED_VALUE"""),"South Houston")</f>
        <v>South Houston</v>
      </c>
      <c r="AA748" s="9" t="str">
        <f>IFERROR(__xludf.DUMMYFUNCTION("""COMPUTED_VALUE"""),"Southeast Area Ministries")</f>
        <v>Southeast Area Ministries</v>
      </c>
      <c r="AB748" s="9" t="str">
        <f>IFERROR(__xludf.DUMMYFUNCTION("""COMPUTED_VALUE"""),"South Houston")</f>
        <v>South Houston</v>
      </c>
    </row>
    <row r="749" ht="30.0" customHeight="1">
      <c r="A749" s="17">
        <v>748.0</v>
      </c>
      <c r="B749" s="8" t="str">
        <f>IFERROR(__xludf.DUMMYFUNCTION("""COMPUTED_VALUE"""),"[""77017"", ""77034"", ""77061"", ""77075"", ""77087"", ""77089"", ""77587"", ""77598""]")</f>
        <v>["77017", "77034", "77061", "77075", "77087", "77089", "77587", "77598"]</v>
      </c>
      <c r="C749" s="9" t="str">
        <f>IFERROR(__xludf.DUMMYFUNCTION("""COMPUTED_VALUE"""),"Southeast Area Ministries")</f>
        <v>Southeast Area Ministries</v>
      </c>
      <c r="D749" s="9" t="str">
        <f>IFERROR(__xludf.DUMMYFUNCTION("""COMPUTED_VALUE"""),"2102 Houston Blvd")</f>
        <v>2102 Houston Blvd</v>
      </c>
      <c r="E749" s="9"/>
      <c r="F749" s="9" t="str">
        <f>IFERROR(__xludf.DUMMYFUNCTION("""COMPUTED_VALUE"""),"South Houston")</f>
        <v>South Houston</v>
      </c>
      <c r="G749" s="9" t="str">
        <f>IFERROR(__xludf.DUMMYFUNCTION("""COMPUTED_VALUE"""),"TX")</f>
        <v>TX</v>
      </c>
      <c r="H749" s="9" t="str">
        <f>IFERROR(__xludf.DUMMYFUNCTION("""COMPUTED_VALUE"""),"77587")</f>
        <v>77587</v>
      </c>
      <c r="I749" s="9" t="str">
        <f>IFERROR(__xludf.DUMMYFUNCTION("""COMPUTED_VALUE"""),"713-944-0093")</f>
        <v>713-944-0093</v>
      </c>
      <c r="J749" s="9" t="str">
        <f>IFERROR(__xludf.DUMMYFUNCTION("""COMPUTED_VALUE"""),"29.657224, -95.230515")</f>
        <v>29.657224, -95.230515</v>
      </c>
      <c r="K749" s="9" t="str">
        <f>IFERROR(__xludf.DUMMYFUNCTION("""COMPUTED_VALUE"""),"{""regular"":[{""days"":[""Mo"",""Tu"",""We"",""Th""],""open"":""09:30"",""close"":""11:30""}]}")</f>
        <v>{"regular":[{"days":["Mo","Tu","We","Th"],"open":"09:30","close":"11:30"}]}</v>
      </c>
      <c r="L749" s="9"/>
      <c r="M749" s="10">
        <f>IFERROR(__xludf.DUMMYFUNCTION("""COMPUTED_VALUE"""),13.0)</f>
        <v>13</v>
      </c>
      <c r="N749" s="10" t="str">
        <f>IFERROR(__xludf.DUMMYFUNCTION("""COMPUTED_VALUE"""),"Food")</f>
        <v>Food</v>
      </c>
      <c r="O749" s="10">
        <f>IFERROR(__xludf.DUMMYFUNCTION("""COMPUTED_VALUE"""),4.0)</f>
        <v>4</v>
      </c>
      <c r="P749" s="10" t="str">
        <f>IFERROR(__xludf.DUMMYFUNCTION("""COMPUTED_VALUE"""),"CLOSED")</f>
        <v>CLOSED</v>
      </c>
      <c r="Q749" s="11">
        <f>IFERROR(__xludf.DUMMYFUNCTION("""COMPUTED_VALUE"""),45974.0)</f>
        <v>45974</v>
      </c>
      <c r="R749" s="9" t="str">
        <f>IFERROR(__xludf.DUMMYFUNCTION("""COMPUTED_VALUE"""),"Permanently Closed")</f>
        <v>Permanently Closed</v>
      </c>
      <c r="S749" s="9" t="str">
        <f>IFERROR(__xludf.DUMMYFUNCTION("""COMPUTED_VALUE"""),"Call to make next day appointments.")</f>
        <v>Call to make next day appointments.</v>
      </c>
      <c r="T749" s="12" t="b">
        <f>IFERROR(__xludf.DUMMYFUNCTION("""COMPUTED_VALUE"""),FALSE)</f>
        <v>0</v>
      </c>
      <c r="U749" s="12" t="b">
        <f>IFERROR(__xludf.DUMMYFUNCTION("""COMPUTED_VALUE"""),FALSE)</f>
        <v>0</v>
      </c>
      <c r="V749" s="13" t="str">
        <f>IFERROR(__xludf.DUMMYFUNCTION("""COMPUTED_VALUE"""),"https://southeastareaministries.com/houston-assistance-ministries/")</f>
        <v>https://southeastareaministries.com/houston-assistance-ministries/</v>
      </c>
      <c r="W749" s="14" t="str">
        <f>IFERROR(__xludf.DUMMYFUNCTION("""COMPUTED_VALUE"""),"https://maps.google.com/?q=Southeast%20Area%20Ministries%202102%20Houston%20Blvd%20South%20Houston%20TX%2077587")</f>
        <v>https://maps.google.com/?q=Southeast%20Area%20Ministries%202102%20Houston%20Blvd%20South%20Houston%20TX%2077587</v>
      </c>
      <c r="X749" s="10"/>
      <c r="Y749" s="9" t="str">
        <f>IFERROR(__xludf.DUMMYFUNCTION("""COMPUTED_VALUE"""),"South Houston")</f>
        <v>South Houston</v>
      </c>
      <c r="Z749" s="9" t="str">
        <f>IFERROR(__xludf.DUMMYFUNCTION("""COMPUTED_VALUE"""),"South Houston")</f>
        <v>South Houston</v>
      </c>
      <c r="AA749" s="9" t="str">
        <f>IFERROR(__xludf.DUMMYFUNCTION("""COMPUTED_VALUE"""),"Southeast Area Ministries")</f>
        <v>Southeast Area Ministries</v>
      </c>
      <c r="AB749" s="9" t="str">
        <f>IFERROR(__xludf.DUMMYFUNCTION("""COMPUTED_VALUE"""),"South Houston")</f>
        <v>South Houston</v>
      </c>
    </row>
    <row r="750" ht="30.0" customHeight="1">
      <c r="A750" s="17">
        <v>749.0</v>
      </c>
      <c r="B750"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50" s="9" t="str">
        <f>IFERROR(__xludf.DUMMYFUNCTION("""COMPUTED_VALUE"""),"Southeast Clinic")</f>
        <v>Southeast Clinic</v>
      </c>
      <c r="D750" s="9" t="str">
        <f>IFERROR(__xludf.DUMMYFUNCTION("""COMPUTED_VALUE"""),"3737 Red Bluff Road")</f>
        <v>3737 Red Bluff Road</v>
      </c>
      <c r="E750" s="9"/>
      <c r="F750" s="9" t="str">
        <f>IFERROR(__xludf.DUMMYFUNCTION("""COMPUTED_VALUE"""),"Pasadena")</f>
        <v>Pasadena</v>
      </c>
      <c r="G750" s="9" t="str">
        <f>IFERROR(__xludf.DUMMYFUNCTION("""COMPUTED_VALUE"""),"TX")</f>
        <v>TX</v>
      </c>
      <c r="H750" s="9" t="str">
        <f>IFERROR(__xludf.DUMMYFUNCTION("""COMPUTED_VALUE"""),"77503")</f>
        <v>77503</v>
      </c>
      <c r="I750" s="9" t="str">
        <f>IFERROR(__xludf.DUMMYFUNCTION("""COMPUTED_VALUE"""),"832-927-7350")</f>
        <v>832-927-7350</v>
      </c>
      <c r="J750" s="9" t="str">
        <f>IFERROR(__xludf.DUMMYFUNCTION("""COMPUTED_VALUE"""),"29.685627334285183, -95.15603798042811")</f>
        <v>29.685627334285183, -95.15603798042811</v>
      </c>
      <c r="K750" s="9" t="str">
        <f>IFERROR(__xludf.DUMMYFUNCTION("""COMPUTED_VALUE"""),"{""regular"":[{""days"":[""Mo"",""Tu"",""We"",""Th"",""Fr""],""open"":""08:00"",""close"":""17:00""}]}")</f>
        <v>{"regular":[{"days":["Mo","Tu","We","Th","Fr"],"open":"08:00","close":"17:00"}]}</v>
      </c>
      <c r="L750" s="9" t="str">
        <f>IFERROR(__xludf.DUMMYFUNCTION("""COMPUTED_VALUE"""),"Appointment required")</f>
        <v>Appointment required</v>
      </c>
      <c r="M750" s="10">
        <f>IFERROR(__xludf.DUMMYFUNCTION("""COMPUTED_VALUE"""),31.0)</f>
        <v>31</v>
      </c>
      <c r="N750" s="10" t="str">
        <f>IFERROR(__xludf.DUMMYFUNCTION("""COMPUTED_VALUE"""),"Medical - Primary Care")</f>
        <v>Medical - Primary Care</v>
      </c>
      <c r="O750" s="10">
        <f>IFERROR(__xludf.DUMMYFUNCTION("""COMPUTED_VALUE"""),1.0)</f>
        <v>1</v>
      </c>
      <c r="P750" s="10" t="str">
        <f>IFERROR(__xludf.DUMMYFUNCTION("""COMPUTED_VALUE"""),"ACTIVE")</f>
        <v>ACTIVE</v>
      </c>
      <c r="Q750" s="11">
        <f>IFERROR(__xludf.DUMMYFUNCTION("""COMPUTED_VALUE"""),46050.0)</f>
        <v>46050</v>
      </c>
      <c r="R750" s="9" t="str">
        <f>IFERROR(__xludf.DUMMYFUNCTION("""COMPUTED_VALUE"""),"Verified online")</f>
        <v>Verified online</v>
      </c>
      <c r="S750" s="9" t="str">
        <f>IFERROR(__xludf.DUMMYFUNCTION("""COMPUTED_VALUE"""),"Low-cost preventive health services.
Co-pays are based on family income and household size.")</f>
        <v>Low-cost preventive health services.
Co-pays are based on family income and household size.</v>
      </c>
      <c r="T750" s="12" t="b">
        <f>IFERROR(__xludf.DUMMYFUNCTION("""COMPUTED_VALUE"""),FALSE)</f>
        <v>0</v>
      </c>
      <c r="U750" s="12" t="b">
        <f>IFERROR(__xludf.DUMMYFUNCTION("""COMPUTED_VALUE"""),FALSE)</f>
        <v>0</v>
      </c>
      <c r="V750" s="13" t="str">
        <f>IFERROR(__xludf.DUMMYFUNCTION("""COMPUTED_VALUE"""),"https://publichealth.harriscountytx.gov/Divisions-Offices/Divisions/Community-Health-Wellness-Division/Dental-Health-Prevention/Dental-Clinics")</f>
        <v>https://publichealth.harriscountytx.gov/Divisions-Offices/Divisions/Community-Health-Wellness-Division/Dental-Health-Prevention/Dental-Clinics</v>
      </c>
      <c r="W750" s="14" t="str">
        <f>IFERROR(__xludf.DUMMYFUNCTION("""COMPUTED_VALUE"""),"https://www.google.com/maps/place/Harris+County+Public+Health+Southeast+WIC/@29.6854876,-95.1608821,17z/data=!3m1!4b1!4m6!3m5!1s0x864098160bc4268d:0x1cd5b02fc06569c4!8m2!3d29.6854877!4d-95.1560058!16s%2Fg%2F1thn5x2x?entry=ttu&amp;g_ep=EgoyMDI2MDEyNS4wIKXMDSoK"&amp;"LDEwMDc5MjA2OUgBUAM%3D")</f>
        <v>https://www.google.com/maps/place/Harris+County+Public+Health+Southeast+WIC/@29.6854876,-95.1608821,17z/data=!3m1!4b1!4m6!3m5!1s0x864098160bc4268d:0x1cd5b02fc06569c4!8m2!3d29.6854877!4d-95.1560058!16s%2Fg%2F1thn5x2x?entry=ttu&amp;g_ep=EgoyMDI2MDEyNS4wIKXMDSoKLDEwMDc5MjA2OUgBUAM%3D</v>
      </c>
      <c r="X750" s="10"/>
      <c r="Y750" s="9" t="str">
        <f>IFERROR(__xludf.DUMMYFUNCTION("""COMPUTED_VALUE"""),"Pasadena")</f>
        <v>Pasadena</v>
      </c>
      <c r="Z750" s="9" t="str">
        <f>IFERROR(__xludf.DUMMYFUNCTION("""COMPUTED_VALUE"""),"Pasadena")</f>
        <v>Pasadena</v>
      </c>
      <c r="AA750" s="9" t="str">
        <f>IFERROR(__xludf.DUMMYFUNCTION("""COMPUTED_VALUE"""),"Harris County Public Health")</f>
        <v>Harris County Public Health</v>
      </c>
      <c r="AB750" s="9" t="str">
        <f>IFERROR(__xludf.DUMMYFUNCTION("""COMPUTED_VALUE"""),"Pasadena")</f>
        <v>Pasadena</v>
      </c>
    </row>
    <row r="751" ht="30.0" customHeight="1">
      <c r="A751" s="17">
        <v>750.0</v>
      </c>
      <c r="B751"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51" s="9" t="str">
        <f>IFERROR(__xludf.DUMMYFUNCTION("""COMPUTED_VALUE"""),"Southeast Clinic")</f>
        <v>Southeast Clinic</v>
      </c>
      <c r="D751" s="9" t="str">
        <f>IFERROR(__xludf.DUMMYFUNCTION("""COMPUTED_VALUE"""),"3737 Red Bluff Road")</f>
        <v>3737 Red Bluff Road</v>
      </c>
      <c r="E751" s="9"/>
      <c r="F751" s="9" t="str">
        <f>IFERROR(__xludf.DUMMYFUNCTION("""COMPUTED_VALUE"""),"Pasadena")</f>
        <v>Pasadena</v>
      </c>
      <c r="G751" s="9" t="str">
        <f>IFERROR(__xludf.DUMMYFUNCTION("""COMPUTED_VALUE"""),"TX")</f>
        <v>TX</v>
      </c>
      <c r="H751" s="9" t="str">
        <f>IFERROR(__xludf.DUMMYFUNCTION("""COMPUTED_VALUE"""),"77503")</f>
        <v>77503</v>
      </c>
      <c r="I751" s="9" t="str">
        <f>IFERROR(__xludf.DUMMYFUNCTION("""COMPUTED_VALUE"""),"713-274-9430")</f>
        <v>713-274-9430</v>
      </c>
      <c r="J751" s="9" t="str">
        <f>IFERROR(__xludf.DUMMYFUNCTION("""COMPUTED_VALUE"""),"29.685627334285183, -95.15603798042811")</f>
        <v>29.685627334285183, -95.15603798042811</v>
      </c>
      <c r="K751" s="9" t="str">
        <f>IFERROR(__xludf.DUMMYFUNCTION("""COMPUTED_VALUE"""),"{""regular"":[{""days"":[""Mo"",""Tu"",""We"",""Th"",""Fr""],""open"":""08:00"",""close"":""17:00""}]}")</f>
        <v>{"regular":[{"days":["Mo","Tu","We","Th","Fr"],"open":"08:00","close":"17:00"}]}</v>
      </c>
      <c r="L751" s="9"/>
      <c r="M751" s="10">
        <f>IFERROR(__xludf.DUMMYFUNCTION("""COMPUTED_VALUE"""),32.0)</f>
        <v>32</v>
      </c>
      <c r="N751" s="10" t="str">
        <f>IFERROR(__xludf.DUMMYFUNCTION("""COMPUTED_VALUE"""),"Medical - Dental &amp; Vision")</f>
        <v>Medical - Dental &amp; Vision</v>
      </c>
      <c r="O751" s="10">
        <f>IFERROR(__xludf.DUMMYFUNCTION("""COMPUTED_VALUE"""),1.0)</f>
        <v>1</v>
      </c>
      <c r="P751" s="10" t="str">
        <f>IFERROR(__xludf.DUMMYFUNCTION("""COMPUTED_VALUE"""),"ACTIVE")</f>
        <v>ACTIVE</v>
      </c>
      <c r="Q751" s="11">
        <f>IFERROR(__xludf.DUMMYFUNCTION("""COMPUTED_VALUE"""),46040.0)</f>
        <v>46040</v>
      </c>
      <c r="R751" s="9" t="str">
        <f>IFERROR(__xludf.DUMMYFUNCTION("""COMPUTED_VALUE"""),"Verified online")</f>
        <v>Verified online</v>
      </c>
      <c r="S751" s="9" t="str">
        <f>IFERROR(__xludf.DUMMYFUNCTION("""COMPUTED_VALUE"""),"Free or low-cost dental services for children and adolescents (6 mo to 21 years).
Services include exams. x-rays, cleanings, sealants, oral hygiene counseling, fillings, pulpotomy, crowns and extractions")</f>
        <v>Free or low-cost dental services for children and adolescents (6 mo to 21 years).
Services include exams. x-rays, cleanings, sealants, oral hygiene counseling, fillings, pulpotomy, crowns and extractions</v>
      </c>
      <c r="T751" s="12" t="b">
        <f>IFERROR(__xludf.DUMMYFUNCTION("""COMPUTED_VALUE"""),TRUE)</f>
        <v>1</v>
      </c>
      <c r="U751" s="12" t="b">
        <f>IFERROR(__xludf.DUMMYFUNCTION("""COMPUTED_VALUE"""),FALSE)</f>
        <v>0</v>
      </c>
      <c r="V751" s="13" t="str">
        <f>IFERROR(__xludf.DUMMYFUNCTION("""COMPUTED_VALUE"""),"https://publichealth.harriscountytx.gov/Divisions-Offices/Divisions/Community-Health-Wellness-Division/Dental-Health-Prevention/Dental-Clinics")</f>
        <v>https://publichealth.harriscountytx.gov/Divisions-Offices/Divisions/Community-Health-Wellness-Division/Dental-Health-Prevention/Dental-Clinics</v>
      </c>
      <c r="W751" s="14" t="str">
        <f>IFERROR(__xludf.DUMMYFUNCTION("""COMPUTED_VALUE"""),"https://www.google.com/maps/place/Harris+County+Public+Health+Southeast+WIC/@29.6854876,-95.1608821,17z/data=!3m1!4b1!4m6!3m5!1s0x864098160bc4268d:0x1cd5b02fc06569c4!8m2!3d29.6854877!4d-95.1560058!16s%2Fg%2F1thn5x2x?entry=ttu&amp;g_ep=EgoyMDI2MDEyNS4wIKXMDSoK"&amp;"LDEwMDc5MjA2OUgBUAM%3D")</f>
        <v>https://www.google.com/maps/place/Harris+County+Public+Health+Southeast+WIC/@29.6854876,-95.1608821,17z/data=!3m1!4b1!4m6!3m5!1s0x864098160bc4268d:0x1cd5b02fc06569c4!8m2!3d29.6854877!4d-95.1560058!16s%2Fg%2F1thn5x2x?entry=ttu&amp;g_ep=EgoyMDI2MDEyNS4wIKXMDSoKLDEwMDc5MjA2OUgBUAM%3D</v>
      </c>
      <c r="X751" s="10"/>
      <c r="Y751" s="9" t="str">
        <f>IFERROR(__xludf.DUMMYFUNCTION("""COMPUTED_VALUE"""),"Pasadena")</f>
        <v>Pasadena</v>
      </c>
      <c r="Z751" s="9" t="str">
        <f>IFERROR(__xludf.DUMMYFUNCTION("""COMPUTED_VALUE"""),"Pasadena")</f>
        <v>Pasadena</v>
      </c>
      <c r="AA751" s="9" t="str">
        <f>IFERROR(__xludf.DUMMYFUNCTION("""COMPUTED_VALUE"""),"Harris County Public Health")</f>
        <v>Harris County Public Health</v>
      </c>
      <c r="AB751" s="9" t="str">
        <f>IFERROR(__xludf.DUMMYFUNCTION("""COMPUTED_VALUE"""),"Pasadena")</f>
        <v>Pasadena</v>
      </c>
    </row>
    <row r="752" ht="30.0" customHeight="1">
      <c r="A752" s="17">
        <v>751.0</v>
      </c>
      <c r="B752"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52" s="9" t="str">
        <f>IFERROR(__xludf.DUMMYFUNCTION("""COMPUTED_VALUE"""),"Southeast Clinic")</f>
        <v>Southeast Clinic</v>
      </c>
      <c r="D752" s="9" t="str">
        <f>IFERROR(__xludf.DUMMYFUNCTION("""COMPUTED_VALUE"""),"3737 Red Bluff Road")</f>
        <v>3737 Red Bluff Road</v>
      </c>
      <c r="E752" s="9"/>
      <c r="F752" s="9" t="str">
        <f>IFERROR(__xludf.DUMMYFUNCTION("""COMPUTED_VALUE"""),"Pasadena")</f>
        <v>Pasadena</v>
      </c>
      <c r="G752" s="9" t="str">
        <f>IFERROR(__xludf.DUMMYFUNCTION("""COMPUTED_VALUE"""),"TX")</f>
        <v>TX</v>
      </c>
      <c r="H752" s="9" t="str">
        <f>IFERROR(__xludf.DUMMYFUNCTION("""COMPUTED_VALUE"""),"77503")</f>
        <v>77503</v>
      </c>
      <c r="I752" s="9" t="str">
        <f>IFERROR(__xludf.DUMMYFUNCTION("""COMPUTED_VALUE"""),"832-927-1335")</f>
        <v>832-927-1335</v>
      </c>
      <c r="J752" s="9" t="str">
        <f>IFERROR(__xludf.DUMMYFUNCTION("""COMPUTED_VALUE"""),"29.685627334285183, -95.15603798042811")</f>
        <v>29.685627334285183, -95.15603798042811</v>
      </c>
      <c r="K752" s="9" t="str">
        <f>IFERROR(__xludf.DUMMYFUNCTION("""COMPUTED_VALUE"""),"{""regular"":[{""days"":[""Mo"",""Tu"",""We"",""Th"",""Fr""],""open"":""08:00"",""close"":""17:00""}]}")</f>
        <v>{"regular":[{"days":["Mo","Tu","We","Th","Fr"],"open":"08:00","close":"17:00"}]}</v>
      </c>
      <c r="L752" s="9" t="str">
        <f>IFERROR(__xludf.DUMMYFUNCTION("""COMPUTED_VALUE"""),"Appointment required")</f>
        <v>Appointment required</v>
      </c>
      <c r="M752" s="10">
        <f>IFERROR(__xludf.DUMMYFUNCTION("""COMPUTED_VALUE"""),33.0)</f>
        <v>33</v>
      </c>
      <c r="N752" s="10" t="str">
        <f>IFERROR(__xludf.DUMMYFUNCTION("""COMPUTED_VALUE"""),"Medical - Behavioral Health")</f>
        <v>Medical - Behavioral Health</v>
      </c>
      <c r="O752" s="10">
        <f>IFERROR(__xludf.DUMMYFUNCTION("""COMPUTED_VALUE"""),1.0)</f>
        <v>1</v>
      </c>
      <c r="P752" s="10" t="str">
        <f>IFERROR(__xludf.DUMMYFUNCTION("""COMPUTED_VALUE"""),"ACTIVE")</f>
        <v>ACTIVE</v>
      </c>
      <c r="Q752" s="11">
        <f>IFERROR(__xludf.DUMMYFUNCTION("""COMPUTED_VALUE"""),46050.0)</f>
        <v>46050</v>
      </c>
      <c r="R752" s="9" t="str">
        <f>IFERROR(__xludf.DUMMYFUNCTION("""COMPUTED_VALUE"""),"Verified online")</f>
        <v>Verified online</v>
      </c>
      <c r="S752" s="9" t="str">
        <f>IFERROR(__xludf.DUMMYFUNCTION("""COMPUTED_VALUE"""),"Individual, couples, family and group therapy provided at no cost.
Maternal mental health services. a home based program, for pregnant and postpartum households.
Anxiety, depression, PTSD, bipolar disorder and schizophrenia.")</f>
        <v>Individual, couples, family and group therapy provided at no cost.
Maternal mental health services. a home based program, for pregnant and postpartum households.
Anxiety, depression, PTSD, bipolar disorder and schizophrenia.</v>
      </c>
      <c r="T752" s="12" t="b">
        <f>IFERROR(__xludf.DUMMYFUNCTION("""COMPUTED_VALUE"""),FALSE)</f>
        <v>0</v>
      </c>
      <c r="U752" s="12" t="b">
        <f>IFERROR(__xludf.DUMMYFUNCTION("""COMPUTED_VALUE"""),FALSE)</f>
        <v>0</v>
      </c>
      <c r="V752" s="13" t="str">
        <f>IFERROR(__xludf.DUMMYFUNCTION("""COMPUTED_VALUE"""),"https://publichealth.harriscountytx.gov/Divisions-Offices/Divisions/Community-Health-Wellness-Division/Behavioral-Health-Services")</f>
        <v>https://publichealth.harriscountytx.gov/Divisions-Offices/Divisions/Community-Health-Wellness-Division/Behavioral-Health-Services</v>
      </c>
      <c r="W752" s="14" t="str">
        <f>IFERROR(__xludf.DUMMYFUNCTION("""COMPUTED_VALUE"""),"https://www.google.com/maps/place/Harris+County+Public+Health+Southeast+WIC/@29.6854876,-95.1608821,17z/data=!3m1!4b1!4m6!3m5!1s0x864098160bc4268d:0x1cd5b02fc06569c4!8m2!3d29.6854877!4d-95.1560058!16s%2Fg%2F1thn5x2x?entry=ttu&amp;g_ep=EgoyMDI2MDEyNS4wIKXMDSoK"&amp;"LDEwMDc5MjA2OUgBUAM%3D")</f>
        <v>https://www.google.com/maps/place/Harris+County+Public+Health+Southeast+WIC/@29.6854876,-95.1608821,17z/data=!3m1!4b1!4m6!3m5!1s0x864098160bc4268d:0x1cd5b02fc06569c4!8m2!3d29.6854877!4d-95.1560058!16s%2Fg%2F1thn5x2x?entry=ttu&amp;g_ep=EgoyMDI2MDEyNS4wIKXMDSoKLDEwMDc5MjA2OUgBUAM%3D</v>
      </c>
      <c r="X752" s="10"/>
      <c r="Y752" s="9" t="str">
        <f>IFERROR(__xludf.DUMMYFUNCTION("""COMPUTED_VALUE"""),"Pasadena")</f>
        <v>Pasadena</v>
      </c>
      <c r="Z752" s="9" t="str">
        <f>IFERROR(__xludf.DUMMYFUNCTION("""COMPUTED_VALUE"""),"Pasadena")</f>
        <v>Pasadena</v>
      </c>
      <c r="AA752" s="9" t="str">
        <f>IFERROR(__xludf.DUMMYFUNCTION("""COMPUTED_VALUE"""),"Harris County Public Health")</f>
        <v>Harris County Public Health</v>
      </c>
      <c r="AB752" s="9" t="str">
        <f>IFERROR(__xludf.DUMMYFUNCTION("""COMPUTED_VALUE"""),"Pasadena")</f>
        <v>Pasadena</v>
      </c>
    </row>
    <row r="753" ht="30.0" customHeight="1">
      <c r="A753" s="17">
        <v>752.0</v>
      </c>
      <c r="B75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C753" s="9" t="str">
        <f>IFERROR(__xludf.DUMMYFUNCTION("""COMPUTED_VALUE"""),"Southeast Clinic")</f>
        <v>Southeast Clinic</v>
      </c>
      <c r="D753" s="9" t="str">
        <f>IFERROR(__xludf.DUMMYFUNCTION("""COMPUTED_VALUE"""),"3737 Red Bluff Road")</f>
        <v>3737 Red Bluff Road</v>
      </c>
      <c r="E753" s="9"/>
      <c r="F753" s="9" t="str">
        <f>IFERROR(__xludf.DUMMYFUNCTION("""COMPUTED_VALUE"""),"Pasadena")</f>
        <v>Pasadena</v>
      </c>
      <c r="G753" s="9" t="str">
        <f>IFERROR(__xludf.DUMMYFUNCTION("""COMPUTED_VALUE"""),"TX")</f>
        <v>TX</v>
      </c>
      <c r="H753" s="9" t="str">
        <f>IFERROR(__xludf.DUMMYFUNCTION("""COMPUTED_VALUE"""),"77503")</f>
        <v>77503</v>
      </c>
      <c r="I753" s="9" t="str">
        <f>IFERROR(__xludf.DUMMYFUNCTION("""COMPUTED_VALUE"""),"832-927-1335")</f>
        <v>832-927-1335</v>
      </c>
      <c r="J753" s="9" t="str">
        <f>IFERROR(__xludf.DUMMYFUNCTION("""COMPUTED_VALUE"""),"29.685627334285183, -95.15603798042811")</f>
        <v>29.685627334285183, -95.15603798042811</v>
      </c>
      <c r="K753" s="9" t="str">
        <f>IFERROR(__xludf.DUMMYFUNCTION("""COMPUTED_VALUE"""),"{""regular"":[{""days"":[""Mo"",""Tu"",""We"",""Th"",""Fr""],""open"":""08:00"",""close"":""17:00""}]}")</f>
        <v>{"regular":[{"days":["Mo","Tu","We","Th","Fr"],"open":"08:00","close":"17:00"}]}</v>
      </c>
      <c r="L753" s="9" t="str">
        <f>IFERROR(__xludf.DUMMYFUNCTION("""COMPUTED_VALUE"""),"Appointment required")</f>
        <v>Appointment required</v>
      </c>
      <c r="M753" s="10">
        <f>IFERROR(__xludf.DUMMYFUNCTION("""COMPUTED_VALUE"""),55.0)</f>
        <v>55</v>
      </c>
      <c r="N753" s="10" t="str">
        <f>IFERROR(__xludf.DUMMYFUNCTION("""COMPUTED_VALUE"""),"Immigration")</f>
        <v>Immigration</v>
      </c>
      <c r="O753" s="10">
        <f>IFERROR(__xludf.DUMMYFUNCTION("""COMPUTED_VALUE"""),1.0)</f>
        <v>1</v>
      </c>
      <c r="P753" s="10" t="str">
        <f>IFERROR(__xludf.DUMMYFUNCTION("""COMPUTED_VALUE"""),"ACTIVE")</f>
        <v>ACTIVE</v>
      </c>
      <c r="Q753" s="11">
        <f>IFERROR(__xludf.DUMMYFUNCTION("""COMPUTED_VALUE"""),46050.0)</f>
        <v>46050</v>
      </c>
      <c r="R753" s="9" t="str">
        <f>IFERROR(__xludf.DUMMYFUNCTION("""COMPUTED_VALUE"""),"Verified online")</f>
        <v>Verified online</v>
      </c>
      <c r="S753" s="9" t="str">
        <f>IFERROR(__xludf.DUMMYFUNCTION("""COMPUTED_VALUE"""),"Under contract with the US Committee For Refugees, HCPH provides free health screenings including physicals, screening for tuberculosis and other infectious diseases, immunizations, basic screening lab tests and referrals to primary care providers to refu"&amp;"gees.
Full civil surgeon immigration and medical exams are not included.
See website for specific population groups eligible for these free services.")</f>
        <v>Under contract with the US Committee For Refugees, HCPH provides free health screenings including physicals, screening for tuberculosis and other infectious diseases, immunizations, basic screening lab tests and referrals to primary care providers to refugees.
Full civil surgeon immigration and medical exams are not included.
See website for specific population groups eligible for these free services.</v>
      </c>
      <c r="T753" s="12" t="b">
        <f>IFERROR(__xludf.DUMMYFUNCTION("""COMPUTED_VALUE"""),FALSE)</f>
        <v>0</v>
      </c>
      <c r="U753" s="12" t="b">
        <f>IFERROR(__xludf.DUMMYFUNCTION("""COMPUTED_VALUE"""),FALSE)</f>
        <v>0</v>
      </c>
      <c r="V753" s="13" t="str">
        <f>IFERROR(__xludf.DUMMYFUNCTION("""COMPUTED_VALUE"""),"https://publichealth.harriscountytx.gov/Divisions-Offices/Divisions/Community-Health-Wellness-Division/Refugee-Health-Services")</f>
        <v>https://publichealth.harriscountytx.gov/Divisions-Offices/Divisions/Community-Health-Wellness-Division/Refugee-Health-Services</v>
      </c>
      <c r="W753" s="14" t="str">
        <f>IFERROR(__xludf.DUMMYFUNCTION("""COMPUTED_VALUE"""),"https://www.google.com/maps/place/Harris+County+Public+Health+Southeast+WIC/@29.6854876,-95.1608821,17z/data=!3m1!4b1!4m6!3m5!1s0x864098160bc4268d:0x1cd5b02fc06569c4!8m2!3d29.6854877!4d-95.1560058!16s%2Fg%2F1thn5x2x?entry=ttu&amp;g_ep=EgoyMDI2MDEyNS4wIKXMDSoK"&amp;"LDEwMDc5MjA2OUgBUAM%3D")</f>
        <v>https://www.google.com/maps/place/Harris+County+Public+Health+Southeast+WIC/@29.6854876,-95.1608821,17z/data=!3m1!4b1!4m6!3m5!1s0x864098160bc4268d:0x1cd5b02fc06569c4!8m2!3d29.6854877!4d-95.1560058!16s%2Fg%2F1thn5x2x?entry=ttu&amp;g_ep=EgoyMDI2MDEyNS4wIKXMDSoKLDEwMDc5MjA2OUgBUAM%3D</v>
      </c>
      <c r="X753" s="10"/>
      <c r="Y753" s="9" t="str">
        <f>IFERROR(__xludf.DUMMYFUNCTION("""COMPUTED_VALUE"""),"Pasadena")</f>
        <v>Pasadena</v>
      </c>
      <c r="Z753" s="9" t="str">
        <f>IFERROR(__xludf.DUMMYFUNCTION("""COMPUTED_VALUE"""),"Pasadena")</f>
        <v>Pasadena</v>
      </c>
      <c r="AA753" s="9" t="str">
        <f>IFERROR(__xludf.DUMMYFUNCTION("""COMPUTED_VALUE"""),"Harris County Public Health")</f>
        <v>Harris County Public Health</v>
      </c>
      <c r="AB753" s="9" t="str">
        <f>IFERROR(__xludf.DUMMYFUNCTION("""COMPUTED_VALUE"""),"Pasadena")</f>
        <v>Pasadena</v>
      </c>
    </row>
    <row r="754" ht="30.0" customHeight="1">
      <c r="A754" s="17">
        <v>753.0</v>
      </c>
      <c r="B75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754" s="9" t="str">
        <f>IFERROR(__xludf.DUMMYFUNCTION("""COMPUTED_VALUE"""),"Southwest Multi-Service Center")</f>
        <v>Southwest Multi-Service Center</v>
      </c>
      <c r="D754" s="9" t="str">
        <f>IFERROR(__xludf.DUMMYFUNCTION("""COMPUTED_VALUE"""),"6400 High Star Drive")</f>
        <v>6400 High Star Drive</v>
      </c>
      <c r="E754" s="9"/>
      <c r="F754" s="9" t="str">
        <f>IFERROR(__xludf.DUMMYFUNCTION("""COMPUTED_VALUE"""),"Houston")</f>
        <v>Houston</v>
      </c>
      <c r="G754" s="9" t="str">
        <f>IFERROR(__xludf.DUMMYFUNCTION("""COMPUTED_VALUE"""),"TX")</f>
        <v>TX</v>
      </c>
      <c r="H754" s="9" t="str">
        <f>IFERROR(__xludf.DUMMYFUNCTION("""COMPUTED_VALUE"""),"77074")</f>
        <v>77074</v>
      </c>
      <c r="I754" s="9" t="str">
        <f>IFERROR(__xludf.DUMMYFUNCTION("""COMPUTED_VALUE"""),"832-395-9910")</f>
        <v>832-395-9910</v>
      </c>
      <c r="J754" s="9" t="str">
        <f>IFERROR(__xludf.DUMMYFUNCTION("""COMPUTED_VALUE"""),"29.711394346185674, -95.4962160649314")</f>
        <v>29.711394346185674, -95.4962160649314</v>
      </c>
      <c r="K754" s="9" t="str">
        <f>IFERROR(__xludf.DUMMYFUNCTION("""COMPUTED_VALUE"""),"{""regular"":[{""days"":[""Mo"",""Tu"",""We"",""Th"",""Fr""],""open"":""08:30"",""close"":""23:30""},{""days"":[""Mo"",""Tu"",""We"",""Th"",""Fr""],""open"":""42:00"",""close"":""15:30""}]}")</f>
        <v>{"regular":[{"days":["Mo","Tu","We","Th","Fr"],"open":"08:30","close":"23:30"},{"days":["Mo","Tu","We","Th","Fr"],"open":"42:00","close":"15:30"}]}</v>
      </c>
      <c r="L754" s="9"/>
      <c r="M754" s="10">
        <f>IFERROR(__xludf.DUMMYFUNCTION("""COMPUTED_VALUE"""),35.0)</f>
        <v>35</v>
      </c>
      <c r="N754" s="10" t="str">
        <f>IFERROR(__xludf.DUMMYFUNCTION("""COMPUTED_VALUE"""),"Medical - Program Enrollment")</f>
        <v>Medical - Program Enrollment</v>
      </c>
      <c r="O754" s="10">
        <f>IFERROR(__xludf.DUMMYFUNCTION("""COMPUTED_VALUE"""),1.0)</f>
        <v>1</v>
      </c>
      <c r="P754" s="10" t="str">
        <f>IFERROR(__xludf.DUMMYFUNCTION("""COMPUTED_VALUE"""),"ACTIVE")</f>
        <v>ACTIVE</v>
      </c>
      <c r="Q754" s="11">
        <f>IFERROR(__xludf.DUMMYFUNCTION("""COMPUTED_VALUE"""),46057.0)</f>
        <v>46057</v>
      </c>
      <c r="R754" s="9" t="str">
        <f>IFERROR(__xludf.DUMMYFUNCTION("""COMPUTED_VALUE"""),"Verified online")</f>
        <v>Verified online</v>
      </c>
      <c r="S754" s="9" t="str">
        <f>IFERROR(__xludf.DUMMYFUNCTION("""COMPUTED_VALUE"""),"Help applying for health and other benefits")</f>
        <v>Help applying for health and other benefits</v>
      </c>
      <c r="T754" s="12" t="b">
        <f>IFERROR(__xludf.DUMMYFUNCTION("""COMPUTED_VALUE"""),FALSE)</f>
        <v>0</v>
      </c>
      <c r="U754" s="12" t="b">
        <f>IFERROR(__xludf.DUMMYFUNCTION("""COMPUTED_VALUE"""),FALSE)</f>
        <v>0</v>
      </c>
      <c r="V754" s="13" t="str">
        <f>IFERROR(__xludf.DUMMYFUNCTION("""COMPUTED_VALUE"""),"https://www.houstonhealth.org/services/multi-service-centers/southwest-multi-service-center")</f>
        <v>https://www.houstonhealth.org/services/multi-service-centers/southwest-multi-service-center</v>
      </c>
      <c r="W754" s="14" t="str">
        <f>IFERROR(__xludf.DUMMYFUNCTION("""COMPUTED_VALUE"""),"https://www.google.com/maps/place/Southwest+Multi-Service+Center/@29.7111474,-95.4988017,17z/data=!3m1!4b1!4m6!3m5!1s0x8640c2377687510d:0xd3c02798ea401cfc!8m2!3d29.7111428!4d-95.4962268!16s%2Fg%2F11b5wpkljq?entry=ttu&amp;g_ep=EgoyMDI2MDIwMS4wIKXMDSoKLDEwMDc5M"&amp;"jA2OUgBUAM%3D")</f>
        <v>https://www.google.com/maps/place/Southwest+Multi-Service+Center/@29.7111474,-95.4988017,17z/data=!3m1!4b1!4m6!3m5!1s0x8640c2377687510d:0xd3c02798ea401cfc!8m2!3d29.7111428!4d-95.4962268!16s%2Fg%2F11b5wpkljq?entry=ttu&amp;g_ep=EgoyMDI2MDIwMS4wIKXMDSoKLDEwMDc5MjA2OUgBUAM%3D</v>
      </c>
      <c r="X754" s="10"/>
      <c r="Y754" s="9" t="str">
        <f>IFERROR(__xludf.DUMMYFUNCTION("""COMPUTED_VALUE"""),"Houston")</f>
        <v>Houston</v>
      </c>
      <c r="Z754" s="9" t="str">
        <f>IFERROR(__xludf.DUMMYFUNCTION("""COMPUTED_VALUE"""),"Braeburn, Robindell, Sharpstown")</f>
        <v>Braeburn, Robindell, Sharpstown</v>
      </c>
      <c r="AA754" s="9" t="str">
        <f>IFERROR(__xludf.DUMMYFUNCTION("""COMPUTED_VALUE"""),"City of Houston")</f>
        <v>City of Houston</v>
      </c>
      <c r="AB754" s="9" t="str">
        <f>IFERROR(__xludf.DUMMYFUNCTION("""COMPUTED_VALUE"""),"Sharpstown")</f>
        <v>Sharpstown</v>
      </c>
    </row>
    <row r="755" ht="30.0" customHeight="1">
      <c r="A755" s="17">
        <v>754.0</v>
      </c>
      <c r="B75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755" s="9" t="str">
        <f>IFERROR(__xludf.DUMMYFUNCTION("""COMPUTED_VALUE"""),"Southwest Multi-Service Center")</f>
        <v>Southwest Multi-Service Center</v>
      </c>
      <c r="D755" s="9" t="str">
        <f>IFERROR(__xludf.DUMMYFUNCTION("""COMPUTED_VALUE"""),"6400 High Star Drive")</f>
        <v>6400 High Star Drive</v>
      </c>
      <c r="E755" s="9"/>
      <c r="F755" s="9" t="str">
        <f>IFERROR(__xludf.DUMMYFUNCTION("""COMPUTED_VALUE"""),"Houston")</f>
        <v>Houston</v>
      </c>
      <c r="G755" s="9" t="str">
        <f>IFERROR(__xludf.DUMMYFUNCTION("""COMPUTED_VALUE"""),"TX")</f>
        <v>TX</v>
      </c>
      <c r="H755" s="9" t="str">
        <f>IFERROR(__xludf.DUMMYFUNCTION("""COMPUTED_VALUE"""),"77074")</f>
        <v>77074</v>
      </c>
      <c r="I755" s="9" t="str">
        <f>IFERROR(__xludf.DUMMYFUNCTION("""COMPUTED_VALUE"""),"832-393-5427")</f>
        <v>832-393-5427</v>
      </c>
      <c r="J755" s="9" t="str">
        <f>IFERROR(__xludf.DUMMYFUNCTION("""COMPUTED_VALUE"""),"29.711394346185674, -95.4962160649314")</f>
        <v>29.711394346185674, -95.4962160649314</v>
      </c>
      <c r="K755" s="9" t="str">
        <f>IFERROR(__xludf.DUMMYFUNCTION("""COMPUTED_VALUE"""),"{""regular"":[{""days"":[""Mo""],""open"":""09:00"",""close"":""18:00""},{""days"":[""Tu"",""We"",""Th""],""open"":""08:00"",""close"":""17:00""}],""special"":[{""pattern"":""3rd Sa"",""open"":""08:00"",""close"":""12:00""}]}")</f>
        <v>{"regular":[{"days":["Mo"],"open":"09:00","close":"18:00"},{"days":["Tu","We","Th"],"open":"08:00","close":"17:00"}],"special":[{"pattern":"3rd Sa","open":"08:00","close":"12:00"}]}</v>
      </c>
      <c r="L755" s="9"/>
      <c r="M755" s="10">
        <f>IFERROR(__xludf.DUMMYFUNCTION("""COMPUTED_VALUE"""),44.0)</f>
        <v>44</v>
      </c>
      <c r="N755" s="10" t="str">
        <f>IFERROR(__xludf.DUMMYFUNCTION("""COMPUTED_VALUE"""),"Mother &amp; Child")</f>
        <v>Mother &amp; Child</v>
      </c>
      <c r="O755" s="10">
        <f>IFERROR(__xludf.DUMMYFUNCTION("""COMPUTED_VALUE"""),1.0)</f>
        <v>1</v>
      </c>
      <c r="P755" s="10" t="str">
        <f>IFERROR(__xludf.DUMMYFUNCTION("""COMPUTED_VALUE"""),"ACTIVE")</f>
        <v>ACTIVE</v>
      </c>
      <c r="Q755" s="11">
        <f>IFERROR(__xludf.DUMMYFUNCTION("""COMPUTED_VALUE"""),46057.0)</f>
        <v>46057</v>
      </c>
      <c r="R755" s="9" t="str">
        <f>IFERROR(__xludf.DUMMYFUNCTION("""COMPUTED_VALUE"""),"Verified online")</f>
        <v>Verified online</v>
      </c>
      <c r="S755"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755" s="12" t="b">
        <f>IFERROR(__xludf.DUMMYFUNCTION("""COMPUTED_VALUE"""),FALSE)</f>
        <v>0</v>
      </c>
      <c r="U755" s="12" t="b">
        <f>IFERROR(__xludf.DUMMYFUNCTION("""COMPUTED_VALUE"""),FALSE)</f>
        <v>0</v>
      </c>
      <c r="V755" s="13" t="str">
        <f>IFERROR(__xludf.DUMMYFUNCTION("""COMPUTED_VALUE"""),"https://www.houstonhealth.org/services/multi-service-centers/southwest-multi-service-center")</f>
        <v>https://www.houstonhealth.org/services/multi-service-centers/southwest-multi-service-center</v>
      </c>
      <c r="W755" s="14" t="str">
        <f>IFERROR(__xludf.DUMMYFUNCTION("""COMPUTED_VALUE"""),"https://www.google.com/maps/place/Southwest+Multi-Service+Center/@29.7111474,-95.4988017,17z/data=!3m1!4b1!4m6!3m5!1s0x8640c2377687510d:0xd3c02798ea401cfc!8m2!3d29.7111428!4d-95.4962268!16s%2Fg%2F11b5wpkljq?entry=ttu&amp;g_ep=EgoyMDI2MDIwMS4wIKXMDSoKLDEwMDc5M"&amp;"jA2OUgBUAM%3D")</f>
        <v>https://www.google.com/maps/place/Southwest+Multi-Service+Center/@29.7111474,-95.4988017,17z/data=!3m1!4b1!4m6!3m5!1s0x8640c2377687510d:0xd3c02798ea401cfc!8m2!3d29.7111428!4d-95.4962268!16s%2Fg%2F11b5wpkljq?entry=ttu&amp;g_ep=EgoyMDI2MDIwMS4wIKXMDSoKLDEwMDc5MjA2OUgBUAM%3D</v>
      </c>
      <c r="X755" s="10"/>
      <c r="Y755" s="9" t="str">
        <f>IFERROR(__xludf.DUMMYFUNCTION("""COMPUTED_VALUE"""),"Houston")</f>
        <v>Houston</v>
      </c>
      <c r="Z755" s="9" t="str">
        <f>IFERROR(__xludf.DUMMYFUNCTION("""COMPUTED_VALUE"""),"Braeburn, Robindell, Sharpstown")</f>
        <v>Braeburn, Robindell, Sharpstown</v>
      </c>
      <c r="AA755" s="9" t="str">
        <f>IFERROR(__xludf.DUMMYFUNCTION("""COMPUTED_VALUE"""),"City of Houston")</f>
        <v>City of Houston</v>
      </c>
      <c r="AB755" s="9" t="str">
        <f>IFERROR(__xludf.DUMMYFUNCTION("""COMPUTED_VALUE"""),"Sharpstown")</f>
        <v>Sharpstown</v>
      </c>
    </row>
    <row r="756" ht="30.0" customHeight="1">
      <c r="A756" s="17">
        <v>755.0</v>
      </c>
      <c r="B756" s="8" t="str">
        <f>IFERROR(__xludf.DUMMYFUNCTION("""COMPUTED_VALUE"""),"[""77090"", ""77091""]")</f>
        <v>["77090", "77091"]</v>
      </c>
      <c r="C756" s="9" t="str">
        <f>IFERROR(__xludf.DUMMYFUNCTION("""COMPUTED_VALUE"""),"Springwoods UMC")</f>
        <v>Springwoods UMC</v>
      </c>
      <c r="D756" s="9" t="str">
        <f>IFERROR(__xludf.DUMMYFUNCTION("""COMPUTED_VALUE"""),"1711 Cypress Creek Pkwy")</f>
        <v>1711 Cypress Creek Pkwy</v>
      </c>
      <c r="E756" s="9"/>
      <c r="F756" s="9" t="str">
        <f>IFERROR(__xludf.DUMMYFUNCTION("""COMPUTED_VALUE"""),"Houston")</f>
        <v>Houston</v>
      </c>
      <c r="G756" s="9" t="str">
        <f>IFERROR(__xludf.DUMMYFUNCTION("""COMPUTED_VALUE"""),"TX")</f>
        <v>TX</v>
      </c>
      <c r="H756" s="9" t="str">
        <f>IFERROR(__xludf.DUMMYFUNCTION("""COMPUTED_VALUE"""),"77090")</f>
        <v>77090</v>
      </c>
      <c r="I756" s="9" t="str">
        <f>IFERROR(__xludf.DUMMYFUNCTION("""COMPUTED_VALUE"""),"281-444-6466")</f>
        <v>281-444-6466</v>
      </c>
      <c r="J756" s="9" t="str">
        <f>IFERROR(__xludf.DUMMYFUNCTION("""COMPUTED_VALUE"""),"30.0109139, -95.4565575")</f>
        <v>30.0109139, -95.4565575</v>
      </c>
      <c r="K756" s="9" t="str">
        <f>IFERROR(__xludf.DUMMYFUNCTION("""COMPUTED_VALUE"""),"{""regular"":[{""days"":[""Mo"",""Tu"",""We"",""Th"",""Fr""],""open"":""09:00"",""close"":""12:00""}]}")</f>
        <v>{"regular":[{"days":["Mo","Tu","We","Th","Fr"],"open":"09:00","close":"12:00"}]}</v>
      </c>
      <c r="L756" s="9"/>
      <c r="M756" s="10">
        <f>IFERROR(__xludf.DUMMYFUNCTION("""COMPUTED_VALUE"""),13.0)</f>
        <v>13</v>
      </c>
      <c r="N756" s="10" t="str">
        <f>IFERROR(__xludf.DUMMYFUNCTION("""COMPUTED_VALUE"""),"Food")</f>
        <v>Food</v>
      </c>
      <c r="O756" s="10">
        <f>IFERROR(__xludf.DUMMYFUNCTION("""COMPUTED_VALUE"""),4.0)</f>
        <v>4</v>
      </c>
      <c r="P756" s="10" t="str">
        <f>IFERROR(__xludf.DUMMYFUNCTION("""COMPUTED_VALUE"""),"CLOSED")</f>
        <v>CLOSED</v>
      </c>
      <c r="Q756" s="11">
        <f>IFERROR(__xludf.DUMMYFUNCTION("""COMPUTED_VALUE"""),45663.0)</f>
        <v>45663</v>
      </c>
      <c r="R756" s="9" t="str">
        <f>IFERROR(__xludf.DUMMYFUNCTION("""COMPUTED_VALUE"""),"Phone disconnected")</f>
        <v>Phone disconnected</v>
      </c>
      <c r="S756" s="9"/>
      <c r="T756" s="12" t="b">
        <f>IFERROR(__xludf.DUMMYFUNCTION("""COMPUTED_VALUE"""),FALSE)</f>
        <v>0</v>
      </c>
      <c r="U756" s="12" t="b">
        <f>IFERROR(__xludf.DUMMYFUNCTION("""COMPUTED_VALUE"""),FALSE)</f>
        <v>0</v>
      </c>
      <c r="V756" s="13" t="str">
        <f>IFERROR(__xludf.DUMMYFUNCTION("""COMPUTED_VALUE"""),"https://www.springwoodsumc.org/")</f>
        <v>https://www.springwoodsumc.org/</v>
      </c>
      <c r="W756" s="14" t="str">
        <f>IFERROR(__xludf.DUMMYFUNCTION("""COMPUTED_VALUE"""),"https://maps.google.com/?q=Springwoods%20UMC%20%20%20TX%20")</f>
        <v>https://maps.google.com/?q=Springwoods%20UMC%20%20%20TX%20</v>
      </c>
      <c r="X756" s="10"/>
      <c r="Y756" s="9" t="str">
        <f>IFERROR(__xludf.DUMMYFUNCTION("""COMPUTED_VALUE"""),"Houston")</f>
        <v>Houston</v>
      </c>
      <c r="Z756" s="9" t="str">
        <f>IFERROR(__xludf.DUMMYFUNCTION("""COMPUTED_VALUE"""),"Cypress Station, Ella Crossing, Westador")</f>
        <v>Cypress Station, Ella Crossing, Westador</v>
      </c>
      <c r="AA756" s="9" t="str">
        <f>IFERROR(__xludf.DUMMYFUNCTION("""COMPUTED_VALUE"""),"Springwoods UMC")</f>
        <v>Springwoods UMC</v>
      </c>
      <c r="AB756" s="9" t="str">
        <f>IFERROR(__xludf.DUMMYFUNCTION("""COMPUTED_VALUE"""),"Cypress Station")</f>
        <v>Cypress Station</v>
      </c>
    </row>
    <row r="757" ht="30.0" customHeight="1">
      <c r="A757" s="17">
        <v>756.0</v>
      </c>
      <c r="B757" s="8" t="str">
        <f>IFERROR(__xludf.DUMMYFUNCTION("""COMPUTED_VALUE"""),"[""77031"", ""77071""]")</f>
        <v>["77031", "77071"]</v>
      </c>
      <c r="C757" s="9" t="str">
        <f>IFERROR(__xludf.DUMMYFUNCTION("""COMPUTED_VALUE"""),"St Albert of Trapani (SVdP D3)")</f>
        <v>St Albert of Trapani (SVdP D3)</v>
      </c>
      <c r="D757" s="9" t="str">
        <f>IFERROR(__xludf.DUMMYFUNCTION("""COMPUTED_VALUE"""),"11027 S Gessner Road")</f>
        <v>11027 S Gessner Road</v>
      </c>
      <c r="E757" s="9"/>
      <c r="F757" s="9" t="str">
        <f>IFERROR(__xludf.DUMMYFUNCTION("""COMPUTED_VALUE"""),"Houston")</f>
        <v>Houston</v>
      </c>
      <c r="G757" s="9" t="str">
        <f>IFERROR(__xludf.DUMMYFUNCTION("""COMPUTED_VALUE"""),"TX")</f>
        <v>TX</v>
      </c>
      <c r="H757" s="9" t="str">
        <f>IFERROR(__xludf.DUMMYFUNCTION("""COMPUTED_VALUE"""),"77071")</f>
        <v>77071</v>
      </c>
      <c r="I757" s="9" t="str">
        <f>IFERROR(__xludf.DUMMYFUNCTION("""COMPUTED_VALUE"""),"713-771-3596")</f>
        <v>713-771-3596</v>
      </c>
      <c r="J757" s="9" t="str">
        <f>IFERROR(__xludf.DUMMYFUNCTION("""COMPUTED_VALUE"""),"29.6597531632653, -95.5279483469388")</f>
        <v>29.6597531632653, -95.5279483469388</v>
      </c>
      <c r="K757" s="9" t="str">
        <f>IFERROR(__xludf.DUMMYFUNCTION("""COMPUTED_VALUE"""),"{""regular"":[{""days"":[""Tu"",""Fr""],""open"":""08:30"",""close"":""16:30""}]}")</f>
        <v>{"regular":[{"days":["Tu","Fr"],"open":"08:30","close":"16:30"}]}</v>
      </c>
      <c r="L757" s="9"/>
      <c r="M757" s="10">
        <f>IFERROR(__xludf.DUMMYFUNCTION("""COMPUTED_VALUE"""),11.0)</f>
        <v>11</v>
      </c>
      <c r="N757" s="10" t="str">
        <f>IFERROR(__xludf.DUMMYFUNCTION("""COMPUTED_VALUE"""),"Rent")</f>
        <v>Rent</v>
      </c>
      <c r="O757" s="10">
        <f>IFERROR(__xludf.DUMMYFUNCTION("""COMPUTED_VALUE"""),1.0)</f>
        <v>1</v>
      </c>
      <c r="P757" s="10" t="str">
        <f>IFERROR(__xludf.DUMMYFUNCTION("""COMPUTED_VALUE"""),"ACTIVE")</f>
        <v>ACTIVE</v>
      </c>
      <c r="Q757" s="11"/>
      <c r="R757" s="9"/>
      <c r="S757" s="9"/>
      <c r="T757" s="12" t="b">
        <f>IFERROR(__xludf.DUMMYFUNCTION("""COMPUTED_VALUE"""),FALSE)</f>
        <v>0</v>
      </c>
      <c r="U757" s="12" t="b">
        <f>IFERROR(__xludf.DUMMYFUNCTION("""COMPUTED_VALUE"""),FALSE)</f>
        <v>0</v>
      </c>
      <c r="V757" s="13" t="str">
        <f>IFERROR(__xludf.DUMMYFUNCTION("""COMPUTED_VALUE"""),"https://stalbertoftrapani.org/")</f>
        <v>https://stalbertoftrapani.org/</v>
      </c>
      <c r="W757" s="14" t="str">
        <f>IFERROR(__xludf.DUMMYFUNCTION("""COMPUTED_VALUE"""),"https://maps.google.com/?q=St%20Albert%20of%20Trapani%20(SVdP%20D3)%2011027%20S%20Gessner%20Rd%20Houston%20TX%2077071")</f>
        <v>https://maps.google.com/?q=St%20Albert%20of%20Trapani%20(SVdP%20D3)%2011027%20S%20Gessner%20Rd%20Houston%20TX%2077071</v>
      </c>
      <c r="X757" s="10"/>
      <c r="Y757" s="9" t="str">
        <f>IFERROR(__xludf.DUMMYFUNCTION("""COMPUTED_VALUE"""),"Houston")</f>
        <v>Houston</v>
      </c>
      <c r="Z757" s="9" t="str">
        <f>IFERROR(__xludf.DUMMYFUNCTION("""COMPUTED_VALUE"""),"Brays Oaks, Fondren Gardens, Westbury")</f>
        <v>Brays Oaks, Fondren Gardens, Westbury</v>
      </c>
      <c r="AA757" s="9" t="str">
        <f>IFERROR(__xludf.DUMMYFUNCTION("""COMPUTED_VALUE"""),"Society of St Vincent de Paul")</f>
        <v>Society of St Vincent de Paul</v>
      </c>
      <c r="AB757" s="9" t="str">
        <f>IFERROR(__xludf.DUMMYFUNCTION("""COMPUTED_VALUE"""),"Brays Oaks")</f>
        <v>Brays Oaks</v>
      </c>
    </row>
    <row r="758" ht="30.0" customHeight="1">
      <c r="A758" s="17">
        <v>757.0</v>
      </c>
      <c r="B758" s="8" t="str">
        <f>IFERROR(__xludf.DUMMYFUNCTION("""COMPUTED_VALUE"""),"[""77031"", ""77071""]")</f>
        <v>["77031", "77071"]</v>
      </c>
      <c r="C758" s="9" t="str">
        <f>IFERROR(__xludf.DUMMYFUNCTION("""COMPUTED_VALUE"""),"St Albert of Trapani (SVdP D3)")</f>
        <v>St Albert of Trapani (SVdP D3)</v>
      </c>
      <c r="D758" s="9" t="str">
        <f>IFERROR(__xludf.DUMMYFUNCTION("""COMPUTED_VALUE"""),"11027 S Gessner Road")</f>
        <v>11027 S Gessner Road</v>
      </c>
      <c r="E758" s="9"/>
      <c r="F758" s="9" t="str">
        <f>IFERROR(__xludf.DUMMYFUNCTION("""COMPUTED_VALUE"""),"Houston")</f>
        <v>Houston</v>
      </c>
      <c r="G758" s="9" t="str">
        <f>IFERROR(__xludf.DUMMYFUNCTION("""COMPUTED_VALUE"""),"TX")</f>
        <v>TX</v>
      </c>
      <c r="H758" s="9" t="str">
        <f>IFERROR(__xludf.DUMMYFUNCTION("""COMPUTED_VALUE"""),"77071")</f>
        <v>77071</v>
      </c>
      <c r="I758" s="9" t="str">
        <f>IFERROR(__xludf.DUMMYFUNCTION("""COMPUTED_VALUE"""),"713-771-3596")</f>
        <v>713-771-3596</v>
      </c>
      <c r="J758" s="9" t="str">
        <f>IFERROR(__xludf.DUMMYFUNCTION("""COMPUTED_VALUE"""),"29.6597531632653, -95.5279483469388")</f>
        <v>29.6597531632653, -95.5279483469388</v>
      </c>
      <c r="K758" s="9" t="str">
        <f>IFERROR(__xludf.DUMMYFUNCTION("""COMPUTED_VALUE"""),"{""regular"":[{""days"":[""Tu"",""Fr""],""open"":""08:30"",""close"":""16:30""}]}")</f>
        <v>{"regular":[{"days":["Tu","Fr"],"open":"08:30","close":"16:30"}]}</v>
      </c>
      <c r="L758" s="9"/>
      <c r="M758" s="10">
        <f>IFERROR(__xludf.DUMMYFUNCTION("""COMPUTED_VALUE"""),12.0)</f>
        <v>12</v>
      </c>
      <c r="N758" s="10" t="str">
        <f>IFERROR(__xludf.DUMMYFUNCTION("""COMPUTED_VALUE"""),"Utilities")</f>
        <v>Utilities</v>
      </c>
      <c r="O758" s="10">
        <f>IFERROR(__xludf.DUMMYFUNCTION("""COMPUTED_VALUE"""),1.0)</f>
        <v>1</v>
      </c>
      <c r="P758" s="10" t="str">
        <f>IFERROR(__xludf.DUMMYFUNCTION("""COMPUTED_VALUE"""),"ACTIVE")</f>
        <v>ACTIVE</v>
      </c>
      <c r="Q758" s="11"/>
      <c r="R758" s="9"/>
      <c r="S758" s="9"/>
      <c r="T758" s="12" t="b">
        <f>IFERROR(__xludf.DUMMYFUNCTION("""COMPUTED_VALUE"""),FALSE)</f>
        <v>0</v>
      </c>
      <c r="U758" s="12" t="b">
        <f>IFERROR(__xludf.DUMMYFUNCTION("""COMPUTED_VALUE"""),FALSE)</f>
        <v>0</v>
      </c>
      <c r="V758" s="13" t="str">
        <f>IFERROR(__xludf.DUMMYFUNCTION("""COMPUTED_VALUE"""),"https://stalbertoftrapani.org/")</f>
        <v>https://stalbertoftrapani.org/</v>
      </c>
      <c r="W758" s="14" t="str">
        <f>IFERROR(__xludf.DUMMYFUNCTION("""COMPUTED_VALUE"""),"https://maps.google.com/?q=St%20Albert%20of%20Trapani%20(SVdP%20D3)%2011027%20S%20Gessner%20Rd%20Houston%20TX%2077071")</f>
        <v>https://maps.google.com/?q=St%20Albert%20of%20Trapani%20(SVdP%20D3)%2011027%20S%20Gessner%20Rd%20Houston%20TX%2077071</v>
      </c>
      <c r="X758" s="10"/>
      <c r="Y758" s="9" t="str">
        <f>IFERROR(__xludf.DUMMYFUNCTION("""COMPUTED_VALUE"""),"Houston")</f>
        <v>Houston</v>
      </c>
      <c r="Z758" s="9" t="str">
        <f>IFERROR(__xludf.DUMMYFUNCTION("""COMPUTED_VALUE"""),"Brays Oaks, Fondren Gardens, Westbury")</f>
        <v>Brays Oaks, Fondren Gardens, Westbury</v>
      </c>
      <c r="AA758" s="9" t="str">
        <f>IFERROR(__xludf.DUMMYFUNCTION("""COMPUTED_VALUE"""),"Society of St Vincent de Paul")</f>
        <v>Society of St Vincent de Paul</v>
      </c>
      <c r="AB758" s="9" t="str">
        <f>IFERROR(__xludf.DUMMYFUNCTION("""COMPUTED_VALUE"""),"Brays Oaks")</f>
        <v>Brays Oaks</v>
      </c>
    </row>
    <row r="759" ht="30.0" customHeight="1">
      <c r="A759" s="17">
        <v>758.0</v>
      </c>
      <c r="B759" s="8" t="str">
        <f>IFERROR(__xludf.DUMMYFUNCTION("""COMPUTED_VALUE"""),"[""77031"", ""77071""]")</f>
        <v>["77031", "77071"]</v>
      </c>
      <c r="C759" s="9" t="str">
        <f>IFERROR(__xludf.DUMMYFUNCTION("""COMPUTED_VALUE"""),"St Albert of Trapani (SVdP D3)")</f>
        <v>St Albert of Trapani (SVdP D3)</v>
      </c>
      <c r="D759" s="9" t="str">
        <f>IFERROR(__xludf.DUMMYFUNCTION("""COMPUTED_VALUE"""),"11027 S Gessner Road")</f>
        <v>11027 S Gessner Road</v>
      </c>
      <c r="E759" s="9"/>
      <c r="F759" s="9" t="str">
        <f>IFERROR(__xludf.DUMMYFUNCTION("""COMPUTED_VALUE"""),"Houston")</f>
        <v>Houston</v>
      </c>
      <c r="G759" s="9" t="str">
        <f>IFERROR(__xludf.DUMMYFUNCTION("""COMPUTED_VALUE"""),"TX")</f>
        <v>TX</v>
      </c>
      <c r="H759" s="9" t="str">
        <f>IFERROR(__xludf.DUMMYFUNCTION("""COMPUTED_VALUE"""),"77071")</f>
        <v>77071</v>
      </c>
      <c r="I759" s="9" t="str">
        <f>IFERROR(__xludf.DUMMYFUNCTION("""COMPUTED_VALUE"""),"713-771-3596")</f>
        <v>713-771-3596</v>
      </c>
      <c r="J759" s="9" t="str">
        <f>IFERROR(__xludf.DUMMYFUNCTION("""COMPUTED_VALUE"""),"29.6597531632653, -95.5279483469388")</f>
        <v>29.6597531632653, -95.5279483469388</v>
      </c>
      <c r="K759" s="9" t="str">
        <f>IFERROR(__xludf.DUMMYFUNCTION("""COMPUTED_VALUE"""),"{""regular"":[{""days"":[""Tu"",""Fr""],""open"":""08:30"",""close"":""16:30""}]}")</f>
        <v>{"regular":[{"days":["Tu","Fr"],"open":"08:30","close":"16:30"}]}</v>
      </c>
      <c r="L759" s="9"/>
      <c r="M759" s="10">
        <f>IFERROR(__xludf.DUMMYFUNCTION("""COMPUTED_VALUE"""),13.0)</f>
        <v>13</v>
      </c>
      <c r="N759" s="10" t="str">
        <f>IFERROR(__xludf.DUMMYFUNCTION("""COMPUTED_VALUE"""),"Food")</f>
        <v>Food</v>
      </c>
      <c r="O759" s="10">
        <f>IFERROR(__xludf.DUMMYFUNCTION("""COMPUTED_VALUE"""),1.0)</f>
        <v>1</v>
      </c>
      <c r="P759" s="10" t="str">
        <f>IFERROR(__xludf.DUMMYFUNCTION("""COMPUTED_VALUE"""),"ACTIVE")</f>
        <v>ACTIVE</v>
      </c>
      <c r="Q759" s="11"/>
      <c r="R759" s="9"/>
      <c r="S759" s="9"/>
      <c r="T759" s="12" t="b">
        <f>IFERROR(__xludf.DUMMYFUNCTION("""COMPUTED_VALUE"""),FALSE)</f>
        <v>0</v>
      </c>
      <c r="U759" s="12" t="b">
        <f>IFERROR(__xludf.DUMMYFUNCTION("""COMPUTED_VALUE"""),FALSE)</f>
        <v>0</v>
      </c>
      <c r="V759" s="13" t="str">
        <f>IFERROR(__xludf.DUMMYFUNCTION("""COMPUTED_VALUE"""),"https://stalbertoftrapani.org/")</f>
        <v>https://stalbertoftrapani.org/</v>
      </c>
      <c r="W759" s="14" t="str">
        <f>IFERROR(__xludf.DUMMYFUNCTION("""COMPUTED_VALUE"""),"https://maps.google.com/?q=St%20Albert%20of%20Trapani%20(SVdP%20D3)%2011027%20S%20Gessner%20Rd%20Houston%20TX%2077071")</f>
        <v>https://maps.google.com/?q=St%20Albert%20of%20Trapani%20(SVdP%20D3)%2011027%20S%20Gessner%20Rd%20Houston%20TX%2077071</v>
      </c>
      <c r="X759" s="10"/>
      <c r="Y759" s="9" t="str">
        <f>IFERROR(__xludf.DUMMYFUNCTION("""COMPUTED_VALUE"""),"Houston")</f>
        <v>Houston</v>
      </c>
      <c r="Z759" s="9" t="str">
        <f>IFERROR(__xludf.DUMMYFUNCTION("""COMPUTED_VALUE"""),"Brays Oaks, Fondren Gardens, Westbury")</f>
        <v>Brays Oaks, Fondren Gardens, Westbury</v>
      </c>
      <c r="AA759" s="9" t="str">
        <f>IFERROR(__xludf.DUMMYFUNCTION("""COMPUTED_VALUE"""),"Society of St Vincent de Paul")</f>
        <v>Society of St Vincent de Paul</v>
      </c>
      <c r="AB759" s="9" t="str">
        <f>IFERROR(__xludf.DUMMYFUNCTION("""COMPUTED_VALUE"""),"Brays Oaks")</f>
        <v>Brays Oaks</v>
      </c>
    </row>
    <row r="760" ht="30.0" customHeight="1">
      <c r="A760" s="17">
        <v>759.0</v>
      </c>
      <c r="B760" s="8" t="str">
        <f>IFERROR(__xludf.DUMMYFUNCTION("""COMPUTED_VALUE"""),"[""77018"", ""77091"", ""77092""]")</f>
        <v>["77018", "77091", "77092"]</v>
      </c>
      <c r="C760" s="9" t="str">
        <f>IFERROR(__xludf.DUMMYFUNCTION("""COMPUTED_VALUE"""),"St Ambrose (SVdP D4)")</f>
        <v>St Ambrose (SVdP D4)</v>
      </c>
      <c r="D760" s="9" t="str">
        <f>IFERROR(__xludf.DUMMYFUNCTION("""COMPUTED_VALUE"""),"4213 Mangum Road")</f>
        <v>4213 Mangum Road</v>
      </c>
      <c r="E760" s="9"/>
      <c r="F760" s="9" t="str">
        <f>IFERROR(__xludf.DUMMYFUNCTION("""COMPUTED_VALUE"""),"Houston")</f>
        <v>Houston</v>
      </c>
      <c r="G760" s="9" t="str">
        <f>IFERROR(__xludf.DUMMYFUNCTION("""COMPUTED_VALUE"""),"TX")</f>
        <v>TX</v>
      </c>
      <c r="H760" s="9" t="str">
        <f>IFERROR(__xludf.DUMMYFUNCTION("""COMPUTED_VALUE"""),"77092")</f>
        <v>77092</v>
      </c>
      <c r="I760" s="9" t="str">
        <f>IFERROR(__xludf.DUMMYFUNCTION("""COMPUTED_VALUE"""),"713-686-3068")</f>
        <v>713-686-3068</v>
      </c>
      <c r="J760" s="9" t="str">
        <f>IFERROR(__xludf.DUMMYFUNCTION("""COMPUTED_VALUE"""),"29.8281529915654, -95.4622014254316")</f>
        <v>29.8281529915654, -95.4622014254316</v>
      </c>
      <c r="K760" s="9" t="str">
        <f>IFERROR(__xludf.DUMMYFUNCTION("""COMPUTED_VALUE"""),"{""regular"":[{""days"":[""Mo"",""We"",""Fr""],""open"":""09:00"",""close"":""11:00""}]}")</f>
        <v>{"regular":[{"days":["Mo","We","Fr"],"open":"09:00","close":"11:00"}]}</v>
      </c>
      <c r="L760" s="9"/>
      <c r="M760" s="10">
        <f>IFERROR(__xludf.DUMMYFUNCTION("""COMPUTED_VALUE"""),11.0)</f>
        <v>11</v>
      </c>
      <c r="N760" s="10" t="str">
        <f>IFERROR(__xludf.DUMMYFUNCTION("""COMPUTED_VALUE"""),"Rent")</f>
        <v>Rent</v>
      </c>
      <c r="O760" s="10">
        <f>IFERROR(__xludf.DUMMYFUNCTION("""COMPUTED_VALUE"""),1.0)</f>
        <v>1</v>
      </c>
      <c r="P760" s="10" t="str">
        <f>IFERROR(__xludf.DUMMYFUNCTION("""COMPUTED_VALUE"""),"ACTIVE")</f>
        <v>ACTIVE</v>
      </c>
      <c r="Q760" s="11"/>
      <c r="R760" s="9"/>
      <c r="S760" s="9"/>
      <c r="T760" s="12" t="b">
        <f>IFERROR(__xludf.DUMMYFUNCTION("""COMPUTED_VALUE"""),FALSE)</f>
        <v>0</v>
      </c>
      <c r="U760" s="12" t="b">
        <f>IFERROR(__xludf.DUMMYFUNCTION("""COMPUTED_VALUE"""),FALSE)</f>
        <v>0</v>
      </c>
      <c r="V760" s="13" t="str">
        <f>IFERROR(__xludf.DUMMYFUNCTION("""COMPUTED_VALUE"""),"https://stambrosehouston.org/")</f>
        <v>https://stambrosehouston.org/</v>
      </c>
      <c r="W760" s="14" t="str">
        <f>IFERROR(__xludf.DUMMYFUNCTION("""COMPUTED_VALUE"""),"https://maps.google.com/?q=St%20Ambrose%20(SVdP%20D4)%204213%20Mangum%20Rd%20Houston%20TX%2077092")</f>
        <v>https://maps.google.com/?q=St%20Ambrose%20(SVdP%20D4)%204213%20Mangum%20Rd%20Houston%20TX%2077092</v>
      </c>
      <c r="X760" s="10"/>
      <c r="Y760" s="9" t="str">
        <f>IFERROR(__xludf.DUMMYFUNCTION("""COMPUTED_VALUE"""),"Houston")</f>
        <v>Houston</v>
      </c>
      <c r="Z760" s="9" t="str">
        <f>IFERROR(__xludf.DUMMYFUNCTION("""COMPUTED_VALUE"""),"Central Northwest, Fairbanks / Northwest Crossing, Lazybrook / Timbergrove, Oak Forest West, Westside")</f>
        <v>Central Northwest, Fairbanks / Northwest Crossing, Lazybrook / Timbergrove, Oak Forest West, Westside</v>
      </c>
      <c r="AA760" s="9" t="str">
        <f>IFERROR(__xludf.DUMMYFUNCTION("""COMPUTED_VALUE"""),"Society of St Vincent de Paul")</f>
        <v>Society of St Vincent de Paul</v>
      </c>
      <c r="AB760" s="9" t="str">
        <f>IFERROR(__xludf.DUMMYFUNCTION("""COMPUTED_VALUE"""),"Central Northwest")</f>
        <v>Central Northwest</v>
      </c>
    </row>
    <row r="761" ht="30.0" customHeight="1">
      <c r="A761" s="17">
        <v>760.0</v>
      </c>
      <c r="B761" s="8" t="str">
        <f>IFERROR(__xludf.DUMMYFUNCTION("""COMPUTED_VALUE"""),"[""77018"", ""77091"", ""77092""]")</f>
        <v>["77018", "77091", "77092"]</v>
      </c>
      <c r="C761" s="9" t="str">
        <f>IFERROR(__xludf.DUMMYFUNCTION("""COMPUTED_VALUE"""),"St Ambrose (SVdP D4)")</f>
        <v>St Ambrose (SVdP D4)</v>
      </c>
      <c r="D761" s="9" t="str">
        <f>IFERROR(__xludf.DUMMYFUNCTION("""COMPUTED_VALUE"""),"4213 Mangum Road")</f>
        <v>4213 Mangum Road</v>
      </c>
      <c r="E761" s="9"/>
      <c r="F761" s="9" t="str">
        <f>IFERROR(__xludf.DUMMYFUNCTION("""COMPUTED_VALUE"""),"Houston")</f>
        <v>Houston</v>
      </c>
      <c r="G761" s="9" t="str">
        <f>IFERROR(__xludf.DUMMYFUNCTION("""COMPUTED_VALUE"""),"TX")</f>
        <v>TX</v>
      </c>
      <c r="H761" s="9" t="str">
        <f>IFERROR(__xludf.DUMMYFUNCTION("""COMPUTED_VALUE"""),"77092")</f>
        <v>77092</v>
      </c>
      <c r="I761" s="9" t="str">
        <f>IFERROR(__xludf.DUMMYFUNCTION("""COMPUTED_VALUE"""),"713-686-3068")</f>
        <v>713-686-3068</v>
      </c>
      <c r="J761" s="9" t="str">
        <f>IFERROR(__xludf.DUMMYFUNCTION("""COMPUTED_VALUE"""),"29.8281529915654, -95.4622014254316")</f>
        <v>29.8281529915654, -95.4622014254316</v>
      </c>
      <c r="K761" s="9" t="str">
        <f>IFERROR(__xludf.DUMMYFUNCTION("""COMPUTED_VALUE"""),"{""regular"":[{""days"":[""Mo"",""We"",""Fr""],""open"":""09:00"",""close"":""11:00""}]}")</f>
        <v>{"regular":[{"days":["Mo","We","Fr"],"open":"09:00","close":"11:00"}]}</v>
      </c>
      <c r="L761" s="9"/>
      <c r="M761" s="10">
        <f>IFERROR(__xludf.DUMMYFUNCTION("""COMPUTED_VALUE"""),12.0)</f>
        <v>12</v>
      </c>
      <c r="N761" s="10" t="str">
        <f>IFERROR(__xludf.DUMMYFUNCTION("""COMPUTED_VALUE"""),"Utilities")</f>
        <v>Utilities</v>
      </c>
      <c r="O761" s="10">
        <f>IFERROR(__xludf.DUMMYFUNCTION("""COMPUTED_VALUE"""),1.0)</f>
        <v>1</v>
      </c>
      <c r="P761" s="10" t="str">
        <f>IFERROR(__xludf.DUMMYFUNCTION("""COMPUTED_VALUE"""),"ACTIVE")</f>
        <v>ACTIVE</v>
      </c>
      <c r="Q761" s="11"/>
      <c r="R761" s="9"/>
      <c r="S761" s="9"/>
      <c r="T761" s="12" t="b">
        <f>IFERROR(__xludf.DUMMYFUNCTION("""COMPUTED_VALUE"""),FALSE)</f>
        <v>0</v>
      </c>
      <c r="U761" s="12" t="b">
        <f>IFERROR(__xludf.DUMMYFUNCTION("""COMPUTED_VALUE"""),FALSE)</f>
        <v>0</v>
      </c>
      <c r="V761" s="13" t="str">
        <f>IFERROR(__xludf.DUMMYFUNCTION("""COMPUTED_VALUE"""),"https://stambrosehouston.org/")</f>
        <v>https://stambrosehouston.org/</v>
      </c>
      <c r="W761" s="14" t="str">
        <f>IFERROR(__xludf.DUMMYFUNCTION("""COMPUTED_VALUE"""),"https://maps.google.com/?q=St%20Ambrose%20(SVdP%20D4)%204213%20Mangum%20Rd%20Houston%20TX%2077092")</f>
        <v>https://maps.google.com/?q=St%20Ambrose%20(SVdP%20D4)%204213%20Mangum%20Rd%20Houston%20TX%2077092</v>
      </c>
      <c r="X761" s="10"/>
      <c r="Y761" s="9" t="str">
        <f>IFERROR(__xludf.DUMMYFUNCTION("""COMPUTED_VALUE"""),"Houston")</f>
        <v>Houston</v>
      </c>
      <c r="Z761" s="9" t="str">
        <f>IFERROR(__xludf.DUMMYFUNCTION("""COMPUTED_VALUE"""),"Central Northwest, Fairbanks / Northwest Crossing, Lazybrook / Timbergrove, Oak Forest West, Westside")</f>
        <v>Central Northwest, Fairbanks / Northwest Crossing, Lazybrook / Timbergrove, Oak Forest West, Westside</v>
      </c>
      <c r="AA761" s="9" t="str">
        <f>IFERROR(__xludf.DUMMYFUNCTION("""COMPUTED_VALUE"""),"Society of St Vincent de Paul")</f>
        <v>Society of St Vincent de Paul</v>
      </c>
      <c r="AB761" s="9" t="str">
        <f>IFERROR(__xludf.DUMMYFUNCTION("""COMPUTED_VALUE"""),"Central Northwest")</f>
        <v>Central Northwest</v>
      </c>
    </row>
    <row r="762" ht="30.0" customHeight="1">
      <c r="A762" s="17">
        <v>761.0</v>
      </c>
      <c r="B762" s="8" t="str">
        <f>IFERROR(__xludf.DUMMYFUNCTION("""COMPUTED_VALUE"""),"[""77013"", ""77015"", ""77029"", ""77044"", ""77049"", ""77530""]")</f>
        <v>["77013", "77015", "77029", "77044", "77049", "77530"]</v>
      </c>
      <c r="C762" s="9" t="str">
        <f>IFERROR(__xludf.DUMMYFUNCTION("""COMPUTED_VALUE"""),"St Andrew (SVdP D5) Channelview")</f>
        <v>St Andrew (SVdP D5) Channelview</v>
      </c>
      <c r="D762" s="9" t="str">
        <f>IFERROR(__xludf.DUMMYFUNCTION("""COMPUTED_VALUE"""),"827 Sheldon Road")</f>
        <v>827 Sheldon Road</v>
      </c>
      <c r="E762" s="9"/>
      <c r="F762" s="9" t="str">
        <f>IFERROR(__xludf.DUMMYFUNCTION("""COMPUTED_VALUE"""),"Channelview")</f>
        <v>Channelview</v>
      </c>
      <c r="G762" s="9" t="str">
        <f>IFERROR(__xludf.DUMMYFUNCTION("""COMPUTED_VALUE"""),"TX")</f>
        <v>TX</v>
      </c>
      <c r="H762" s="9" t="str">
        <f>IFERROR(__xludf.DUMMYFUNCTION("""COMPUTED_VALUE"""),"77530")</f>
        <v>77530</v>
      </c>
      <c r="I762" s="9" t="str">
        <f>IFERROR(__xludf.DUMMYFUNCTION("""COMPUTED_VALUE"""),"281-457-2245")</f>
        <v>281-457-2245</v>
      </c>
      <c r="J762" s="9" t="str">
        <f>IFERROR(__xludf.DUMMYFUNCTION("""COMPUTED_VALUE"""),"29.790142455897, -95.1247004351348")</f>
        <v>29.790142455897, -95.1247004351348</v>
      </c>
      <c r="K762" s="9"/>
      <c r="L762" s="9"/>
      <c r="M762" s="10">
        <f>IFERROR(__xludf.DUMMYFUNCTION("""COMPUTED_VALUE"""),11.0)</f>
        <v>11</v>
      </c>
      <c r="N762" s="10" t="str">
        <f>IFERROR(__xludf.DUMMYFUNCTION("""COMPUTED_VALUE"""),"Rent")</f>
        <v>Rent</v>
      </c>
      <c r="O762" s="10">
        <f>IFERROR(__xludf.DUMMYFUNCTION("""COMPUTED_VALUE"""),1.0)</f>
        <v>1</v>
      </c>
      <c r="P762" s="10" t="str">
        <f>IFERROR(__xludf.DUMMYFUNCTION("""COMPUTED_VALUE"""),"ACTIVE")</f>
        <v>ACTIVE</v>
      </c>
      <c r="Q762" s="11">
        <f>IFERROR(__xludf.DUMMYFUNCTION("""COMPUTED_VALUE"""),45637.0)</f>
        <v>45637</v>
      </c>
      <c r="R762" s="9"/>
      <c r="S762" s="9"/>
      <c r="T762" s="12" t="b">
        <f>IFERROR(__xludf.DUMMYFUNCTION("""COMPUTED_VALUE"""),FALSE)</f>
        <v>0</v>
      </c>
      <c r="U762" s="12" t="b">
        <f>IFERROR(__xludf.DUMMYFUNCTION("""COMPUTED_VALUE"""),FALSE)</f>
        <v>0</v>
      </c>
      <c r="V762" s="13" t="str">
        <f>IFERROR(__xludf.DUMMYFUNCTION("""COMPUTED_VALUE"""),"http://www.standrewchurch.net/svdp.shtml")</f>
        <v>http://www.standrewchurch.net/svdp.shtml</v>
      </c>
      <c r="W762" s="14" t="str">
        <f>IFERROR(__xludf.DUMMYFUNCTION("""COMPUTED_VALUE"""),"https://maps.google.com/?q=St%20Andrew%20(SVdP%20D5)%20Channelview%20827%20Sheldon%20Rd%20Channelview%20TX%2077530")</f>
        <v>https://maps.google.com/?q=St%20Andrew%20(SVdP%20D5)%20Channelview%20827%20Sheldon%20Rd%20Channelview%20TX%2077530</v>
      </c>
      <c r="X762" s="10"/>
      <c r="Y762" s="9" t="str">
        <f>IFERROR(__xludf.DUMMYFUNCTION("""COMPUTED_VALUE"""),"Channelview")</f>
        <v>Channelview</v>
      </c>
      <c r="Z762" s="9" t="str">
        <f>IFERROR(__xludf.DUMMYFUNCTION("""COMPUTED_VALUE"""),"Channelview")</f>
        <v>Channelview</v>
      </c>
      <c r="AA762" s="9" t="str">
        <f>IFERROR(__xludf.DUMMYFUNCTION("""COMPUTED_VALUE"""),"Society of St Vincent de Paul")</f>
        <v>Society of St Vincent de Paul</v>
      </c>
      <c r="AB762" s="9" t="str">
        <f>IFERROR(__xludf.DUMMYFUNCTION("""COMPUTED_VALUE"""),"Channelview")</f>
        <v>Channelview</v>
      </c>
    </row>
    <row r="763" ht="30.0" customHeight="1">
      <c r="A763" s="17">
        <v>762.0</v>
      </c>
      <c r="B763" s="8" t="str">
        <f>IFERROR(__xludf.DUMMYFUNCTION("""COMPUTED_VALUE"""),"[""77013"", ""77015"", ""77029"", ""77044"", ""77049"", ""77530""]")</f>
        <v>["77013", "77015", "77029", "77044", "77049", "77530"]</v>
      </c>
      <c r="C763" s="9" t="str">
        <f>IFERROR(__xludf.DUMMYFUNCTION("""COMPUTED_VALUE"""),"St Andrew (SVdP D5) Channelview")</f>
        <v>St Andrew (SVdP D5) Channelview</v>
      </c>
      <c r="D763" s="9" t="str">
        <f>IFERROR(__xludf.DUMMYFUNCTION("""COMPUTED_VALUE"""),"827 Sheldon Road")</f>
        <v>827 Sheldon Road</v>
      </c>
      <c r="E763" s="9"/>
      <c r="F763" s="9" t="str">
        <f>IFERROR(__xludf.DUMMYFUNCTION("""COMPUTED_VALUE"""),"Channelview")</f>
        <v>Channelview</v>
      </c>
      <c r="G763" s="9" t="str">
        <f>IFERROR(__xludf.DUMMYFUNCTION("""COMPUTED_VALUE"""),"TX")</f>
        <v>TX</v>
      </c>
      <c r="H763" s="9" t="str">
        <f>IFERROR(__xludf.DUMMYFUNCTION("""COMPUTED_VALUE"""),"77530")</f>
        <v>77530</v>
      </c>
      <c r="I763" s="9" t="str">
        <f>IFERROR(__xludf.DUMMYFUNCTION("""COMPUTED_VALUE"""),"281-457-2245")</f>
        <v>281-457-2245</v>
      </c>
      <c r="J763" s="9" t="str">
        <f>IFERROR(__xludf.DUMMYFUNCTION("""COMPUTED_VALUE"""),"29.790142455897, -95.1247004351348")</f>
        <v>29.790142455897, -95.1247004351348</v>
      </c>
      <c r="K763" s="9"/>
      <c r="L763" s="9"/>
      <c r="M763" s="10">
        <f>IFERROR(__xludf.DUMMYFUNCTION("""COMPUTED_VALUE"""),12.0)</f>
        <v>12</v>
      </c>
      <c r="N763" s="10" t="str">
        <f>IFERROR(__xludf.DUMMYFUNCTION("""COMPUTED_VALUE"""),"Utilities")</f>
        <v>Utilities</v>
      </c>
      <c r="O763" s="10">
        <f>IFERROR(__xludf.DUMMYFUNCTION("""COMPUTED_VALUE"""),1.0)</f>
        <v>1</v>
      </c>
      <c r="P763" s="10" t="str">
        <f>IFERROR(__xludf.DUMMYFUNCTION("""COMPUTED_VALUE"""),"ACTIVE")</f>
        <v>ACTIVE</v>
      </c>
      <c r="Q763" s="11">
        <f>IFERROR(__xludf.DUMMYFUNCTION("""COMPUTED_VALUE"""),45637.0)</f>
        <v>45637</v>
      </c>
      <c r="R763" s="9"/>
      <c r="S763" s="9"/>
      <c r="T763" s="12" t="b">
        <f>IFERROR(__xludf.DUMMYFUNCTION("""COMPUTED_VALUE"""),FALSE)</f>
        <v>0</v>
      </c>
      <c r="U763" s="12" t="b">
        <f>IFERROR(__xludf.DUMMYFUNCTION("""COMPUTED_VALUE"""),FALSE)</f>
        <v>0</v>
      </c>
      <c r="V763" s="13" t="str">
        <f>IFERROR(__xludf.DUMMYFUNCTION("""COMPUTED_VALUE"""),"http://www.standrewchurch.net/svdp.shtml")</f>
        <v>http://www.standrewchurch.net/svdp.shtml</v>
      </c>
      <c r="W763" s="14" t="str">
        <f>IFERROR(__xludf.DUMMYFUNCTION("""COMPUTED_VALUE"""),"https://maps.google.com/?q=St%20Andrew%20(SVdP%20D5)%20Channelview%20827%20Sheldon%20Rd%20Channelview%20TX%2077530")</f>
        <v>https://maps.google.com/?q=St%20Andrew%20(SVdP%20D5)%20Channelview%20827%20Sheldon%20Rd%20Channelview%20TX%2077530</v>
      </c>
      <c r="X763" s="10"/>
      <c r="Y763" s="9" t="str">
        <f>IFERROR(__xludf.DUMMYFUNCTION("""COMPUTED_VALUE"""),"Channelview")</f>
        <v>Channelview</v>
      </c>
      <c r="Z763" s="9" t="str">
        <f>IFERROR(__xludf.DUMMYFUNCTION("""COMPUTED_VALUE"""),"Channelview")</f>
        <v>Channelview</v>
      </c>
      <c r="AA763" s="9" t="str">
        <f>IFERROR(__xludf.DUMMYFUNCTION("""COMPUTED_VALUE"""),"Society of St Vincent de Paul")</f>
        <v>Society of St Vincent de Paul</v>
      </c>
      <c r="AB763" s="9" t="str">
        <f>IFERROR(__xludf.DUMMYFUNCTION("""COMPUTED_VALUE"""),"Channelview")</f>
        <v>Channelview</v>
      </c>
    </row>
    <row r="764" ht="30.0" customHeight="1">
      <c r="A764" s="17">
        <v>763.0</v>
      </c>
      <c r="B764" s="8" t="str">
        <f>IFERROR(__xludf.DUMMYFUNCTION("""COMPUTED_VALUE"""),"[""77013"", ""77015"", ""77029"", ""77044"", ""77049"", ""77530""]")</f>
        <v>["77013", "77015", "77029", "77044", "77049", "77530"]</v>
      </c>
      <c r="C764" s="9" t="str">
        <f>IFERROR(__xludf.DUMMYFUNCTION("""COMPUTED_VALUE"""),"St Andrew (SVdP D5) Channelview")</f>
        <v>St Andrew (SVdP D5) Channelview</v>
      </c>
      <c r="D764" s="9" t="str">
        <f>IFERROR(__xludf.DUMMYFUNCTION("""COMPUTED_VALUE"""),"827 Sheldon Road")</f>
        <v>827 Sheldon Road</v>
      </c>
      <c r="E764" s="9"/>
      <c r="F764" s="9" t="str">
        <f>IFERROR(__xludf.DUMMYFUNCTION("""COMPUTED_VALUE"""),"Channelview")</f>
        <v>Channelview</v>
      </c>
      <c r="G764" s="9" t="str">
        <f>IFERROR(__xludf.DUMMYFUNCTION("""COMPUTED_VALUE"""),"TX")</f>
        <v>TX</v>
      </c>
      <c r="H764" s="9" t="str">
        <f>IFERROR(__xludf.DUMMYFUNCTION("""COMPUTED_VALUE"""),"77530")</f>
        <v>77530</v>
      </c>
      <c r="I764" s="9" t="str">
        <f>IFERROR(__xludf.DUMMYFUNCTION("""COMPUTED_VALUE"""),"281-457-2245")</f>
        <v>281-457-2245</v>
      </c>
      <c r="J764" s="9" t="str">
        <f>IFERROR(__xludf.DUMMYFUNCTION("""COMPUTED_VALUE"""),"29.790142455897, -95.1247004351348")</f>
        <v>29.790142455897, -95.1247004351348</v>
      </c>
      <c r="K764" s="9" t="str">
        <f>IFERROR(__xludf.DUMMYFUNCTION("""COMPUTED_VALUE"""),"{""regular"":[{""days"":[""Tu""],""open"":""17:00"",""close"":""18:00""}]}")</f>
        <v>{"regular":[{"days":["Tu"],"open":"17:00","close":"18:00"}]}</v>
      </c>
      <c r="L764" s="9"/>
      <c r="M764" s="10">
        <f>IFERROR(__xludf.DUMMYFUNCTION("""COMPUTED_VALUE"""),13.0)</f>
        <v>13</v>
      </c>
      <c r="N764" s="10" t="str">
        <f>IFERROR(__xludf.DUMMYFUNCTION("""COMPUTED_VALUE"""),"Food")</f>
        <v>Food</v>
      </c>
      <c r="O764" s="10">
        <f>IFERROR(__xludf.DUMMYFUNCTION("""COMPUTED_VALUE"""),1.0)</f>
        <v>1</v>
      </c>
      <c r="P764" s="10" t="str">
        <f>IFERROR(__xludf.DUMMYFUNCTION("""COMPUTED_VALUE"""),"ACTIVE")</f>
        <v>ACTIVE</v>
      </c>
      <c r="Q764" s="11">
        <f>IFERROR(__xludf.DUMMYFUNCTION("""COMPUTED_VALUE"""),45637.0)</f>
        <v>45637</v>
      </c>
      <c r="R764" s="9"/>
      <c r="S764" s="9"/>
      <c r="T764" s="12" t="b">
        <f>IFERROR(__xludf.DUMMYFUNCTION("""COMPUTED_VALUE"""),FALSE)</f>
        <v>0</v>
      </c>
      <c r="U764" s="12" t="b">
        <f>IFERROR(__xludf.DUMMYFUNCTION("""COMPUTED_VALUE"""),FALSE)</f>
        <v>0</v>
      </c>
      <c r="V764" s="13" t="str">
        <f>IFERROR(__xludf.DUMMYFUNCTION("""COMPUTED_VALUE"""),"http://mobile.7067.comcastbiz.net/our-daily-bread.shtml")</f>
        <v>http://mobile.7067.comcastbiz.net/our-daily-bread.shtml</v>
      </c>
      <c r="W764" s="14" t="str">
        <f>IFERROR(__xludf.DUMMYFUNCTION("""COMPUTED_VALUE"""),"https://maps.google.com/?q=St%20Andrew%20(SVdP%20D5)%20Channelview%20827%20Sheldon%20Rd%20Channelview%20TX%2077530")</f>
        <v>https://maps.google.com/?q=St%20Andrew%20(SVdP%20D5)%20Channelview%20827%20Sheldon%20Rd%20Channelview%20TX%2077530</v>
      </c>
      <c r="X764" s="10"/>
      <c r="Y764" s="9" t="str">
        <f>IFERROR(__xludf.DUMMYFUNCTION("""COMPUTED_VALUE"""),"Channelview")</f>
        <v>Channelview</v>
      </c>
      <c r="Z764" s="9" t="str">
        <f>IFERROR(__xludf.DUMMYFUNCTION("""COMPUTED_VALUE"""),"Channelview")</f>
        <v>Channelview</v>
      </c>
      <c r="AA764" s="9" t="str">
        <f>IFERROR(__xludf.DUMMYFUNCTION("""COMPUTED_VALUE"""),"Society of St Vincent de Paul")</f>
        <v>Society of St Vincent de Paul</v>
      </c>
      <c r="AB764" s="9" t="str">
        <f>IFERROR(__xludf.DUMMYFUNCTION("""COMPUTED_VALUE"""),"Channelview")</f>
        <v>Channelview</v>
      </c>
    </row>
    <row r="765" ht="30.0" customHeight="1">
      <c r="A765" s="17">
        <v>764.0</v>
      </c>
      <c r="B765" s="8" t="str">
        <f>IFERROR(__xludf.DUMMYFUNCTION("""COMPUTED_VALUE"""),"[""77459""]")</f>
        <v>["77459"]</v>
      </c>
      <c r="C765" s="9" t="str">
        <f>IFERROR(__xludf.DUMMYFUNCTION("""COMPUTED_VALUE"""),"St Angela Merici (SVdP D2)")</f>
        <v>St Angela Merici (SVdP D2)</v>
      </c>
      <c r="D765" s="9" t="str">
        <f>IFERROR(__xludf.DUMMYFUNCTION("""COMPUTED_VALUE"""),"9909 Sienna Ranch Road")</f>
        <v>9909 Sienna Ranch Road</v>
      </c>
      <c r="E765" s="9"/>
      <c r="F765" s="9" t="str">
        <f>IFERROR(__xludf.DUMMYFUNCTION("""COMPUTED_VALUE"""),"Missouri City")</f>
        <v>Missouri City</v>
      </c>
      <c r="G765" s="9" t="str">
        <f>IFERROR(__xludf.DUMMYFUNCTION("""COMPUTED_VALUE"""),"TX")</f>
        <v>TX</v>
      </c>
      <c r="H765" s="9" t="str">
        <f>IFERROR(__xludf.DUMMYFUNCTION("""COMPUTED_VALUE"""),"77459")</f>
        <v>77459</v>
      </c>
      <c r="I765" s="9" t="str">
        <f>IFERROR(__xludf.DUMMYFUNCTION("""COMPUTED_VALUE"""),"281-710-2002")</f>
        <v>281-710-2002</v>
      </c>
      <c r="J765" s="9" t="str">
        <f>IFERROR(__xludf.DUMMYFUNCTION("""COMPUTED_VALUE"""),"29.5215836046374, -95.5547873163619")</f>
        <v>29.5215836046374, -95.5547873163619</v>
      </c>
      <c r="K765" s="9"/>
      <c r="L765" s="9" t="str">
        <f>IFERROR(__xludf.DUMMYFUNCTION("""COMPUTED_VALUE"""),"Leave message")</f>
        <v>Leave message</v>
      </c>
      <c r="M765" s="10">
        <f>IFERROR(__xludf.DUMMYFUNCTION("""COMPUTED_VALUE"""),11.0)</f>
        <v>11</v>
      </c>
      <c r="N765" s="10" t="str">
        <f>IFERROR(__xludf.DUMMYFUNCTION("""COMPUTED_VALUE"""),"Rent")</f>
        <v>Rent</v>
      </c>
      <c r="O765" s="10">
        <f>IFERROR(__xludf.DUMMYFUNCTION("""COMPUTED_VALUE"""),1.0)</f>
        <v>1</v>
      </c>
      <c r="P765" s="10" t="str">
        <f>IFERROR(__xludf.DUMMYFUNCTION("""COMPUTED_VALUE"""),"ACTIVE")</f>
        <v>ACTIVE</v>
      </c>
      <c r="Q765" s="11">
        <f>IFERROR(__xludf.DUMMYFUNCTION("""COMPUTED_VALUE"""),45637.0)</f>
        <v>45637</v>
      </c>
      <c r="R765" s="9"/>
      <c r="S765" s="9"/>
      <c r="T765" s="12" t="b">
        <f>IFERROR(__xludf.DUMMYFUNCTION("""COMPUTED_VALUE"""),FALSE)</f>
        <v>0</v>
      </c>
      <c r="U765" s="12" t="b">
        <f>IFERROR(__xludf.DUMMYFUNCTION("""COMPUTED_VALUE"""),FALSE)</f>
        <v>0</v>
      </c>
      <c r="V765" s="13" t="str">
        <f>IFERROR(__xludf.DUMMYFUNCTION("""COMPUTED_VALUE"""),"https://stamericigh.com/svdp")</f>
        <v>https://stamericigh.com/svdp</v>
      </c>
      <c r="W765" s="14" t="str">
        <f>IFERROR(__xludf.DUMMYFUNCTION("""COMPUTED_VALUE"""),"https://maps.google.com/?q=St%20Angela%20Merici%20(SVdP%20D2)%209909%20Sienna%20Ranch%20Rd%20Missouri%20City%20TX%2077459")</f>
        <v>https://maps.google.com/?q=St%20Angela%20Merici%20(SVdP%20D2)%209909%20Sienna%20Ranch%20Rd%20Missouri%20City%20TX%2077459</v>
      </c>
      <c r="X765" s="10"/>
      <c r="Y765" s="9" t="str">
        <f>IFERROR(__xludf.DUMMYFUNCTION("""COMPUTED_VALUE"""),"Missouri City")</f>
        <v>Missouri City</v>
      </c>
      <c r="Z765" s="9" t="str">
        <f>IFERROR(__xludf.DUMMYFUNCTION("""COMPUTED_VALUE"""),"Missouri City, Plantation Park, Sienna")</f>
        <v>Missouri City, Plantation Park, Sienna</v>
      </c>
      <c r="AA765" s="9" t="str">
        <f>IFERROR(__xludf.DUMMYFUNCTION("""COMPUTED_VALUE"""),"Society of St Vincent de Paul")</f>
        <v>Society of St Vincent de Paul</v>
      </c>
      <c r="AB765" s="9" t="str">
        <f>IFERROR(__xludf.DUMMYFUNCTION("""COMPUTED_VALUE"""),"Missouri City")</f>
        <v>Missouri City</v>
      </c>
    </row>
    <row r="766" ht="30.0" customHeight="1">
      <c r="A766" s="17">
        <v>765.0</v>
      </c>
      <c r="B766" s="8" t="str">
        <f>IFERROR(__xludf.DUMMYFUNCTION("""COMPUTED_VALUE"""),"[""77459""]")</f>
        <v>["77459"]</v>
      </c>
      <c r="C766" s="9" t="str">
        <f>IFERROR(__xludf.DUMMYFUNCTION("""COMPUTED_VALUE"""),"St Angela Merici (SVdP D2)")</f>
        <v>St Angela Merici (SVdP D2)</v>
      </c>
      <c r="D766" s="9" t="str">
        <f>IFERROR(__xludf.DUMMYFUNCTION("""COMPUTED_VALUE"""),"9909 Sienna Ranch Road")</f>
        <v>9909 Sienna Ranch Road</v>
      </c>
      <c r="E766" s="9"/>
      <c r="F766" s="9" t="str">
        <f>IFERROR(__xludf.DUMMYFUNCTION("""COMPUTED_VALUE"""),"Missouri City")</f>
        <v>Missouri City</v>
      </c>
      <c r="G766" s="9" t="str">
        <f>IFERROR(__xludf.DUMMYFUNCTION("""COMPUTED_VALUE"""),"TX")</f>
        <v>TX</v>
      </c>
      <c r="H766" s="9" t="str">
        <f>IFERROR(__xludf.DUMMYFUNCTION("""COMPUTED_VALUE"""),"77459")</f>
        <v>77459</v>
      </c>
      <c r="I766" s="9" t="str">
        <f>IFERROR(__xludf.DUMMYFUNCTION("""COMPUTED_VALUE"""),"281-710-2002")</f>
        <v>281-710-2002</v>
      </c>
      <c r="J766" s="9" t="str">
        <f>IFERROR(__xludf.DUMMYFUNCTION("""COMPUTED_VALUE"""),"29.5215836046374, -95.5547873163619")</f>
        <v>29.5215836046374, -95.5547873163619</v>
      </c>
      <c r="K766" s="9"/>
      <c r="L766" s="9"/>
      <c r="M766" s="10">
        <f>IFERROR(__xludf.DUMMYFUNCTION("""COMPUTED_VALUE"""),12.0)</f>
        <v>12</v>
      </c>
      <c r="N766" s="10" t="str">
        <f>IFERROR(__xludf.DUMMYFUNCTION("""COMPUTED_VALUE"""),"Utilities")</f>
        <v>Utilities</v>
      </c>
      <c r="O766" s="10">
        <f>IFERROR(__xludf.DUMMYFUNCTION("""COMPUTED_VALUE"""),1.0)</f>
        <v>1</v>
      </c>
      <c r="P766" s="10" t="str">
        <f>IFERROR(__xludf.DUMMYFUNCTION("""COMPUTED_VALUE"""),"ACTIVE")</f>
        <v>ACTIVE</v>
      </c>
      <c r="Q766" s="11">
        <f>IFERROR(__xludf.DUMMYFUNCTION("""COMPUTED_VALUE"""),45637.0)</f>
        <v>45637</v>
      </c>
      <c r="R766" s="9"/>
      <c r="S766" s="9"/>
      <c r="T766" s="12" t="b">
        <f>IFERROR(__xludf.DUMMYFUNCTION("""COMPUTED_VALUE"""),FALSE)</f>
        <v>0</v>
      </c>
      <c r="U766" s="12" t="b">
        <f>IFERROR(__xludf.DUMMYFUNCTION("""COMPUTED_VALUE"""),FALSE)</f>
        <v>0</v>
      </c>
      <c r="V766" s="13" t="str">
        <f>IFERROR(__xludf.DUMMYFUNCTION("""COMPUTED_VALUE"""),"https://stamericigh.com/svdp")</f>
        <v>https://stamericigh.com/svdp</v>
      </c>
      <c r="W766" s="14" t="str">
        <f>IFERROR(__xludf.DUMMYFUNCTION("""COMPUTED_VALUE"""),"https://maps.google.com/?q=St%20Angela%20Merici%20(SVdP%20D2)%209909%20Sienna%20Ranch%20Rd%20Missouri%20City%20TX%2077459")</f>
        <v>https://maps.google.com/?q=St%20Angela%20Merici%20(SVdP%20D2)%209909%20Sienna%20Ranch%20Rd%20Missouri%20City%20TX%2077459</v>
      </c>
      <c r="X766" s="10"/>
      <c r="Y766" s="9" t="str">
        <f>IFERROR(__xludf.DUMMYFUNCTION("""COMPUTED_VALUE"""),"Missouri City")</f>
        <v>Missouri City</v>
      </c>
      <c r="Z766" s="9" t="str">
        <f>IFERROR(__xludf.DUMMYFUNCTION("""COMPUTED_VALUE"""),"Missouri City, Plantation Park, Sienna")</f>
        <v>Missouri City, Plantation Park, Sienna</v>
      </c>
      <c r="AA766" s="9" t="str">
        <f>IFERROR(__xludf.DUMMYFUNCTION("""COMPUTED_VALUE"""),"Society of St Vincent de Paul")</f>
        <v>Society of St Vincent de Paul</v>
      </c>
      <c r="AB766" s="9" t="str">
        <f>IFERROR(__xludf.DUMMYFUNCTION("""COMPUTED_VALUE"""),"Missouri City")</f>
        <v>Missouri City</v>
      </c>
    </row>
    <row r="767" ht="30.0" customHeight="1">
      <c r="A767" s="17">
        <v>766.0</v>
      </c>
      <c r="B767" s="8" t="str">
        <f>IFERROR(__xludf.DUMMYFUNCTION("""COMPUTED_VALUE"""),"[""77006"", ""77019"", ""77027"", ""77098""]")</f>
        <v>["77006", "77019", "77027", "77098"]</v>
      </c>
      <c r="C767" s="9" t="str">
        <f>IFERROR(__xludf.DUMMYFUNCTION("""COMPUTED_VALUE"""),"St Anne (SVdP)")</f>
        <v>St Anne (SVdP)</v>
      </c>
      <c r="D767" s="9" t="str">
        <f>IFERROR(__xludf.DUMMYFUNCTION("""COMPUTED_VALUE"""),"2140 Westheimer Road")</f>
        <v>2140 Westheimer Road</v>
      </c>
      <c r="E767" s="9"/>
      <c r="F767" s="9" t="str">
        <f>IFERROR(__xludf.DUMMYFUNCTION("""COMPUTED_VALUE"""),"Houston")</f>
        <v>Houston</v>
      </c>
      <c r="G767" s="9" t="str">
        <f>IFERROR(__xludf.DUMMYFUNCTION("""COMPUTED_VALUE"""),"TX")</f>
        <v>TX</v>
      </c>
      <c r="H767" s="9" t="str">
        <f>IFERROR(__xludf.DUMMYFUNCTION("""COMPUTED_VALUE"""),"77098")</f>
        <v>77098</v>
      </c>
      <c r="I767" s="9" t="str">
        <f>IFERROR(__xludf.DUMMYFUNCTION("""COMPUTED_VALUE"""),"832-852-1300")</f>
        <v>832-852-1300</v>
      </c>
      <c r="J767" s="9" t="str">
        <f>IFERROR(__xludf.DUMMYFUNCTION("""COMPUTED_VALUE"""),"29.7429742, -95.4126190672117")</f>
        <v>29.7429742, -95.4126190672117</v>
      </c>
      <c r="K767" s="9"/>
      <c r="L767" s="9" t="str">
        <f>IFERROR(__xludf.DUMMYFUNCTION("""COMPUTED_VALUE"""),"Leave message")</f>
        <v>Leave message</v>
      </c>
      <c r="M767" s="10">
        <f>IFERROR(__xludf.DUMMYFUNCTION("""COMPUTED_VALUE"""),11.0)</f>
        <v>11</v>
      </c>
      <c r="N767" s="10" t="str">
        <f>IFERROR(__xludf.DUMMYFUNCTION("""COMPUTED_VALUE"""),"Rent")</f>
        <v>Rent</v>
      </c>
      <c r="O767" s="10">
        <f>IFERROR(__xludf.DUMMYFUNCTION("""COMPUTED_VALUE"""),1.0)</f>
        <v>1</v>
      </c>
      <c r="P767" s="10" t="str">
        <f>IFERROR(__xludf.DUMMYFUNCTION("""COMPUTED_VALUE"""),"ACTIVE")</f>
        <v>ACTIVE</v>
      </c>
      <c r="Q767" s="11">
        <f>IFERROR(__xludf.DUMMYFUNCTION("""COMPUTED_VALUE"""),45758.0)</f>
        <v>45758</v>
      </c>
      <c r="R767" s="9"/>
      <c r="S767" s="9"/>
      <c r="T767" s="12" t="b">
        <f>IFERROR(__xludf.DUMMYFUNCTION("""COMPUTED_VALUE"""),FALSE)</f>
        <v>0</v>
      </c>
      <c r="U767" s="12" t="b">
        <f>IFERROR(__xludf.DUMMYFUNCTION("""COMPUTED_VALUE"""),FALSE)</f>
        <v>0</v>
      </c>
      <c r="V767" s="13" t="str">
        <f>IFERROR(__xludf.DUMMYFUNCTION("""COMPUTED_VALUE"""),"https://www.saintanne.org/outreach-ministries#societyofstvincentdepaul")</f>
        <v>https://www.saintanne.org/outreach-ministries#societyofstvincentdepaul</v>
      </c>
      <c r="W767" s="14" t="str">
        <f>IFERROR(__xludf.DUMMYFUNCTION("""COMPUTED_VALUE"""),"https://maps.google.com/?q=St%20Anne%20(SVdP)%202140%20Westheimer%20Rd%20Houston%20TX%2077098")</f>
        <v>https://maps.google.com/?q=St%20Anne%20(SVdP)%202140%20Westheimer%20Rd%20Houston%20TX%2077098</v>
      </c>
      <c r="X767" s="10"/>
      <c r="Y767" s="9" t="str">
        <f>IFERROR(__xludf.DUMMYFUNCTION("""COMPUTED_VALUE"""),"Houston")</f>
        <v>Houston</v>
      </c>
      <c r="Z767" s="9" t="str">
        <f>IFERROR(__xludf.DUMMYFUNCTION("""COMPUTED_VALUE"""),"Greenway / Upper Kirby Area, River Oaks, Upper Kirby")</f>
        <v>Greenway / Upper Kirby Area, River Oaks, Upper Kirby</v>
      </c>
      <c r="AA767" s="9" t="str">
        <f>IFERROR(__xludf.DUMMYFUNCTION("""COMPUTED_VALUE"""),"Society of St Vincent de Paul")</f>
        <v>Society of St Vincent de Paul</v>
      </c>
      <c r="AB767" s="9" t="str">
        <f>IFERROR(__xludf.DUMMYFUNCTION("""COMPUTED_VALUE"""),"River Oaks")</f>
        <v>River Oaks</v>
      </c>
    </row>
    <row r="768" ht="30.0" customHeight="1">
      <c r="A768" s="17">
        <v>767.0</v>
      </c>
      <c r="B768" s="8" t="str">
        <f>IFERROR(__xludf.DUMMYFUNCTION("""COMPUTED_VALUE"""),"[""77006"", ""77019"", ""77027"", ""77098""]")</f>
        <v>["77006", "77019", "77027", "77098"]</v>
      </c>
      <c r="C768" s="9" t="str">
        <f>IFERROR(__xludf.DUMMYFUNCTION("""COMPUTED_VALUE"""),"St Anne (SVdP)")</f>
        <v>St Anne (SVdP)</v>
      </c>
      <c r="D768" s="9" t="str">
        <f>IFERROR(__xludf.DUMMYFUNCTION("""COMPUTED_VALUE"""),"2140 Westheimer Road")</f>
        <v>2140 Westheimer Road</v>
      </c>
      <c r="E768" s="9"/>
      <c r="F768" s="9" t="str">
        <f>IFERROR(__xludf.DUMMYFUNCTION("""COMPUTED_VALUE"""),"Houston")</f>
        <v>Houston</v>
      </c>
      <c r="G768" s="9" t="str">
        <f>IFERROR(__xludf.DUMMYFUNCTION("""COMPUTED_VALUE"""),"TX")</f>
        <v>TX</v>
      </c>
      <c r="H768" s="9" t="str">
        <f>IFERROR(__xludf.DUMMYFUNCTION("""COMPUTED_VALUE"""),"77098")</f>
        <v>77098</v>
      </c>
      <c r="I768" s="9" t="str">
        <f>IFERROR(__xludf.DUMMYFUNCTION("""COMPUTED_VALUE"""),"832-852-1300")</f>
        <v>832-852-1300</v>
      </c>
      <c r="J768" s="9" t="str">
        <f>IFERROR(__xludf.DUMMYFUNCTION("""COMPUTED_VALUE"""),"29.7429742, -95.4126190672117")</f>
        <v>29.7429742, -95.4126190672117</v>
      </c>
      <c r="K768" s="9"/>
      <c r="L768" s="9" t="str">
        <f>IFERROR(__xludf.DUMMYFUNCTION("""COMPUTED_VALUE"""),"Leave message")</f>
        <v>Leave message</v>
      </c>
      <c r="M768" s="10">
        <f>IFERROR(__xludf.DUMMYFUNCTION("""COMPUTED_VALUE"""),12.0)</f>
        <v>12</v>
      </c>
      <c r="N768" s="10" t="str">
        <f>IFERROR(__xludf.DUMMYFUNCTION("""COMPUTED_VALUE"""),"Utilities")</f>
        <v>Utilities</v>
      </c>
      <c r="O768" s="10">
        <f>IFERROR(__xludf.DUMMYFUNCTION("""COMPUTED_VALUE"""),1.0)</f>
        <v>1</v>
      </c>
      <c r="P768" s="10" t="str">
        <f>IFERROR(__xludf.DUMMYFUNCTION("""COMPUTED_VALUE"""),"ACTIVE")</f>
        <v>ACTIVE</v>
      </c>
      <c r="Q768" s="11">
        <f>IFERROR(__xludf.DUMMYFUNCTION("""COMPUTED_VALUE"""),45758.0)</f>
        <v>45758</v>
      </c>
      <c r="R768" s="9"/>
      <c r="S768" s="9"/>
      <c r="T768" s="12" t="b">
        <f>IFERROR(__xludf.DUMMYFUNCTION("""COMPUTED_VALUE"""),FALSE)</f>
        <v>0</v>
      </c>
      <c r="U768" s="12" t="b">
        <f>IFERROR(__xludf.DUMMYFUNCTION("""COMPUTED_VALUE"""),FALSE)</f>
        <v>0</v>
      </c>
      <c r="V768" s="13" t="str">
        <f>IFERROR(__xludf.DUMMYFUNCTION("""COMPUTED_VALUE"""),"https://www.saintanne.org/outreach-ministries#societyofstvincentdepaul")</f>
        <v>https://www.saintanne.org/outreach-ministries#societyofstvincentdepaul</v>
      </c>
      <c r="W768" s="14" t="str">
        <f>IFERROR(__xludf.DUMMYFUNCTION("""COMPUTED_VALUE"""),"https://maps.google.com/?q=St%20Anne%20(SVdP)%202140%20Westheimer%20Rd%20Houston%20TX%2077098")</f>
        <v>https://maps.google.com/?q=St%20Anne%20(SVdP)%202140%20Westheimer%20Rd%20Houston%20TX%2077098</v>
      </c>
      <c r="X768" s="10"/>
      <c r="Y768" s="9" t="str">
        <f>IFERROR(__xludf.DUMMYFUNCTION("""COMPUTED_VALUE"""),"Houston")</f>
        <v>Houston</v>
      </c>
      <c r="Z768" s="9" t="str">
        <f>IFERROR(__xludf.DUMMYFUNCTION("""COMPUTED_VALUE"""),"Greenway / Upper Kirby Area, River Oaks, Upper Kirby")</f>
        <v>Greenway / Upper Kirby Area, River Oaks, Upper Kirby</v>
      </c>
      <c r="AA768" s="9" t="str">
        <f>IFERROR(__xludf.DUMMYFUNCTION("""COMPUTED_VALUE"""),"Society of St Vincent de Paul")</f>
        <v>Society of St Vincent de Paul</v>
      </c>
      <c r="AB768" s="9" t="str">
        <f>IFERROR(__xludf.DUMMYFUNCTION("""COMPUTED_VALUE"""),"River Oaks")</f>
        <v>River Oaks</v>
      </c>
    </row>
    <row r="769" ht="30.0" customHeight="1">
      <c r="A769" s="17">
        <v>768.0</v>
      </c>
      <c r="B769" s="8" t="str">
        <f>IFERROR(__xludf.DUMMYFUNCTION("""COMPUTED_VALUE"""),"[""77018"", ""77022""]")</f>
        <v>["77018", "77022"]</v>
      </c>
      <c r="C769" s="9" t="str">
        <f>IFERROR(__xludf.DUMMYFUNCTION("""COMPUTED_VALUE"""),"St Anne de Beaupre (SVdP D1)")</f>
        <v>St Anne de Beaupre (SVdP D1)</v>
      </c>
      <c r="D769" s="9" t="str">
        <f>IFERROR(__xludf.DUMMYFUNCTION("""COMPUTED_VALUE"""),"2810 Link Road")</f>
        <v>2810 Link Road</v>
      </c>
      <c r="E769" s="9"/>
      <c r="F769" s="9" t="str">
        <f>IFERROR(__xludf.DUMMYFUNCTION("""COMPUTED_VALUE"""),"Houston")</f>
        <v>Houston</v>
      </c>
      <c r="G769" s="9" t="str">
        <f>IFERROR(__xludf.DUMMYFUNCTION("""COMPUTED_VALUE"""),"TX")</f>
        <v>TX</v>
      </c>
      <c r="H769" s="9" t="str">
        <f>IFERROR(__xludf.DUMMYFUNCTION("""COMPUTED_VALUE"""),"77009")</f>
        <v>77009</v>
      </c>
      <c r="I769" s="9" t="str">
        <f>IFERROR(__xludf.DUMMYFUNCTION("""COMPUTED_VALUE"""),"713-868-1157")</f>
        <v>713-868-1157</v>
      </c>
      <c r="J769" s="9" t="str">
        <f>IFERROR(__xludf.DUMMYFUNCTION("""COMPUTED_VALUE"""),"29.813209, -95.386005")</f>
        <v>29.813209, -95.386005</v>
      </c>
      <c r="K769" s="9" t="str">
        <f>IFERROR(__xludf.DUMMYFUNCTION("""COMPUTED_VALUE"""),"{""regular"":[{""days"":[""Fr""],""open"":""08:00"",""close"":""11:00""}]}")</f>
        <v>{"regular":[{"days":["Fr"],"open":"08:00","close":"11:00"}]}</v>
      </c>
      <c r="L769" s="9"/>
      <c r="M769" s="10">
        <f>IFERROR(__xludf.DUMMYFUNCTION("""COMPUTED_VALUE"""),13.0)</f>
        <v>13</v>
      </c>
      <c r="N769" s="10" t="str">
        <f>IFERROR(__xludf.DUMMYFUNCTION("""COMPUTED_VALUE"""),"Food")</f>
        <v>Food</v>
      </c>
      <c r="O769" s="10">
        <f>IFERROR(__xludf.DUMMYFUNCTION("""COMPUTED_VALUE"""),1.0)</f>
        <v>1</v>
      </c>
      <c r="P769" s="10" t="str">
        <f>IFERROR(__xludf.DUMMYFUNCTION("""COMPUTED_VALUE"""),"ACTIVE")</f>
        <v>ACTIVE</v>
      </c>
      <c r="Q769" s="11"/>
      <c r="R769" s="9"/>
      <c r="S769" s="9"/>
      <c r="T769" s="12" t="b">
        <f>IFERROR(__xludf.DUMMYFUNCTION("""COMPUTED_VALUE"""),FALSE)</f>
        <v>0</v>
      </c>
      <c r="U769" s="12" t="b">
        <f>IFERROR(__xludf.DUMMYFUNCTION("""COMPUTED_VALUE"""),FALSE)</f>
        <v>0</v>
      </c>
      <c r="V769" s="13" t="str">
        <f>IFERROR(__xludf.DUMMYFUNCTION("""COMPUTED_VALUE"""),"https://www.archgh.org/parishes/st-anne-de-beaupre-houston/")</f>
        <v>https://www.archgh.org/parishes/st-anne-de-beaupre-houston/</v>
      </c>
      <c r="W769" s="14" t="str">
        <f>IFERROR(__xludf.DUMMYFUNCTION("""COMPUTED_VALUE"""),"https://maps.google.com/?q=St%20Anne%20de%20Beaupre%20(SVdP%20D1)%202810%20Link%20Rd%20Houston%20TX%2077009")</f>
        <v>https://maps.google.com/?q=St%20Anne%20de%20Beaupre%20(SVdP%20D1)%202810%20Link%20Rd%20Houston%20TX%2077009</v>
      </c>
      <c r="X769" s="10"/>
      <c r="Y769" s="9" t="str">
        <f>IFERROR(__xludf.DUMMYFUNCTION("""COMPUTED_VALUE"""),"Houston")</f>
        <v>Houston</v>
      </c>
      <c r="Z769" s="9" t="str">
        <f>IFERROR(__xludf.DUMMYFUNCTION("""COMPUTED_VALUE"""),"Lindale Park, Near Northside, Northside, Woodland Heights")</f>
        <v>Lindale Park, Near Northside, Northside, Woodland Heights</v>
      </c>
      <c r="AA769" s="9" t="str">
        <f>IFERROR(__xludf.DUMMYFUNCTION("""COMPUTED_VALUE"""),"Society of St Vincent de Paul")</f>
        <v>Society of St Vincent de Paul</v>
      </c>
      <c r="AB769" s="9" t="str">
        <f>IFERROR(__xludf.DUMMYFUNCTION("""COMPUTED_VALUE"""),"Northside")</f>
        <v>Northside</v>
      </c>
    </row>
    <row r="770" ht="30.0" customHeight="1">
      <c r="A770" s="17">
        <v>769.0</v>
      </c>
      <c r="B770" s="8" t="str">
        <f>IFERROR(__xludf.DUMMYFUNCTION("""COMPUTED_VALUE"""),"[""77375"", ""77377""]")</f>
        <v>["77375", "77377"]</v>
      </c>
      <c r="C770" s="9" t="str">
        <f>IFERROR(__xludf.DUMMYFUNCTION("""COMPUTED_VALUE"""),"St Anne Tomball (SVdP D6)")</f>
        <v>St Anne Tomball (SVdP D6)</v>
      </c>
      <c r="D770" s="9" t="str">
        <f>IFERROR(__xludf.DUMMYFUNCTION("""COMPUTED_VALUE"""),"1111 S Cherry Street")</f>
        <v>1111 S Cherry Street</v>
      </c>
      <c r="E770" s="9"/>
      <c r="F770" s="9" t="str">
        <f>IFERROR(__xludf.DUMMYFUNCTION("""COMPUTED_VALUE"""),"Tomball")</f>
        <v>Tomball</v>
      </c>
      <c r="G770" s="9" t="str">
        <f>IFERROR(__xludf.DUMMYFUNCTION("""COMPUTED_VALUE"""),"TX")</f>
        <v>TX</v>
      </c>
      <c r="H770" s="9" t="str">
        <f>IFERROR(__xludf.DUMMYFUNCTION("""COMPUTED_VALUE"""),"77375")</f>
        <v>77375</v>
      </c>
      <c r="I770" s="9" t="str">
        <f>IFERROR(__xludf.DUMMYFUNCTION("""COMPUTED_VALUE"""),"281-255-2894")</f>
        <v>281-255-2894</v>
      </c>
      <c r="J770" s="9" t="str">
        <f>IFERROR(__xludf.DUMMYFUNCTION("""COMPUTED_VALUE"""),"30.0886827346939, -95.6114812244898")</f>
        <v>30.0886827346939, -95.6114812244898</v>
      </c>
      <c r="K770" s="9"/>
      <c r="L770" s="9" t="str">
        <f>IFERROR(__xludf.DUMMYFUNCTION("""COMPUTED_VALUE"""),"Appointment required")</f>
        <v>Appointment required</v>
      </c>
      <c r="M770" s="10">
        <f>IFERROR(__xludf.DUMMYFUNCTION("""COMPUTED_VALUE"""),11.0)</f>
        <v>11</v>
      </c>
      <c r="N770" s="10" t="str">
        <f>IFERROR(__xludf.DUMMYFUNCTION("""COMPUTED_VALUE"""),"Rent")</f>
        <v>Rent</v>
      </c>
      <c r="O770" s="10">
        <f>IFERROR(__xludf.DUMMYFUNCTION("""COMPUTED_VALUE"""),1.0)</f>
        <v>1</v>
      </c>
      <c r="P770" s="10" t="str">
        <f>IFERROR(__xludf.DUMMYFUNCTION("""COMPUTED_VALUE"""),"ACTIVE")</f>
        <v>ACTIVE</v>
      </c>
      <c r="Q770" s="11">
        <f>IFERROR(__xludf.DUMMYFUNCTION("""COMPUTED_VALUE"""),45637.0)</f>
        <v>45637</v>
      </c>
      <c r="R770" s="9"/>
      <c r="S770" s="9"/>
      <c r="T770" s="12" t="b">
        <f>IFERROR(__xludf.DUMMYFUNCTION("""COMPUTED_VALUE"""),FALSE)</f>
        <v>0</v>
      </c>
      <c r="U770" s="12" t="b">
        <f>IFERROR(__xludf.DUMMYFUNCTION("""COMPUTED_VALUE"""),FALSE)</f>
        <v>0</v>
      </c>
      <c r="V770" s="13" t="str">
        <f>IFERROR(__xludf.DUMMYFUNCTION("""COMPUTED_VALUE"""),"https://stanne-tomball.org/st-vincent-de-paul")</f>
        <v>https://stanne-tomball.org/st-vincent-de-paul</v>
      </c>
      <c r="W770" s="14" t="str">
        <f>IFERROR(__xludf.DUMMYFUNCTION("""COMPUTED_VALUE"""),"https://maps.google.com/?q=St%20Anne%20Tomball%20(SVdP%20D6)%201111%20S%20Cherry%20St%20Tomball%20TX%2077375")</f>
        <v>https://maps.google.com/?q=St%20Anne%20Tomball%20(SVdP%20D6)%201111%20S%20Cherry%20St%20Tomball%20TX%2077375</v>
      </c>
      <c r="X770" s="10"/>
      <c r="Y770" s="9" t="str">
        <f>IFERROR(__xludf.DUMMYFUNCTION("""COMPUTED_VALUE"""),"Tomball")</f>
        <v>Tomball</v>
      </c>
      <c r="Z770" s="9" t="str">
        <f>IFERROR(__xludf.DUMMYFUNCTION("""COMPUTED_VALUE"""),"Northpointe, Tomball")</f>
        <v>Northpointe, Tomball</v>
      </c>
      <c r="AA770" s="9" t="str">
        <f>IFERROR(__xludf.DUMMYFUNCTION("""COMPUTED_VALUE"""),"Society of St Vincent de Paul")</f>
        <v>Society of St Vincent de Paul</v>
      </c>
      <c r="AB770" s="9" t="str">
        <f>IFERROR(__xludf.DUMMYFUNCTION("""COMPUTED_VALUE"""),"Tomball")</f>
        <v>Tomball</v>
      </c>
    </row>
    <row r="771" ht="30.0" customHeight="1">
      <c r="A771" s="17">
        <v>770.0</v>
      </c>
      <c r="B771" s="8" t="str">
        <f>IFERROR(__xludf.DUMMYFUNCTION("""COMPUTED_VALUE"""),"[""77375"", ""77377""]")</f>
        <v>["77375", "77377"]</v>
      </c>
      <c r="C771" s="9" t="str">
        <f>IFERROR(__xludf.DUMMYFUNCTION("""COMPUTED_VALUE"""),"St Anne Tomball (SVdP D6)")</f>
        <v>St Anne Tomball (SVdP D6)</v>
      </c>
      <c r="D771" s="9" t="str">
        <f>IFERROR(__xludf.DUMMYFUNCTION("""COMPUTED_VALUE"""),"1111 S Cherry Street")</f>
        <v>1111 S Cherry Street</v>
      </c>
      <c r="E771" s="9"/>
      <c r="F771" s="9" t="str">
        <f>IFERROR(__xludf.DUMMYFUNCTION("""COMPUTED_VALUE"""),"Tomball")</f>
        <v>Tomball</v>
      </c>
      <c r="G771" s="9" t="str">
        <f>IFERROR(__xludf.DUMMYFUNCTION("""COMPUTED_VALUE"""),"TX")</f>
        <v>TX</v>
      </c>
      <c r="H771" s="9" t="str">
        <f>IFERROR(__xludf.DUMMYFUNCTION("""COMPUTED_VALUE"""),"77375")</f>
        <v>77375</v>
      </c>
      <c r="I771" s="9" t="str">
        <f>IFERROR(__xludf.DUMMYFUNCTION("""COMPUTED_VALUE"""),"281-255-2894")</f>
        <v>281-255-2894</v>
      </c>
      <c r="J771" s="9" t="str">
        <f>IFERROR(__xludf.DUMMYFUNCTION("""COMPUTED_VALUE"""),"30.0886827346939, -95.6114812244898")</f>
        <v>30.0886827346939, -95.6114812244898</v>
      </c>
      <c r="K771" s="9"/>
      <c r="L771" s="9" t="str">
        <f>IFERROR(__xludf.DUMMYFUNCTION("""COMPUTED_VALUE"""),"Appointment required")</f>
        <v>Appointment required</v>
      </c>
      <c r="M771" s="10">
        <f>IFERROR(__xludf.DUMMYFUNCTION("""COMPUTED_VALUE"""),12.0)</f>
        <v>12</v>
      </c>
      <c r="N771" s="10" t="str">
        <f>IFERROR(__xludf.DUMMYFUNCTION("""COMPUTED_VALUE"""),"Utilities")</f>
        <v>Utilities</v>
      </c>
      <c r="O771" s="10">
        <f>IFERROR(__xludf.DUMMYFUNCTION("""COMPUTED_VALUE"""),1.0)</f>
        <v>1</v>
      </c>
      <c r="P771" s="10" t="str">
        <f>IFERROR(__xludf.DUMMYFUNCTION("""COMPUTED_VALUE"""),"ACTIVE")</f>
        <v>ACTIVE</v>
      </c>
      <c r="Q771" s="11">
        <f>IFERROR(__xludf.DUMMYFUNCTION("""COMPUTED_VALUE"""),45637.0)</f>
        <v>45637</v>
      </c>
      <c r="R771" s="9"/>
      <c r="S771" s="9"/>
      <c r="T771" s="12" t="b">
        <f>IFERROR(__xludf.DUMMYFUNCTION("""COMPUTED_VALUE"""),FALSE)</f>
        <v>0</v>
      </c>
      <c r="U771" s="12" t="b">
        <f>IFERROR(__xludf.DUMMYFUNCTION("""COMPUTED_VALUE"""),FALSE)</f>
        <v>0</v>
      </c>
      <c r="V771" s="13" t="str">
        <f>IFERROR(__xludf.DUMMYFUNCTION("""COMPUTED_VALUE"""),"https://stanne-tomball.org/st-vincent-de-paul")</f>
        <v>https://stanne-tomball.org/st-vincent-de-paul</v>
      </c>
      <c r="W771" s="14" t="str">
        <f>IFERROR(__xludf.DUMMYFUNCTION("""COMPUTED_VALUE"""),"https://maps.google.com/?q=St%20Anne%20Tomball%20(SVdP%20D6)%201111%20S%20Cherry%20St%20Tomball%20TX%2077375")</f>
        <v>https://maps.google.com/?q=St%20Anne%20Tomball%20(SVdP%20D6)%201111%20S%20Cherry%20St%20Tomball%20TX%2077375</v>
      </c>
      <c r="X771" s="10"/>
      <c r="Y771" s="9" t="str">
        <f>IFERROR(__xludf.DUMMYFUNCTION("""COMPUTED_VALUE"""),"Tomball")</f>
        <v>Tomball</v>
      </c>
      <c r="Z771" s="9" t="str">
        <f>IFERROR(__xludf.DUMMYFUNCTION("""COMPUTED_VALUE"""),"Northpointe, Tomball")</f>
        <v>Northpointe, Tomball</v>
      </c>
      <c r="AA771" s="9" t="str">
        <f>IFERROR(__xludf.DUMMYFUNCTION("""COMPUTED_VALUE"""),"Society of St Vincent de Paul")</f>
        <v>Society of St Vincent de Paul</v>
      </c>
      <c r="AB771" s="9" t="str">
        <f>IFERROR(__xludf.DUMMYFUNCTION("""COMPUTED_VALUE"""),"Tomball")</f>
        <v>Tomball</v>
      </c>
    </row>
    <row r="772" ht="30.0" customHeight="1">
      <c r="A772" s="17">
        <v>771.0</v>
      </c>
      <c r="B772" s="8" t="str">
        <f>IFERROR(__xludf.DUMMYFUNCTION("""COMPUTED_VALUE"""),"[""77375"", ""77377""]")</f>
        <v>["77375", "77377"]</v>
      </c>
      <c r="C772" s="9" t="str">
        <f>IFERROR(__xludf.DUMMYFUNCTION("""COMPUTED_VALUE"""),"St Anne Tomball (SVdP D6)")</f>
        <v>St Anne Tomball (SVdP D6)</v>
      </c>
      <c r="D772" s="9" t="str">
        <f>IFERROR(__xludf.DUMMYFUNCTION("""COMPUTED_VALUE"""),"1111 S Cherry Street")</f>
        <v>1111 S Cherry Street</v>
      </c>
      <c r="E772" s="9"/>
      <c r="F772" s="9" t="str">
        <f>IFERROR(__xludf.DUMMYFUNCTION("""COMPUTED_VALUE"""),"Tomball")</f>
        <v>Tomball</v>
      </c>
      <c r="G772" s="9" t="str">
        <f>IFERROR(__xludf.DUMMYFUNCTION("""COMPUTED_VALUE"""),"TX")</f>
        <v>TX</v>
      </c>
      <c r="H772" s="9" t="str">
        <f>IFERROR(__xludf.DUMMYFUNCTION("""COMPUTED_VALUE"""),"77375")</f>
        <v>77375</v>
      </c>
      <c r="I772" s="9" t="str">
        <f>IFERROR(__xludf.DUMMYFUNCTION("""COMPUTED_VALUE"""),"281-255-2894")</f>
        <v>281-255-2894</v>
      </c>
      <c r="J772" s="9" t="str">
        <f>IFERROR(__xludf.DUMMYFUNCTION("""COMPUTED_VALUE"""),"30.0886827346939, -95.6114812244898")</f>
        <v>30.0886827346939, -95.6114812244898</v>
      </c>
      <c r="K772" s="9"/>
      <c r="L772" s="9" t="str">
        <f>IFERROR(__xludf.DUMMYFUNCTION("""COMPUTED_VALUE"""),"Appointment required")</f>
        <v>Appointment required</v>
      </c>
      <c r="M772" s="10">
        <f>IFERROR(__xludf.DUMMYFUNCTION("""COMPUTED_VALUE"""),13.0)</f>
        <v>13</v>
      </c>
      <c r="N772" s="10" t="str">
        <f>IFERROR(__xludf.DUMMYFUNCTION("""COMPUTED_VALUE"""),"Food")</f>
        <v>Food</v>
      </c>
      <c r="O772" s="10">
        <f>IFERROR(__xludf.DUMMYFUNCTION("""COMPUTED_VALUE"""),1.0)</f>
        <v>1</v>
      </c>
      <c r="P772" s="10" t="str">
        <f>IFERROR(__xludf.DUMMYFUNCTION("""COMPUTED_VALUE"""),"ACTIVE")</f>
        <v>ACTIVE</v>
      </c>
      <c r="Q772" s="11">
        <f>IFERROR(__xludf.DUMMYFUNCTION("""COMPUTED_VALUE"""),45637.0)</f>
        <v>45637</v>
      </c>
      <c r="R772" s="9"/>
      <c r="S772" s="9"/>
      <c r="T772" s="12" t="b">
        <f>IFERROR(__xludf.DUMMYFUNCTION("""COMPUTED_VALUE"""),FALSE)</f>
        <v>0</v>
      </c>
      <c r="U772" s="12" t="b">
        <f>IFERROR(__xludf.DUMMYFUNCTION("""COMPUTED_VALUE"""),FALSE)</f>
        <v>0</v>
      </c>
      <c r="V772" s="13" t="str">
        <f>IFERROR(__xludf.DUMMYFUNCTION("""COMPUTED_VALUE"""),"https://stanne-tomball.org/st-vincent-de-paul")</f>
        <v>https://stanne-tomball.org/st-vincent-de-paul</v>
      </c>
      <c r="W772" s="14" t="str">
        <f>IFERROR(__xludf.DUMMYFUNCTION("""COMPUTED_VALUE"""),"https://maps.google.com/?q=St%20Anne%20Tomball%20(SVdP%20D6)%201111%20S%20Cherry%20St%20Tomball%20TX%2077375")</f>
        <v>https://maps.google.com/?q=St%20Anne%20Tomball%20(SVdP%20D6)%201111%20S%20Cherry%20St%20Tomball%20TX%2077375</v>
      </c>
      <c r="X772" s="10"/>
      <c r="Y772" s="9" t="str">
        <f>IFERROR(__xludf.DUMMYFUNCTION("""COMPUTED_VALUE"""),"Tomball")</f>
        <v>Tomball</v>
      </c>
      <c r="Z772" s="9" t="str">
        <f>IFERROR(__xludf.DUMMYFUNCTION("""COMPUTED_VALUE"""),"Northpointe, Tomball")</f>
        <v>Northpointe, Tomball</v>
      </c>
      <c r="AA772" s="9" t="str">
        <f>IFERROR(__xludf.DUMMYFUNCTION("""COMPUTED_VALUE"""),"Society of St Vincent de Paul")</f>
        <v>Society of St Vincent de Paul</v>
      </c>
      <c r="AB772" s="9" t="str">
        <f>IFERROR(__xludf.DUMMYFUNCTION("""COMPUTED_VALUE"""),"Tomball")</f>
        <v>Tomball</v>
      </c>
    </row>
    <row r="773" ht="30.0" customHeight="1">
      <c r="A773" s="17">
        <v>772.0</v>
      </c>
      <c r="B773" s="8" t="str">
        <f>IFERROR(__xludf.DUMMYFUNCTION("""COMPUTED_VALUE"""),"[""77301"", ""77302"", ""77303"", ""77304"", ""77305"", ""77306"", ""77316"", ""77318"", ""77328"", ""77333"", ""77339"", ""77353"", ""77354"", ""77355"", ""77356"", ""77357"", ""77362"", ""77365"", ""77372"", ""77373"", ""77375"", ""77377"", ""77378"", "&amp;"""77379"", ""77380"", ""77381"", ""77382"", ""77384"", ""77385"", ""77386"", ""77387"", ""77388"", ""77389"", ""77393""]")</f>
        <v>["77301", "77302", "77303", "77304", "77305", "77306", "77316", "77318", "77328", "77333", "77339", "77353", "77354", "77355", "77356", "77357", "77362", "77365", "77372", "77373", "77375", "77377", "77378", "77379", "77380", "77381", "77382", "77384", "77385", "77386", "77387", "77388", "77389", "77393"]</v>
      </c>
      <c r="C773" s="9" t="str">
        <f>IFERROR(__xludf.DUMMYFUNCTION("""COMPUTED_VALUE"""),"St Anthony Bread")</f>
        <v>St Anthony Bread</v>
      </c>
      <c r="D773" s="9" t="str">
        <f>IFERROR(__xludf.DUMMYFUNCTION("""COMPUTED_VALUE"""),"7985 Bay Branch Drive")</f>
        <v>7985 Bay Branch Drive</v>
      </c>
      <c r="E773" s="9"/>
      <c r="F773" s="9" t="str">
        <f>IFERROR(__xludf.DUMMYFUNCTION("""COMPUTED_VALUE"""),"Spring")</f>
        <v>Spring</v>
      </c>
      <c r="G773" s="9" t="str">
        <f>IFERROR(__xludf.DUMMYFUNCTION("""COMPUTED_VALUE"""),"TX")</f>
        <v>TX</v>
      </c>
      <c r="H773" s="9" t="str">
        <f>IFERROR(__xludf.DUMMYFUNCTION("""COMPUTED_VALUE"""),"77382")</f>
        <v>77382</v>
      </c>
      <c r="I773" s="9" t="str">
        <f>IFERROR(__xludf.DUMMYFUNCTION("""COMPUTED_VALUE"""),"832-482-4210")</f>
        <v>832-482-4210</v>
      </c>
      <c r="J773" s="9" t="str">
        <f>IFERROR(__xludf.DUMMYFUNCTION("""COMPUTED_VALUE"""),"30.2070670341081, -95.5305157911364")</f>
        <v>30.2070670341081, -95.5305157911364</v>
      </c>
      <c r="K773" s="9" t="str">
        <f>IFERROR(__xludf.DUMMYFUNCTION("""COMPUTED_VALUE"""),"{""regular"":[{""days"":[""Tu"",""Th"",""Sa""],""open"":""08:00"",""close"":""10:00""}]}")</f>
        <v>{"regular":[{"days":["Tu","Th","Sa"],"open":"08:00","close":"10:00"}]}</v>
      </c>
      <c r="L773" s="9" t="str">
        <f>IFERROR(__xludf.DUMMYFUNCTION("""COMPUTED_VALUE"""),"Or until they run out of food.")</f>
        <v>Or until they run out of food.</v>
      </c>
      <c r="M773" s="10">
        <f>IFERROR(__xludf.DUMMYFUNCTION("""COMPUTED_VALUE"""),13.0)</f>
        <v>13</v>
      </c>
      <c r="N773" s="10" t="str">
        <f>IFERROR(__xludf.DUMMYFUNCTION("""COMPUTED_VALUE"""),"Food")</f>
        <v>Food</v>
      </c>
      <c r="O773" s="10">
        <f>IFERROR(__xludf.DUMMYFUNCTION("""COMPUTED_VALUE"""),1.0)</f>
        <v>1</v>
      </c>
      <c r="P773" s="10" t="str">
        <f>IFERROR(__xludf.DUMMYFUNCTION("""COMPUTED_VALUE"""),"ACTIVE")</f>
        <v>ACTIVE</v>
      </c>
      <c r="Q773" s="11"/>
      <c r="R773" s="9"/>
      <c r="S773" s="9" t="str">
        <f>IFERROR(__xludf.DUMMYFUNCTION("""COMPUTED_VALUE"""),"Need to register.
Valid ID.
Food distribution every 14 days.")</f>
        <v>Need to register.
Valid ID.
Food distribution every 14 days.</v>
      </c>
      <c r="T773" s="12" t="b">
        <f>IFERROR(__xludf.DUMMYFUNCTION("""COMPUTED_VALUE"""),FALSE)</f>
        <v>0</v>
      </c>
      <c r="U773" s="12" t="b">
        <f>IFERROR(__xludf.DUMMYFUNCTION("""COMPUTED_VALUE"""),FALSE)</f>
        <v>0</v>
      </c>
      <c r="V773" s="13" t="str">
        <f>IFERROR(__xludf.DUMMYFUNCTION("""COMPUTED_VALUE"""),"https://ap.church/ministries/outreach/food-pantry/")</f>
        <v>https://ap.church/ministries/outreach/food-pantry/</v>
      </c>
      <c r="W773" s="14" t="str">
        <f>IFERROR(__xludf.DUMMYFUNCTION("""COMPUTED_VALUE"""),"https://maps.google.com/?q=St%20Anthony%20Bread%207985%20Bay%20Branch%20Dr%20Spring%20TX%2077382")</f>
        <v>https://maps.google.com/?q=St%20Anthony%20Bread%207985%20Bay%20Branch%20Dr%20Spring%20TX%2077382</v>
      </c>
      <c r="X773" s="10"/>
      <c r="Y773" s="9" t="str">
        <f>IFERROR(__xludf.DUMMYFUNCTION("""COMPUTED_VALUE"""),"The Woodlands")</f>
        <v>The Woodlands</v>
      </c>
      <c r="Z773" s="9" t="str">
        <f>IFERROR(__xludf.DUMMYFUNCTION("""COMPUTED_VALUE"""),"The Woodlands (Alden Bridge, Sterling Ridge)")</f>
        <v>The Woodlands (Alden Bridge, Sterling Ridge)</v>
      </c>
      <c r="AA773" s="9" t="str">
        <f>IFERROR(__xludf.DUMMYFUNCTION("""COMPUTED_VALUE"""),"St Anthony Bread")</f>
        <v>St Anthony Bread</v>
      </c>
      <c r="AB773" s="9" t="str">
        <f>IFERROR(__xludf.DUMMYFUNCTION("""COMPUTED_VALUE"""),"Alden Bridge")</f>
        <v>Alden Bridge</v>
      </c>
    </row>
    <row r="774" ht="30.0" customHeight="1">
      <c r="A774" s="17">
        <v>773.0</v>
      </c>
      <c r="B774" s="8" t="str">
        <f>IFERROR(__xludf.DUMMYFUNCTION("""COMPUTED_VALUE"""),"[""77354"", ""77380"", ""77381"", ""77382"", ""77383"", ""77384"", ""77385"", ""77386"", ""77389""]")</f>
        <v>["77354", "77380", "77381", "77382", "77383", "77384", "77385", "77386", "77389"]</v>
      </c>
      <c r="C774" s="9" t="str">
        <f>IFERROR(__xludf.DUMMYFUNCTION("""COMPUTED_VALUE"""),"St Anthony of Padua (SVdP D6) The Woodlands")</f>
        <v>St Anthony of Padua (SVdP D6) The Woodlands</v>
      </c>
      <c r="D774" s="9" t="str">
        <f>IFERROR(__xludf.DUMMYFUNCTION("""COMPUTED_VALUE"""),"7801 Bay Branch Drive")</f>
        <v>7801 Bay Branch Drive</v>
      </c>
      <c r="E774" s="9"/>
      <c r="F774" s="9" t="str">
        <f>IFERROR(__xludf.DUMMYFUNCTION("""COMPUTED_VALUE"""),"The Woodlands")</f>
        <v>The Woodlands</v>
      </c>
      <c r="G774" s="9" t="str">
        <f>IFERROR(__xludf.DUMMYFUNCTION("""COMPUTED_VALUE"""),"TX")</f>
        <v>TX</v>
      </c>
      <c r="H774" s="9" t="str">
        <f>IFERROR(__xludf.DUMMYFUNCTION("""COMPUTED_VALUE"""),"77382")</f>
        <v>77382</v>
      </c>
      <c r="I774" s="9" t="str">
        <f>IFERROR(__xludf.DUMMYFUNCTION("""COMPUTED_VALUE"""),"281-766-1920")</f>
        <v>281-766-1920</v>
      </c>
      <c r="J774" s="9" t="str">
        <f>IFERROR(__xludf.DUMMYFUNCTION("""COMPUTED_VALUE"""),"30.204775, -95.52824")</f>
        <v>30.204775, -95.52824</v>
      </c>
      <c r="K774" s="9"/>
      <c r="L774" s="9" t="str">
        <f>IFERROR(__xludf.DUMMYFUNCTION("""COMPUTED_VALUE"""),"Leave message")</f>
        <v>Leave message</v>
      </c>
      <c r="M774" s="10">
        <f>IFERROR(__xludf.DUMMYFUNCTION("""COMPUTED_VALUE"""),11.0)</f>
        <v>11</v>
      </c>
      <c r="N774" s="10" t="str">
        <f>IFERROR(__xludf.DUMMYFUNCTION("""COMPUTED_VALUE"""),"Rent")</f>
        <v>Rent</v>
      </c>
      <c r="O774" s="10">
        <f>IFERROR(__xludf.DUMMYFUNCTION("""COMPUTED_VALUE"""),1.0)</f>
        <v>1</v>
      </c>
      <c r="P774" s="10" t="str">
        <f>IFERROR(__xludf.DUMMYFUNCTION("""COMPUTED_VALUE"""),"ACTIVE")</f>
        <v>ACTIVE</v>
      </c>
      <c r="Q774" s="11">
        <f>IFERROR(__xludf.DUMMYFUNCTION("""COMPUTED_VALUE"""),45637.0)</f>
        <v>45637</v>
      </c>
      <c r="R774" s="9"/>
      <c r="S774" s="9"/>
      <c r="T774" s="12" t="b">
        <f>IFERROR(__xludf.DUMMYFUNCTION("""COMPUTED_VALUE"""),FALSE)</f>
        <v>0</v>
      </c>
      <c r="U774" s="12" t="b">
        <f>IFERROR(__xludf.DUMMYFUNCTION("""COMPUTED_VALUE"""),FALSE)</f>
        <v>0</v>
      </c>
      <c r="V774" s="13" t="str">
        <f>IFERROR(__xludf.DUMMYFUNCTION("""COMPUTED_VALUE"""),"https://ap.church/ministries/outreach/")</f>
        <v>https://ap.church/ministries/outreach/</v>
      </c>
      <c r="W774" s="14" t="str">
        <f>IFERROR(__xludf.DUMMYFUNCTION("""COMPUTED_VALUE"""),"https://maps.google.com/?q=St%20Anthony%20of%20Padua%20(SVdP%20D6)%20The%20Woodlands%207801%20Bay%20Branch%20Dr%20The%20Woodlands%20TX%2077382")</f>
        <v>https://maps.google.com/?q=St%20Anthony%20of%20Padua%20(SVdP%20D6)%20The%20Woodlands%207801%20Bay%20Branch%20Dr%20The%20Woodlands%20TX%2077382</v>
      </c>
      <c r="X774" s="10"/>
      <c r="Y774" s="9" t="str">
        <f>IFERROR(__xludf.DUMMYFUNCTION("""COMPUTED_VALUE"""),"The Woodlands")</f>
        <v>The Woodlands</v>
      </c>
      <c r="Z774" s="9" t="str">
        <f>IFERROR(__xludf.DUMMYFUNCTION("""COMPUTED_VALUE"""),"The Woodlands (Alden Bridge, Sterling Ridge)")</f>
        <v>The Woodlands (Alden Bridge, Sterling Ridge)</v>
      </c>
      <c r="AA774" s="9" t="str">
        <f>IFERROR(__xludf.DUMMYFUNCTION("""COMPUTED_VALUE"""),"Society of St Vincent de Paul")</f>
        <v>Society of St Vincent de Paul</v>
      </c>
      <c r="AB774" s="9" t="str">
        <f>IFERROR(__xludf.DUMMYFUNCTION("""COMPUTED_VALUE"""),"Alden Bridge")</f>
        <v>Alden Bridge</v>
      </c>
    </row>
    <row r="775" ht="30.0" customHeight="1">
      <c r="A775" s="17">
        <v>774.0</v>
      </c>
      <c r="B775" s="8" t="str">
        <f>IFERROR(__xludf.DUMMYFUNCTION("""COMPUTED_VALUE"""),"[""77354"", ""77380"", ""77381"", ""77382"", ""77383"", ""77384"", ""77385"", ""77386"", ""77389""]")</f>
        <v>["77354", "77380", "77381", "77382", "77383", "77384", "77385", "77386", "77389"]</v>
      </c>
      <c r="C775" s="9" t="str">
        <f>IFERROR(__xludf.DUMMYFUNCTION("""COMPUTED_VALUE"""),"St Anthony of Padua (SVdP D6) The Woodlands")</f>
        <v>St Anthony of Padua (SVdP D6) The Woodlands</v>
      </c>
      <c r="D775" s="9" t="str">
        <f>IFERROR(__xludf.DUMMYFUNCTION("""COMPUTED_VALUE"""),"7801 Bay Branch Drive")</f>
        <v>7801 Bay Branch Drive</v>
      </c>
      <c r="E775" s="9"/>
      <c r="F775" s="9" t="str">
        <f>IFERROR(__xludf.DUMMYFUNCTION("""COMPUTED_VALUE"""),"The Woodlands")</f>
        <v>The Woodlands</v>
      </c>
      <c r="G775" s="9" t="str">
        <f>IFERROR(__xludf.DUMMYFUNCTION("""COMPUTED_VALUE"""),"TX")</f>
        <v>TX</v>
      </c>
      <c r="H775" s="9" t="str">
        <f>IFERROR(__xludf.DUMMYFUNCTION("""COMPUTED_VALUE"""),"77382")</f>
        <v>77382</v>
      </c>
      <c r="I775" s="9" t="str">
        <f>IFERROR(__xludf.DUMMYFUNCTION("""COMPUTED_VALUE"""),"281-766-1920")</f>
        <v>281-766-1920</v>
      </c>
      <c r="J775" s="9" t="str">
        <f>IFERROR(__xludf.DUMMYFUNCTION("""COMPUTED_VALUE"""),"30.204775, -95.52824")</f>
        <v>30.204775, -95.52824</v>
      </c>
      <c r="K775" s="9"/>
      <c r="L775" s="9" t="str">
        <f>IFERROR(__xludf.DUMMYFUNCTION("""COMPUTED_VALUE"""),"Leave message")</f>
        <v>Leave message</v>
      </c>
      <c r="M775" s="10">
        <f>IFERROR(__xludf.DUMMYFUNCTION("""COMPUTED_VALUE"""),12.0)</f>
        <v>12</v>
      </c>
      <c r="N775" s="10" t="str">
        <f>IFERROR(__xludf.DUMMYFUNCTION("""COMPUTED_VALUE"""),"Utilities")</f>
        <v>Utilities</v>
      </c>
      <c r="O775" s="10">
        <f>IFERROR(__xludf.DUMMYFUNCTION("""COMPUTED_VALUE"""),1.0)</f>
        <v>1</v>
      </c>
      <c r="P775" s="10" t="str">
        <f>IFERROR(__xludf.DUMMYFUNCTION("""COMPUTED_VALUE"""),"ACTIVE")</f>
        <v>ACTIVE</v>
      </c>
      <c r="Q775" s="11">
        <f>IFERROR(__xludf.DUMMYFUNCTION("""COMPUTED_VALUE"""),45637.0)</f>
        <v>45637</v>
      </c>
      <c r="R775" s="9"/>
      <c r="S775" s="9"/>
      <c r="T775" s="12" t="b">
        <f>IFERROR(__xludf.DUMMYFUNCTION("""COMPUTED_VALUE"""),FALSE)</f>
        <v>0</v>
      </c>
      <c r="U775" s="12" t="b">
        <f>IFERROR(__xludf.DUMMYFUNCTION("""COMPUTED_VALUE"""),FALSE)</f>
        <v>0</v>
      </c>
      <c r="V775" s="13" t="str">
        <f>IFERROR(__xludf.DUMMYFUNCTION("""COMPUTED_VALUE"""),"https://ap.church/ministries/outreach/")</f>
        <v>https://ap.church/ministries/outreach/</v>
      </c>
      <c r="W775" s="14" t="str">
        <f>IFERROR(__xludf.DUMMYFUNCTION("""COMPUTED_VALUE"""),"https://maps.google.com/?q=St%20Anthony%20of%20Padua%20(SVdP%20D6)%20The%20Woodlands%207801%20Bay%20Branch%20Dr%20The%20Woodlands%20TX%2077382")</f>
        <v>https://maps.google.com/?q=St%20Anthony%20of%20Padua%20(SVdP%20D6)%20The%20Woodlands%207801%20Bay%20Branch%20Dr%20The%20Woodlands%20TX%2077382</v>
      </c>
      <c r="X775" s="10"/>
      <c r="Y775" s="9" t="str">
        <f>IFERROR(__xludf.DUMMYFUNCTION("""COMPUTED_VALUE"""),"The Woodlands")</f>
        <v>The Woodlands</v>
      </c>
      <c r="Z775" s="9" t="str">
        <f>IFERROR(__xludf.DUMMYFUNCTION("""COMPUTED_VALUE"""),"The Woodlands (Alden Bridge, Sterling Ridge)")</f>
        <v>The Woodlands (Alden Bridge, Sterling Ridge)</v>
      </c>
      <c r="AA775" s="9" t="str">
        <f>IFERROR(__xludf.DUMMYFUNCTION("""COMPUTED_VALUE"""),"Society of St Vincent de Paul")</f>
        <v>Society of St Vincent de Paul</v>
      </c>
      <c r="AB775" s="9" t="str">
        <f>IFERROR(__xludf.DUMMYFUNCTION("""COMPUTED_VALUE"""),"Alden Bridge")</f>
        <v>Alden Bridge</v>
      </c>
    </row>
    <row r="776" ht="30.0" customHeight="1">
      <c r="A776" s="17">
        <v>775.0</v>
      </c>
      <c r="B776" s="8" t="str">
        <f>IFERROR(__xludf.DUMMYFUNCTION("""COMPUTED_VALUE"""),"[""77354"", ""77380"", ""77381"", ""77382"", ""77383"", ""77384"", ""77385"", ""77386"", ""77389""]")</f>
        <v>["77354", "77380", "77381", "77382", "77383", "77384", "77385", "77386", "77389"]</v>
      </c>
      <c r="C776" s="9" t="str">
        <f>IFERROR(__xludf.DUMMYFUNCTION("""COMPUTED_VALUE"""),"St Anthony of Padua (SVdP D6) The Woodlands")</f>
        <v>St Anthony of Padua (SVdP D6) The Woodlands</v>
      </c>
      <c r="D776" s="9" t="str">
        <f>IFERROR(__xludf.DUMMYFUNCTION("""COMPUTED_VALUE"""),"7801 Bay Branch Drive")</f>
        <v>7801 Bay Branch Drive</v>
      </c>
      <c r="E776" s="9"/>
      <c r="F776" s="9" t="str">
        <f>IFERROR(__xludf.DUMMYFUNCTION("""COMPUTED_VALUE"""),"The Woodlands")</f>
        <v>The Woodlands</v>
      </c>
      <c r="G776" s="9" t="str">
        <f>IFERROR(__xludf.DUMMYFUNCTION("""COMPUTED_VALUE"""),"TX")</f>
        <v>TX</v>
      </c>
      <c r="H776" s="9" t="str">
        <f>IFERROR(__xludf.DUMMYFUNCTION("""COMPUTED_VALUE"""),"77382")</f>
        <v>77382</v>
      </c>
      <c r="I776" s="9" t="str">
        <f>IFERROR(__xludf.DUMMYFUNCTION("""COMPUTED_VALUE"""),"281-766-1920")</f>
        <v>281-766-1920</v>
      </c>
      <c r="J776" s="9" t="str">
        <f>IFERROR(__xludf.DUMMYFUNCTION("""COMPUTED_VALUE"""),"30.204775, -95.52824")</f>
        <v>30.204775, -95.52824</v>
      </c>
      <c r="K776" s="9" t="str">
        <f>IFERROR(__xludf.DUMMYFUNCTION("""COMPUTED_VALUE"""),"{""regular"":[{""days"":[""Tu"",""Th"",""Sa""],""open"":""08:00"",""close"":""10:00""}]}")</f>
        <v>{"regular":[{"days":["Tu","Th","Sa"],"open":"08:00","close":"10:00"}]}</v>
      </c>
      <c r="L776" s="9" t="str">
        <f>IFERROR(__xludf.DUMMYFUNCTION("""COMPUTED_VALUE"""),"Or until they run out of food.")</f>
        <v>Or until they run out of food.</v>
      </c>
      <c r="M776" s="10">
        <f>IFERROR(__xludf.DUMMYFUNCTION("""COMPUTED_VALUE"""),13.0)</f>
        <v>13</v>
      </c>
      <c r="N776" s="10" t="str">
        <f>IFERROR(__xludf.DUMMYFUNCTION("""COMPUTED_VALUE"""),"Food")</f>
        <v>Food</v>
      </c>
      <c r="O776" s="10">
        <f>IFERROR(__xludf.DUMMYFUNCTION("""COMPUTED_VALUE"""),1.0)</f>
        <v>1</v>
      </c>
      <c r="P776" s="10" t="str">
        <f>IFERROR(__xludf.DUMMYFUNCTION("""COMPUTED_VALUE"""),"ACTIVE")</f>
        <v>ACTIVE</v>
      </c>
      <c r="Q776" s="11">
        <f>IFERROR(__xludf.DUMMYFUNCTION("""COMPUTED_VALUE"""),45637.0)</f>
        <v>45637</v>
      </c>
      <c r="R776" s="9"/>
      <c r="S776" s="9"/>
      <c r="T776" s="12" t="b">
        <f>IFERROR(__xludf.DUMMYFUNCTION("""COMPUTED_VALUE"""),FALSE)</f>
        <v>0</v>
      </c>
      <c r="U776" s="12" t="b">
        <f>IFERROR(__xludf.DUMMYFUNCTION("""COMPUTED_VALUE"""),FALSE)</f>
        <v>0</v>
      </c>
      <c r="V776" s="13" t="str">
        <f>IFERROR(__xludf.DUMMYFUNCTION("""COMPUTED_VALUE"""),"https://ap.church/ministries/outreach/food-pantry/")</f>
        <v>https://ap.church/ministries/outreach/food-pantry/</v>
      </c>
      <c r="W776" s="14" t="str">
        <f>IFERROR(__xludf.DUMMYFUNCTION("""COMPUTED_VALUE"""),"https://maps.google.com/?q=St%20Anthony%20of%20Padua%20(SVdP%20D6)%20The%20Woodlands%207801%20Bay%20Branch%20Dr%20The%20Woodlands%20TX%2077382")</f>
        <v>https://maps.google.com/?q=St%20Anthony%20of%20Padua%20(SVdP%20D6)%20The%20Woodlands%207801%20Bay%20Branch%20Dr%20The%20Woodlands%20TX%2077382</v>
      </c>
      <c r="X776" s="10"/>
      <c r="Y776" s="9" t="str">
        <f>IFERROR(__xludf.DUMMYFUNCTION("""COMPUTED_VALUE"""),"The Woodlands")</f>
        <v>The Woodlands</v>
      </c>
      <c r="Z776" s="9" t="str">
        <f>IFERROR(__xludf.DUMMYFUNCTION("""COMPUTED_VALUE"""),"The Woodlands (Alden Bridge, Sterling Ridge)")</f>
        <v>The Woodlands (Alden Bridge, Sterling Ridge)</v>
      </c>
      <c r="AA776" s="9" t="str">
        <f>IFERROR(__xludf.DUMMYFUNCTION("""COMPUTED_VALUE"""),"Society of St Vincent de Paul")</f>
        <v>Society of St Vincent de Paul</v>
      </c>
      <c r="AB776" s="9" t="str">
        <f>IFERROR(__xludf.DUMMYFUNCTION("""COMPUTED_VALUE"""),"Alden Bridge")</f>
        <v>Alden Bridge</v>
      </c>
    </row>
    <row r="777" ht="30.0" customHeight="1">
      <c r="A777" s="17">
        <v>776.0</v>
      </c>
      <c r="B777" s="8" t="str">
        <f>IFERROR(__xludf.DUMMYFUNCTION("""COMPUTED_VALUE"""),"[""77449"", ""77450"", ""77493"", ""77494""]")</f>
        <v>["77449", "77450", "77493", "77494"]</v>
      </c>
      <c r="C777" s="9" t="str">
        <f>IFERROR(__xludf.DUMMYFUNCTION("""COMPUTED_VALUE"""),"St Bartholomew (SVdP D4) Katy")</f>
        <v>St Bartholomew (SVdP D4) Katy</v>
      </c>
      <c r="D777" s="9" t="str">
        <f>IFERROR(__xludf.DUMMYFUNCTION("""COMPUTED_VALUE"""),"5356 11th Street")</f>
        <v>5356 11th Street</v>
      </c>
      <c r="E777" s="9"/>
      <c r="F777" s="9" t="str">
        <f>IFERROR(__xludf.DUMMYFUNCTION("""COMPUTED_VALUE"""),"Katy")</f>
        <v>Katy</v>
      </c>
      <c r="G777" s="9" t="str">
        <f>IFERROR(__xludf.DUMMYFUNCTION("""COMPUTED_VALUE"""),"TX")</f>
        <v>TX</v>
      </c>
      <c r="H777" s="9" t="str">
        <f>IFERROR(__xludf.DUMMYFUNCTION("""COMPUTED_VALUE"""),"77493")</f>
        <v>77493</v>
      </c>
      <c r="I777" s="9" t="str">
        <f>IFERROR(__xludf.DUMMYFUNCTION("""COMPUTED_VALUE"""),"281-578-3845")</f>
        <v>281-578-3845</v>
      </c>
      <c r="J777" s="9" t="str">
        <f>IFERROR(__xludf.DUMMYFUNCTION("""COMPUTED_VALUE"""),"29.7963537423006, -95.8134021005559")</f>
        <v>29.7963537423006, -95.8134021005559</v>
      </c>
      <c r="K777" s="9"/>
      <c r="L777" s="9" t="str">
        <f>IFERROR(__xludf.DUMMYFUNCTION("""COMPUTED_VALUE"""),"Appointment required")</f>
        <v>Appointment required</v>
      </c>
      <c r="M777" s="10">
        <f>IFERROR(__xludf.DUMMYFUNCTION("""COMPUTED_VALUE"""),11.0)</f>
        <v>11</v>
      </c>
      <c r="N777" s="10" t="str">
        <f>IFERROR(__xludf.DUMMYFUNCTION("""COMPUTED_VALUE"""),"Rent")</f>
        <v>Rent</v>
      </c>
      <c r="O777" s="10">
        <f>IFERROR(__xludf.DUMMYFUNCTION("""COMPUTED_VALUE"""),1.0)</f>
        <v>1</v>
      </c>
      <c r="P777" s="10" t="str">
        <f>IFERROR(__xludf.DUMMYFUNCTION("""COMPUTED_VALUE"""),"ACTIVE")</f>
        <v>ACTIVE</v>
      </c>
      <c r="Q777" s="11">
        <f>IFERROR(__xludf.DUMMYFUNCTION("""COMPUTED_VALUE"""),45637.0)</f>
        <v>45637</v>
      </c>
      <c r="R777" s="9"/>
      <c r="S777" s="9" t="str">
        <f>IFERROR(__xludf.DUMMYFUNCTION("""COMPUTED_VALUE"""),"Parishioners should contact the church directly. 
All others, within the serviced zip codes, must contact the SVdP associated with the Epiphany of the Lord Catholic Church for a referral. Listed phone number is for the Epiphany SVdP.")</f>
        <v>Parishioners should contact the church directly. 
All others, within the serviced zip codes, must contact the SVdP associated with the Epiphany of the Lord Catholic Church for a referral. Listed phone number is for the Epiphany SVdP.</v>
      </c>
      <c r="T777" s="12" t="b">
        <f>IFERROR(__xludf.DUMMYFUNCTION("""COMPUTED_VALUE"""),FALSE)</f>
        <v>0</v>
      </c>
      <c r="U777" s="12" t="b">
        <f>IFERROR(__xludf.DUMMYFUNCTION("""COMPUTED_VALUE"""),FALSE)</f>
        <v>0</v>
      </c>
      <c r="V777" s="13" t="str">
        <f>IFERROR(__xludf.DUMMYFUNCTION("""COMPUTED_VALUE"""),"https://www.st-bart.org/svdp")</f>
        <v>https://www.st-bart.org/svdp</v>
      </c>
      <c r="W777" s="14" t="str">
        <f>IFERROR(__xludf.DUMMYFUNCTION("""COMPUTED_VALUE"""),"https://maps.google.com/?q=St%20Bartholomew%20(SVdP%20D4)%20Katy%205356%2011th%20St%20Katy%20TX%2077493")</f>
        <v>https://maps.google.com/?q=St%20Bartholomew%20(SVdP%20D4)%20Katy%205356%2011th%20St%20Katy%20TX%2077493</v>
      </c>
      <c r="X777" s="10" t="str">
        <f>IFERROR(__xludf.DUMMYFUNCTION("""COMPUTED_VALUE"""),"stbarts.svdp@gmail.com")</f>
        <v>stbarts.svdp@gmail.com</v>
      </c>
      <c r="Y777" s="9" t="str">
        <f>IFERROR(__xludf.DUMMYFUNCTION("""COMPUTED_VALUE"""),"Katy")</f>
        <v>Katy</v>
      </c>
      <c r="Z777" s="9" t="str">
        <f>IFERROR(__xludf.DUMMYFUNCTION("""COMPUTED_VALUE"""),"Cane Island, Katy (Old Town)")</f>
        <v>Cane Island, Katy (Old Town)</v>
      </c>
      <c r="AA777" s="9" t="str">
        <f>IFERROR(__xludf.DUMMYFUNCTION("""COMPUTED_VALUE"""),"Society of St Vincent de Paul")</f>
        <v>Society of St Vincent de Paul</v>
      </c>
      <c r="AB777" s="9" t="str">
        <f>IFERROR(__xludf.DUMMYFUNCTION("""COMPUTED_VALUE"""),"Katy (Old Town)")</f>
        <v>Katy (Old Town)</v>
      </c>
    </row>
    <row r="778" ht="30.0" customHeight="1">
      <c r="A778" s="17">
        <v>777.0</v>
      </c>
      <c r="B778" s="8" t="str">
        <f>IFERROR(__xludf.DUMMYFUNCTION("""COMPUTED_VALUE"""),"[""77449"", ""77450"", ""77493"", ""77494""]")</f>
        <v>["77449", "77450", "77493", "77494"]</v>
      </c>
      <c r="C778" s="9" t="str">
        <f>IFERROR(__xludf.DUMMYFUNCTION("""COMPUTED_VALUE"""),"St Bartholomew (SVdP D4) Katy")</f>
        <v>St Bartholomew (SVdP D4) Katy</v>
      </c>
      <c r="D778" s="9" t="str">
        <f>IFERROR(__xludf.DUMMYFUNCTION("""COMPUTED_VALUE"""),"5356 11th Street")</f>
        <v>5356 11th Street</v>
      </c>
      <c r="E778" s="9"/>
      <c r="F778" s="9" t="str">
        <f>IFERROR(__xludf.DUMMYFUNCTION("""COMPUTED_VALUE"""),"Katy")</f>
        <v>Katy</v>
      </c>
      <c r="G778" s="9" t="str">
        <f>IFERROR(__xludf.DUMMYFUNCTION("""COMPUTED_VALUE"""),"TX")</f>
        <v>TX</v>
      </c>
      <c r="H778" s="9" t="str">
        <f>IFERROR(__xludf.DUMMYFUNCTION("""COMPUTED_VALUE"""),"77493")</f>
        <v>77493</v>
      </c>
      <c r="I778" s="9" t="str">
        <f>IFERROR(__xludf.DUMMYFUNCTION("""COMPUTED_VALUE"""),"281-578-3845")</f>
        <v>281-578-3845</v>
      </c>
      <c r="J778" s="9" t="str">
        <f>IFERROR(__xludf.DUMMYFUNCTION("""COMPUTED_VALUE"""),"29.7963537423006, -95.8134021005559")</f>
        <v>29.7963537423006, -95.8134021005559</v>
      </c>
      <c r="K778" s="9"/>
      <c r="L778" s="9" t="str">
        <f>IFERROR(__xludf.DUMMYFUNCTION("""COMPUTED_VALUE"""),"Appointment required")</f>
        <v>Appointment required</v>
      </c>
      <c r="M778" s="10">
        <f>IFERROR(__xludf.DUMMYFUNCTION("""COMPUTED_VALUE"""),12.0)</f>
        <v>12</v>
      </c>
      <c r="N778" s="10" t="str">
        <f>IFERROR(__xludf.DUMMYFUNCTION("""COMPUTED_VALUE"""),"Utilities")</f>
        <v>Utilities</v>
      </c>
      <c r="O778" s="10">
        <f>IFERROR(__xludf.DUMMYFUNCTION("""COMPUTED_VALUE"""),1.0)</f>
        <v>1</v>
      </c>
      <c r="P778" s="10" t="str">
        <f>IFERROR(__xludf.DUMMYFUNCTION("""COMPUTED_VALUE"""),"ACTIVE")</f>
        <v>ACTIVE</v>
      </c>
      <c r="Q778" s="11">
        <f>IFERROR(__xludf.DUMMYFUNCTION("""COMPUTED_VALUE"""),45637.0)</f>
        <v>45637</v>
      </c>
      <c r="R778" s="9"/>
      <c r="S778" s="9"/>
      <c r="T778" s="12" t="b">
        <f>IFERROR(__xludf.DUMMYFUNCTION("""COMPUTED_VALUE"""),FALSE)</f>
        <v>0</v>
      </c>
      <c r="U778" s="12" t="b">
        <f>IFERROR(__xludf.DUMMYFUNCTION("""COMPUTED_VALUE"""),FALSE)</f>
        <v>0</v>
      </c>
      <c r="V778" s="13" t="str">
        <f>IFERROR(__xludf.DUMMYFUNCTION("""COMPUTED_VALUE"""),"https://www.st-bart.org/svdp")</f>
        <v>https://www.st-bart.org/svdp</v>
      </c>
      <c r="W778" s="14" t="str">
        <f>IFERROR(__xludf.DUMMYFUNCTION("""COMPUTED_VALUE"""),"https://maps.google.com/?q=St%20Bartholomew%20(SVdP%20D4)%20Katy%205356%2011th%20St%20Katy%20TX%2077493")</f>
        <v>https://maps.google.com/?q=St%20Bartholomew%20(SVdP%20D4)%20Katy%205356%2011th%20St%20Katy%20TX%2077493</v>
      </c>
      <c r="X778" s="10" t="str">
        <f>IFERROR(__xludf.DUMMYFUNCTION("""COMPUTED_VALUE"""),"stbarts.svdp@gmail.com")</f>
        <v>stbarts.svdp@gmail.com</v>
      </c>
      <c r="Y778" s="9" t="str">
        <f>IFERROR(__xludf.DUMMYFUNCTION("""COMPUTED_VALUE"""),"Katy")</f>
        <v>Katy</v>
      </c>
      <c r="Z778" s="9" t="str">
        <f>IFERROR(__xludf.DUMMYFUNCTION("""COMPUTED_VALUE"""),"Cane Island, Katy (Old Town)")</f>
        <v>Cane Island, Katy (Old Town)</v>
      </c>
      <c r="AA778" s="9" t="str">
        <f>IFERROR(__xludf.DUMMYFUNCTION("""COMPUTED_VALUE"""),"Society of St Vincent de Paul")</f>
        <v>Society of St Vincent de Paul</v>
      </c>
      <c r="AB778" s="9" t="str">
        <f>IFERROR(__xludf.DUMMYFUNCTION("""COMPUTED_VALUE"""),"Katy (Old Town)")</f>
        <v>Katy (Old Town)</v>
      </c>
    </row>
    <row r="779" ht="30.0" customHeight="1">
      <c r="A779" s="17">
        <v>778.0</v>
      </c>
      <c r="B779" s="8" t="str">
        <f>IFERROR(__xludf.DUMMYFUNCTION("""COMPUTED_VALUE"""),"[""77449"", ""77450"", ""77493"", ""77494""]")</f>
        <v>["77449", "77450", "77493", "77494"]</v>
      </c>
      <c r="C779" s="9" t="str">
        <f>IFERROR(__xludf.DUMMYFUNCTION("""COMPUTED_VALUE"""),"St Bartholomew (SVdP D4) Katy")</f>
        <v>St Bartholomew (SVdP D4) Katy</v>
      </c>
      <c r="D779" s="9" t="str">
        <f>IFERROR(__xludf.DUMMYFUNCTION("""COMPUTED_VALUE"""),"5356 11th Street")</f>
        <v>5356 11th Street</v>
      </c>
      <c r="E779" s="9"/>
      <c r="F779" s="9" t="str">
        <f>IFERROR(__xludf.DUMMYFUNCTION("""COMPUTED_VALUE"""),"Katy")</f>
        <v>Katy</v>
      </c>
      <c r="G779" s="9" t="str">
        <f>IFERROR(__xludf.DUMMYFUNCTION("""COMPUTED_VALUE"""),"TX")</f>
        <v>TX</v>
      </c>
      <c r="H779" s="9" t="str">
        <f>IFERROR(__xludf.DUMMYFUNCTION("""COMPUTED_VALUE"""),"77493")</f>
        <v>77493</v>
      </c>
      <c r="I779" s="9" t="str">
        <f>IFERROR(__xludf.DUMMYFUNCTION("""COMPUTED_VALUE"""),"281-391-1540")</f>
        <v>281-391-1540</v>
      </c>
      <c r="J779" s="9" t="str">
        <f>IFERROR(__xludf.DUMMYFUNCTION("""COMPUTED_VALUE"""),"29.7963537423006, -95.8134021005559")</f>
        <v>29.7963537423006, -95.8134021005559</v>
      </c>
      <c r="K779" s="9" t="str">
        <f>IFERROR(__xludf.DUMMYFUNCTION("""COMPUTED_VALUE"""),"{""regular"":[{""days"":[""Tu"",""Th""],""open"":""16:30"",""close"":""17:30""}]}")</f>
        <v>{"regular":[{"days":["Tu","Th"],"open":"16:30","close":"17:30"}]}</v>
      </c>
      <c r="L779" s="9" t="str">
        <f>IFERROR(__xludf.DUMMYFUNCTION("""COMPUTED_VALUE"""),"Limited to 1st 30 families")</f>
        <v>Limited to 1st 30 families</v>
      </c>
      <c r="M779" s="10">
        <f>IFERROR(__xludf.DUMMYFUNCTION("""COMPUTED_VALUE"""),13.0)</f>
        <v>13</v>
      </c>
      <c r="N779" s="10" t="str">
        <f>IFERROR(__xludf.DUMMYFUNCTION("""COMPUTED_VALUE"""),"Food")</f>
        <v>Food</v>
      </c>
      <c r="O779" s="10">
        <f>IFERROR(__xludf.DUMMYFUNCTION("""COMPUTED_VALUE"""),1.0)</f>
        <v>1</v>
      </c>
      <c r="P779" s="10" t="str">
        <f>IFERROR(__xludf.DUMMYFUNCTION("""COMPUTED_VALUE"""),"ACTIVE")</f>
        <v>ACTIVE</v>
      </c>
      <c r="Q779" s="11">
        <f>IFERROR(__xludf.DUMMYFUNCTION("""COMPUTED_VALUE"""),45637.0)</f>
        <v>45637</v>
      </c>
      <c r="R779" s="9"/>
      <c r="S779" s="9"/>
      <c r="T779" s="12" t="b">
        <f>IFERROR(__xludf.DUMMYFUNCTION("""COMPUTED_VALUE"""),FALSE)</f>
        <v>0</v>
      </c>
      <c r="U779" s="12" t="b">
        <f>IFERROR(__xludf.DUMMYFUNCTION("""COMPUTED_VALUE"""),FALSE)</f>
        <v>0</v>
      </c>
      <c r="V779" s="13" t="str">
        <f>IFERROR(__xludf.DUMMYFUNCTION("""COMPUTED_VALUE"""),"https://www.st-bart.org/svdp")</f>
        <v>https://www.st-bart.org/svdp</v>
      </c>
      <c r="W779" s="14" t="str">
        <f>IFERROR(__xludf.DUMMYFUNCTION("""COMPUTED_VALUE"""),"https://maps.google.com/?q=St%20Bartholomew%20(SVdP%20D4)%20Katy%205356%2011th%20St%20Katy%20TX%2077493")</f>
        <v>https://maps.google.com/?q=St%20Bartholomew%20(SVdP%20D4)%20Katy%205356%2011th%20St%20Katy%20TX%2077493</v>
      </c>
      <c r="X779" s="10" t="str">
        <f>IFERROR(__xludf.DUMMYFUNCTION("""COMPUTED_VALUE"""),"stbarts.svdp@gmail.com")</f>
        <v>stbarts.svdp@gmail.com</v>
      </c>
      <c r="Y779" s="9" t="str">
        <f>IFERROR(__xludf.DUMMYFUNCTION("""COMPUTED_VALUE"""),"Katy")</f>
        <v>Katy</v>
      </c>
      <c r="Z779" s="9" t="str">
        <f>IFERROR(__xludf.DUMMYFUNCTION("""COMPUTED_VALUE"""),"Cane Island, Katy (Old Town)")</f>
        <v>Cane Island, Katy (Old Town)</v>
      </c>
      <c r="AA779" s="9" t="str">
        <f>IFERROR(__xludf.DUMMYFUNCTION("""COMPUTED_VALUE"""),"Society of St Vincent de Paul")</f>
        <v>Society of St Vincent de Paul</v>
      </c>
      <c r="AB779" s="9" t="str">
        <f>IFERROR(__xludf.DUMMYFUNCTION("""COMPUTED_VALUE"""),"Katy (Old Town)")</f>
        <v>Katy (Old Town)</v>
      </c>
    </row>
    <row r="780" ht="30.0" customHeight="1">
      <c r="A780" s="17">
        <v>779.0</v>
      </c>
      <c r="B780" s="8" t="str">
        <f>IFERROR(__xludf.DUMMYFUNCTION("""COMPUTED_VALUE"""),"[""77058"", ""77059"", ""77062"", ""77598""]")</f>
        <v>["77058", "77059", "77062", "77598"]</v>
      </c>
      <c r="C780" s="9" t="str">
        <f>IFERROR(__xludf.DUMMYFUNCTION("""COMPUTED_VALUE"""),"St Bernadette Clear Lake")</f>
        <v>St Bernadette Clear Lake</v>
      </c>
      <c r="D780" s="9" t="str">
        <f>IFERROR(__xludf.DUMMYFUNCTION("""COMPUTED_VALUE"""),"15500 El Camino Real")</f>
        <v>15500 El Camino Real</v>
      </c>
      <c r="E780" s="9"/>
      <c r="F780" s="9" t="str">
        <f>IFERROR(__xludf.DUMMYFUNCTION("""COMPUTED_VALUE"""),"Houston")</f>
        <v>Houston</v>
      </c>
      <c r="G780" s="9" t="str">
        <f>IFERROR(__xludf.DUMMYFUNCTION("""COMPUTED_VALUE"""),"TX")</f>
        <v>TX</v>
      </c>
      <c r="H780" s="9" t="str">
        <f>IFERROR(__xludf.DUMMYFUNCTION("""COMPUTED_VALUE"""),"77062")</f>
        <v>77062</v>
      </c>
      <c r="I780" s="9" t="str">
        <f>IFERROR(__xludf.DUMMYFUNCTION("""COMPUTED_VALUE"""),"281-486-0337")</f>
        <v>281-486-0337</v>
      </c>
      <c r="J780" s="9" t="str">
        <f>IFERROR(__xludf.DUMMYFUNCTION("""COMPUTED_VALUE"""),"29.5688081960784, -95.1335037254902")</f>
        <v>29.5688081960784, -95.1335037254902</v>
      </c>
      <c r="K780" s="9" t="str">
        <f>IFERROR(__xludf.DUMMYFUNCTION("""COMPUTED_VALUE"""),"{""regular"":[{""days"":[""Tu"",""We"",""Th""],""open"":""09:30"",""close"":""11:30""}]}")</f>
        <v>{"regular":[{"days":["Tu","We","Th"],"open":"09:30","close":"11:30"}]}</v>
      </c>
      <c r="L780" s="9"/>
      <c r="M780" s="10">
        <f>IFERROR(__xludf.DUMMYFUNCTION("""COMPUTED_VALUE"""),12.0)</f>
        <v>12</v>
      </c>
      <c r="N780" s="10" t="str">
        <f>IFERROR(__xludf.DUMMYFUNCTION("""COMPUTED_VALUE"""),"Utilities")</f>
        <v>Utilities</v>
      </c>
      <c r="O780" s="10">
        <f>IFERROR(__xludf.DUMMYFUNCTION("""COMPUTED_VALUE"""),1.0)</f>
        <v>1</v>
      </c>
      <c r="P780" s="10" t="str">
        <f>IFERROR(__xludf.DUMMYFUNCTION("""COMPUTED_VALUE"""),"ACTIVE")</f>
        <v>ACTIVE</v>
      </c>
      <c r="Q780" s="11"/>
      <c r="R780" s="9"/>
      <c r="S780" s="9"/>
      <c r="T780" s="12" t="b">
        <f>IFERROR(__xludf.DUMMYFUNCTION("""COMPUTED_VALUE"""),FALSE)</f>
        <v>0</v>
      </c>
      <c r="U780" s="12" t="b">
        <f>IFERROR(__xludf.DUMMYFUNCTION("""COMPUTED_VALUE"""),FALSE)</f>
        <v>0</v>
      </c>
      <c r="V780" s="13" t="str">
        <f>IFERROR(__xludf.DUMMYFUNCTION("""COMPUTED_VALUE"""),"https://www.stbchurch.org/")</f>
        <v>https://www.stbchurch.org/</v>
      </c>
      <c r="W780" s="14" t="str">
        <f>IFERROR(__xludf.DUMMYFUNCTION("""COMPUTED_VALUE"""),"https://maps.google.com/?q=St%20Bernadette%20Clear%20Lake%2015500%20El%20Camino%20Real%20Houston%20TX%2077062")</f>
        <v>https://maps.google.com/?q=St%20Bernadette%20Clear%20Lake%2015500%20El%20Camino%20Real%20Houston%20TX%2077062</v>
      </c>
      <c r="X780" s="10"/>
      <c r="Y780" s="9" t="str">
        <f>IFERROR(__xludf.DUMMYFUNCTION("""COMPUTED_VALUE"""),"Houston")</f>
        <v>Houston</v>
      </c>
      <c r="Z780" s="9" t="str">
        <f>IFERROR(__xludf.DUMMYFUNCTION("""COMPUTED_VALUE"""),"Clear Lake")</f>
        <v>Clear Lake</v>
      </c>
      <c r="AA780" s="9" t="str">
        <f>IFERROR(__xludf.DUMMYFUNCTION("""COMPUTED_VALUE"""),"St Bernadette Clear Lake")</f>
        <v>St Bernadette Clear Lake</v>
      </c>
      <c r="AB780" s="9" t="str">
        <f>IFERROR(__xludf.DUMMYFUNCTION("""COMPUTED_VALUE"""),"Clear Lake")</f>
        <v>Clear Lake</v>
      </c>
    </row>
    <row r="781" ht="30.0" customHeight="1">
      <c r="A781" s="17">
        <v>780.0</v>
      </c>
      <c r="B781" s="8" t="str">
        <f>IFERROR(__xludf.DUMMYFUNCTION("""COMPUTED_VALUE"""),"[""77058"", ""77059"", ""77062"", ""77598""]")</f>
        <v>["77058", "77059", "77062", "77598"]</v>
      </c>
      <c r="C781" s="9" t="str">
        <f>IFERROR(__xludf.DUMMYFUNCTION("""COMPUTED_VALUE"""),"St Bernadette Clear Lake")</f>
        <v>St Bernadette Clear Lake</v>
      </c>
      <c r="D781" s="9" t="str">
        <f>IFERROR(__xludf.DUMMYFUNCTION("""COMPUTED_VALUE"""),"15500 El Camino Real")</f>
        <v>15500 El Camino Real</v>
      </c>
      <c r="E781" s="9"/>
      <c r="F781" s="9" t="str">
        <f>IFERROR(__xludf.DUMMYFUNCTION("""COMPUTED_VALUE"""),"Houston")</f>
        <v>Houston</v>
      </c>
      <c r="G781" s="9" t="str">
        <f>IFERROR(__xludf.DUMMYFUNCTION("""COMPUTED_VALUE"""),"TX")</f>
        <v>TX</v>
      </c>
      <c r="H781" s="9" t="str">
        <f>IFERROR(__xludf.DUMMYFUNCTION("""COMPUTED_VALUE"""),"77062")</f>
        <v>77062</v>
      </c>
      <c r="I781" s="9" t="str">
        <f>IFERROR(__xludf.DUMMYFUNCTION("""COMPUTED_VALUE"""),"281-486-0337")</f>
        <v>281-486-0337</v>
      </c>
      <c r="J781" s="9" t="str">
        <f>IFERROR(__xludf.DUMMYFUNCTION("""COMPUTED_VALUE"""),"29.5688081960784, -95.1335037254902")</f>
        <v>29.5688081960784, -95.1335037254902</v>
      </c>
      <c r="K781" s="9" t="str">
        <f>IFERROR(__xludf.DUMMYFUNCTION("""COMPUTED_VALUE"""),"{""regular"":[{""days"":[""Tu"",""We"",""Th""],""open"":""09:30"",""close"":""11:30""}]}")</f>
        <v>{"regular":[{"days":["Tu","We","Th"],"open":"09:30","close":"11:30"}]}</v>
      </c>
      <c r="L781" s="9"/>
      <c r="M781" s="10">
        <f>IFERROR(__xludf.DUMMYFUNCTION("""COMPUTED_VALUE"""),13.0)</f>
        <v>13</v>
      </c>
      <c r="N781" s="10" t="str">
        <f>IFERROR(__xludf.DUMMYFUNCTION("""COMPUTED_VALUE"""),"Food")</f>
        <v>Food</v>
      </c>
      <c r="O781" s="10">
        <f>IFERROR(__xludf.DUMMYFUNCTION("""COMPUTED_VALUE"""),1.0)</f>
        <v>1</v>
      </c>
      <c r="P781" s="10" t="str">
        <f>IFERROR(__xludf.DUMMYFUNCTION("""COMPUTED_VALUE"""),"ACTIVE")</f>
        <v>ACTIVE</v>
      </c>
      <c r="Q781" s="11"/>
      <c r="R781" s="9"/>
      <c r="S781" s="9"/>
      <c r="T781" s="12" t="b">
        <f>IFERROR(__xludf.DUMMYFUNCTION("""COMPUTED_VALUE"""),FALSE)</f>
        <v>0</v>
      </c>
      <c r="U781" s="12" t="b">
        <f>IFERROR(__xludf.DUMMYFUNCTION("""COMPUTED_VALUE"""),FALSE)</f>
        <v>0</v>
      </c>
      <c r="V781" s="13" t="str">
        <f>IFERROR(__xludf.DUMMYFUNCTION("""COMPUTED_VALUE"""),"https://www.stbchurch.org/")</f>
        <v>https://www.stbchurch.org/</v>
      </c>
      <c r="W781" s="14" t="str">
        <f>IFERROR(__xludf.DUMMYFUNCTION("""COMPUTED_VALUE"""),"https://maps.google.com/?q=St%20Bernadette%20Clear%20Lake%2015500%20El%20Camino%20Real%20Houston%20TX%2077062")</f>
        <v>https://maps.google.com/?q=St%20Bernadette%20Clear%20Lake%2015500%20El%20Camino%20Real%20Houston%20TX%2077062</v>
      </c>
      <c r="X781" s="10"/>
      <c r="Y781" s="9" t="str">
        <f>IFERROR(__xludf.DUMMYFUNCTION("""COMPUTED_VALUE"""),"Houston")</f>
        <v>Houston</v>
      </c>
      <c r="Z781" s="9" t="str">
        <f>IFERROR(__xludf.DUMMYFUNCTION("""COMPUTED_VALUE"""),"Clear Lake")</f>
        <v>Clear Lake</v>
      </c>
      <c r="AA781" s="9" t="str">
        <f>IFERROR(__xludf.DUMMYFUNCTION("""COMPUTED_VALUE"""),"St Bernadette Clear Lake")</f>
        <v>St Bernadette Clear Lake</v>
      </c>
      <c r="AB781" s="9" t="str">
        <f>IFERROR(__xludf.DUMMYFUNCTION("""COMPUTED_VALUE"""),"Clear Lake")</f>
        <v>Clear Lake</v>
      </c>
    </row>
    <row r="782" ht="30.0" customHeight="1">
      <c r="A782" s="17">
        <v>781.0</v>
      </c>
      <c r="B782" s="8" t="str">
        <f>IFERROR(__xludf.DUMMYFUNCTION("""COMPUTED_VALUE"""),"[""77058"", ""77059"", ""77062"", ""77598""]")</f>
        <v>["77058", "77059", "77062", "77598"]</v>
      </c>
      <c r="C782" s="9" t="str">
        <f>IFERROR(__xludf.DUMMYFUNCTION("""COMPUTED_VALUE"""),"St Bernadette Clear Lake")</f>
        <v>St Bernadette Clear Lake</v>
      </c>
      <c r="D782" s="9" t="str">
        <f>IFERROR(__xludf.DUMMYFUNCTION("""COMPUTED_VALUE"""),"15500 El Camino Real")</f>
        <v>15500 El Camino Real</v>
      </c>
      <c r="E782" s="9"/>
      <c r="F782" s="9" t="str">
        <f>IFERROR(__xludf.DUMMYFUNCTION("""COMPUTED_VALUE"""),"Houston")</f>
        <v>Houston</v>
      </c>
      <c r="G782" s="9" t="str">
        <f>IFERROR(__xludf.DUMMYFUNCTION("""COMPUTED_VALUE"""),"TX")</f>
        <v>TX</v>
      </c>
      <c r="H782" s="9" t="str">
        <f>IFERROR(__xludf.DUMMYFUNCTION("""COMPUTED_VALUE"""),"77062")</f>
        <v>77062</v>
      </c>
      <c r="I782" s="9" t="str">
        <f>IFERROR(__xludf.DUMMYFUNCTION("""COMPUTED_VALUE"""),"281-486-0337")</f>
        <v>281-486-0337</v>
      </c>
      <c r="J782" s="9" t="str">
        <f>IFERROR(__xludf.DUMMYFUNCTION("""COMPUTED_VALUE"""),"29.5688081960784, -95.1335037254902")</f>
        <v>29.5688081960784, -95.1335037254902</v>
      </c>
      <c r="K782" s="9" t="str">
        <f>IFERROR(__xludf.DUMMYFUNCTION("""COMPUTED_VALUE"""),"{""regular"":[{""days"":[""Tu"",""We"",""Th""],""open"":""09:30"",""close"":""11:30""}]}")</f>
        <v>{"regular":[{"days":["Tu","We","Th"],"open":"09:30","close":"11:30"}]}</v>
      </c>
      <c r="L782" s="9"/>
      <c r="M782" s="10">
        <f>IFERROR(__xludf.DUMMYFUNCTION("""COMPUTED_VALUE"""),14.0)</f>
        <v>14</v>
      </c>
      <c r="N782" s="10" t="str">
        <f>IFERROR(__xludf.DUMMYFUNCTION("""COMPUTED_VALUE"""),"Clothing")</f>
        <v>Clothing</v>
      </c>
      <c r="O782" s="10">
        <f>IFERROR(__xludf.DUMMYFUNCTION("""COMPUTED_VALUE"""),1.0)</f>
        <v>1</v>
      </c>
      <c r="P782" s="10" t="str">
        <f>IFERROR(__xludf.DUMMYFUNCTION("""COMPUTED_VALUE"""),"ACTIVE")</f>
        <v>ACTIVE</v>
      </c>
      <c r="Q782" s="11"/>
      <c r="R782" s="9"/>
      <c r="S782" s="9"/>
      <c r="T782" s="12" t="b">
        <f>IFERROR(__xludf.DUMMYFUNCTION("""COMPUTED_VALUE"""),FALSE)</f>
        <v>0</v>
      </c>
      <c r="U782" s="12" t="b">
        <f>IFERROR(__xludf.DUMMYFUNCTION("""COMPUTED_VALUE"""),FALSE)</f>
        <v>0</v>
      </c>
      <c r="V782" s="13" t="str">
        <f>IFERROR(__xludf.DUMMYFUNCTION("""COMPUTED_VALUE"""),"https://www.stbchurch.org/")</f>
        <v>https://www.stbchurch.org/</v>
      </c>
      <c r="W782" s="14" t="str">
        <f>IFERROR(__xludf.DUMMYFUNCTION("""COMPUTED_VALUE"""),"https://maps.google.com/?q=St%20Bernadette%20Clear%20Lake%2015500%20El%20Camino%20Real%20Houston%20TX%2077062")</f>
        <v>https://maps.google.com/?q=St%20Bernadette%20Clear%20Lake%2015500%20El%20Camino%20Real%20Houston%20TX%2077062</v>
      </c>
      <c r="X782" s="10"/>
      <c r="Y782" s="9" t="str">
        <f>IFERROR(__xludf.DUMMYFUNCTION("""COMPUTED_VALUE"""),"Houston")</f>
        <v>Houston</v>
      </c>
      <c r="Z782" s="9" t="str">
        <f>IFERROR(__xludf.DUMMYFUNCTION("""COMPUTED_VALUE"""),"Clear Lake")</f>
        <v>Clear Lake</v>
      </c>
      <c r="AA782" s="9" t="str">
        <f>IFERROR(__xludf.DUMMYFUNCTION("""COMPUTED_VALUE"""),"St Bernadette Clear Lake")</f>
        <v>St Bernadette Clear Lake</v>
      </c>
      <c r="AB782" s="9" t="str">
        <f>IFERROR(__xludf.DUMMYFUNCTION("""COMPUTED_VALUE"""),"Clear Lake")</f>
        <v>Clear Lake</v>
      </c>
    </row>
    <row r="783" ht="30.0" customHeight="1">
      <c r="A783" s="17">
        <v>782.0</v>
      </c>
      <c r="B783" s="8" t="str">
        <f>IFERROR(__xludf.DUMMYFUNCTION("""COMPUTED_VALUE"""),"[""77058"", ""77059"", ""77062"", ""77598""]")</f>
        <v>["77058", "77059", "77062", "77598"]</v>
      </c>
      <c r="C783" s="9" t="str">
        <f>IFERROR(__xludf.DUMMYFUNCTION("""COMPUTED_VALUE"""),"St Bernadette Clear Lake")</f>
        <v>St Bernadette Clear Lake</v>
      </c>
      <c r="D783" s="9" t="str">
        <f>IFERROR(__xludf.DUMMYFUNCTION("""COMPUTED_VALUE"""),"15500 El Camino Real")</f>
        <v>15500 El Camino Real</v>
      </c>
      <c r="E783" s="9"/>
      <c r="F783" s="9" t="str">
        <f>IFERROR(__xludf.DUMMYFUNCTION("""COMPUTED_VALUE"""),"Houston")</f>
        <v>Houston</v>
      </c>
      <c r="G783" s="9" t="str">
        <f>IFERROR(__xludf.DUMMYFUNCTION("""COMPUTED_VALUE"""),"TX")</f>
        <v>TX</v>
      </c>
      <c r="H783" s="9" t="str">
        <f>IFERROR(__xludf.DUMMYFUNCTION("""COMPUTED_VALUE"""),"77062")</f>
        <v>77062</v>
      </c>
      <c r="I783" s="9" t="str">
        <f>IFERROR(__xludf.DUMMYFUNCTION("""COMPUTED_VALUE"""),"281-486-0337")</f>
        <v>281-486-0337</v>
      </c>
      <c r="J783" s="9" t="str">
        <f>IFERROR(__xludf.DUMMYFUNCTION("""COMPUTED_VALUE"""),"29.5688081960784, -95.1335037254902")</f>
        <v>29.5688081960784, -95.1335037254902</v>
      </c>
      <c r="K783" s="9" t="str">
        <f>IFERROR(__xludf.DUMMYFUNCTION("""COMPUTED_VALUE"""),"{""regular"":[{""days"":[""Tu"",""We"",""Th""],""open"":""09:30"",""close"":""11:30""}]}")</f>
        <v>{"regular":[{"days":["Tu","We","Th"],"open":"09:30","close":"11:30"}]}</v>
      </c>
      <c r="L783" s="9"/>
      <c r="M783" s="10">
        <f>IFERROR(__xludf.DUMMYFUNCTION("""COMPUTED_VALUE"""),64.0)</f>
        <v>64</v>
      </c>
      <c r="N783" s="10" t="str">
        <f>IFERROR(__xludf.DUMMYFUNCTION("""COMPUTED_VALUE"""),"Christmas")</f>
        <v>Christmas</v>
      </c>
      <c r="O783" s="10">
        <f>IFERROR(__xludf.DUMMYFUNCTION("""COMPUTED_VALUE"""),1.0)</f>
        <v>1</v>
      </c>
      <c r="P783" s="10" t="str">
        <f>IFERROR(__xludf.DUMMYFUNCTION("""COMPUTED_VALUE"""),"ACTIVE")</f>
        <v>ACTIVE</v>
      </c>
      <c r="Q783" s="11"/>
      <c r="R783" s="9"/>
      <c r="S783" s="9" t="str">
        <f>IFERROR(__xludf.DUMMYFUNCTION("""COMPUTED_VALUE"""),"Food only.")</f>
        <v>Food only.</v>
      </c>
      <c r="T783" s="12" t="b">
        <f>IFERROR(__xludf.DUMMYFUNCTION("""COMPUTED_VALUE"""),FALSE)</f>
        <v>0</v>
      </c>
      <c r="U783" s="12" t="b">
        <f>IFERROR(__xludf.DUMMYFUNCTION("""COMPUTED_VALUE"""),FALSE)</f>
        <v>0</v>
      </c>
      <c r="V783" s="13" t="str">
        <f>IFERROR(__xludf.DUMMYFUNCTION("""COMPUTED_VALUE"""),"https://www.stbchurch.org/")</f>
        <v>https://www.stbchurch.org/</v>
      </c>
      <c r="W783" s="14" t="str">
        <f>IFERROR(__xludf.DUMMYFUNCTION("""COMPUTED_VALUE"""),"https://maps.google.com/?q=St%20Bernadette%20Clear%20Lake%2015500%20El%20Camino%20Real%20Houston%20TX%2077062")</f>
        <v>https://maps.google.com/?q=St%20Bernadette%20Clear%20Lake%2015500%20El%20Camino%20Real%20Houston%20TX%2077062</v>
      </c>
      <c r="X783" s="10"/>
      <c r="Y783" s="9" t="str">
        <f>IFERROR(__xludf.DUMMYFUNCTION("""COMPUTED_VALUE"""),"Houston")</f>
        <v>Houston</v>
      </c>
      <c r="Z783" s="9" t="str">
        <f>IFERROR(__xludf.DUMMYFUNCTION("""COMPUTED_VALUE"""),"Clear Lake")</f>
        <v>Clear Lake</v>
      </c>
      <c r="AA783" s="9" t="str">
        <f>IFERROR(__xludf.DUMMYFUNCTION("""COMPUTED_VALUE"""),"St Bernadette Clear Lake")</f>
        <v>St Bernadette Clear Lake</v>
      </c>
      <c r="AB783" s="9" t="str">
        <f>IFERROR(__xludf.DUMMYFUNCTION("""COMPUTED_VALUE"""),"Clear Lake")</f>
        <v>Clear Lake</v>
      </c>
    </row>
    <row r="784" ht="30.0" customHeight="1">
      <c r="A784" s="17">
        <v>783.0</v>
      </c>
      <c r="B784" s="8" t="str">
        <f>IFERROR(__xludf.DUMMYFUNCTION("""COMPUTED_VALUE"""),"[""77043""]")</f>
        <v>["77043"]</v>
      </c>
      <c r="C784" s="9" t="str">
        <f>IFERROR(__xludf.DUMMYFUNCTION("""COMPUTED_VALUE"""),"St Catherine of Sienna")</f>
        <v>St Catherine of Sienna</v>
      </c>
      <c r="D784" s="9" t="str">
        <f>IFERROR(__xludf.DUMMYFUNCTION("""COMPUTED_VALUE"""),"10688 Shadow Wood Drive")</f>
        <v>10688 Shadow Wood Drive</v>
      </c>
      <c r="E784" s="9"/>
      <c r="F784" s="9" t="str">
        <f>IFERROR(__xludf.DUMMYFUNCTION("""COMPUTED_VALUE"""),"Houston")</f>
        <v>Houston</v>
      </c>
      <c r="G784" s="9" t="str">
        <f>IFERROR(__xludf.DUMMYFUNCTION("""COMPUTED_VALUE"""),"TX")</f>
        <v>TX</v>
      </c>
      <c r="H784" s="9" t="str">
        <f>IFERROR(__xludf.DUMMYFUNCTION("""COMPUTED_VALUE"""),"77043")</f>
        <v>77043</v>
      </c>
      <c r="I784" s="9" t="str">
        <f>IFERROR(__xludf.DUMMYFUNCTION("""COMPUTED_VALUE"""),"713-467-8170")</f>
        <v>713-467-8170</v>
      </c>
      <c r="J784" s="9" t="str">
        <f>IFERROR(__xludf.DUMMYFUNCTION("""COMPUTED_VALUE"""),"29.8048466755964, -95.5594299442399")</f>
        <v>29.8048466755964, -95.5594299442399</v>
      </c>
      <c r="K784" s="9"/>
      <c r="L784" s="9"/>
      <c r="M784" s="10">
        <f>IFERROR(__xludf.DUMMYFUNCTION("""COMPUTED_VALUE"""),13.0)</f>
        <v>13</v>
      </c>
      <c r="N784" s="10" t="str">
        <f>IFERROR(__xludf.DUMMYFUNCTION("""COMPUTED_VALUE"""),"Food")</f>
        <v>Food</v>
      </c>
      <c r="O784" s="10">
        <f>IFERROR(__xludf.DUMMYFUNCTION("""COMPUTED_VALUE"""),1.0)</f>
        <v>1</v>
      </c>
      <c r="P784" s="10" t="str">
        <f>IFERROR(__xludf.DUMMYFUNCTION("""COMPUTED_VALUE"""),"ACTIVE")</f>
        <v>ACTIVE</v>
      </c>
      <c r="Q784" s="11"/>
      <c r="R784" s="9"/>
      <c r="S784" s="9"/>
      <c r="T784" s="12" t="b">
        <f>IFERROR(__xludf.DUMMYFUNCTION("""COMPUTED_VALUE"""),FALSE)</f>
        <v>0</v>
      </c>
      <c r="U784" s="12" t="b">
        <f>IFERROR(__xludf.DUMMYFUNCTION("""COMPUTED_VALUE"""),FALSE)</f>
        <v>0</v>
      </c>
      <c r="V784" s="13" t="str">
        <f>IFERROR(__xludf.DUMMYFUNCTION("""COMPUTED_VALUE"""),"https://stcatherine-houston.org/")</f>
        <v>https://stcatherine-houston.org/</v>
      </c>
      <c r="W784" s="14" t="str">
        <f>IFERROR(__xludf.DUMMYFUNCTION("""COMPUTED_VALUE"""),"https://maps.google.com/?q=St%20Catherine%20of%20Sienna%2010688%20Shadow%20Wood%20Dr%20Houston%20TX%2077043")</f>
        <v>https://maps.google.com/?q=St%20Catherine%20of%20Sienna%2010688%20Shadow%20Wood%20Dr%20Houston%20TX%2077043</v>
      </c>
      <c r="X784" s="10"/>
      <c r="Y784" s="9" t="str">
        <f>IFERROR(__xludf.DUMMYFUNCTION("""COMPUTED_VALUE"""),"Houston")</f>
        <v>Houston</v>
      </c>
      <c r="Z784" s="9" t="str">
        <f>IFERROR(__xludf.DUMMYFUNCTION("""COMPUTED_VALUE"""),"Northwest Houston, Spring Branch West")</f>
        <v>Northwest Houston, Spring Branch West</v>
      </c>
      <c r="AA784" s="9" t="str">
        <f>IFERROR(__xludf.DUMMYFUNCTION("""COMPUTED_VALUE"""),"St Catherine of Sienna")</f>
        <v>St Catherine of Sienna</v>
      </c>
      <c r="AB784" s="9" t="str">
        <f>IFERROR(__xludf.DUMMYFUNCTION("""COMPUTED_VALUE"""),"Northwest Houston")</f>
        <v>Northwest Houston</v>
      </c>
    </row>
    <row r="785" ht="30.0" customHeight="1">
      <c r="A785" s="17">
        <v>784.0</v>
      </c>
      <c r="B785" s="8" t="str">
        <f>IFERROR(__xludf.DUMMYFUNCTION("""COMPUTED_VALUE"""),"[""77043""]")</f>
        <v>["77043"]</v>
      </c>
      <c r="C785" s="9" t="str">
        <f>IFERROR(__xludf.DUMMYFUNCTION("""COMPUTED_VALUE"""),"St Catherine of Sienna")</f>
        <v>St Catherine of Sienna</v>
      </c>
      <c r="D785" s="9" t="str">
        <f>IFERROR(__xludf.DUMMYFUNCTION("""COMPUTED_VALUE"""),"10688 Shadow Wood Drive")</f>
        <v>10688 Shadow Wood Drive</v>
      </c>
      <c r="E785" s="9"/>
      <c r="F785" s="9" t="str">
        <f>IFERROR(__xludf.DUMMYFUNCTION("""COMPUTED_VALUE"""),"Houston")</f>
        <v>Houston</v>
      </c>
      <c r="G785" s="9" t="str">
        <f>IFERROR(__xludf.DUMMYFUNCTION("""COMPUTED_VALUE"""),"TX")</f>
        <v>TX</v>
      </c>
      <c r="H785" s="9" t="str">
        <f>IFERROR(__xludf.DUMMYFUNCTION("""COMPUTED_VALUE"""),"77043")</f>
        <v>77043</v>
      </c>
      <c r="I785" s="9" t="str">
        <f>IFERROR(__xludf.DUMMYFUNCTION("""COMPUTED_VALUE"""),"713-467-8170")</f>
        <v>713-467-8170</v>
      </c>
      <c r="J785" s="9" t="str">
        <f>IFERROR(__xludf.DUMMYFUNCTION("""COMPUTED_VALUE"""),"29.8048466755964, -95.5594299442399")</f>
        <v>29.8048466755964, -95.5594299442399</v>
      </c>
      <c r="K785" s="9"/>
      <c r="L785" s="9"/>
      <c r="M785" s="10">
        <f>IFERROR(__xludf.DUMMYFUNCTION("""COMPUTED_VALUE"""),14.0)</f>
        <v>14</v>
      </c>
      <c r="N785" s="10" t="str">
        <f>IFERROR(__xludf.DUMMYFUNCTION("""COMPUTED_VALUE"""),"Clothing")</f>
        <v>Clothing</v>
      </c>
      <c r="O785" s="10">
        <f>IFERROR(__xludf.DUMMYFUNCTION("""COMPUTED_VALUE"""),1.0)</f>
        <v>1</v>
      </c>
      <c r="P785" s="10" t="str">
        <f>IFERROR(__xludf.DUMMYFUNCTION("""COMPUTED_VALUE"""),"ACTIVE")</f>
        <v>ACTIVE</v>
      </c>
      <c r="Q785" s="11"/>
      <c r="R785" s="9"/>
      <c r="S785" s="9"/>
      <c r="T785" s="12" t="b">
        <f>IFERROR(__xludf.DUMMYFUNCTION("""COMPUTED_VALUE"""),FALSE)</f>
        <v>0</v>
      </c>
      <c r="U785" s="12" t="b">
        <f>IFERROR(__xludf.DUMMYFUNCTION("""COMPUTED_VALUE"""),FALSE)</f>
        <v>0</v>
      </c>
      <c r="V785" s="13" t="str">
        <f>IFERROR(__xludf.DUMMYFUNCTION("""COMPUTED_VALUE"""),"https://stcatherine-houston.org/")</f>
        <v>https://stcatherine-houston.org/</v>
      </c>
      <c r="W785" s="14" t="str">
        <f>IFERROR(__xludf.DUMMYFUNCTION("""COMPUTED_VALUE"""),"https://maps.google.com/?q=St%20Catherine%20of%20Sienna%2010688%20Shadow%20Wood%20Dr%20Houston%20TX%2077043")</f>
        <v>https://maps.google.com/?q=St%20Catherine%20of%20Sienna%2010688%20Shadow%20Wood%20Dr%20Houston%20TX%2077043</v>
      </c>
      <c r="X785" s="10"/>
      <c r="Y785" s="9" t="str">
        <f>IFERROR(__xludf.DUMMYFUNCTION("""COMPUTED_VALUE"""),"Houston")</f>
        <v>Houston</v>
      </c>
      <c r="Z785" s="9" t="str">
        <f>IFERROR(__xludf.DUMMYFUNCTION("""COMPUTED_VALUE"""),"Northwest Houston, Spring Branch West")</f>
        <v>Northwest Houston, Spring Branch West</v>
      </c>
      <c r="AA785" s="9" t="str">
        <f>IFERROR(__xludf.DUMMYFUNCTION("""COMPUTED_VALUE"""),"St Catherine of Sienna")</f>
        <v>St Catherine of Sienna</v>
      </c>
      <c r="AB785" s="9" t="str">
        <f>IFERROR(__xludf.DUMMYFUNCTION("""COMPUTED_VALUE"""),"Northwest Houston")</f>
        <v>Northwest Houston</v>
      </c>
    </row>
    <row r="786" ht="30.0" customHeight="1">
      <c r="A786" s="17">
        <v>785.0</v>
      </c>
      <c r="B786" s="8" t="str">
        <f>IFERROR(__xludf.DUMMYFUNCTION("""COMPUTED_VALUE"""),"[""77024"", ""77043"", ""77055"", ""77080""]")</f>
        <v>["77024", "77043", "77055", "77080"]</v>
      </c>
      <c r="C786" s="9" t="str">
        <f>IFERROR(__xludf.DUMMYFUNCTION("""COMPUTED_VALUE"""),"St Cecilia (SVdP D4)")</f>
        <v>St Cecilia (SVdP D4)</v>
      </c>
      <c r="D786" s="9" t="str">
        <f>IFERROR(__xludf.DUMMYFUNCTION("""COMPUTED_VALUE"""),"11720 Joan of Arc Drive")</f>
        <v>11720 Joan of Arc Drive</v>
      </c>
      <c r="E786" s="9"/>
      <c r="F786" s="9" t="str">
        <f>IFERROR(__xludf.DUMMYFUNCTION("""COMPUTED_VALUE"""),"Houston")</f>
        <v>Houston</v>
      </c>
      <c r="G786" s="9" t="str">
        <f>IFERROR(__xludf.DUMMYFUNCTION("""COMPUTED_VALUE"""),"TX")</f>
        <v>TX</v>
      </c>
      <c r="H786" s="9" t="str">
        <f>IFERROR(__xludf.DUMMYFUNCTION("""COMPUTED_VALUE"""),"77024")</f>
        <v>77024</v>
      </c>
      <c r="I786" s="9" t="str">
        <f>IFERROR(__xludf.DUMMYFUNCTION("""COMPUTED_VALUE"""),"713-468-1185")</f>
        <v>713-468-1185</v>
      </c>
      <c r="J786" s="9" t="str">
        <f>IFERROR(__xludf.DUMMYFUNCTION("""COMPUTED_VALUE"""),"29.7781074081633, -95.5293707551021")</f>
        <v>29.7781074081633, -95.5293707551021</v>
      </c>
      <c r="K786" s="9" t="str">
        <f>IFERROR(__xludf.DUMMYFUNCTION("""COMPUTED_VALUE"""),"{""regular"":[{""days"":[""Mo"",""Tu"",""We""],""open"":""09:30"",""close"":""12:00""}]}")</f>
        <v>{"regular":[{"days":["Mo","Tu","We"],"open":"09:30","close":"12:00"}]}</v>
      </c>
      <c r="L786" s="9"/>
      <c r="M786" s="10">
        <f>IFERROR(__xludf.DUMMYFUNCTION("""COMPUTED_VALUE"""),11.0)</f>
        <v>11</v>
      </c>
      <c r="N786" s="10" t="str">
        <f>IFERROR(__xludf.DUMMYFUNCTION("""COMPUTED_VALUE"""),"Rent")</f>
        <v>Rent</v>
      </c>
      <c r="O786" s="10">
        <f>IFERROR(__xludf.DUMMYFUNCTION("""COMPUTED_VALUE"""),1.0)</f>
        <v>1</v>
      </c>
      <c r="P786" s="10" t="str">
        <f>IFERROR(__xludf.DUMMYFUNCTION("""COMPUTED_VALUE"""),"ACTIVE")</f>
        <v>ACTIVE</v>
      </c>
      <c r="Q786" s="11">
        <f>IFERROR(__xludf.DUMMYFUNCTION("""COMPUTED_VALUE"""),45637.0)</f>
        <v>45637</v>
      </c>
      <c r="R786" s="9"/>
      <c r="S786" s="9"/>
      <c r="T786" s="12" t="b">
        <f>IFERROR(__xludf.DUMMYFUNCTION("""COMPUTED_VALUE"""),FALSE)</f>
        <v>0</v>
      </c>
      <c r="U786" s="12" t="b">
        <f>IFERROR(__xludf.DUMMYFUNCTION("""COMPUTED_VALUE"""),FALSE)</f>
        <v>0</v>
      </c>
      <c r="V786" s="13" t="str">
        <f>IFERROR(__xludf.DUMMYFUNCTION("""COMPUTED_VALUE"""),"https://saintcecilia.org/svdp")</f>
        <v>https://saintcecilia.org/svdp</v>
      </c>
      <c r="W786" s="14" t="str">
        <f>IFERROR(__xludf.DUMMYFUNCTION("""COMPUTED_VALUE"""),"https://maps.google.com/?q=St%20Cecilia%20(SVdP%20D4)%2011720%20Joan%20of%20Arc%20Dr%20Houston%20TX%2077024")</f>
        <v>https://maps.google.com/?q=St%20Cecilia%20(SVdP%20D4)%2011720%20Joan%20of%20Arc%20Dr%20Houston%20TX%2077024</v>
      </c>
      <c r="X786" s="10"/>
      <c r="Y786" s="9" t="str">
        <f>IFERROR(__xludf.DUMMYFUNCTION("""COMPUTED_VALUE"""),"Houston")</f>
        <v>Houston</v>
      </c>
      <c r="Z786" s="9" t="str">
        <f>IFERROR(__xludf.DUMMYFUNCTION("""COMPUTED_VALUE"""),"Hedwig Village, Hunters Creek, Memorial City, Memorial Villages, Northwest Houston, Westside")</f>
        <v>Hedwig Village, Hunters Creek, Memorial City, Memorial Villages, Northwest Houston, Westside</v>
      </c>
      <c r="AA786" s="9" t="str">
        <f>IFERROR(__xludf.DUMMYFUNCTION("""COMPUTED_VALUE"""),"Society of St Vincent de Paul")</f>
        <v>Society of St Vincent de Paul</v>
      </c>
      <c r="AB786" s="9" t="str">
        <f>IFERROR(__xludf.DUMMYFUNCTION("""COMPUTED_VALUE"""),"Westside")</f>
        <v>Westside</v>
      </c>
    </row>
    <row r="787" ht="30.0" customHeight="1">
      <c r="A787" s="17">
        <v>786.0</v>
      </c>
      <c r="B787" s="8" t="str">
        <f>IFERROR(__xludf.DUMMYFUNCTION("""COMPUTED_VALUE"""),"[""77024"", ""77043"", ""77055"", ""77080""]")</f>
        <v>["77024", "77043", "77055", "77080"]</v>
      </c>
      <c r="C787" s="9" t="str">
        <f>IFERROR(__xludf.DUMMYFUNCTION("""COMPUTED_VALUE"""),"St Cecilia (SVdP D4)")</f>
        <v>St Cecilia (SVdP D4)</v>
      </c>
      <c r="D787" s="9" t="str">
        <f>IFERROR(__xludf.DUMMYFUNCTION("""COMPUTED_VALUE"""),"11720 Joan of Arc Drive")</f>
        <v>11720 Joan of Arc Drive</v>
      </c>
      <c r="E787" s="9"/>
      <c r="F787" s="9" t="str">
        <f>IFERROR(__xludf.DUMMYFUNCTION("""COMPUTED_VALUE"""),"Houston")</f>
        <v>Houston</v>
      </c>
      <c r="G787" s="9" t="str">
        <f>IFERROR(__xludf.DUMMYFUNCTION("""COMPUTED_VALUE"""),"TX")</f>
        <v>TX</v>
      </c>
      <c r="H787" s="9" t="str">
        <f>IFERROR(__xludf.DUMMYFUNCTION("""COMPUTED_VALUE"""),"77024")</f>
        <v>77024</v>
      </c>
      <c r="I787" s="9" t="str">
        <f>IFERROR(__xludf.DUMMYFUNCTION("""COMPUTED_VALUE"""),"713-468-1185")</f>
        <v>713-468-1185</v>
      </c>
      <c r="J787" s="9" t="str">
        <f>IFERROR(__xludf.DUMMYFUNCTION("""COMPUTED_VALUE"""),"29.7781074081633, -95.5293707551021")</f>
        <v>29.7781074081633, -95.5293707551021</v>
      </c>
      <c r="K787" s="9" t="str">
        <f>IFERROR(__xludf.DUMMYFUNCTION("""COMPUTED_VALUE"""),"{""regular"":[{""days"":[""Mo"",""Tu"",""We""],""open"":""09:30"",""close"":""12:00""}]}")</f>
        <v>{"regular":[{"days":["Mo","Tu","We"],"open":"09:30","close":"12:00"}]}</v>
      </c>
      <c r="L787" s="9"/>
      <c r="M787" s="10">
        <f>IFERROR(__xludf.DUMMYFUNCTION("""COMPUTED_VALUE"""),12.0)</f>
        <v>12</v>
      </c>
      <c r="N787" s="10" t="str">
        <f>IFERROR(__xludf.DUMMYFUNCTION("""COMPUTED_VALUE"""),"Utilities")</f>
        <v>Utilities</v>
      </c>
      <c r="O787" s="10">
        <f>IFERROR(__xludf.DUMMYFUNCTION("""COMPUTED_VALUE"""),1.0)</f>
        <v>1</v>
      </c>
      <c r="P787" s="10" t="str">
        <f>IFERROR(__xludf.DUMMYFUNCTION("""COMPUTED_VALUE"""),"ACTIVE")</f>
        <v>ACTIVE</v>
      </c>
      <c r="Q787" s="11">
        <f>IFERROR(__xludf.DUMMYFUNCTION("""COMPUTED_VALUE"""),45637.0)</f>
        <v>45637</v>
      </c>
      <c r="R787" s="9"/>
      <c r="S787" s="9"/>
      <c r="T787" s="12" t="b">
        <f>IFERROR(__xludf.DUMMYFUNCTION("""COMPUTED_VALUE"""),FALSE)</f>
        <v>0</v>
      </c>
      <c r="U787" s="12" t="b">
        <f>IFERROR(__xludf.DUMMYFUNCTION("""COMPUTED_VALUE"""),FALSE)</f>
        <v>0</v>
      </c>
      <c r="V787" s="13" t="str">
        <f>IFERROR(__xludf.DUMMYFUNCTION("""COMPUTED_VALUE"""),"https://saintcecilia.org/svdp")</f>
        <v>https://saintcecilia.org/svdp</v>
      </c>
      <c r="W787" s="14" t="str">
        <f>IFERROR(__xludf.DUMMYFUNCTION("""COMPUTED_VALUE"""),"https://maps.google.com/?q=St%20Cecilia%20(SVdP%20D4)%2011720%20Joan%20of%20Arc%20Dr%20Houston%20TX%2077024")</f>
        <v>https://maps.google.com/?q=St%20Cecilia%20(SVdP%20D4)%2011720%20Joan%20of%20Arc%20Dr%20Houston%20TX%2077024</v>
      </c>
      <c r="X787" s="10"/>
      <c r="Y787" s="9" t="str">
        <f>IFERROR(__xludf.DUMMYFUNCTION("""COMPUTED_VALUE"""),"Houston")</f>
        <v>Houston</v>
      </c>
      <c r="Z787" s="9" t="str">
        <f>IFERROR(__xludf.DUMMYFUNCTION("""COMPUTED_VALUE"""),"Hedwig Village, Hunters Creek, Memorial City, Memorial Villages, Northwest Houston, Westside")</f>
        <v>Hedwig Village, Hunters Creek, Memorial City, Memorial Villages, Northwest Houston, Westside</v>
      </c>
      <c r="AA787" s="9" t="str">
        <f>IFERROR(__xludf.DUMMYFUNCTION("""COMPUTED_VALUE"""),"Society of St Vincent de Paul")</f>
        <v>Society of St Vincent de Paul</v>
      </c>
      <c r="AB787" s="9" t="str">
        <f>IFERROR(__xludf.DUMMYFUNCTION("""COMPUTED_VALUE"""),"Westside")</f>
        <v>Westside</v>
      </c>
    </row>
    <row r="788" ht="30.0" customHeight="1">
      <c r="A788" s="17">
        <v>787.0</v>
      </c>
      <c r="B788" s="8" t="str">
        <f>IFERROR(__xludf.DUMMYFUNCTION("""COMPUTED_VALUE"""),"[""77022"", ""77076""]")</f>
        <v>["77022", "77076"]</v>
      </c>
      <c r="C788" s="9" t="str">
        <f>IFERROR(__xludf.DUMMYFUNCTION("""COMPUTED_VALUE"""),"St Charles Borromeo (SVdP D1)")</f>
        <v>St Charles Borromeo (SVdP D1)</v>
      </c>
      <c r="D788" s="9" t="str">
        <f>IFERROR(__xludf.DUMMYFUNCTION("""COMPUTED_VALUE"""),"501 Tidwell Road")</f>
        <v>501 Tidwell Road</v>
      </c>
      <c r="E788" s="9"/>
      <c r="F788" s="9" t="str">
        <f>IFERROR(__xludf.DUMMYFUNCTION("""COMPUTED_VALUE"""),"Houston")</f>
        <v>Houston</v>
      </c>
      <c r="G788" s="9" t="str">
        <f>IFERROR(__xludf.DUMMYFUNCTION("""COMPUTED_VALUE"""),"TX")</f>
        <v>TX</v>
      </c>
      <c r="H788" s="9" t="str">
        <f>IFERROR(__xludf.DUMMYFUNCTION("""COMPUTED_VALUE"""),"77022")</f>
        <v>77022</v>
      </c>
      <c r="I788" s="9" t="str">
        <f>IFERROR(__xludf.DUMMYFUNCTION("""COMPUTED_VALUE"""),"832-263-3020 (E)
832-242-8319 (S)")</f>
        <v>832-263-3020 (E)
832-242-8319 (S)</v>
      </c>
      <c r="J788" s="9" t="str">
        <f>IFERROR(__xludf.DUMMYFUNCTION("""COMPUTED_VALUE"""),"29.8478085, -95.368906")</f>
        <v>29.8478085, -95.368906</v>
      </c>
      <c r="K788" s="9" t="str">
        <f>IFERROR(__xludf.DUMMYFUNCTION("""COMPUTED_VALUE"""),"{""regular"":[{""days"":[""Mo"",""Tu"",""We"",""Th"",""Fr""],""open"":""09:00"",""close"":""17:00""}]}")</f>
        <v>{"regular":[{"days":["Mo","Tu","We","Th","Fr"],"open":"09:00","close":"17:00"}]}</v>
      </c>
      <c r="L788" s="9"/>
      <c r="M788" s="10">
        <f>IFERROR(__xludf.DUMMYFUNCTION("""COMPUTED_VALUE"""),11.0)</f>
        <v>11</v>
      </c>
      <c r="N788" s="10" t="str">
        <f>IFERROR(__xludf.DUMMYFUNCTION("""COMPUTED_VALUE"""),"Rent")</f>
        <v>Rent</v>
      </c>
      <c r="O788" s="10">
        <f>IFERROR(__xludf.DUMMYFUNCTION("""COMPUTED_VALUE"""),1.0)</f>
        <v>1</v>
      </c>
      <c r="P788" s="10" t="str">
        <f>IFERROR(__xludf.DUMMYFUNCTION("""COMPUTED_VALUE"""),"ACTIVE")</f>
        <v>ACTIVE</v>
      </c>
      <c r="Q788" s="11">
        <f>IFERROR(__xludf.DUMMYFUNCTION("""COMPUTED_VALUE"""),45637.0)</f>
        <v>45637</v>
      </c>
      <c r="R788" s="9"/>
      <c r="S788" s="9"/>
      <c r="T788" s="12" t="b">
        <f>IFERROR(__xludf.DUMMYFUNCTION("""COMPUTED_VALUE"""),FALSE)</f>
        <v>0</v>
      </c>
      <c r="U788" s="12" t="b">
        <f>IFERROR(__xludf.DUMMYFUNCTION("""COMPUTED_VALUE"""),FALSE)</f>
        <v>0</v>
      </c>
      <c r="V788" s="13" t="str">
        <f>IFERROR(__xludf.DUMMYFUNCTION("""COMPUTED_VALUE"""),"https://stcharleshouston.org/parish-groups")</f>
        <v>https://stcharleshouston.org/parish-groups</v>
      </c>
      <c r="W788" s="14" t="str">
        <f>IFERROR(__xludf.DUMMYFUNCTION("""COMPUTED_VALUE"""),"https://maps.google.com/?q=St%20Charles%20Borromeo%20(SVdP%20D1)%20501%20Tidwell%20Rd%20Houston%20TX%2077022")</f>
        <v>https://maps.google.com/?q=St%20Charles%20Borromeo%20(SVdP%20D1)%20501%20Tidwell%20Rd%20Houston%20TX%2077022</v>
      </c>
      <c r="X788" s="10"/>
      <c r="Y788" s="9" t="str">
        <f>IFERROR(__xludf.DUMMYFUNCTION("""COMPUTED_VALUE"""),"Houston")</f>
        <v>Houston</v>
      </c>
      <c r="Z788" s="9" t="str">
        <f>IFERROR(__xludf.DUMMYFUNCTION("""COMPUTED_VALUE"""),"Independence Heights, Northline, Northside / Northline")</f>
        <v>Independence Heights, Northline, Northside / Northline</v>
      </c>
      <c r="AA788" s="9" t="str">
        <f>IFERROR(__xludf.DUMMYFUNCTION("""COMPUTED_VALUE"""),"Society of St Vincent de Paul")</f>
        <v>Society of St Vincent de Paul</v>
      </c>
      <c r="AB788" s="9" t="str">
        <f>IFERROR(__xludf.DUMMYFUNCTION("""COMPUTED_VALUE"""),"Northside / Northline")</f>
        <v>Northside / Northline</v>
      </c>
    </row>
    <row r="789" ht="30.0" customHeight="1">
      <c r="A789" s="17">
        <v>788.0</v>
      </c>
      <c r="B789" s="8" t="str">
        <f>IFERROR(__xludf.DUMMYFUNCTION("""COMPUTED_VALUE"""),"[""77022"", ""77076""]")</f>
        <v>["77022", "77076"]</v>
      </c>
      <c r="C789" s="9" t="str">
        <f>IFERROR(__xludf.DUMMYFUNCTION("""COMPUTED_VALUE"""),"St Charles Borromeo (SVdP D1)")</f>
        <v>St Charles Borromeo (SVdP D1)</v>
      </c>
      <c r="D789" s="9" t="str">
        <f>IFERROR(__xludf.DUMMYFUNCTION("""COMPUTED_VALUE"""),"501 Tidwell Road")</f>
        <v>501 Tidwell Road</v>
      </c>
      <c r="E789" s="9"/>
      <c r="F789" s="9" t="str">
        <f>IFERROR(__xludf.DUMMYFUNCTION("""COMPUTED_VALUE"""),"Houston")</f>
        <v>Houston</v>
      </c>
      <c r="G789" s="9" t="str">
        <f>IFERROR(__xludf.DUMMYFUNCTION("""COMPUTED_VALUE"""),"TX")</f>
        <v>TX</v>
      </c>
      <c r="H789" s="9" t="str">
        <f>IFERROR(__xludf.DUMMYFUNCTION("""COMPUTED_VALUE"""),"77022")</f>
        <v>77022</v>
      </c>
      <c r="I789" s="9" t="str">
        <f>IFERROR(__xludf.DUMMYFUNCTION("""COMPUTED_VALUE"""),"832-263-3020 (E)
832-242-8319 (S)")</f>
        <v>832-263-3020 (E)
832-242-8319 (S)</v>
      </c>
      <c r="J789" s="9" t="str">
        <f>IFERROR(__xludf.DUMMYFUNCTION("""COMPUTED_VALUE"""),"29.8478085, -95.368906")</f>
        <v>29.8478085, -95.368906</v>
      </c>
      <c r="K789" s="9" t="str">
        <f>IFERROR(__xludf.DUMMYFUNCTION("""COMPUTED_VALUE"""),"{""regular"":[{""days"":[""Mo"",""Tu"",""We"",""Th"",""Fr""],""open"":""09:00"",""close"":""17:00""}]}")</f>
        <v>{"regular":[{"days":["Mo","Tu","We","Th","Fr"],"open":"09:00","close":"17:00"}]}</v>
      </c>
      <c r="L789" s="9"/>
      <c r="M789" s="10">
        <f>IFERROR(__xludf.DUMMYFUNCTION("""COMPUTED_VALUE"""),12.0)</f>
        <v>12</v>
      </c>
      <c r="N789" s="10" t="str">
        <f>IFERROR(__xludf.DUMMYFUNCTION("""COMPUTED_VALUE"""),"Utilities")</f>
        <v>Utilities</v>
      </c>
      <c r="O789" s="10">
        <f>IFERROR(__xludf.DUMMYFUNCTION("""COMPUTED_VALUE"""),1.0)</f>
        <v>1</v>
      </c>
      <c r="P789" s="10" t="str">
        <f>IFERROR(__xludf.DUMMYFUNCTION("""COMPUTED_VALUE"""),"ACTIVE")</f>
        <v>ACTIVE</v>
      </c>
      <c r="Q789" s="11">
        <f>IFERROR(__xludf.DUMMYFUNCTION("""COMPUTED_VALUE"""),45637.0)</f>
        <v>45637</v>
      </c>
      <c r="R789" s="9"/>
      <c r="S789" s="9"/>
      <c r="T789" s="12" t="b">
        <f>IFERROR(__xludf.DUMMYFUNCTION("""COMPUTED_VALUE"""),FALSE)</f>
        <v>0</v>
      </c>
      <c r="U789" s="12" t="b">
        <f>IFERROR(__xludf.DUMMYFUNCTION("""COMPUTED_VALUE"""),FALSE)</f>
        <v>0</v>
      </c>
      <c r="V789" s="13" t="str">
        <f>IFERROR(__xludf.DUMMYFUNCTION("""COMPUTED_VALUE"""),"https://stcharleshouston.org/parish-groups")</f>
        <v>https://stcharleshouston.org/parish-groups</v>
      </c>
      <c r="W789" s="14" t="str">
        <f>IFERROR(__xludf.DUMMYFUNCTION("""COMPUTED_VALUE"""),"https://maps.google.com/?q=St%20Charles%20Borromeo%20(SVdP%20D1)%20501%20Tidwell%20Rd%20Houston%20TX%2077022")</f>
        <v>https://maps.google.com/?q=St%20Charles%20Borromeo%20(SVdP%20D1)%20501%20Tidwell%20Rd%20Houston%20TX%2077022</v>
      </c>
      <c r="X789" s="10"/>
      <c r="Y789" s="9" t="str">
        <f>IFERROR(__xludf.DUMMYFUNCTION("""COMPUTED_VALUE"""),"Houston")</f>
        <v>Houston</v>
      </c>
      <c r="Z789" s="9" t="str">
        <f>IFERROR(__xludf.DUMMYFUNCTION("""COMPUTED_VALUE"""),"Independence Heights, Northline, Northside / Northline")</f>
        <v>Independence Heights, Northline, Northside / Northline</v>
      </c>
      <c r="AA789" s="9" t="str">
        <f>IFERROR(__xludf.DUMMYFUNCTION("""COMPUTED_VALUE"""),"Society of St Vincent de Paul")</f>
        <v>Society of St Vincent de Paul</v>
      </c>
      <c r="AB789" s="9" t="str">
        <f>IFERROR(__xludf.DUMMYFUNCTION("""COMPUTED_VALUE"""),"Northside / Northline")</f>
        <v>Northside / Northline</v>
      </c>
    </row>
    <row r="790" ht="30.0" customHeight="1">
      <c r="A790" s="17">
        <v>789.0</v>
      </c>
      <c r="B790" s="8" t="str">
        <f>IFERROR(__xludf.DUMMYFUNCTION("""COMPUTED_VALUE"""),"[""77022"", ""77076""]")</f>
        <v>["77022", "77076"]</v>
      </c>
      <c r="C790" s="9" t="str">
        <f>IFERROR(__xludf.DUMMYFUNCTION("""COMPUTED_VALUE"""),"St Charles Borromeo (SVdP D1)")</f>
        <v>St Charles Borromeo (SVdP D1)</v>
      </c>
      <c r="D790" s="9" t="str">
        <f>IFERROR(__xludf.DUMMYFUNCTION("""COMPUTED_VALUE"""),"501 Tidwell Road")</f>
        <v>501 Tidwell Road</v>
      </c>
      <c r="E790" s="9"/>
      <c r="F790" s="9" t="str">
        <f>IFERROR(__xludf.DUMMYFUNCTION("""COMPUTED_VALUE"""),"Houston")</f>
        <v>Houston</v>
      </c>
      <c r="G790" s="9" t="str">
        <f>IFERROR(__xludf.DUMMYFUNCTION("""COMPUTED_VALUE"""),"TX")</f>
        <v>TX</v>
      </c>
      <c r="H790" s="9" t="str">
        <f>IFERROR(__xludf.DUMMYFUNCTION("""COMPUTED_VALUE"""),"77022")</f>
        <v>77022</v>
      </c>
      <c r="I790" s="9" t="str">
        <f>IFERROR(__xludf.DUMMYFUNCTION("""COMPUTED_VALUE"""),"832-369-9390")</f>
        <v>832-369-9390</v>
      </c>
      <c r="J790" s="9" t="str">
        <f>IFERROR(__xludf.DUMMYFUNCTION("""COMPUTED_VALUE"""),"29.8478085, -95.368906")</f>
        <v>29.8478085, -95.368906</v>
      </c>
      <c r="K790" s="9" t="str">
        <f>IFERROR(__xludf.DUMMYFUNCTION("""COMPUTED_VALUE"""),"{""special"":[{""pattern"":""1st &amp; 3rd We"",""open"":""13:00"",""close"":null},{""pattern"":""2nd &amp; 4th Sa"",""open"":""10:00"",""close"":null}]}")</f>
        <v>{"special":[{"pattern":"1st &amp; 3rd We","open":"13:00","close":null},{"pattern":"2nd &amp; 4th Sa","open":"10:00","close":null}]}</v>
      </c>
      <c r="L790" s="9"/>
      <c r="M790" s="10">
        <f>IFERROR(__xludf.DUMMYFUNCTION("""COMPUTED_VALUE"""),13.0)</f>
        <v>13</v>
      </c>
      <c r="N790" s="10" t="str">
        <f>IFERROR(__xludf.DUMMYFUNCTION("""COMPUTED_VALUE"""),"Food")</f>
        <v>Food</v>
      </c>
      <c r="O790" s="10">
        <f>IFERROR(__xludf.DUMMYFUNCTION("""COMPUTED_VALUE"""),1.0)</f>
        <v>1</v>
      </c>
      <c r="P790" s="10" t="str">
        <f>IFERROR(__xludf.DUMMYFUNCTION("""COMPUTED_VALUE"""),"ACTIVE")</f>
        <v>ACTIVE</v>
      </c>
      <c r="Q790" s="11">
        <f>IFERROR(__xludf.DUMMYFUNCTION("""COMPUTED_VALUE"""),45637.0)</f>
        <v>45637</v>
      </c>
      <c r="R790" s="9"/>
      <c r="S790" s="9" t="str">
        <f>IFERROR(__xludf.DUMMYFUNCTION("""COMPUTED_VALUE"""),"Fill out online survey before arriving.
Access survey form by texting ""HFBPS"" to 855-788-3663.")</f>
        <v>Fill out online survey before arriving.
Access survey form by texting "HFBPS" to 855-788-3663.</v>
      </c>
      <c r="T790" s="12" t="b">
        <f>IFERROR(__xludf.DUMMYFUNCTION("""COMPUTED_VALUE"""),FALSE)</f>
        <v>0</v>
      </c>
      <c r="U790" s="12" t="b">
        <f>IFERROR(__xludf.DUMMYFUNCTION("""COMPUTED_VALUE"""),FALSE)</f>
        <v>0</v>
      </c>
      <c r="V790" s="13" t="str">
        <f>IFERROR(__xludf.DUMMYFUNCTION("""COMPUTED_VALUE"""),"https://stcharleshouston.org/parish-groups")</f>
        <v>https://stcharleshouston.org/parish-groups</v>
      </c>
      <c r="W790" s="14" t="str">
        <f>IFERROR(__xludf.DUMMYFUNCTION("""COMPUTED_VALUE"""),"https://maps.google.com/?q=St%20Charles%20Borromeo%20(SVdP%20D1)%20501%20Tidwell%20Rd%20Houston%20TX%2077022")</f>
        <v>https://maps.google.com/?q=St%20Charles%20Borromeo%20(SVdP%20D1)%20501%20Tidwell%20Rd%20Houston%20TX%2077022</v>
      </c>
      <c r="X790" s="10"/>
      <c r="Y790" s="9" t="str">
        <f>IFERROR(__xludf.DUMMYFUNCTION("""COMPUTED_VALUE"""),"Houston")</f>
        <v>Houston</v>
      </c>
      <c r="Z790" s="9" t="str">
        <f>IFERROR(__xludf.DUMMYFUNCTION("""COMPUTED_VALUE"""),"Independence Heights, Northline, Northside / Northline")</f>
        <v>Independence Heights, Northline, Northside / Northline</v>
      </c>
      <c r="AA790" s="9" t="str">
        <f>IFERROR(__xludf.DUMMYFUNCTION("""COMPUTED_VALUE"""),"Society of St Vincent de Paul")</f>
        <v>Society of St Vincent de Paul</v>
      </c>
      <c r="AB790" s="9" t="str">
        <f>IFERROR(__xludf.DUMMYFUNCTION("""COMPUTED_VALUE"""),"Northside / Northline")</f>
        <v>Northside / Northline</v>
      </c>
    </row>
    <row r="791" ht="30.0" customHeight="1">
      <c r="A791" s="17">
        <v>790.0</v>
      </c>
      <c r="B791" s="8" t="str">
        <f>IFERROR(__xludf.DUMMYFUNCTION("""COMPUTED_VALUE"""),"[""77058"", ""77059"", ""77062"", ""77546"", ""77565"", ""77573"", ""77586"", ""77598""]")</f>
        <v>["77058", "77059", "77062", "77546", "77565", "77573", "77586", "77598"]</v>
      </c>
      <c r="C791" s="9" t="str">
        <f>IFERROR(__xludf.DUMMYFUNCTION("""COMPUTED_VALUE"""),"St Clare of Assisi (Christ in Action)")</f>
        <v>St Clare of Assisi (Christ in Action)</v>
      </c>
      <c r="D791" s="9" t="str">
        <f>IFERROR(__xludf.DUMMYFUNCTION("""COMPUTED_VALUE"""),"3131 El Dorado Blvd")</f>
        <v>3131 El Dorado Blvd</v>
      </c>
      <c r="E791" s="9"/>
      <c r="F791" s="9" t="str">
        <f>IFERROR(__xludf.DUMMYFUNCTION("""COMPUTED_VALUE"""),"Houston")</f>
        <v>Houston</v>
      </c>
      <c r="G791" s="9" t="str">
        <f>IFERROR(__xludf.DUMMYFUNCTION("""COMPUTED_VALUE"""),"TX")</f>
        <v>TX</v>
      </c>
      <c r="H791" s="9" t="str">
        <f>IFERROR(__xludf.DUMMYFUNCTION("""COMPUTED_VALUE"""),"77059")</f>
        <v>77059</v>
      </c>
      <c r="I791" s="9" t="str">
        <f>IFERROR(__xludf.DUMMYFUNCTION("""COMPUTED_VALUE"""),"713-530-7452")</f>
        <v>713-530-7452</v>
      </c>
      <c r="J791" s="9" t="str">
        <f>IFERROR(__xludf.DUMMYFUNCTION("""COMPUTED_VALUE"""),"29.582611, -95.119361")</f>
        <v>29.582611, -95.119361</v>
      </c>
      <c r="K791" s="9" t="str">
        <f>IFERROR(__xludf.DUMMYFUNCTION("""COMPUTED_VALUE"""),"{""regular"":[{""days"":[""Mo"",""Tu"",""We"",""Th""],""open"":""09:00"",""close"":""12:00""}]}")</f>
        <v>{"regular":[{"days":["Mo","Tu","We","Th"],"open":"09:00","close":"12:00"}]}</v>
      </c>
      <c r="L791" s="9"/>
      <c r="M791" s="10">
        <f>IFERROR(__xludf.DUMMYFUNCTION("""COMPUTED_VALUE"""),11.0)</f>
        <v>11</v>
      </c>
      <c r="N791" s="10" t="str">
        <f>IFERROR(__xludf.DUMMYFUNCTION("""COMPUTED_VALUE"""),"Rent")</f>
        <v>Rent</v>
      </c>
      <c r="O791" s="10">
        <f>IFERROR(__xludf.DUMMYFUNCTION("""COMPUTED_VALUE"""),1.0)</f>
        <v>1</v>
      </c>
      <c r="P791" s="10" t="str">
        <f>IFERROR(__xludf.DUMMYFUNCTION("""COMPUTED_VALUE"""),"ACTIVE")</f>
        <v>ACTIVE</v>
      </c>
      <c r="Q791" s="11"/>
      <c r="R791" s="9"/>
      <c r="S791" s="9"/>
      <c r="T791" s="12" t="b">
        <f>IFERROR(__xludf.DUMMYFUNCTION("""COMPUTED_VALUE"""),FALSE)</f>
        <v>0</v>
      </c>
      <c r="U791" s="12" t="b">
        <f>IFERROR(__xludf.DUMMYFUNCTION("""COMPUTED_VALUE"""),FALSE)</f>
        <v>0</v>
      </c>
      <c r="V791" s="13" t="str">
        <f>IFERROR(__xludf.DUMMYFUNCTION("""COMPUTED_VALUE"""),"https://stclarehouston.org/christians-in-action")</f>
        <v>https://stclarehouston.org/christians-in-action</v>
      </c>
      <c r="W791" s="14" t="str">
        <f>IFERROR(__xludf.DUMMYFUNCTION("""COMPUTED_VALUE"""),"https://maps.google.com/?q=St%20Clare%20of%20Assisi%20(Christ%20in%20Action)%203131%20El%20Dorado%20Blvd%20Houston%20TX%2077059")</f>
        <v>https://maps.google.com/?q=St%20Clare%20of%20Assisi%20(Christ%20in%20Action)%203131%20El%20Dorado%20Blvd%20Houston%20TX%2077059</v>
      </c>
      <c r="X791" s="10"/>
      <c r="Y791" s="9" t="str">
        <f>IFERROR(__xludf.DUMMYFUNCTION("""COMPUTED_VALUE"""),"Houston")</f>
        <v>Houston</v>
      </c>
      <c r="Z791" s="9" t="str">
        <f>IFERROR(__xludf.DUMMYFUNCTION("""COMPUTED_VALUE"""),"Clear Lake, Pine Brook")</f>
        <v>Clear Lake, Pine Brook</v>
      </c>
      <c r="AA791" s="9" t="str">
        <f>IFERROR(__xludf.DUMMYFUNCTION("""COMPUTED_VALUE"""),"St Clare of Assisi (Christ in Action)")</f>
        <v>St Clare of Assisi (Christ in Action)</v>
      </c>
      <c r="AB791" s="9" t="str">
        <f>IFERROR(__xludf.DUMMYFUNCTION("""COMPUTED_VALUE"""),"Clear Lake")</f>
        <v>Clear Lake</v>
      </c>
    </row>
    <row r="792" ht="30.0" customHeight="1">
      <c r="A792" s="17">
        <v>791.0</v>
      </c>
      <c r="B792" s="8" t="str">
        <f>IFERROR(__xludf.DUMMYFUNCTION("""COMPUTED_VALUE"""),"[""77058"", ""77059"", ""77062"", ""77546"", ""77565"", ""77573"", ""77586"", ""77598""]")</f>
        <v>["77058", "77059", "77062", "77546", "77565", "77573", "77586", "77598"]</v>
      </c>
      <c r="C792" s="9" t="str">
        <f>IFERROR(__xludf.DUMMYFUNCTION("""COMPUTED_VALUE"""),"St Clare of Assisi (Christ in Action)")</f>
        <v>St Clare of Assisi (Christ in Action)</v>
      </c>
      <c r="D792" s="9" t="str">
        <f>IFERROR(__xludf.DUMMYFUNCTION("""COMPUTED_VALUE"""),"3131 El Dorado Blvd")</f>
        <v>3131 El Dorado Blvd</v>
      </c>
      <c r="E792" s="9"/>
      <c r="F792" s="9" t="str">
        <f>IFERROR(__xludf.DUMMYFUNCTION("""COMPUTED_VALUE"""),"Houston")</f>
        <v>Houston</v>
      </c>
      <c r="G792" s="9" t="str">
        <f>IFERROR(__xludf.DUMMYFUNCTION("""COMPUTED_VALUE"""),"TX")</f>
        <v>TX</v>
      </c>
      <c r="H792" s="9" t="str">
        <f>IFERROR(__xludf.DUMMYFUNCTION("""COMPUTED_VALUE"""),"77059")</f>
        <v>77059</v>
      </c>
      <c r="I792" s="9" t="str">
        <f>IFERROR(__xludf.DUMMYFUNCTION("""COMPUTED_VALUE"""),"713-530-7452")</f>
        <v>713-530-7452</v>
      </c>
      <c r="J792" s="9" t="str">
        <f>IFERROR(__xludf.DUMMYFUNCTION("""COMPUTED_VALUE"""),"29.582611, -95.119361")</f>
        <v>29.582611, -95.119361</v>
      </c>
      <c r="K792" s="9" t="str">
        <f>IFERROR(__xludf.DUMMYFUNCTION("""COMPUTED_VALUE"""),"{""regular"":[{""days"":[""Mo"",""Tu"",""We"",""Th""],""open"":""09:00"",""close"":""12:00""}]}")</f>
        <v>{"regular":[{"days":["Mo","Tu","We","Th"],"open":"09:00","close":"12:00"}]}</v>
      </c>
      <c r="L792" s="9"/>
      <c r="M792" s="10">
        <f>IFERROR(__xludf.DUMMYFUNCTION("""COMPUTED_VALUE"""),12.0)</f>
        <v>12</v>
      </c>
      <c r="N792" s="10" t="str">
        <f>IFERROR(__xludf.DUMMYFUNCTION("""COMPUTED_VALUE"""),"Utilities")</f>
        <v>Utilities</v>
      </c>
      <c r="O792" s="10">
        <f>IFERROR(__xludf.DUMMYFUNCTION("""COMPUTED_VALUE"""),1.0)</f>
        <v>1</v>
      </c>
      <c r="P792" s="10" t="str">
        <f>IFERROR(__xludf.DUMMYFUNCTION("""COMPUTED_VALUE"""),"ACTIVE")</f>
        <v>ACTIVE</v>
      </c>
      <c r="Q792" s="11"/>
      <c r="R792" s="9"/>
      <c r="S792" s="9"/>
      <c r="T792" s="12" t="b">
        <f>IFERROR(__xludf.DUMMYFUNCTION("""COMPUTED_VALUE"""),FALSE)</f>
        <v>0</v>
      </c>
      <c r="U792" s="12" t="b">
        <f>IFERROR(__xludf.DUMMYFUNCTION("""COMPUTED_VALUE"""),FALSE)</f>
        <v>0</v>
      </c>
      <c r="V792" s="13" t="str">
        <f>IFERROR(__xludf.DUMMYFUNCTION("""COMPUTED_VALUE"""),"https://stclarehouston.org/christians-in-action")</f>
        <v>https://stclarehouston.org/christians-in-action</v>
      </c>
      <c r="W792" s="14" t="str">
        <f>IFERROR(__xludf.DUMMYFUNCTION("""COMPUTED_VALUE"""),"https://maps.google.com/?q=St%20Clare%20of%20Assisi%20(Christ%20in%20Action)%203131%20El%20Dorado%20Blvd%20Houston%20TX%2077059")</f>
        <v>https://maps.google.com/?q=St%20Clare%20of%20Assisi%20(Christ%20in%20Action)%203131%20El%20Dorado%20Blvd%20Houston%20TX%2077059</v>
      </c>
      <c r="X792" s="10"/>
      <c r="Y792" s="9" t="str">
        <f>IFERROR(__xludf.DUMMYFUNCTION("""COMPUTED_VALUE"""),"Houston")</f>
        <v>Houston</v>
      </c>
      <c r="Z792" s="9" t="str">
        <f>IFERROR(__xludf.DUMMYFUNCTION("""COMPUTED_VALUE"""),"Clear Lake, Pine Brook")</f>
        <v>Clear Lake, Pine Brook</v>
      </c>
      <c r="AA792" s="9" t="str">
        <f>IFERROR(__xludf.DUMMYFUNCTION("""COMPUTED_VALUE"""),"St Clare of Assisi (Christ in Action)")</f>
        <v>St Clare of Assisi (Christ in Action)</v>
      </c>
      <c r="AB792" s="9" t="str">
        <f>IFERROR(__xludf.DUMMYFUNCTION("""COMPUTED_VALUE"""),"Clear Lake")</f>
        <v>Clear Lake</v>
      </c>
    </row>
    <row r="793" ht="30.0" customHeight="1">
      <c r="A793" s="17">
        <v>792.0</v>
      </c>
      <c r="B793" s="8" t="str">
        <f>IFERROR(__xludf.DUMMYFUNCTION("""COMPUTED_VALUE"""),"[""77388"", ""77389"", ""77390""]")</f>
        <v>["77388", "77389", "77390"]</v>
      </c>
      <c r="C793" s="9" t="str">
        <f>IFERROR(__xludf.DUMMYFUNCTION("""COMPUTED_VALUE"""),"St Edward Spring")</f>
        <v>St Edward Spring</v>
      </c>
      <c r="D793" s="9" t="str">
        <f>IFERROR(__xludf.DUMMYFUNCTION("""COMPUTED_VALUE"""),"2601 Spring Stuebner Road")</f>
        <v>2601 Spring Stuebner Road</v>
      </c>
      <c r="E793" s="9"/>
      <c r="F793" s="9" t="str">
        <f>IFERROR(__xludf.DUMMYFUNCTION("""COMPUTED_VALUE"""),"Spring")</f>
        <v>Spring</v>
      </c>
      <c r="G793" s="9" t="str">
        <f>IFERROR(__xludf.DUMMYFUNCTION("""COMPUTED_VALUE"""),"TX")</f>
        <v>TX</v>
      </c>
      <c r="H793" s="9" t="str">
        <f>IFERROR(__xludf.DUMMYFUNCTION("""COMPUTED_VALUE"""),"77389")</f>
        <v>77389</v>
      </c>
      <c r="I793" s="9" t="str">
        <f>IFERROR(__xludf.DUMMYFUNCTION("""COMPUTED_VALUE"""),"281-353-9774")</f>
        <v>281-353-9774</v>
      </c>
      <c r="J793" s="9" t="str">
        <f>IFERROR(__xludf.DUMMYFUNCTION("""COMPUTED_VALUE"""),"30.082790613589, -95.4552526834169")</f>
        <v>30.082790613589, -95.4552526834169</v>
      </c>
      <c r="K793" s="9" t="str">
        <f>IFERROR(__xludf.DUMMYFUNCTION("""COMPUTED_VALUE"""),"{""regular"":[{""days"":[""Mo"",""Tu"",""We"",""Th""],""open"":""08:30"",""close"":""16:30""}]}")</f>
        <v>{"regular":[{"days":["Mo","Tu","We","Th"],"open":"08:30","close":"16:30"}]}</v>
      </c>
      <c r="L793" s="9"/>
      <c r="M793" s="10">
        <f>IFERROR(__xludf.DUMMYFUNCTION("""COMPUTED_VALUE"""),11.0)</f>
        <v>11</v>
      </c>
      <c r="N793" s="10" t="str">
        <f>IFERROR(__xludf.DUMMYFUNCTION("""COMPUTED_VALUE"""),"Rent")</f>
        <v>Rent</v>
      </c>
      <c r="O793" s="10">
        <f>IFERROR(__xludf.DUMMYFUNCTION("""COMPUTED_VALUE"""),1.0)</f>
        <v>1</v>
      </c>
      <c r="P793" s="10" t="str">
        <f>IFERROR(__xludf.DUMMYFUNCTION("""COMPUTED_VALUE"""),"ACTIVE")</f>
        <v>ACTIVE</v>
      </c>
      <c r="Q793" s="11"/>
      <c r="R793" s="9"/>
      <c r="S793" s="9"/>
      <c r="T793" s="12" t="b">
        <f>IFERROR(__xludf.DUMMYFUNCTION("""COMPUTED_VALUE"""),FALSE)</f>
        <v>0</v>
      </c>
      <c r="U793" s="12" t="b">
        <f>IFERROR(__xludf.DUMMYFUNCTION("""COMPUTED_VALUE"""),FALSE)</f>
        <v>0</v>
      </c>
      <c r="V793" s="13" t="str">
        <f>IFERROR(__xludf.DUMMYFUNCTION("""COMPUTED_VALUE"""),"https://www.saintedward.org/")</f>
        <v>https://www.saintedward.org/</v>
      </c>
      <c r="W793" s="14" t="str">
        <f>IFERROR(__xludf.DUMMYFUNCTION("""COMPUTED_VALUE"""),"https://maps.google.com/?q=St%20Edward%20Spring%202601%20Spring%20Stuebner%20Rd%20Spring%20TX%2077389")</f>
        <v>https://maps.google.com/?q=St%20Edward%20Spring%202601%20Spring%20Stuebner%20Rd%20Spring%20TX%2077389</v>
      </c>
      <c r="X793" s="10"/>
      <c r="Y793" s="9" t="str">
        <f>IFERROR(__xludf.DUMMYFUNCTION("""COMPUTED_VALUE"""),"Spring")</f>
        <v>Spring</v>
      </c>
      <c r="Z793" s="9" t="str">
        <f>IFERROR(__xludf.DUMMYFUNCTION("""COMPUTED_VALUE"""),"Auburn Lakes, Northampton, Spring")</f>
        <v>Auburn Lakes, Northampton, Spring</v>
      </c>
      <c r="AA793" s="9" t="str">
        <f>IFERROR(__xludf.DUMMYFUNCTION("""COMPUTED_VALUE"""),"St Edward Spring")</f>
        <v>St Edward Spring</v>
      </c>
      <c r="AB793" s="9" t="str">
        <f>IFERROR(__xludf.DUMMYFUNCTION("""COMPUTED_VALUE"""),"Spring")</f>
        <v>Spring</v>
      </c>
    </row>
    <row r="794" ht="30.0" customHeight="1">
      <c r="A794" s="17">
        <v>793.0</v>
      </c>
      <c r="B794" s="8" t="str">
        <f>IFERROR(__xludf.DUMMYFUNCTION("""COMPUTED_VALUE"""),"[""77388"", ""77389"", ""77390""]")</f>
        <v>["77388", "77389", "77390"]</v>
      </c>
      <c r="C794" s="9" t="str">
        <f>IFERROR(__xludf.DUMMYFUNCTION("""COMPUTED_VALUE"""),"St Edward Spring")</f>
        <v>St Edward Spring</v>
      </c>
      <c r="D794" s="9" t="str">
        <f>IFERROR(__xludf.DUMMYFUNCTION("""COMPUTED_VALUE"""),"2601 Spring Stuebner Road")</f>
        <v>2601 Spring Stuebner Road</v>
      </c>
      <c r="E794" s="9"/>
      <c r="F794" s="9" t="str">
        <f>IFERROR(__xludf.DUMMYFUNCTION("""COMPUTED_VALUE"""),"Spring")</f>
        <v>Spring</v>
      </c>
      <c r="G794" s="9" t="str">
        <f>IFERROR(__xludf.DUMMYFUNCTION("""COMPUTED_VALUE"""),"TX")</f>
        <v>TX</v>
      </c>
      <c r="H794" s="9" t="str">
        <f>IFERROR(__xludf.DUMMYFUNCTION("""COMPUTED_VALUE"""),"77389")</f>
        <v>77389</v>
      </c>
      <c r="I794" s="9" t="str">
        <f>IFERROR(__xludf.DUMMYFUNCTION("""COMPUTED_VALUE"""),"281-353-9774")</f>
        <v>281-353-9774</v>
      </c>
      <c r="J794" s="9" t="str">
        <f>IFERROR(__xludf.DUMMYFUNCTION("""COMPUTED_VALUE"""),"30.082790613589, -95.4552526834169")</f>
        <v>30.082790613589, -95.4552526834169</v>
      </c>
      <c r="K794" s="9" t="str">
        <f>IFERROR(__xludf.DUMMYFUNCTION("""COMPUTED_VALUE"""),"{""regular"":[{""days"":[""Mo"",""Tu"",""We"",""Th""],""open"":""08:30"",""close"":""16:30""}]}")</f>
        <v>{"regular":[{"days":["Mo","Tu","We","Th"],"open":"08:30","close":"16:30"}]}</v>
      </c>
      <c r="L794" s="9"/>
      <c r="M794" s="10">
        <f>IFERROR(__xludf.DUMMYFUNCTION("""COMPUTED_VALUE"""),12.0)</f>
        <v>12</v>
      </c>
      <c r="N794" s="10" t="str">
        <f>IFERROR(__xludf.DUMMYFUNCTION("""COMPUTED_VALUE"""),"Utilities")</f>
        <v>Utilities</v>
      </c>
      <c r="O794" s="10">
        <f>IFERROR(__xludf.DUMMYFUNCTION("""COMPUTED_VALUE"""),1.0)</f>
        <v>1</v>
      </c>
      <c r="P794" s="10" t="str">
        <f>IFERROR(__xludf.DUMMYFUNCTION("""COMPUTED_VALUE"""),"ACTIVE")</f>
        <v>ACTIVE</v>
      </c>
      <c r="Q794" s="11"/>
      <c r="R794" s="9"/>
      <c r="S794" s="9"/>
      <c r="T794" s="12" t="b">
        <f>IFERROR(__xludf.DUMMYFUNCTION("""COMPUTED_VALUE"""),FALSE)</f>
        <v>0</v>
      </c>
      <c r="U794" s="12" t="b">
        <f>IFERROR(__xludf.DUMMYFUNCTION("""COMPUTED_VALUE"""),FALSE)</f>
        <v>0</v>
      </c>
      <c r="V794" s="13" t="str">
        <f>IFERROR(__xludf.DUMMYFUNCTION("""COMPUTED_VALUE"""),"https://www.saintedward.org/")</f>
        <v>https://www.saintedward.org/</v>
      </c>
      <c r="W794" s="14" t="str">
        <f>IFERROR(__xludf.DUMMYFUNCTION("""COMPUTED_VALUE"""),"https://maps.google.com/?q=St%20Edward%20Spring%202601%20Spring%20Stuebner%20Rd%20Spring%20TX%2077389")</f>
        <v>https://maps.google.com/?q=St%20Edward%20Spring%202601%20Spring%20Stuebner%20Rd%20Spring%20TX%2077389</v>
      </c>
      <c r="X794" s="10"/>
      <c r="Y794" s="9" t="str">
        <f>IFERROR(__xludf.DUMMYFUNCTION("""COMPUTED_VALUE"""),"Spring")</f>
        <v>Spring</v>
      </c>
      <c r="Z794" s="9" t="str">
        <f>IFERROR(__xludf.DUMMYFUNCTION("""COMPUTED_VALUE"""),"Auburn Lakes, Northampton, Spring")</f>
        <v>Auburn Lakes, Northampton, Spring</v>
      </c>
      <c r="AA794" s="9" t="str">
        <f>IFERROR(__xludf.DUMMYFUNCTION("""COMPUTED_VALUE"""),"St Edward Spring")</f>
        <v>St Edward Spring</v>
      </c>
      <c r="AB794" s="9" t="str">
        <f>IFERROR(__xludf.DUMMYFUNCTION("""COMPUTED_VALUE"""),"Spring")</f>
        <v>Spring</v>
      </c>
    </row>
    <row r="795" ht="30.0" customHeight="1">
      <c r="A795" s="17">
        <v>794.0</v>
      </c>
      <c r="B795" s="8" t="str">
        <f>IFERROR(__xludf.DUMMYFUNCTION("""COMPUTED_VALUE"""),"[""77041"", ""77084"", ""77095""]")</f>
        <v>["77041", "77084", "77095"]</v>
      </c>
      <c r="C795" s="9" t="str">
        <f>IFERROR(__xludf.DUMMYFUNCTION("""COMPUTED_VALUE"""),"St Elizabeth Ann Seton (SVdP D4)")</f>
        <v>St Elizabeth Ann Seton (SVdP D4)</v>
      </c>
      <c r="D795" s="9" t="str">
        <f>IFERROR(__xludf.DUMMYFUNCTION("""COMPUTED_VALUE"""),"6646 Addicks Satsuma Drive")</f>
        <v>6646 Addicks Satsuma Drive</v>
      </c>
      <c r="E795" s="9"/>
      <c r="F795" s="9" t="str">
        <f>IFERROR(__xludf.DUMMYFUNCTION("""COMPUTED_VALUE"""),"Houston")</f>
        <v>Houston</v>
      </c>
      <c r="G795" s="9" t="str">
        <f>IFERROR(__xludf.DUMMYFUNCTION("""COMPUTED_VALUE"""),"TX")</f>
        <v>TX</v>
      </c>
      <c r="H795" s="9" t="str">
        <f>IFERROR(__xludf.DUMMYFUNCTION("""COMPUTED_VALUE"""),"77084")</f>
        <v>77084</v>
      </c>
      <c r="I795" s="9" t="str">
        <f>IFERROR(__xludf.DUMMYFUNCTION("""COMPUTED_VALUE"""),"281-463-4560")</f>
        <v>281-463-4560</v>
      </c>
      <c r="J795" s="9" t="str">
        <f>IFERROR(__xludf.DUMMYFUNCTION("""COMPUTED_VALUE"""),"29.872679614359935, -95.63152331491388")</f>
        <v>29.872679614359935, -95.63152331491388</v>
      </c>
      <c r="K795" s="9" t="str">
        <f>IFERROR(__xludf.DUMMYFUNCTION("""COMPUTED_VALUE"""),"{""regular"":[{""days"":[""Mo"",""We"",""Fr""],""open"":""09:00"",""close"":""12:00""}]}")</f>
        <v>{"regular":[{"days":["Mo","We","Fr"],"open":"09:00","close":"12:00"}]}</v>
      </c>
      <c r="L795" s="9"/>
      <c r="M795" s="10">
        <f>IFERROR(__xludf.DUMMYFUNCTION("""COMPUTED_VALUE"""),11.0)</f>
        <v>11</v>
      </c>
      <c r="N795" s="10" t="str">
        <f>IFERROR(__xludf.DUMMYFUNCTION("""COMPUTED_VALUE"""),"Rent")</f>
        <v>Rent</v>
      </c>
      <c r="O795" s="10">
        <f>IFERROR(__xludf.DUMMYFUNCTION("""COMPUTED_VALUE"""),1.0)</f>
        <v>1</v>
      </c>
      <c r="P795" s="10" t="str">
        <f>IFERROR(__xludf.DUMMYFUNCTION("""COMPUTED_VALUE"""),"ACTIVE")</f>
        <v>ACTIVE</v>
      </c>
      <c r="Q795" s="11">
        <f>IFERROR(__xludf.DUMMYFUNCTION("""COMPUTED_VALUE"""),45637.0)</f>
        <v>45637</v>
      </c>
      <c r="R795" s="9"/>
      <c r="S795" s="9"/>
      <c r="T795" s="12" t="b">
        <f>IFERROR(__xludf.DUMMYFUNCTION("""COMPUTED_VALUE"""),FALSE)</f>
        <v>0</v>
      </c>
      <c r="U795" s="12" t="b">
        <f>IFERROR(__xludf.DUMMYFUNCTION("""COMPUTED_VALUE"""),FALSE)</f>
        <v>0</v>
      </c>
      <c r="V795" s="13" t="str">
        <f>IFERROR(__xludf.DUMMYFUNCTION("""COMPUTED_VALUE"""),"https://seascatholic.org/st-vincent-de-paul")</f>
        <v>https://seascatholic.org/st-vincent-de-paul</v>
      </c>
      <c r="W795" s="14" t="str">
        <f>IFERROR(__xludf.DUMMYFUNCTION("""COMPUTED_VALUE"""),"https://maps.google.com/?q=St%20Elizabeth%20Ann%20Seton%20(SVdP%20D4)%206646%20Addicks%20Satsuma%20Dr%20Houston%20TX%2077084")</f>
        <v>https://maps.google.com/?q=St%20Elizabeth%20Ann%20Seton%20(SVdP%20D4)%206646%20Addicks%20Satsuma%20Dr%20Houston%20TX%2077084</v>
      </c>
      <c r="X795" s="10"/>
      <c r="Y795" s="9" t="str">
        <f>IFERROR(__xludf.DUMMYFUNCTION("""COMPUTED_VALUE"""),"Houston")</f>
        <v>Houston</v>
      </c>
      <c r="Z795" s="9" t="str">
        <f>IFERROR(__xludf.DUMMYFUNCTION("""COMPUTED_VALUE"""),"Addicks Park Ten, Bear Creek, Copperfield")</f>
        <v>Addicks Park Ten, Bear Creek, Copperfield</v>
      </c>
      <c r="AA795" s="9" t="str">
        <f>IFERROR(__xludf.DUMMYFUNCTION("""COMPUTED_VALUE"""),"Society of St Vincent de Paul")</f>
        <v>Society of St Vincent de Paul</v>
      </c>
      <c r="AB795" s="9" t="str">
        <f>IFERROR(__xludf.DUMMYFUNCTION("""COMPUTED_VALUE"""),"Copperfield")</f>
        <v>Copperfield</v>
      </c>
    </row>
    <row r="796" ht="30.0" customHeight="1">
      <c r="A796" s="17">
        <v>795.0</v>
      </c>
      <c r="B796" s="8" t="str">
        <f>IFERROR(__xludf.DUMMYFUNCTION("""COMPUTED_VALUE"""),"[""77041"", ""77084"", ""77095""]")</f>
        <v>["77041", "77084", "77095"]</v>
      </c>
      <c r="C796" s="9" t="str">
        <f>IFERROR(__xludf.DUMMYFUNCTION("""COMPUTED_VALUE"""),"St Elizabeth Ann Seton (SVdP D4)")</f>
        <v>St Elizabeth Ann Seton (SVdP D4)</v>
      </c>
      <c r="D796" s="9" t="str">
        <f>IFERROR(__xludf.DUMMYFUNCTION("""COMPUTED_VALUE"""),"6646 Addicks Satsuma Drive")</f>
        <v>6646 Addicks Satsuma Drive</v>
      </c>
      <c r="E796" s="9"/>
      <c r="F796" s="9" t="str">
        <f>IFERROR(__xludf.DUMMYFUNCTION("""COMPUTED_VALUE"""),"Houston")</f>
        <v>Houston</v>
      </c>
      <c r="G796" s="9" t="str">
        <f>IFERROR(__xludf.DUMMYFUNCTION("""COMPUTED_VALUE"""),"TX")</f>
        <v>TX</v>
      </c>
      <c r="H796" s="9" t="str">
        <f>IFERROR(__xludf.DUMMYFUNCTION("""COMPUTED_VALUE"""),"77084")</f>
        <v>77084</v>
      </c>
      <c r="I796" s="9" t="str">
        <f>IFERROR(__xludf.DUMMYFUNCTION("""COMPUTED_VALUE"""),"281-463-4560")</f>
        <v>281-463-4560</v>
      </c>
      <c r="J796" s="9" t="str">
        <f>IFERROR(__xludf.DUMMYFUNCTION("""COMPUTED_VALUE"""),"29.872679614359935, -95.63152331491388")</f>
        <v>29.872679614359935, -95.63152331491388</v>
      </c>
      <c r="K796" s="9" t="str">
        <f>IFERROR(__xludf.DUMMYFUNCTION("""COMPUTED_VALUE"""),"{""regular"":[{""days"":[""Mo"",""We"",""Fr""],""open"":""09:00"",""close"":""12:00""}]}")</f>
        <v>{"regular":[{"days":["Mo","We","Fr"],"open":"09:00","close":"12:00"}]}</v>
      </c>
      <c r="L796" s="9"/>
      <c r="M796" s="10">
        <f>IFERROR(__xludf.DUMMYFUNCTION("""COMPUTED_VALUE"""),12.0)</f>
        <v>12</v>
      </c>
      <c r="N796" s="10" t="str">
        <f>IFERROR(__xludf.DUMMYFUNCTION("""COMPUTED_VALUE"""),"Utilities")</f>
        <v>Utilities</v>
      </c>
      <c r="O796" s="10">
        <f>IFERROR(__xludf.DUMMYFUNCTION("""COMPUTED_VALUE"""),1.0)</f>
        <v>1</v>
      </c>
      <c r="P796" s="10" t="str">
        <f>IFERROR(__xludf.DUMMYFUNCTION("""COMPUTED_VALUE"""),"ACTIVE")</f>
        <v>ACTIVE</v>
      </c>
      <c r="Q796" s="11">
        <f>IFERROR(__xludf.DUMMYFUNCTION("""COMPUTED_VALUE"""),45637.0)</f>
        <v>45637</v>
      </c>
      <c r="R796" s="9"/>
      <c r="S796" s="9"/>
      <c r="T796" s="12" t="b">
        <f>IFERROR(__xludf.DUMMYFUNCTION("""COMPUTED_VALUE"""),FALSE)</f>
        <v>0</v>
      </c>
      <c r="U796" s="12" t="b">
        <f>IFERROR(__xludf.DUMMYFUNCTION("""COMPUTED_VALUE"""),FALSE)</f>
        <v>0</v>
      </c>
      <c r="V796" s="13" t="str">
        <f>IFERROR(__xludf.DUMMYFUNCTION("""COMPUTED_VALUE"""),"https://seascatholic.org/st-vincent-de-paul")</f>
        <v>https://seascatholic.org/st-vincent-de-paul</v>
      </c>
      <c r="W796" s="14" t="str">
        <f>IFERROR(__xludf.DUMMYFUNCTION("""COMPUTED_VALUE"""),"https://maps.google.com/?q=St%20Elizabeth%20Ann%20Seton%20(SVdP%20D4)%206646%20Addicks%20Satsuma%20Dr%20Houston%20TX%2077084")</f>
        <v>https://maps.google.com/?q=St%20Elizabeth%20Ann%20Seton%20(SVdP%20D4)%206646%20Addicks%20Satsuma%20Dr%20Houston%20TX%2077084</v>
      </c>
      <c r="X796" s="10"/>
      <c r="Y796" s="9" t="str">
        <f>IFERROR(__xludf.DUMMYFUNCTION("""COMPUTED_VALUE"""),"Houston")</f>
        <v>Houston</v>
      </c>
      <c r="Z796" s="9" t="str">
        <f>IFERROR(__xludf.DUMMYFUNCTION("""COMPUTED_VALUE"""),"Addicks Park Ten, Bear Creek, Copperfield")</f>
        <v>Addicks Park Ten, Bear Creek, Copperfield</v>
      </c>
      <c r="AA796" s="9" t="str">
        <f>IFERROR(__xludf.DUMMYFUNCTION("""COMPUTED_VALUE"""),"Society of St Vincent de Paul")</f>
        <v>Society of St Vincent de Paul</v>
      </c>
      <c r="AB796" s="9" t="str">
        <f>IFERROR(__xludf.DUMMYFUNCTION("""COMPUTED_VALUE"""),"Copperfield")</f>
        <v>Copperfield</v>
      </c>
    </row>
    <row r="797" ht="30.0" customHeight="1">
      <c r="A797" s="17">
        <v>796.0</v>
      </c>
      <c r="B797" s="8" t="str">
        <f>IFERROR(__xludf.DUMMYFUNCTION("""COMPUTED_VALUE"""),"[""77041"", ""77084"", ""77095""]")</f>
        <v>["77041", "77084", "77095"]</v>
      </c>
      <c r="C797" s="9" t="str">
        <f>IFERROR(__xludf.DUMMYFUNCTION("""COMPUTED_VALUE"""),"St Elizabeth Ann Seton (SVdP D4)")</f>
        <v>St Elizabeth Ann Seton (SVdP D4)</v>
      </c>
      <c r="D797" s="9" t="str">
        <f>IFERROR(__xludf.DUMMYFUNCTION("""COMPUTED_VALUE"""),"6646 Addicks Satsuma Drive")</f>
        <v>6646 Addicks Satsuma Drive</v>
      </c>
      <c r="E797" s="9"/>
      <c r="F797" s="9" t="str">
        <f>IFERROR(__xludf.DUMMYFUNCTION("""COMPUTED_VALUE"""),"Houston")</f>
        <v>Houston</v>
      </c>
      <c r="G797" s="9" t="str">
        <f>IFERROR(__xludf.DUMMYFUNCTION("""COMPUTED_VALUE"""),"TX")</f>
        <v>TX</v>
      </c>
      <c r="H797" s="9" t="str">
        <f>IFERROR(__xludf.DUMMYFUNCTION("""COMPUTED_VALUE"""),"77084")</f>
        <v>77084</v>
      </c>
      <c r="I797" s="9" t="str">
        <f>IFERROR(__xludf.DUMMYFUNCTION("""COMPUTED_VALUE"""),"281-463-4560")</f>
        <v>281-463-4560</v>
      </c>
      <c r="J797" s="9" t="str">
        <f>IFERROR(__xludf.DUMMYFUNCTION("""COMPUTED_VALUE"""),"29.872679614359935, -95.63152331491388")</f>
        <v>29.872679614359935, -95.63152331491388</v>
      </c>
      <c r="K797" s="9" t="str">
        <f>IFERROR(__xludf.DUMMYFUNCTION("""COMPUTED_VALUE"""),"{""special"":[{""pattern"":""3rd Su"",""open"":null,""close"":null}]}")</f>
        <v>{"special":[{"pattern":"3rd Su","open":null,"close":null}]}</v>
      </c>
      <c r="L797" s="9"/>
      <c r="M797" s="10">
        <f>IFERROR(__xludf.DUMMYFUNCTION("""COMPUTED_VALUE"""),13.0)</f>
        <v>13</v>
      </c>
      <c r="N797" s="10" t="str">
        <f>IFERROR(__xludf.DUMMYFUNCTION("""COMPUTED_VALUE"""),"Food")</f>
        <v>Food</v>
      </c>
      <c r="O797" s="10">
        <f>IFERROR(__xludf.DUMMYFUNCTION("""COMPUTED_VALUE"""),1.0)</f>
        <v>1</v>
      </c>
      <c r="P797" s="10" t="str">
        <f>IFERROR(__xludf.DUMMYFUNCTION("""COMPUTED_VALUE"""),"ACTIVE")</f>
        <v>ACTIVE</v>
      </c>
      <c r="Q797" s="11">
        <f>IFERROR(__xludf.DUMMYFUNCTION("""COMPUTED_VALUE"""),45637.0)</f>
        <v>45637</v>
      </c>
      <c r="R797" s="9"/>
      <c r="S797" s="9"/>
      <c r="T797" s="12" t="b">
        <f>IFERROR(__xludf.DUMMYFUNCTION("""COMPUTED_VALUE"""),FALSE)</f>
        <v>0</v>
      </c>
      <c r="U797" s="12" t="b">
        <f>IFERROR(__xludf.DUMMYFUNCTION("""COMPUTED_VALUE"""),FALSE)</f>
        <v>0</v>
      </c>
      <c r="V797" s="13" t="str">
        <f>IFERROR(__xludf.DUMMYFUNCTION("""COMPUTED_VALUE"""),"https://seascatholic.org/st-vincent-de-paul")</f>
        <v>https://seascatholic.org/st-vincent-de-paul</v>
      </c>
      <c r="W797" s="14" t="str">
        <f>IFERROR(__xludf.DUMMYFUNCTION("""COMPUTED_VALUE"""),"https://maps.google.com/?q=St%20Elizabeth%20Ann%20Seton%20(SVdP%20D4)%206646%20Addicks%20Satsuma%20Dr%20Houston%20TX%2077084")</f>
        <v>https://maps.google.com/?q=St%20Elizabeth%20Ann%20Seton%20(SVdP%20D4)%206646%20Addicks%20Satsuma%20Dr%20Houston%20TX%2077084</v>
      </c>
      <c r="X797" s="10"/>
      <c r="Y797" s="9" t="str">
        <f>IFERROR(__xludf.DUMMYFUNCTION("""COMPUTED_VALUE"""),"Houston")</f>
        <v>Houston</v>
      </c>
      <c r="Z797" s="9" t="str">
        <f>IFERROR(__xludf.DUMMYFUNCTION("""COMPUTED_VALUE"""),"Addicks Park Ten, Bear Creek, Copperfield")</f>
        <v>Addicks Park Ten, Bear Creek, Copperfield</v>
      </c>
      <c r="AA797" s="9" t="str">
        <f>IFERROR(__xludf.DUMMYFUNCTION("""COMPUTED_VALUE"""),"Society of St Vincent de Paul")</f>
        <v>Society of St Vincent de Paul</v>
      </c>
      <c r="AB797" s="9" t="str">
        <f>IFERROR(__xludf.DUMMYFUNCTION("""COMPUTED_VALUE"""),"Copperfield")</f>
        <v>Copperfield</v>
      </c>
    </row>
    <row r="798" ht="30.0" customHeight="1">
      <c r="A798" s="17">
        <v>797.0</v>
      </c>
      <c r="B798" s="8" t="str">
        <f>IFERROR(__xludf.DUMMYFUNCTION("""COMPUTED_VALUE"""),"[""77034""]")</f>
        <v>["77034"]</v>
      </c>
      <c r="C798" s="9" t="str">
        <f>IFERROR(__xludf.DUMMYFUNCTION("""COMPUTED_VALUE"""),"St Francis Cabrini")</f>
        <v>St Francis Cabrini</v>
      </c>
      <c r="D798" s="9" t="str">
        <f>IFERROR(__xludf.DUMMYFUNCTION("""COMPUTED_VALUE"""),"10727 Hartsook Street")</f>
        <v>10727 Hartsook Street</v>
      </c>
      <c r="E798" s="9"/>
      <c r="F798" s="9" t="str">
        <f>IFERROR(__xludf.DUMMYFUNCTION("""COMPUTED_VALUE"""),"Houston")</f>
        <v>Houston</v>
      </c>
      <c r="G798" s="9" t="str">
        <f>IFERROR(__xludf.DUMMYFUNCTION("""COMPUTED_VALUE"""),"TX")</f>
        <v>TX</v>
      </c>
      <c r="H798" s="9" t="str">
        <f>IFERROR(__xludf.DUMMYFUNCTION("""COMPUTED_VALUE"""),"77034")</f>
        <v>77034</v>
      </c>
      <c r="I798" s="9" t="str">
        <f>IFERROR(__xludf.DUMMYFUNCTION("""COMPUTED_VALUE"""),"713-946-5768")</f>
        <v>713-946-5768</v>
      </c>
      <c r="J798" s="9" t="str">
        <f>IFERROR(__xludf.DUMMYFUNCTION("""COMPUTED_VALUE"""),"29.6349083265306, -95.2230652653061")</f>
        <v>29.6349083265306, -95.2230652653061</v>
      </c>
      <c r="K798" s="9" t="str">
        <f>IFERROR(__xludf.DUMMYFUNCTION("""COMPUTED_VALUE"""),"{""regular"":[{""days"":[""Tu"",""Th""],""open"":""09:30"",""close"":""11:00""}]}")</f>
        <v>{"regular":[{"days":["Tu","Th"],"open":"09:30","close":"11:00"}]}</v>
      </c>
      <c r="L798" s="9"/>
      <c r="M798" s="10">
        <f>IFERROR(__xludf.DUMMYFUNCTION("""COMPUTED_VALUE"""),13.0)</f>
        <v>13</v>
      </c>
      <c r="N798" s="10" t="str">
        <f>IFERROR(__xludf.DUMMYFUNCTION("""COMPUTED_VALUE"""),"Food")</f>
        <v>Food</v>
      </c>
      <c r="O798" s="10">
        <f>IFERROR(__xludf.DUMMYFUNCTION("""COMPUTED_VALUE"""),3.0)</f>
        <v>3</v>
      </c>
      <c r="P798" s="10" t="str">
        <f>IFERROR(__xludf.DUMMYFUNCTION("""COMPUTED_VALUE"""),"INACTIVE")</f>
        <v>INACTIVE</v>
      </c>
      <c r="Q798" s="11"/>
      <c r="R798" s="9"/>
      <c r="S798" s="9"/>
      <c r="T798" s="12" t="b">
        <f>IFERROR(__xludf.DUMMYFUNCTION("""COMPUTED_VALUE"""),FALSE)</f>
        <v>0</v>
      </c>
      <c r="U798" s="12" t="b">
        <f>IFERROR(__xludf.DUMMYFUNCTION("""COMPUTED_VALUE"""),FALSE)</f>
        <v>0</v>
      </c>
      <c r="V798" s="13" t="str">
        <f>IFERROR(__xludf.DUMMYFUNCTION("""COMPUTED_VALUE"""),"https://cabrinihouston.org/")</f>
        <v>https://cabrinihouston.org/</v>
      </c>
      <c r="W798" s="14" t="str">
        <f>IFERROR(__xludf.DUMMYFUNCTION("""COMPUTED_VALUE"""),"https://maps.google.com/?q=St%20Francis%20Cabrini%2010727%20Hartsook%20St%20Houston%20TX%2077034")</f>
        <v>https://maps.google.com/?q=St%20Francis%20Cabrini%2010727%20Hartsook%20St%20Houston%20TX%2077034</v>
      </c>
      <c r="X798" s="10"/>
      <c r="Y798" s="9" t="str">
        <f>IFERROR(__xludf.DUMMYFUNCTION("""COMPUTED_VALUE"""),"Houston")</f>
        <v>Houston</v>
      </c>
      <c r="Z798" s="9" t="str">
        <f>IFERROR(__xludf.DUMMYFUNCTION("""COMPUTED_VALUE"""),"Edgebrook Area, Ellington, Southbelt")</f>
        <v>Edgebrook Area, Ellington, Southbelt</v>
      </c>
      <c r="AA798" s="9" t="str">
        <f>IFERROR(__xludf.DUMMYFUNCTION("""COMPUTED_VALUE"""),"St Francis Cabrini")</f>
        <v>St Francis Cabrini</v>
      </c>
      <c r="AB798" s="9" t="str">
        <f>IFERROR(__xludf.DUMMYFUNCTION("""COMPUTED_VALUE"""),"Edgebrook Area")</f>
        <v>Edgebrook Area</v>
      </c>
    </row>
    <row r="799" ht="30.0" customHeight="1">
      <c r="A799" s="17">
        <v>798.0</v>
      </c>
      <c r="B799" s="8" t="str">
        <f>IFERROR(__xludf.DUMMYFUNCTION("""COMPUTED_VALUE"""),"[""77036"", ""77074""]")</f>
        <v>["77036", "77074"]</v>
      </c>
      <c r="C799" s="9" t="str">
        <f>IFERROR(__xludf.DUMMYFUNCTION("""COMPUTED_VALUE"""),"St Francis de Sales (SVdP D3)")</f>
        <v>St Francis de Sales (SVdP D3)</v>
      </c>
      <c r="D799" s="9" t="str">
        <f>IFERROR(__xludf.DUMMYFUNCTION("""COMPUTED_VALUE"""),"8200 Roos Road")</f>
        <v>8200 Roos Road</v>
      </c>
      <c r="E799" s="9"/>
      <c r="F799" s="9" t="str">
        <f>IFERROR(__xludf.DUMMYFUNCTION("""COMPUTED_VALUE"""),"Houston")</f>
        <v>Houston</v>
      </c>
      <c r="G799" s="9" t="str">
        <f>IFERROR(__xludf.DUMMYFUNCTION("""COMPUTED_VALUE"""),"TX")</f>
        <v>TX</v>
      </c>
      <c r="H799" s="9" t="str">
        <f>IFERROR(__xludf.DUMMYFUNCTION("""COMPUTED_VALUE"""),"77036")</f>
        <v>77036</v>
      </c>
      <c r="I799" s="9" t="str">
        <f>IFERROR(__xludf.DUMMYFUNCTION("""COMPUTED_VALUE"""),"832-280-7837")</f>
        <v>832-280-7837</v>
      </c>
      <c r="J799" s="9" t="str">
        <f>IFERROR(__xludf.DUMMYFUNCTION("""COMPUTED_VALUE"""),"29.6998998383838, -95.5290626767677")</f>
        <v>29.6998998383838, -95.5290626767677</v>
      </c>
      <c r="K799" s="9"/>
      <c r="L799" s="9" t="str">
        <f>IFERROR(__xludf.DUMMYFUNCTION("""COMPUTED_VALUE"""),"Leave msg.  Calls returned Mo, Th")</f>
        <v>Leave msg.  Calls returned Mo, Th</v>
      </c>
      <c r="M799" s="10">
        <f>IFERROR(__xludf.DUMMYFUNCTION("""COMPUTED_VALUE"""),11.0)</f>
        <v>11</v>
      </c>
      <c r="N799" s="10" t="str">
        <f>IFERROR(__xludf.DUMMYFUNCTION("""COMPUTED_VALUE"""),"Rent")</f>
        <v>Rent</v>
      </c>
      <c r="O799" s="10">
        <f>IFERROR(__xludf.DUMMYFUNCTION("""COMPUTED_VALUE"""),1.0)</f>
        <v>1</v>
      </c>
      <c r="P799" s="10" t="str">
        <f>IFERROR(__xludf.DUMMYFUNCTION("""COMPUTED_VALUE"""),"ACTIVE")</f>
        <v>ACTIVE</v>
      </c>
      <c r="Q799" s="11"/>
      <c r="R799" s="9"/>
      <c r="S799" s="9"/>
      <c r="T799" s="12" t="b">
        <f>IFERROR(__xludf.DUMMYFUNCTION("""COMPUTED_VALUE"""),FALSE)</f>
        <v>0</v>
      </c>
      <c r="U799" s="12" t="b">
        <f>IFERROR(__xludf.DUMMYFUNCTION("""COMPUTED_VALUE"""),FALSE)</f>
        <v>0</v>
      </c>
      <c r="V799" s="13" t="str">
        <f>IFERROR(__xludf.DUMMYFUNCTION("""COMPUTED_VALUE"""),"https://sfds-houston.org/society-of-st-vincent-de-paul")</f>
        <v>https://sfds-houston.org/society-of-st-vincent-de-paul</v>
      </c>
      <c r="W799" s="14" t="str">
        <f>IFERROR(__xludf.DUMMYFUNCTION("""COMPUTED_VALUE"""),"https://maps.google.com/?q=St%20Francis%20de%20Sales%20(SVdP%20D3)%208200%20Roos%20Rd%20Houston%20TX%2077036")</f>
        <v>https://maps.google.com/?q=St%20Francis%20de%20Sales%20(SVdP%20D3)%208200%20Roos%20Rd%20Houston%20TX%2077036</v>
      </c>
      <c r="X799" s="10"/>
      <c r="Y799" s="9" t="str">
        <f>IFERROR(__xludf.DUMMYFUNCTION("""COMPUTED_VALUE"""),"Houston")</f>
        <v>Houston</v>
      </c>
      <c r="Z799" s="9" t="str">
        <f>IFERROR(__xludf.DUMMYFUNCTION("""COMPUTED_VALUE"""),"Chinatown, Sharpstown, Westside")</f>
        <v>Chinatown, Sharpstown, Westside</v>
      </c>
      <c r="AA799" s="9" t="str">
        <f>IFERROR(__xludf.DUMMYFUNCTION("""COMPUTED_VALUE"""),"Society of St Vincent de Paul")</f>
        <v>Society of St Vincent de Paul</v>
      </c>
      <c r="AB799" s="9" t="str">
        <f>IFERROR(__xludf.DUMMYFUNCTION("""COMPUTED_VALUE"""),"Sharpstown")</f>
        <v>Sharpstown</v>
      </c>
    </row>
    <row r="800" ht="30.0" customHeight="1">
      <c r="A800" s="17">
        <v>799.0</v>
      </c>
      <c r="B800" s="8" t="str">
        <f>IFERROR(__xludf.DUMMYFUNCTION("""COMPUTED_VALUE"""),"[""77036"", ""77074""]")</f>
        <v>["77036", "77074"]</v>
      </c>
      <c r="C800" s="9" t="str">
        <f>IFERROR(__xludf.DUMMYFUNCTION("""COMPUTED_VALUE"""),"St Francis de Sales (SVdP D3)")</f>
        <v>St Francis de Sales (SVdP D3)</v>
      </c>
      <c r="D800" s="9" t="str">
        <f>IFERROR(__xludf.DUMMYFUNCTION("""COMPUTED_VALUE"""),"8200 Roos Road")</f>
        <v>8200 Roos Road</v>
      </c>
      <c r="E800" s="9"/>
      <c r="F800" s="9" t="str">
        <f>IFERROR(__xludf.DUMMYFUNCTION("""COMPUTED_VALUE"""),"Houston")</f>
        <v>Houston</v>
      </c>
      <c r="G800" s="9" t="str">
        <f>IFERROR(__xludf.DUMMYFUNCTION("""COMPUTED_VALUE"""),"TX")</f>
        <v>TX</v>
      </c>
      <c r="H800" s="9" t="str">
        <f>IFERROR(__xludf.DUMMYFUNCTION("""COMPUTED_VALUE"""),"77036")</f>
        <v>77036</v>
      </c>
      <c r="I800" s="9" t="str">
        <f>IFERROR(__xludf.DUMMYFUNCTION("""COMPUTED_VALUE"""),"832-280-7837")</f>
        <v>832-280-7837</v>
      </c>
      <c r="J800" s="9" t="str">
        <f>IFERROR(__xludf.DUMMYFUNCTION("""COMPUTED_VALUE"""),"29.6998998383838, -95.5290626767677")</f>
        <v>29.6998998383838, -95.5290626767677</v>
      </c>
      <c r="K800" s="9" t="str">
        <f>IFERROR(__xludf.DUMMYFUNCTION("""COMPUTED_VALUE"""),"{""regular"":[{""days"":[""Mo"",""Th""],""open"":null,""close"":null}]}")</f>
        <v>{"regular":[{"days":["Mo","Th"],"open":null,"close":null}]}</v>
      </c>
      <c r="L800" s="9"/>
      <c r="M800" s="10">
        <f>IFERROR(__xludf.DUMMYFUNCTION("""COMPUTED_VALUE"""),12.0)</f>
        <v>12</v>
      </c>
      <c r="N800" s="10" t="str">
        <f>IFERROR(__xludf.DUMMYFUNCTION("""COMPUTED_VALUE"""),"Utilities")</f>
        <v>Utilities</v>
      </c>
      <c r="O800" s="10">
        <f>IFERROR(__xludf.DUMMYFUNCTION("""COMPUTED_VALUE"""),1.0)</f>
        <v>1</v>
      </c>
      <c r="P800" s="10" t="str">
        <f>IFERROR(__xludf.DUMMYFUNCTION("""COMPUTED_VALUE"""),"ACTIVE")</f>
        <v>ACTIVE</v>
      </c>
      <c r="Q800" s="11"/>
      <c r="R800" s="9"/>
      <c r="S800" s="9"/>
      <c r="T800" s="12" t="b">
        <f>IFERROR(__xludf.DUMMYFUNCTION("""COMPUTED_VALUE"""),FALSE)</f>
        <v>0</v>
      </c>
      <c r="U800" s="12" t="b">
        <f>IFERROR(__xludf.DUMMYFUNCTION("""COMPUTED_VALUE"""),FALSE)</f>
        <v>0</v>
      </c>
      <c r="V800" s="13" t="str">
        <f>IFERROR(__xludf.DUMMYFUNCTION("""COMPUTED_VALUE"""),"https://sfds-houston.org/society-of-st-vincent-de-paul")</f>
        <v>https://sfds-houston.org/society-of-st-vincent-de-paul</v>
      </c>
      <c r="W800" s="14" t="str">
        <f>IFERROR(__xludf.DUMMYFUNCTION("""COMPUTED_VALUE"""),"https://maps.google.com/?q=St%20Francis%20de%20Sales%20(SVdP%20D3)%208200%20Roos%20Rd%20Houston%20TX%2077036")</f>
        <v>https://maps.google.com/?q=St%20Francis%20de%20Sales%20(SVdP%20D3)%208200%20Roos%20Rd%20Houston%20TX%2077036</v>
      </c>
      <c r="X800" s="10"/>
      <c r="Y800" s="9" t="str">
        <f>IFERROR(__xludf.DUMMYFUNCTION("""COMPUTED_VALUE"""),"Houston")</f>
        <v>Houston</v>
      </c>
      <c r="Z800" s="9" t="str">
        <f>IFERROR(__xludf.DUMMYFUNCTION("""COMPUTED_VALUE"""),"Chinatown, Sharpstown, Westside")</f>
        <v>Chinatown, Sharpstown, Westside</v>
      </c>
      <c r="AA800" s="9" t="str">
        <f>IFERROR(__xludf.DUMMYFUNCTION("""COMPUTED_VALUE"""),"Society of St Vincent de Paul")</f>
        <v>Society of St Vincent de Paul</v>
      </c>
      <c r="AB800" s="9" t="str">
        <f>IFERROR(__xludf.DUMMYFUNCTION("""COMPUTED_VALUE"""),"Sharpstown")</f>
        <v>Sharpstown</v>
      </c>
    </row>
    <row r="801" ht="30.0" customHeight="1">
      <c r="A801" s="17">
        <v>800.0</v>
      </c>
      <c r="B801" s="8" t="str">
        <f>IFERROR(__xludf.DUMMYFUNCTION("""COMPUTED_VALUE"""),"[""77028""]")</f>
        <v>["77028"]</v>
      </c>
      <c r="C801" s="9" t="str">
        <f>IFERROR(__xludf.DUMMYFUNCTION("""COMPUTED_VALUE"""),"St Francis of Assisi")</f>
        <v>St Francis of Assisi</v>
      </c>
      <c r="D801" s="9" t="str">
        <f>IFERROR(__xludf.DUMMYFUNCTION("""COMPUTED_VALUE"""),"5102 Dabney Street")</f>
        <v>5102 Dabney Street</v>
      </c>
      <c r="E801" s="9"/>
      <c r="F801" s="9" t="str">
        <f>IFERROR(__xludf.DUMMYFUNCTION("""COMPUTED_VALUE"""),"Houston")</f>
        <v>Houston</v>
      </c>
      <c r="G801" s="9" t="str">
        <f>IFERROR(__xludf.DUMMYFUNCTION("""COMPUTED_VALUE"""),"TX")</f>
        <v>TX</v>
      </c>
      <c r="H801" s="9" t="str">
        <f>IFERROR(__xludf.DUMMYFUNCTION("""COMPUTED_VALUE"""),"77026")</f>
        <v>77026</v>
      </c>
      <c r="I801" s="9" t="str">
        <f>IFERROR(__xludf.DUMMYFUNCTION("""COMPUTED_VALUE"""),"713-672-7773")</f>
        <v>713-672-7773</v>
      </c>
      <c r="J801" s="9" t="str">
        <f>IFERROR(__xludf.DUMMYFUNCTION("""COMPUTED_VALUE"""),"29.806872, -95.310376")</f>
        <v>29.806872, -95.310376</v>
      </c>
      <c r="K801" s="9" t="str">
        <f>IFERROR(__xludf.DUMMYFUNCTION("""COMPUTED_VALUE"""),"{""regular"":[{""days"":[""Tu"",""We"",""Th"",""Fr""],""open"":""08:00"",""close"":""10:00""}]}")</f>
        <v>{"regular":[{"days":["Tu","We","Th","Fr"],"open":"08:00","close":"10:00"}]}</v>
      </c>
      <c r="L801" s="9"/>
      <c r="M801" s="10">
        <f>IFERROR(__xludf.DUMMYFUNCTION("""COMPUTED_VALUE"""),13.0)</f>
        <v>13</v>
      </c>
      <c r="N801" s="10" t="str">
        <f>IFERROR(__xludf.DUMMYFUNCTION("""COMPUTED_VALUE"""),"Food")</f>
        <v>Food</v>
      </c>
      <c r="O801" s="10">
        <f>IFERROR(__xludf.DUMMYFUNCTION("""COMPUTED_VALUE"""),1.0)</f>
        <v>1</v>
      </c>
      <c r="P801" s="10" t="str">
        <f>IFERROR(__xludf.DUMMYFUNCTION("""COMPUTED_VALUE"""),"ACTIVE")</f>
        <v>ACTIVE</v>
      </c>
      <c r="Q801" s="11"/>
      <c r="R801" s="9"/>
      <c r="S801" s="9"/>
      <c r="T801" s="12" t="b">
        <f>IFERROR(__xludf.DUMMYFUNCTION("""COMPUTED_VALUE"""),FALSE)</f>
        <v>0</v>
      </c>
      <c r="U801" s="12" t="b">
        <f>IFERROR(__xludf.DUMMYFUNCTION("""COMPUTED_VALUE"""),FALSE)</f>
        <v>0</v>
      </c>
      <c r="V801" s="13" t="str">
        <f>IFERROR(__xludf.DUMMYFUNCTION("""COMPUTED_VALUE"""),"https://www.stfrancisofhouston.org/")</f>
        <v>https://www.stfrancisofhouston.org/</v>
      </c>
      <c r="W801" s="14" t="str">
        <f>IFERROR(__xludf.DUMMYFUNCTION("""COMPUTED_VALUE"""),"https://maps.google.com/?q=St%20Francis%20of%20Assisi%205102%20Dabney%20St%20Houston%20TX%2077026")</f>
        <v>https://maps.google.com/?q=St%20Francis%20of%20Assisi%205102%20Dabney%20St%20Houston%20TX%2077026</v>
      </c>
      <c r="X801" s="10"/>
      <c r="Y801" s="9" t="str">
        <f>IFERROR(__xludf.DUMMYFUNCTION("""COMPUTED_VALUE"""),"Houston")</f>
        <v>Houston</v>
      </c>
      <c r="Z801" s="9" t="str">
        <f>IFERROR(__xludf.DUMMYFUNCTION("""COMPUTED_VALUE"""),"Kashmere Gardens, Northside, Trinity / Houston Gardens")</f>
        <v>Kashmere Gardens, Northside, Trinity / Houston Gardens</v>
      </c>
      <c r="AA801" s="9" t="str">
        <f>IFERROR(__xludf.DUMMYFUNCTION("""COMPUTED_VALUE"""),"St Francis of Assisi")</f>
        <v>St Francis of Assisi</v>
      </c>
      <c r="AB801" s="9" t="str">
        <f>IFERROR(__xludf.DUMMYFUNCTION("""COMPUTED_VALUE"""),"Northside")</f>
        <v>Northside</v>
      </c>
    </row>
    <row r="802" ht="30.0" customHeight="1">
      <c r="A802" s="17">
        <v>801.0</v>
      </c>
      <c r="B802" s="8" t="str">
        <f>IFERROR(__xludf.DUMMYFUNCTION("""COMPUTED_VALUE"""),"[""77033"", ""77047"", ""77051""]")</f>
        <v>["77033", "77047", "77051"]</v>
      </c>
      <c r="C802" s="9" t="str">
        <f>IFERROR(__xludf.DUMMYFUNCTION("""COMPUTED_VALUE"""),"St Francis Xavier (SVdP D3)")</f>
        <v>St Francis Xavier (SVdP D3)</v>
      </c>
      <c r="D802" s="9" t="str">
        <f>IFERROR(__xludf.DUMMYFUNCTION("""COMPUTED_VALUE"""),"4600 Reed Road")</f>
        <v>4600 Reed Road</v>
      </c>
      <c r="E802" s="9"/>
      <c r="F802" s="9" t="str">
        <f>IFERROR(__xludf.DUMMYFUNCTION("""COMPUTED_VALUE"""),"Houston")</f>
        <v>Houston</v>
      </c>
      <c r="G802" s="9" t="str">
        <f>IFERROR(__xludf.DUMMYFUNCTION("""COMPUTED_VALUE"""),"TX")</f>
        <v>TX</v>
      </c>
      <c r="H802" s="9" t="str">
        <f>IFERROR(__xludf.DUMMYFUNCTION("""COMPUTED_VALUE"""),"77051")</f>
        <v>77051</v>
      </c>
      <c r="I802" s="9" t="str">
        <f>IFERROR(__xludf.DUMMYFUNCTION("""COMPUTED_VALUE"""),"713-731-2716")</f>
        <v>713-731-2716</v>
      </c>
      <c r="J802" s="9" t="str">
        <f>IFERROR(__xludf.DUMMYFUNCTION("""COMPUTED_VALUE"""),"29.6579308, -95.3576805363885")</f>
        <v>29.6579308, -95.3576805363885</v>
      </c>
      <c r="K802" s="9" t="str">
        <f>IFERROR(__xludf.DUMMYFUNCTION("""COMPUTED_VALUE"""),"{""regular"":[{""days"":[""Mo"",""Fr""],""open"":""08:30"",""close"":""10:30""}]}")</f>
        <v>{"regular":[{"days":["Mo","Fr"],"open":"08:30","close":"10:30"}]}</v>
      </c>
      <c r="L802" s="9"/>
      <c r="M802" s="10">
        <f>IFERROR(__xludf.DUMMYFUNCTION("""COMPUTED_VALUE"""),13.0)</f>
        <v>13</v>
      </c>
      <c r="N802" s="10" t="str">
        <f>IFERROR(__xludf.DUMMYFUNCTION("""COMPUTED_VALUE"""),"Food")</f>
        <v>Food</v>
      </c>
      <c r="O802" s="10">
        <f>IFERROR(__xludf.DUMMYFUNCTION("""COMPUTED_VALUE"""),3.0)</f>
        <v>3</v>
      </c>
      <c r="P802" s="10" t="str">
        <f>IFERROR(__xludf.DUMMYFUNCTION("""COMPUTED_VALUE"""),"INACTIVE")</f>
        <v>INACTIVE</v>
      </c>
      <c r="Q802" s="11">
        <f>IFERROR(__xludf.DUMMYFUNCTION("""COMPUTED_VALUE"""),45982.0)</f>
        <v>45982</v>
      </c>
      <c r="R802" s="9" t="str">
        <f>IFERROR(__xludf.DUMMYFUNCTION("""COMPUTED_VALUE"""),"Verified online")</f>
        <v>Verified online</v>
      </c>
      <c r="S802" s="9"/>
      <c r="T802" s="12" t="b">
        <f>IFERROR(__xludf.DUMMYFUNCTION("""COMPUTED_VALUE"""),FALSE)</f>
        <v>0</v>
      </c>
      <c r="U802" s="12" t="b">
        <f>IFERROR(__xludf.DUMMYFUNCTION("""COMPUTED_VALUE"""),FALSE)</f>
        <v>0</v>
      </c>
      <c r="V802" s="13" t="str">
        <f>IFERROR(__xludf.DUMMYFUNCTION("""COMPUTED_VALUE"""),"https://sfxhouston.com/")</f>
        <v>https://sfxhouston.com/</v>
      </c>
      <c r="W802" s="14" t="str">
        <f>IFERROR(__xludf.DUMMYFUNCTION("""COMPUTED_VALUE"""),"https://maps.google.com/?q=St%20Francis%20Xavier%20(SVdP%20D3)%204600%20Reed%20Rd%20Houston%20TX%2077051")</f>
        <v>https://maps.google.com/?q=St%20Francis%20Xavier%20(SVdP%20D3)%204600%20Reed%20Rd%20Houston%20TX%2077051</v>
      </c>
      <c r="X802" s="10"/>
      <c r="Y802" s="9" t="str">
        <f>IFERROR(__xludf.DUMMYFUNCTION("""COMPUTED_VALUE"""),"Houston")</f>
        <v>Houston</v>
      </c>
      <c r="Z802" s="9" t="str">
        <f>IFERROR(__xludf.DUMMYFUNCTION("""COMPUTED_VALUE"""),"Central Southwest, South Park, South Side, Sunnyside")</f>
        <v>Central Southwest, South Park, South Side, Sunnyside</v>
      </c>
      <c r="AA802" s="9" t="str">
        <f>IFERROR(__xludf.DUMMYFUNCTION("""COMPUTED_VALUE"""),"Society of St Vincent de Paul")</f>
        <v>Society of St Vincent de Paul</v>
      </c>
      <c r="AB802" s="9" t="str">
        <f>IFERROR(__xludf.DUMMYFUNCTION("""COMPUTED_VALUE"""),"South Side")</f>
        <v>South Side</v>
      </c>
    </row>
    <row r="803" ht="30.0" customHeight="1">
      <c r="A803" s="17">
        <v>802.0</v>
      </c>
      <c r="B803" s="8" t="str">
        <f>IFERROR(__xludf.DUMMYFUNCTION("""COMPUTED_VALUE"""),"[""77511"", ""77546"", ""77581"", ""77583"", ""77584""]")</f>
        <v>["77511", "77546", "77581", "77583", "77584"]</v>
      </c>
      <c r="C803" s="9" t="str">
        <f>IFERROR(__xludf.DUMMYFUNCTION("""COMPUTED_VALUE"""),"St Helen (SVdP D7) Pearland")</f>
        <v>St Helen (SVdP D7) Pearland</v>
      </c>
      <c r="D803" s="9" t="str">
        <f>IFERROR(__xludf.DUMMYFUNCTION("""COMPUTED_VALUE"""),"2209 Old Alvin Road")</f>
        <v>2209 Old Alvin Road</v>
      </c>
      <c r="E803" s="9"/>
      <c r="F803" s="9" t="str">
        <f>IFERROR(__xludf.DUMMYFUNCTION("""COMPUTED_VALUE"""),"Pearland")</f>
        <v>Pearland</v>
      </c>
      <c r="G803" s="9" t="str">
        <f>IFERROR(__xludf.DUMMYFUNCTION("""COMPUTED_VALUE"""),"TX")</f>
        <v>TX</v>
      </c>
      <c r="H803" s="9" t="str">
        <f>IFERROR(__xludf.DUMMYFUNCTION("""COMPUTED_VALUE"""),"77581")</f>
        <v>77581</v>
      </c>
      <c r="I803" s="9" t="str">
        <f>IFERROR(__xludf.DUMMYFUNCTION("""COMPUTED_VALUE"""),"281-485-2976")</f>
        <v>281-485-2976</v>
      </c>
      <c r="J803" s="9" t="str">
        <f>IFERROR(__xludf.DUMMYFUNCTION("""COMPUTED_VALUE"""),"29.5673385644325, -95.2773378352567")</f>
        <v>29.5673385644325, -95.2773378352567</v>
      </c>
      <c r="K803" s="9"/>
      <c r="L803" s="9" t="str">
        <f>IFERROR(__xludf.DUMMYFUNCTION("""COMPUTED_VALUE"""),"Leave message")</f>
        <v>Leave message</v>
      </c>
      <c r="M803" s="10">
        <f>IFERROR(__xludf.DUMMYFUNCTION("""COMPUTED_VALUE"""),12.0)</f>
        <v>12</v>
      </c>
      <c r="N803" s="10" t="str">
        <f>IFERROR(__xludf.DUMMYFUNCTION("""COMPUTED_VALUE"""),"Utilities")</f>
        <v>Utilities</v>
      </c>
      <c r="O803" s="10">
        <f>IFERROR(__xludf.DUMMYFUNCTION("""COMPUTED_VALUE"""),1.0)</f>
        <v>1</v>
      </c>
      <c r="P803" s="10" t="str">
        <f>IFERROR(__xludf.DUMMYFUNCTION("""COMPUTED_VALUE"""),"ACTIVE")</f>
        <v>ACTIVE</v>
      </c>
      <c r="Q803" s="11">
        <f>IFERROR(__xludf.DUMMYFUNCTION("""COMPUTED_VALUE"""),45637.0)</f>
        <v>45637</v>
      </c>
      <c r="R803" s="9"/>
      <c r="S803" s="9"/>
      <c r="T803" s="12" t="b">
        <f>IFERROR(__xludf.DUMMYFUNCTION("""COMPUTED_VALUE"""),FALSE)</f>
        <v>0</v>
      </c>
      <c r="U803" s="12" t="b">
        <f>IFERROR(__xludf.DUMMYFUNCTION("""COMPUTED_VALUE"""),FALSE)</f>
        <v>0</v>
      </c>
      <c r="V803" s="13" t="str">
        <f>IFERROR(__xludf.DUMMYFUNCTION("""COMPUTED_VALUE"""),"https://www.sthelenchurch.org/home/ministries_organizations/st-vincent-de-paul-society/")</f>
        <v>https://www.sthelenchurch.org/home/ministries_organizations/st-vincent-de-paul-society/</v>
      </c>
      <c r="W803" s="14" t="str">
        <f>IFERROR(__xludf.DUMMYFUNCTION("""COMPUTED_VALUE"""),"https://maps.google.com/?q=St%20Helen%20(SVdP%20D7)%20Pearland%202209%20Old%20Alvin%20Rd%20Pearland%20TX%2077581")</f>
        <v>https://maps.google.com/?q=St%20Helen%20(SVdP%20D7)%20Pearland%202209%20Old%20Alvin%20Rd%20Pearland%20TX%2077581</v>
      </c>
      <c r="X803" s="10"/>
      <c r="Y803" s="9" t="str">
        <f>IFERROR(__xludf.DUMMYFUNCTION("""COMPUTED_VALUE"""),"Pearland")</f>
        <v>Pearland</v>
      </c>
      <c r="Z803" s="9" t="str">
        <f>IFERROR(__xludf.DUMMYFUNCTION("""COMPUTED_VALUE"""),"Pearland")</f>
        <v>Pearland</v>
      </c>
      <c r="AA803" s="9" t="str">
        <f>IFERROR(__xludf.DUMMYFUNCTION("""COMPUTED_VALUE"""),"Society of St Vincent de Paul")</f>
        <v>Society of St Vincent de Paul</v>
      </c>
      <c r="AB803" s="9" t="str">
        <f>IFERROR(__xludf.DUMMYFUNCTION("""COMPUTED_VALUE"""),"Pearland")</f>
        <v>Pearland</v>
      </c>
    </row>
    <row r="804" ht="30.0" customHeight="1">
      <c r="A804" s="17">
        <v>803.0</v>
      </c>
      <c r="B804" s="8" t="str">
        <f>IFERROR(__xludf.DUMMYFUNCTION("""COMPUTED_VALUE"""),"[""77511"", ""77546"", ""77581"", ""77583"", ""77584""]")</f>
        <v>["77511", "77546", "77581", "77583", "77584"]</v>
      </c>
      <c r="C804" s="9" t="str">
        <f>IFERROR(__xludf.DUMMYFUNCTION("""COMPUTED_VALUE"""),"St Helen (SVdP D7) Pearland")</f>
        <v>St Helen (SVdP D7) Pearland</v>
      </c>
      <c r="D804" s="9" t="str">
        <f>IFERROR(__xludf.DUMMYFUNCTION("""COMPUTED_VALUE"""),"2209 Old Alvin Road")</f>
        <v>2209 Old Alvin Road</v>
      </c>
      <c r="E804" s="9"/>
      <c r="F804" s="9" t="str">
        <f>IFERROR(__xludf.DUMMYFUNCTION("""COMPUTED_VALUE"""),"Pearland")</f>
        <v>Pearland</v>
      </c>
      <c r="G804" s="9" t="str">
        <f>IFERROR(__xludf.DUMMYFUNCTION("""COMPUTED_VALUE"""),"TX")</f>
        <v>TX</v>
      </c>
      <c r="H804" s="9" t="str">
        <f>IFERROR(__xludf.DUMMYFUNCTION("""COMPUTED_VALUE"""),"77581")</f>
        <v>77581</v>
      </c>
      <c r="I804" s="9" t="str">
        <f>IFERROR(__xludf.DUMMYFUNCTION("""COMPUTED_VALUE"""),"281-485-2976")</f>
        <v>281-485-2976</v>
      </c>
      <c r="J804" s="9" t="str">
        <f>IFERROR(__xludf.DUMMYFUNCTION("""COMPUTED_VALUE"""),"29.5673385644325, -95.2773378352567")</f>
        <v>29.5673385644325, -95.2773378352567</v>
      </c>
      <c r="K804" s="9" t="str">
        <f>IFERROR(__xludf.DUMMYFUNCTION("""COMPUTED_VALUE"""),"{""regular"":[{""days"":[""Mo"",""Th""],""open"":""14:00"",""close"":""16:00""},{""days"":[""We"",""Fr""],""open"":""17:00"",""close"":""19:00""},{""days"":[""Tu""],""open"":""10:00"",""close"":""12:00""}]}")</f>
        <v>{"regular":[{"days":["Mo","Th"],"open":"14:00","close":"16:00"},{"days":["We","Fr"],"open":"17:00","close":"19:00"},{"days":["Tu"],"open":"10:00","close":"12:00"}]}</v>
      </c>
      <c r="L804" s="9"/>
      <c r="M804" s="10">
        <f>IFERROR(__xludf.DUMMYFUNCTION("""COMPUTED_VALUE"""),13.0)</f>
        <v>13</v>
      </c>
      <c r="N804" s="10" t="str">
        <f>IFERROR(__xludf.DUMMYFUNCTION("""COMPUTED_VALUE"""),"Food")</f>
        <v>Food</v>
      </c>
      <c r="O804" s="10">
        <f>IFERROR(__xludf.DUMMYFUNCTION("""COMPUTED_VALUE"""),1.0)</f>
        <v>1</v>
      </c>
      <c r="P804" s="10" t="str">
        <f>IFERROR(__xludf.DUMMYFUNCTION("""COMPUTED_VALUE"""),"ACTIVE")</f>
        <v>ACTIVE</v>
      </c>
      <c r="Q804" s="11">
        <f>IFERROR(__xludf.DUMMYFUNCTION("""COMPUTED_VALUE"""),45637.0)</f>
        <v>45637</v>
      </c>
      <c r="R804" s="9"/>
      <c r="S804" s="9" t="str">
        <f>IFERROR(__xludf.DUMMYFUNCTION("""COMPUTED_VALUE"""),"Food Fairs on the 2nd and 4th Saturdays.")</f>
        <v>Food Fairs on the 2nd and 4th Saturdays.</v>
      </c>
      <c r="T804" s="12" t="b">
        <f>IFERROR(__xludf.DUMMYFUNCTION("""COMPUTED_VALUE"""),FALSE)</f>
        <v>0</v>
      </c>
      <c r="U804" s="12" t="b">
        <f>IFERROR(__xludf.DUMMYFUNCTION("""COMPUTED_VALUE"""),FALSE)</f>
        <v>0</v>
      </c>
      <c r="V804" s="13" t="str">
        <f>IFERROR(__xludf.DUMMYFUNCTION("""COMPUTED_VALUE"""),"https://www.sthelenchurch.org/home/ministries_organizations/st-vincent-de-paul-society/")</f>
        <v>https://www.sthelenchurch.org/home/ministries_organizations/st-vincent-de-paul-society/</v>
      </c>
      <c r="W804" s="14" t="str">
        <f>IFERROR(__xludf.DUMMYFUNCTION("""COMPUTED_VALUE"""),"https://maps.google.com/?q=St%20Helen%20(SVdP%20D7)%20Pearland%202209%20Old%20Alvin%20Rd%20Pearland%20TX%2077581")</f>
        <v>https://maps.google.com/?q=St%20Helen%20(SVdP%20D7)%20Pearland%202209%20Old%20Alvin%20Rd%20Pearland%20TX%2077581</v>
      </c>
      <c r="X804" s="10"/>
      <c r="Y804" s="9" t="str">
        <f>IFERROR(__xludf.DUMMYFUNCTION("""COMPUTED_VALUE"""),"Pearland")</f>
        <v>Pearland</v>
      </c>
      <c r="Z804" s="9" t="str">
        <f>IFERROR(__xludf.DUMMYFUNCTION("""COMPUTED_VALUE"""),"Pearland")</f>
        <v>Pearland</v>
      </c>
      <c r="AA804" s="9" t="str">
        <f>IFERROR(__xludf.DUMMYFUNCTION("""COMPUTED_VALUE"""),"Society of St Vincent de Paul")</f>
        <v>Society of St Vincent de Paul</v>
      </c>
      <c r="AB804" s="9" t="str">
        <f>IFERROR(__xludf.DUMMYFUNCTION("""COMPUTED_VALUE"""),"Pearland")</f>
        <v>Pearland</v>
      </c>
    </row>
    <row r="805" ht="30.0" customHeight="1">
      <c r="A805" s="17">
        <v>804.0</v>
      </c>
      <c r="B805" s="8" t="str">
        <f>IFERROR(__xludf.DUMMYFUNCTION("""COMPUTED_VALUE"""),"[""77505"", ""77536"", ""77571""]")</f>
        <v>["77505", "77536", "77571"]</v>
      </c>
      <c r="C805" s="9" t="str">
        <f>IFERROR(__xludf.DUMMYFUNCTION("""COMPUTED_VALUE"""),"St Hyacinth (SVdP D5) Deer Park")</f>
        <v>St Hyacinth (SVdP D5) Deer Park</v>
      </c>
      <c r="D805" s="9" t="str">
        <f>IFERROR(__xludf.DUMMYFUNCTION("""COMPUTED_VALUE"""),"2921 Center Street")</f>
        <v>2921 Center Street</v>
      </c>
      <c r="E805" s="9"/>
      <c r="F805" s="9" t="str">
        <f>IFERROR(__xludf.DUMMYFUNCTION("""COMPUTED_VALUE"""),"Deer Park")</f>
        <v>Deer Park</v>
      </c>
      <c r="G805" s="9" t="str">
        <f>IFERROR(__xludf.DUMMYFUNCTION("""COMPUTED_VALUE"""),"TX")</f>
        <v>TX</v>
      </c>
      <c r="H805" s="9" t="str">
        <f>IFERROR(__xludf.DUMMYFUNCTION("""COMPUTED_VALUE"""),"77536")</f>
        <v>77536</v>
      </c>
      <c r="I805" s="9" t="str">
        <f>IFERROR(__xludf.DUMMYFUNCTION("""COMPUTED_VALUE"""),"281-497-3131")</f>
        <v>281-497-3131</v>
      </c>
      <c r="J805" s="9" t="str">
        <f>IFERROR(__xludf.DUMMYFUNCTION("""COMPUTED_VALUE"""),"29.6864487473684, -95.1233462631579")</f>
        <v>29.6864487473684, -95.1233462631579</v>
      </c>
      <c r="K805" s="9"/>
      <c r="L805" s="9"/>
      <c r="M805" s="10">
        <f>IFERROR(__xludf.DUMMYFUNCTION("""COMPUTED_VALUE"""),11.0)</f>
        <v>11</v>
      </c>
      <c r="N805" s="10" t="str">
        <f>IFERROR(__xludf.DUMMYFUNCTION("""COMPUTED_VALUE"""),"Rent")</f>
        <v>Rent</v>
      </c>
      <c r="O805" s="10">
        <f>IFERROR(__xludf.DUMMYFUNCTION("""COMPUTED_VALUE"""),1.0)</f>
        <v>1</v>
      </c>
      <c r="P805" s="10" t="str">
        <f>IFERROR(__xludf.DUMMYFUNCTION("""COMPUTED_VALUE"""),"ACTIVE")</f>
        <v>ACTIVE</v>
      </c>
      <c r="Q805" s="11">
        <f>IFERROR(__xludf.DUMMYFUNCTION("""COMPUTED_VALUE"""),45637.0)</f>
        <v>45637</v>
      </c>
      <c r="R805" s="9"/>
      <c r="S805" s="9"/>
      <c r="T805" s="12" t="b">
        <f>IFERROR(__xludf.DUMMYFUNCTION("""COMPUTED_VALUE"""),FALSE)</f>
        <v>0</v>
      </c>
      <c r="U805" s="12" t="b">
        <f>IFERROR(__xludf.DUMMYFUNCTION("""COMPUTED_VALUE"""),FALSE)</f>
        <v>0</v>
      </c>
      <c r="V805" s="13" t="str">
        <f>IFERROR(__xludf.DUMMYFUNCTION("""COMPUTED_VALUE"""),"https://sthyacinth.org/need-help-society-of-st-vincent-de-paul")</f>
        <v>https://sthyacinth.org/need-help-society-of-st-vincent-de-paul</v>
      </c>
      <c r="W805" s="14" t="str">
        <f>IFERROR(__xludf.DUMMYFUNCTION("""COMPUTED_VALUE"""),"https://maps.google.com/?q=St%20Hyacinth%20(SVdP%20D5)%20Deer%20Park%202921%20Center%20St%20Deer%20Park%20TX%2077536")</f>
        <v>https://maps.google.com/?q=St%20Hyacinth%20(SVdP%20D5)%20Deer%20Park%202921%20Center%20St%20Deer%20Park%20TX%2077536</v>
      </c>
      <c r="X805" s="10"/>
      <c r="Y805" s="9" t="str">
        <f>IFERROR(__xludf.DUMMYFUNCTION("""COMPUTED_VALUE"""),"Deer Park")</f>
        <v>Deer Park</v>
      </c>
      <c r="Z805" s="9" t="str">
        <f>IFERROR(__xludf.DUMMYFUNCTION("""COMPUTED_VALUE"""),"Deer Park, Deer Park Gardens")</f>
        <v>Deer Park, Deer Park Gardens</v>
      </c>
      <c r="AA805" s="9" t="str">
        <f>IFERROR(__xludf.DUMMYFUNCTION("""COMPUTED_VALUE"""),"Society of St Vincent de Paul")</f>
        <v>Society of St Vincent de Paul</v>
      </c>
      <c r="AB805" s="9" t="str">
        <f>IFERROR(__xludf.DUMMYFUNCTION("""COMPUTED_VALUE"""),"Deer Park")</f>
        <v>Deer Park</v>
      </c>
    </row>
    <row r="806" ht="30.0" customHeight="1">
      <c r="A806" s="17">
        <v>805.0</v>
      </c>
      <c r="B806" s="8" t="str">
        <f>IFERROR(__xludf.DUMMYFUNCTION("""COMPUTED_VALUE"""),"[""77505"", ""77536"", ""77571""]")</f>
        <v>["77505", "77536", "77571"]</v>
      </c>
      <c r="C806" s="9" t="str">
        <f>IFERROR(__xludf.DUMMYFUNCTION("""COMPUTED_VALUE"""),"St Hyacinth (SVdP D5) Deer Park")</f>
        <v>St Hyacinth (SVdP D5) Deer Park</v>
      </c>
      <c r="D806" s="9" t="str">
        <f>IFERROR(__xludf.DUMMYFUNCTION("""COMPUTED_VALUE"""),"2921 Center Street")</f>
        <v>2921 Center Street</v>
      </c>
      <c r="E806" s="9"/>
      <c r="F806" s="9" t="str">
        <f>IFERROR(__xludf.DUMMYFUNCTION("""COMPUTED_VALUE"""),"Deer Park")</f>
        <v>Deer Park</v>
      </c>
      <c r="G806" s="9" t="str">
        <f>IFERROR(__xludf.DUMMYFUNCTION("""COMPUTED_VALUE"""),"TX")</f>
        <v>TX</v>
      </c>
      <c r="H806" s="9" t="str">
        <f>IFERROR(__xludf.DUMMYFUNCTION("""COMPUTED_VALUE"""),"77536")</f>
        <v>77536</v>
      </c>
      <c r="I806" s="9" t="str">
        <f>IFERROR(__xludf.DUMMYFUNCTION("""COMPUTED_VALUE"""),"281-497-3131")</f>
        <v>281-497-3131</v>
      </c>
      <c r="J806" s="9" t="str">
        <f>IFERROR(__xludf.DUMMYFUNCTION("""COMPUTED_VALUE"""),"29.6864487473684, -95.1233462631579")</f>
        <v>29.6864487473684, -95.1233462631579</v>
      </c>
      <c r="K806" s="9"/>
      <c r="L806" s="9"/>
      <c r="M806" s="10">
        <f>IFERROR(__xludf.DUMMYFUNCTION("""COMPUTED_VALUE"""),12.0)</f>
        <v>12</v>
      </c>
      <c r="N806" s="10" t="str">
        <f>IFERROR(__xludf.DUMMYFUNCTION("""COMPUTED_VALUE"""),"Utilities")</f>
        <v>Utilities</v>
      </c>
      <c r="O806" s="10">
        <f>IFERROR(__xludf.DUMMYFUNCTION("""COMPUTED_VALUE"""),1.0)</f>
        <v>1</v>
      </c>
      <c r="P806" s="10" t="str">
        <f>IFERROR(__xludf.DUMMYFUNCTION("""COMPUTED_VALUE"""),"ACTIVE")</f>
        <v>ACTIVE</v>
      </c>
      <c r="Q806" s="11">
        <f>IFERROR(__xludf.DUMMYFUNCTION("""COMPUTED_VALUE"""),45637.0)</f>
        <v>45637</v>
      </c>
      <c r="R806" s="9"/>
      <c r="S806" s="9"/>
      <c r="T806" s="12" t="b">
        <f>IFERROR(__xludf.DUMMYFUNCTION("""COMPUTED_VALUE"""),FALSE)</f>
        <v>0</v>
      </c>
      <c r="U806" s="12" t="b">
        <f>IFERROR(__xludf.DUMMYFUNCTION("""COMPUTED_VALUE"""),FALSE)</f>
        <v>0</v>
      </c>
      <c r="V806" s="13" t="str">
        <f>IFERROR(__xludf.DUMMYFUNCTION("""COMPUTED_VALUE"""),"https://sthyacinth.org/need-help-society-of-st-vincent-de-paul")</f>
        <v>https://sthyacinth.org/need-help-society-of-st-vincent-de-paul</v>
      </c>
      <c r="W806" s="14" t="str">
        <f>IFERROR(__xludf.DUMMYFUNCTION("""COMPUTED_VALUE"""),"https://maps.google.com/?q=St%20Hyacinth%20(SVdP%20D5)%20Deer%20Park%202921%20Center%20St%20Deer%20Park%20TX%2077536")</f>
        <v>https://maps.google.com/?q=St%20Hyacinth%20(SVdP%20D5)%20Deer%20Park%202921%20Center%20St%20Deer%20Park%20TX%2077536</v>
      </c>
      <c r="X806" s="10"/>
      <c r="Y806" s="9" t="str">
        <f>IFERROR(__xludf.DUMMYFUNCTION("""COMPUTED_VALUE"""),"Deer Park")</f>
        <v>Deer Park</v>
      </c>
      <c r="Z806" s="9" t="str">
        <f>IFERROR(__xludf.DUMMYFUNCTION("""COMPUTED_VALUE"""),"Deer Park, Deer Park Gardens")</f>
        <v>Deer Park, Deer Park Gardens</v>
      </c>
      <c r="AA806" s="9" t="str">
        <f>IFERROR(__xludf.DUMMYFUNCTION("""COMPUTED_VALUE"""),"Society of St Vincent de Paul")</f>
        <v>Society of St Vincent de Paul</v>
      </c>
      <c r="AB806" s="9" t="str">
        <f>IFERROR(__xludf.DUMMYFUNCTION("""COMPUTED_VALUE"""),"Deer Park")</f>
        <v>Deer Park</v>
      </c>
    </row>
    <row r="807" ht="30.0" customHeight="1">
      <c r="A807" s="17">
        <v>806.0</v>
      </c>
      <c r="B807" s="8" t="str">
        <f>IFERROR(__xludf.DUMMYFUNCTION("""COMPUTED_VALUE"""),"[""77073"", ""77373""]")</f>
        <v>["77073", "77373"]</v>
      </c>
      <c r="C807" s="9" t="str">
        <f>IFERROR(__xludf.DUMMYFUNCTION("""COMPUTED_VALUE"""),"St James Spring")</f>
        <v>St James Spring</v>
      </c>
      <c r="D807" s="9" t="str">
        <f>IFERROR(__xludf.DUMMYFUNCTION("""COMPUTED_VALUE"""),"22800 Aldine Westfield Road")</f>
        <v>22800 Aldine Westfield Road</v>
      </c>
      <c r="E807" s="9"/>
      <c r="F807" s="9" t="str">
        <f>IFERROR(__xludf.DUMMYFUNCTION("""COMPUTED_VALUE"""),"Spring")</f>
        <v>Spring</v>
      </c>
      <c r="G807" s="9" t="str">
        <f>IFERROR(__xludf.DUMMYFUNCTION("""COMPUTED_VALUE"""),"TX")</f>
        <v>TX</v>
      </c>
      <c r="H807" s="9" t="str">
        <f>IFERROR(__xludf.DUMMYFUNCTION("""COMPUTED_VALUE"""),"77373")</f>
        <v>77373</v>
      </c>
      <c r="I807" s="9" t="str">
        <f>IFERROR(__xludf.DUMMYFUNCTION("""COMPUTED_VALUE"""),"281-353-5053")</f>
        <v>281-353-5053</v>
      </c>
      <c r="J807" s="9" t="str">
        <f>IFERROR(__xludf.DUMMYFUNCTION("""COMPUTED_VALUE"""),"30.0441146249314, -95.384631885987")</f>
        <v>30.0441146249314, -95.384631885987</v>
      </c>
      <c r="K807" s="9" t="str">
        <f>IFERROR(__xludf.DUMMYFUNCTION("""COMPUTED_VALUE"""),"{""regular"":[{""days"":[""Mo"",""Tu"",""We"",""Th""],""open"":""09:00"",""close"":""16:30""},{""days"":[""Fr""],""open"":""09:00"",""close"":""13:00""}]}")</f>
        <v>{"regular":[{"days":["Mo","Tu","We","Th"],"open":"09:00","close":"16:30"},{"days":["Fr"],"open":"09:00","close":"13:00"}]}</v>
      </c>
      <c r="L807" s="9"/>
      <c r="M807" s="10">
        <f>IFERROR(__xludf.DUMMYFUNCTION("""COMPUTED_VALUE"""),11.0)</f>
        <v>11</v>
      </c>
      <c r="N807" s="10" t="str">
        <f>IFERROR(__xludf.DUMMYFUNCTION("""COMPUTED_VALUE"""),"Rent")</f>
        <v>Rent</v>
      </c>
      <c r="O807" s="10">
        <f>IFERROR(__xludf.DUMMYFUNCTION("""COMPUTED_VALUE"""),1.0)</f>
        <v>1</v>
      </c>
      <c r="P807" s="10" t="str">
        <f>IFERROR(__xludf.DUMMYFUNCTION("""COMPUTED_VALUE"""),"ACTIVE")</f>
        <v>ACTIVE</v>
      </c>
      <c r="Q807" s="11"/>
      <c r="R807" s="9"/>
      <c r="S807" s="9"/>
      <c r="T807" s="12" t="b">
        <f>IFERROR(__xludf.DUMMYFUNCTION("""COMPUTED_VALUE"""),FALSE)</f>
        <v>0</v>
      </c>
      <c r="U807" s="12" t="b">
        <f>IFERROR(__xludf.DUMMYFUNCTION("""COMPUTED_VALUE"""),FALSE)</f>
        <v>0</v>
      </c>
      <c r="V807" s="13" t="str">
        <f>IFERROR(__xludf.DUMMYFUNCTION("""COMPUTED_VALUE"""),"https://www.stjta.org/service-items/88-social-ministry")</f>
        <v>https://www.stjta.org/service-items/88-social-ministry</v>
      </c>
      <c r="W807" s="14" t="str">
        <f>IFERROR(__xludf.DUMMYFUNCTION("""COMPUTED_VALUE"""),"https://maps.google.com/?q=St%20James%20Spring%2022800%20Aldine%20Westfield%20Rd%20Spring%20TX%2077373")</f>
        <v>https://maps.google.com/?q=St%20James%20Spring%2022800%20Aldine%20Westfield%20Rd%20Spring%20TX%2077373</v>
      </c>
      <c r="X807" s="10"/>
      <c r="Y807" s="9" t="str">
        <f>IFERROR(__xludf.DUMMYFUNCTION("""COMPUTED_VALUE"""),"Spring")</f>
        <v>Spring</v>
      </c>
      <c r="Z807" s="9" t="str">
        <f>IFERROR(__xludf.DUMMYFUNCTION("""COMPUTED_VALUE"""),"Old Town Spring, Spring")</f>
        <v>Old Town Spring, Spring</v>
      </c>
      <c r="AA807" s="9" t="str">
        <f>IFERROR(__xludf.DUMMYFUNCTION("""COMPUTED_VALUE"""),"St James Spring")</f>
        <v>St James Spring</v>
      </c>
      <c r="AB807" s="9" t="str">
        <f>IFERROR(__xludf.DUMMYFUNCTION("""COMPUTED_VALUE"""),"Spring")</f>
        <v>Spring</v>
      </c>
    </row>
    <row r="808" ht="30.0" customHeight="1">
      <c r="A808" s="17">
        <v>807.0</v>
      </c>
      <c r="B808" s="8" t="str">
        <f>IFERROR(__xludf.DUMMYFUNCTION("""COMPUTED_VALUE"""),"[""77073"", ""77373""]")</f>
        <v>["77073", "77373"]</v>
      </c>
      <c r="C808" s="9" t="str">
        <f>IFERROR(__xludf.DUMMYFUNCTION("""COMPUTED_VALUE"""),"St James Spring")</f>
        <v>St James Spring</v>
      </c>
      <c r="D808" s="9" t="str">
        <f>IFERROR(__xludf.DUMMYFUNCTION("""COMPUTED_VALUE"""),"22800 Aldine Westfield Road")</f>
        <v>22800 Aldine Westfield Road</v>
      </c>
      <c r="E808" s="9"/>
      <c r="F808" s="9" t="str">
        <f>IFERROR(__xludf.DUMMYFUNCTION("""COMPUTED_VALUE"""),"Spring")</f>
        <v>Spring</v>
      </c>
      <c r="G808" s="9" t="str">
        <f>IFERROR(__xludf.DUMMYFUNCTION("""COMPUTED_VALUE"""),"TX")</f>
        <v>TX</v>
      </c>
      <c r="H808" s="9" t="str">
        <f>IFERROR(__xludf.DUMMYFUNCTION("""COMPUTED_VALUE"""),"77373")</f>
        <v>77373</v>
      </c>
      <c r="I808" s="9" t="str">
        <f>IFERROR(__xludf.DUMMYFUNCTION("""COMPUTED_VALUE"""),"281-353-5053")</f>
        <v>281-353-5053</v>
      </c>
      <c r="J808" s="9" t="str">
        <f>IFERROR(__xludf.DUMMYFUNCTION("""COMPUTED_VALUE"""),"30.0441146249314, -95.384631885987")</f>
        <v>30.0441146249314, -95.384631885987</v>
      </c>
      <c r="K808" s="9" t="str">
        <f>IFERROR(__xludf.DUMMYFUNCTION("""COMPUTED_VALUE"""),"{""regular"":[{""days"":[""Mo"",""Tu"",""We"",""Th""],""open"":""09:00"",""close"":""16:30""},{""days"":[""Fr""],""open"":""09:00"",""close"":""13:00""}]}")</f>
        <v>{"regular":[{"days":["Mo","Tu","We","Th"],"open":"09:00","close":"16:30"},{"days":["Fr"],"open":"09:00","close":"13:00"}]}</v>
      </c>
      <c r="L808" s="9"/>
      <c r="M808" s="10">
        <f>IFERROR(__xludf.DUMMYFUNCTION("""COMPUTED_VALUE"""),12.0)</f>
        <v>12</v>
      </c>
      <c r="N808" s="10" t="str">
        <f>IFERROR(__xludf.DUMMYFUNCTION("""COMPUTED_VALUE"""),"Utilities")</f>
        <v>Utilities</v>
      </c>
      <c r="O808" s="10">
        <f>IFERROR(__xludf.DUMMYFUNCTION("""COMPUTED_VALUE"""),1.0)</f>
        <v>1</v>
      </c>
      <c r="P808" s="10" t="str">
        <f>IFERROR(__xludf.DUMMYFUNCTION("""COMPUTED_VALUE"""),"ACTIVE")</f>
        <v>ACTIVE</v>
      </c>
      <c r="Q808" s="11"/>
      <c r="R808" s="9"/>
      <c r="S808" s="9"/>
      <c r="T808" s="12" t="b">
        <f>IFERROR(__xludf.DUMMYFUNCTION("""COMPUTED_VALUE"""),FALSE)</f>
        <v>0</v>
      </c>
      <c r="U808" s="12" t="b">
        <f>IFERROR(__xludf.DUMMYFUNCTION("""COMPUTED_VALUE"""),FALSE)</f>
        <v>0</v>
      </c>
      <c r="V808" s="13" t="str">
        <f>IFERROR(__xludf.DUMMYFUNCTION("""COMPUTED_VALUE"""),"https://www.stjta.org/service-items/88-social-ministry")</f>
        <v>https://www.stjta.org/service-items/88-social-ministry</v>
      </c>
      <c r="W808" s="14" t="str">
        <f>IFERROR(__xludf.DUMMYFUNCTION("""COMPUTED_VALUE"""),"https://maps.google.com/?q=St%20James%20Spring%2022800%20Aldine%20Westfield%20Rd%20Spring%20TX%2077373")</f>
        <v>https://maps.google.com/?q=St%20James%20Spring%2022800%20Aldine%20Westfield%20Rd%20Spring%20TX%2077373</v>
      </c>
      <c r="X808" s="10"/>
      <c r="Y808" s="9" t="str">
        <f>IFERROR(__xludf.DUMMYFUNCTION("""COMPUTED_VALUE"""),"Spring")</f>
        <v>Spring</v>
      </c>
      <c r="Z808" s="9" t="str">
        <f>IFERROR(__xludf.DUMMYFUNCTION("""COMPUTED_VALUE"""),"Old Town Spring, Spring")</f>
        <v>Old Town Spring, Spring</v>
      </c>
      <c r="AA808" s="9" t="str">
        <f>IFERROR(__xludf.DUMMYFUNCTION("""COMPUTED_VALUE"""),"St James Spring")</f>
        <v>St James Spring</v>
      </c>
      <c r="AB808" s="9" t="str">
        <f>IFERROR(__xludf.DUMMYFUNCTION("""COMPUTED_VALUE"""),"Spring")</f>
        <v>Spring</v>
      </c>
    </row>
    <row r="809" ht="30.0" customHeight="1">
      <c r="A809" s="17">
        <v>808.0</v>
      </c>
      <c r="B809" s="8" t="str">
        <f>IFERROR(__xludf.DUMMYFUNCTION("""COMPUTED_VALUE"""),"[""77040"", ""77043"", ""77055"", ""77080""]")</f>
        <v>["77040", "77043", "77055", "77080"]</v>
      </c>
      <c r="C809" s="9" t="str">
        <f>IFERROR(__xludf.DUMMYFUNCTION("""COMPUTED_VALUE"""),"St Jerome (SVdP)")</f>
        <v>St Jerome (SVdP)</v>
      </c>
      <c r="D809" s="9" t="str">
        <f>IFERROR(__xludf.DUMMYFUNCTION("""COMPUTED_VALUE"""),"8825 Kempwood Drive")</f>
        <v>8825 Kempwood Drive</v>
      </c>
      <c r="E809" s="9"/>
      <c r="F809" s="9" t="str">
        <f>IFERROR(__xludf.DUMMYFUNCTION("""COMPUTED_VALUE"""),"Houston")</f>
        <v>Houston</v>
      </c>
      <c r="G809" s="9" t="str">
        <f>IFERROR(__xludf.DUMMYFUNCTION("""COMPUTED_VALUE"""),"TX")</f>
        <v>TX</v>
      </c>
      <c r="H809" s="9" t="str">
        <f>IFERROR(__xludf.DUMMYFUNCTION("""COMPUTED_VALUE"""),"77080")</f>
        <v>77080</v>
      </c>
      <c r="I809" s="9" t="str">
        <f>IFERROR(__xludf.DUMMYFUNCTION("""COMPUTED_VALUE"""),"713-468-5910")</f>
        <v>713-468-5910</v>
      </c>
      <c r="J809" s="9" t="str">
        <f>IFERROR(__xludf.DUMMYFUNCTION("""COMPUTED_VALUE"""),"29.8210492894168, -95.5102612915814")</f>
        <v>29.8210492894168, -95.5102612915814</v>
      </c>
      <c r="K809" s="9" t="str">
        <f>IFERROR(__xludf.DUMMYFUNCTION("""COMPUTED_VALUE"""),"{""regular"":[{""days"":[""Tu"",""Th""],""open"":""09:00"",""close"":""12:00""}]}")</f>
        <v>{"regular":[{"days":["Tu","Th"],"open":"09:00","close":"12:00"}]}</v>
      </c>
      <c r="L809" s="9"/>
      <c r="M809" s="10">
        <f>IFERROR(__xludf.DUMMYFUNCTION("""COMPUTED_VALUE"""),11.0)</f>
        <v>11</v>
      </c>
      <c r="N809" s="10" t="str">
        <f>IFERROR(__xludf.DUMMYFUNCTION("""COMPUTED_VALUE"""),"Rent")</f>
        <v>Rent</v>
      </c>
      <c r="O809" s="10">
        <f>IFERROR(__xludf.DUMMYFUNCTION("""COMPUTED_VALUE"""),1.0)</f>
        <v>1</v>
      </c>
      <c r="P809" s="10" t="str">
        <f>IFERROR(__xludf.DUMMYFUNCTION("""COMPUTED_VALUE"""),"ACTIVE")</f>
        <v>ACTIVE</v>
      </c>
      <c r="Q809" s="11">
        <f>IFERROR(__xludf.DUMMYFUNCTION("""COMPUTED_VALUE"""),45637.0)</f>
        <v>45637</v>
      </c>
      <c r="R809" s="9"/>
      <c r="S809" s="9"/>
      <c r="T809" s="12" t="b">
        <f>IFERROR(__xludf.DUMMYFUNCTION("""COMPUTED_VALUE"""),FALSE)</f>
        <v>0</v>
      </c>
      <c r="U809" s="12" t="b">
        <f>IFERROR(__xludf.DUMMYFUNCTION("""COMPUTED_VALUE"""),FALSE)</f>
        <v>0</v>
      </c>
      <c r="V809" s="13" t="str">
        <f>IFERROR(__xludf.DUMMYFUNCTION("""COMPUTED_VALUE"""),"https://www.stjeromehou.org/stvdepaul")</f>
        <v>https://www.stjeromehou.org/stvdepaul</v>
      </c>
      <c r="W809" s="14" t="str">
        <f>IFERROR(__xludf.DUMMYFUNCTION("""COMPUTED_VALUE"""),"https://maps.google.com/?q=St%20Jerome%20(SVdP)%208825%20Kempwood%20Dr%20Houston%20TX%2077080")</f>
        <v>https://maps.google.com/?q=St%20Jerome%20(SVdP)%208825%20Kempwood%20Dr%20Houston%20TX%2077080</v>
      </c>
      <c r="X809" s="10"/>
      <c r="Y809" s="9" t="str">
        <f>IFERROR(__xludf.DUMMYFUNCTION("""COMPUTED_VALUE"""),"Houston")</f>
        <v>Houston</v>
      </c>
      <c r="Z809" s="9" t="str">
        <f>IFERROR(__xludf.DUMMYFUNCTION("""COMPUTED_VALUE"""),"Northwest Houston, Spring Branch Central")</f>
        <v>Northwest Houston, Spring Branch Central</v>
      </c>
      <c r="AA809" s="9" t="str">
        <f>IFERROR(__xludf.DUMMYFUNCTION("""COMPUTED_VALUE"""),"Society of St Vincent de Paul")</f>
        <v>Society of St Vincent de Paul</v>
      </c>
      <c r="AB809" s="9" t="str">
        <f>IFERROR(__xludf.DUMMYFUNCTION("""COMPUTED_VALUE"""),"Spring Branch Central")</f>
        <v>Spring Branch Central</v>
      </c>
    </row>
    <row r="810" ht="30.0" customHeight="1">
      <c r="A810" s="17">
        <v>809.0</v>
      </c>
      <c r="B810" s="8" t="str">
        <f>IFERROR(__xludf.DUMMYFUNCTION("""COMPUTED_VALUE"""),"[""77040"", ""77043"", ""77055"", ""77080""]")</f>
        <v>["77040", "77043", "77055", "77080"]</v>
      </c>
      <c r="C810" s="9" t="str">
        <f>IFERROR(__xludf.DUMMYFUNCTION("""COMPUTED_VALUE"""),"St Jerome (SVdP)")</f>
        <v>St Jerome (SVdP)</v>
      </c>
      <c r="D810" s="9" t="str">
        <f>IFERROR(__xludf.DUMMYFUNCTION("""COMPUTED_VALUE"""),"8825 Kempwood Drive")</f>
        <v>8825 Kempwood Drive</v>
      </c>
      <c r="E810" s="9"/>
      <c r="F810" s="9" t="str">
        <f>IFERROR(__xludf.DUMMYFUNCTION("""COMPUTED_VALUE"""),"Houston")</f>
        <v>Houston</v>
      </c>
      <c r="G810" s="9" t="str">
        <f>IFERROR(__xludf.DUMMYFUNCTION("""COMPUTED_VALUE"""),"TX")</f>
        <v>TX</v>
      </c>
      <c r="H810" s="9" t="str">
        <f>IFERROR(__xludf.DUMMYFUNCTION("""COMPUTED_VALUE"""),"77080")</f>
        <v>77080</v>
      </c>
      <c r="I810" s="9" t="str">
        <f>IFERROR(__xludf.DUMMYFUNCTION("""COMPUTED_VALUE"""),"713-468-5910")</f>
        <v>713-468-5910</v>
      </c>
      <c r="J810" s="9" t="str">
        <f>IFERROR(__xludf.DUMMYFUNCTION("""COMPUTED_VALUE"""),"29.8210492894168, -95.5102612915814")</f>
        <v>29.8210492894168, -95.5102612915814</v>
      </c>
      <c r="K810" s="9" t="str">
        <f>IFERROR(__xludf.DUMMYFUNCTION("""COMPUTED_VALUE"""),"{""regular"":[{""days"":[""Tu"",""Th""],""open"":""09:00"",""close"":""12:00""}]}")</f>
        <v>{"regular":[{"days":["Tu","Th"],"open":"09:00","close":"12:00"}]}</v>
      </c>
      <c r="L810" s="9"/>
      <c r="M810" s="10">
        <f>IFERROR(__xludf.DUMMYFUNCTION("""COMPUTED_VALUE"""),12.0)</f>
        <v>12</v>
      </c>
      <c r="N810" s="10" t="str">
        <f>IFERROR(__xludf.DUMMYFUNCTION("""COMPUTED_VALUE"""),"Utilities")</f>
        <v>Utilities</v>
      </c>
      <c r="O810" s="10">
        <f>IFERROR(__xludf.DUMMYFUNCTION("""COMPUTED_VALUE"""),1.0)</f>
        <v>1</v>
      </c>
      <c r="P810" s="10" t="str">
        <f>IFERROR(__xludf.DUMMYFUNCTION("""COMPUTED_VALUE"""),"ACTIVE")</f>
        <v>ACTIVE</v>
      </c>
      <c r="Q810" s="11">
        <f>IFERROR(__xludf.DUMMYFUNCTION("""COMPUTED_VALUE"""),45637.0)</f>
        <v>45637</v>
      </c>
      <c r="R810" s="9"/>
      <c r="S810" s="9"/>
      <c r="T810" s="12" t="b">
        <f>IFERROR(__xludf.DUMMYFUNCTION("""COMPUTED_VALUE"""),FALSE)</f>
        <v>0</v>
      </c>
      <c r="U810" s="12" t="b">
        <f>IFERROR(__xludf.DUMMYFUNCTION("""COMPUTED_VALUE"""),FALSE)</f>
        <v>0</v>
      </c>
      <c r="V810" s="13" t="str">
        <f>IFERROR(__xludf.DUMMYFUNCTION("""COMPUTED_VALUE"""),"https://www.stjeromehou.org/stvdepaul")</f>
        <v>https://www.stjeromehou.org/stvdepaul</v>
      </c>
      <c r="W810" s="14" t="str">
        <f>IFERROR(__xludf.DUMMYFUNCTION("""COMPUTED_VALUE"""),"https://maps.google.com/?q=St%20Jerome%20(SVdP)%208825%20Kempwood%20Dr%20Houston%20TX%2077080")</f>
        <v>https://maps.google.com/?q=St%20Jerome%20(SVdP)%208825%20Kempwood%20Dr%20Houston%20TX%2077080</v>
      </c>
      <c r="X810" s="10"/>
      <c r="Y810" s="9" t="str">
        <f>IFERROR(__xludf.DUMMYFUNCTION("""COMPUTED_VALUE"""),"Houston")</f>
        <v>Houston</v>
      </c>
      <c r="Z810" s="9" t="str">
        <f>IFERROR(__xludf.DUMMYFUNCTION("""COMPUTED_VALUE"""),"Northwest Houston, Spring Branch Central")</f>
        <v>Northwest Houston, Spring Branch Central</v>
      </c>
      <c r="AA810" s="9" t="str">
        <f>IFERROR(__xludf.DUMMYFUNCTION("""COMPUTED_VALUE"""),"Society of St Vincent de Paul")</f>
        <v>Society of St Vincent de Paul</v>
      </c>
      <c r="AB810" s="9" t="str">
        <f>IFERROR(__xludf.DUMMYFUNCTION("""COMPUTED_VALUE"""),"Spring Branch Central")</f>
        <v>Spring Branch Central</v>
      </c>
    </row>
    <row r="811" ht="30.0" customHeight="1">
      <c r="A811" s="17">
        <v>810.0</v>
      </c>
      <c r="B811" s="8" t="str">
        <f>IFERROR(__xludf.DUMMYFUNCTION("""COMPUTED_VALUE"""),"[""77357""]")</f>
        <v>["77357"]</v>
      </c>
      <c r="C811" s="9" t="str">
        <f>IFERROR(__xludf.DUMMYFUNCTION("""COMPUTED_VALUE"""),"St John of the Cross New Caney")</f>
        <v>St John of the Cross New Caney</v>
      </c>
      <c r="D811" s="9" t="str">
        <f>IFERROR(__xludf.DUMMYFUNCTION("""COMPUTED_VALUE"""),"20000 TX-494 Loop")</f>
        <v>20000 TX-494 Loop</v>
      </c>
      <c r="E811" s="9"/>
      <c r="F811" s="9" t="str">
        <f>IFERROR(__xludf.DUMMYFUNCTION("""COMPUTED_VALUE"""),"New Caney")</f>
        <v>New Caney</v>
      </c>
      <c r="G811" s="9" t="str">
        <f>IFERROR(__xludf.DUMMYFUNCTION("""COMPUTED_VALUE"""),"TX")</f>
        <v>TX</v>
      </c>
      <c r="H811" s="9" t="str">
        <f>IFERROR(__xludf.DUMMYFUNCTION("""COMPUTED_VALUE"""),"77357")</f>
        <v>77357</v>
      </c>
      <c r="I811" s="9" t="str">
        <f>IFERROR(__xludf.DUMMYFUNCTION("""COMPUTED_VALUE"""),"281-399-9008")</f>
        <v>281-399-9008</v>
      </c>
      <c r="J811" s="9" t="str">
        <f>IFERROR(__xludf.DUMMYFUNCTION("""COMPUTED_VALUE"""),"30.15705681993237, -95.21165599125787")</f>
        <v>30.15705681993237, -95.21165599125787</v>
      </c>
      <c r="K811" s="9" t="str">
        <f>IFERROR(__xludf.DUMMYFUNCTION("""COMPUTED_VALUE"""),"{""regular"":[{""days"":[""Mo"",""Th""],""open"":""09:30"",""close"":""11:15""}]}")</f>
        <v>{"regular":[{"days":["Mo","Th"],"open":"09:30","close":"11:15"}]}</v>
      </c>
      <c r="L811" s="9"/>
      <c r="M811" s="10">
        <f>IFERROR(__xludf.DUMMYFUNCTION("""COMPUTED_VALUE"""),13.0)</f>
        <v>13</v>
      </c>
      <c r="N811" s="10" t="str">
        <f>IFERROR(__xludf.DUMMYFUNCTION("""COMPUTED_VALUE"""),"Food")</f>
        <v>Food</v>
      </c>
      <c r="O811" s="10">
        <f>IFERROR(__xludf.DUMMYFUNCTION("""COMPUTED_VALUE"""),1.0)</f>
        <v>1</v>
      </c>
      <c r="P811" s="10" t="str">
        <f>IFERROR(__xludf.DUMMYFUNCTION("""COMPUTED_VALUE"""),"ACTIVE")</f>
        <v>ACTIVE</v>
      </c>
      <c r="Q811" s="11"/>
      <c r="R811" s="9"/>
      <c r="S811" s="9"/>
      <c r="T811" s="12" t="b">
        <f>IFERROR(__xludf.DUMMYFUNCTION("""COMPUTED_VALUE"""),FALSE)</f>
        <v>0</v>
      </c>
      <c r="U811" s="12" t="b">
        <f>IFERROR(__xludf.DUMMYFUNCTION("""COMPUTED_VALUE"""),FALSE)</f>
        <v>0</v>
      </c>
      <c r="V811" s="13" t="str">
        <f>IFERROR(__xludf.DUMMYFUNCTION("""COMPUTED_VALUE"""),"https://sjotctx.org/ministries/food-pantry")</f>
        <v>https://sjotctx.org/ministries/food-pantry</v>
      </c>
      <c r="W811" s="14" t="str">
        <f>IFERROR(__xludf.DUMMYFUNCTION("""COMPUTED_VALUE"""),"https://maps.google.com/?q=St%20John%20of%20the%20Cross%20New%20Caney%2020000%20TX-494%20Loop%20New%20Caney%20TX%2077357")</f>
        <v>https://maps.google.com/?q=St%20John%20of%20the%20Cross%20New%20Caney%2020000%20TX-494%20Loop%20New%20Caney%20TX%2077357</v>
      </c>
      <c r="X811" s="10"/>
      <c r="Y811" s="9" t="str">
        <f>IFERROR(__xludf.DUMMYFUNCTION("""COMPUTED_VALUE"""),"New Caney")</f>
        <v>New Caney</v>
      </c>
      <c r="Z811" s="9" t="str">
        <f>IFERROR(__xludf.DUMMYFUNCTION("""COMPUTED_VALUE"""),"New Caney")</f>
        <v>New Caney</v>
      </c>
      <c r="AA811" s="9" t="str">
        <f>IFERROR(__xludf.DUMMYFUNCTION("""COMPUTED_VALUE"""),"St John of the Cross New Caney")</f>
        <v>St John of the Cross New Caney</v>
      </c>
      <c r="AB811" s="9" t="str">
        <f>IFERROR(__xludf.DUMMYFUNCTION("""COMPUTED_VALUE"""),"New Caney")</f>
        <v>New Caney</v>
      </c>
    </row>
    <row r="812" ht="30.0" customHeight="1">
      <c r="A812" s="17">
        <v>811.0</v>
      </c>
      <c r="B812" s="8" t="str">
        <f>IFERROR(__xludf.DUMMYFUNCTION("""COMPUTED_VALUE"""),"[""77511""]")</f>
        <v>["77511"]</v>
      </c>
      <c r="C812" s="9" t="str">
        <f>IFERROR(__xludf.DUMMYFUNCTION("""COMPUTED_VALUE"""),"St John the Baptist Alvin")</f>
        <v>St John the Baptist Alvin</v>
      </c>
      <c r="D812" s="9" t="str">
        <f>IFERROR(__xludf.DUMMYFUNCTION("""COMPUTED_VALUE"""),"110 E South Street")</f>
        <v>110 E South Street</v>
      </c>
      <c r="E812" s="9"/>
      <c r="F812" s="9" t="str">
        <f>IFERROR(__xludf.DUMMYFUNCTION("""COMPUTED_VALUE"""),"Alvin")</f>
        <v>Alvin</v>
      </c>
      <c r="G812" s="9" t="str">
        <f>IFERROR(__xludf.DUMMYFUNCTION("""COMPUTED_VALUE"""),"TX")</f>
        <v>TX</v>
      </c>
      <c r="H812" s="9" t="str">
        <f>IFERROR(__xludf.DUMMYFUNCTION("""COMPUTED_VALUE"""),"77511")</f>
        <v>77511</v>
      </c>
      <c r="I812" s="9" t="str">
        <f>IFERROR(__xludf.DUMMYFUNCTION("""COMPUTED_VALUE"""),"281-331-3751")</f>
        <v>281-331-3751</v>
      </c>
      <c r="J812" s="9" t="str">
        <f>IFERROR(__xludf.DUMMYFUNCTION("""COMPUTED_VALUE"""),"29.4091288447981, -95.2434043680676")</f>
        <v>29.4091288447981, -95.2434043680676</v>
      </c>
      <c r="K812" s="9" t="str">
        <f>IFERROR(__xludf.DUMMYFUNCTION("""COMPUTED_VALUE"""),"{""regular"":[{""days"":[""Tu"",""Th""],""open"":""09:00"",""close"":""14:45""}]}")</f>
        <v>{"regular":[{"days":["Tu","Th"],"open":"09:00","close":"14:45"}]}</v>
      </c>
      <c r="L812" s="9"/>
      <c r="M812" s="10">
        <f>IFERROR(__xludf.DUMMYFUNCTION("""COMPUTED_VALUE"""),11.0)</f>
        <v>11</v>
      </c>
      <c r="N812" s="10" t="str">
        <f>IFERROR(__xludf.DUMMYFUNCTION("""COMPUTED_VALUE"""),"Rent")</f>
        <v>Rent</v>
      </c>
      <c r="O812" s="10">
        <f>IFERROR(__xludf.DUMMYFUNCTION("""COMPUTED_VALUE"""),1.0)</f>
        <v>1</v>
      </c>
      <c r="P812" s="10" t="str">
        <f>IFERROR(__xludf.DUMMYFUNCTION("""COMPUTED_VALUE"""),"ACTIVE")</f>
        <v>ACTIVE</v>
      </c>
      <c r="Q812" s="11"/>
      <c r="R812" s="9"/>
      <c r="S812" s="9"/>
      <c r="T812" s="12" t="b">
        <f>IFERROR(__xludf.DUMMYFUNCTION("""COMPUTED_VALUE"""),FALSE)</f>
        <v>0</v>
      </c>
      <c r="U812" s="12" t="b">
        <f>IFERROR(__xludf.DUMMYFUNCTION("""COMPUTED_VALUE"""),FALSE)</f>
        <v>0</v>
      </c>
      <c r="V812" s="13" t="str">
        <f>IFERROR(__xludf.DUMMYFUNCTION("""COMPUTED_VALUE"""),"https://www.stjohnalvin.org/")</f>
        <v>https://www.stjohnalvin.org/</v>
      </c>
      <c r="W812" s="14" t="str">
        <f>IFERROR(__xludf.DUMMYFUNCTION("""COMPUTED_VALUE"""),"https://maps.google.com/?q=St%20John%20the%20Baptist%20Alvin%20110%20E%20South%20St%20Alvin%20TX%2077511")</f>
        <v>https://maps.google.com/?q=St%20John%20the%20Baptist%20Alvin%20110%20E%20South%20St%20Alvin%20TX%2077511</v>
      </c>
      <c r="X812" s="10"/>
      <c r="Y812" s="9" t="str">
        <f>IFERROR(__xludf.DUMMYFUNCTION("""COMPUTED_VALUE"""),"Alvin")</f>
        <v>Alvin</v>
      </c>
      <c r="Z812" s="9" t="str">
        <f>IFERROR(__xludf.DUMMYFUNCTION("""COMPUTED_VALUE"""),"Alvin")</f>
        <v>Alvin</v>
      </c>
      <c r="AA812" s="9" t="str">
        <f>IFERROR(__xludf.DUMMYFUNCTION("""COMPUTED_VALUE"""),"St John the Baptist Alvin")</f>
        <v>St John the Baptist Alvin</v>
      </c>
      <c r="AB812" s="9" t="str">
        <f>IFERROR(__xludf.DUMMYFUNCTION("""COMPUTED_VALUE"""),"Alvin")</f>
        <v>Alvin</v>
      </c>
    </row>
    <row r="813" ht="30.0" customHeight="1">
      <c r="A813" s="17">
        <v>812.0</v>
      </c>
      <c r="B813" s="8" t="str">
        <f>IFERROR(__xludf.DUMMYFUNCTION("""COMPUTED_VALUE"""),"[""77511""]")</f>
        <v>["77511"]</v>
      </c>
      <c r="C813" s="9" t="str">
        <f>IFERROR(__xludf.DUMMYFUNCTION("""COMPUTED_VALUE"""),"St John the Baptist Alvin")</f>
        <v>St John the Baptist Alvin</v>
      </c>
      <c r="D813" s="9" t="str">
        <f>IFERROR(__xludf.DUMMYFUNCTION("""COMPUTED_VALUE"""),"110 E South Street")</f>
        <v>110 E South Street</v>
      </c>
      <c r="E813" s="9"/>
      <c r="F813" s="9" t="str">
        <f>IFERROR(__xludf.DUMMYFUNCTION("""COMPUTED_VALUE"""),"Alvin")</f>
        <v>Alvin</v>
      </c>
      <c r="G813" s="9" t="str">
        <f>IFERROR(__xludf.DUMMYFUNCTION("""COMPUTED_VALUE"""),"TX")</f>
        <v>TX</v>
      </c>
      <c r="H813" s="9" t="str">
        <f>IFERROR(__xludf.DUMMYFUNCTION("""COMPUTED_VALUE"""),"77511")</f>
        <v>77511</v>
      </c>
      <c r="I813" s="9" t="str">
        <f>IFERROR(__xludf.DUMMYFUNCTION("""COMPUTED_VALUE"""),"281-331-3751")</f>
        <v>281-331-3751</v>
      </c>
      <c r="J813" s="9" t="str">
        <f>IFERROR(__xludf.DUMMYFUNCTION("""COMPUTED_VALUE"""),"29.4091288447981, -95.2434043680676")</f>
        <v>29.4091288447981, -95.2434043680676</v>
      </c>
      <c r="K813" s="9" t="str">
        <f>IFERROR(__xludf.DUMMYFUNCTION("""COMPUTED_VALUE"""),"{""regular"":[{""days"":[""Tu"",""Th""],""open"":""09:00"",""close"":""14:45""}]}")</f>
        <v>{"regular":[{"days":["Tu","Th"],"open":"09:00","close":"14:45"}]}</v>
      </c>
      <c r="L813" s="9"/>
      <c r="M813" s="10">
        <f>IFERROR(__xludf.DUMMYFUNCTION("""COMPUTED_VALUE"""),12.0)</f>
        <v>12</v>
      </c>
      <c r="N813" s="10" t="str">
        <f>IFERROR(__xludf.DUMMYFUNCTION("""COMPUTED_VALUE"""),"Utilities")</f>
        <v>Utilities</v>
      </c>
      <c r="O813" s="10">
        <f>IFERROR(__xludf.DUMMYFUNCTION("""COMPUTED_VALUE"""),1.0)</f>
        <v>1</v>
      </c>
      <c r="P813" s="10" t="str">
        <f>IFERROR(__xludf.DUMMYFUNCTION("""COMPUTED_VALUE"""),"ACTIVE")</f>
        <v>ACTIVE</v>
      </c>
      <c r="Q813" s="11"/>
      <c r="R813" s="9"/>
      <c r="S813" s="9"/>
      <c r="T813" s="12" t="b">
        <f>IFERROR(__xludf.DUMMYFUNCTION("""COMPUTED_VALUE"""),FALSE)</f>
        <v>0</v>
      </c>
      <c r="U813" s="12" t="b">
        <f>IFERROR(__xludf.DUMMYFUNCTION("""COMPUTED_VALUE"""),FALSE)</f>
        <v>0</v>
      </c>
      <c r="V813" s="13" t="str">
        <f>IFERROR(__xludf.DUMMYFUNCTION("""COMPUTED_VALUE"""),"https://www.stjohnalvin.org/")</f>
        <v>https://www.stjohnalvin.org/</v>
      </c>
      <c r="W813" s="14" t="str">
        <f>IFERROR(__xludf.DUMMYFUNCTION("""COMPUTED_VALUE"""),"https://maps.google.com/?q=St%20John%20the%20Baptist%20Alvin%20110%20E%20South%20St%20Alvin%20TX%2077511")</f>
        <v>https://maps.google.com/?q=St%20John%20the%20Baptist%20Alvin%20110%20E%20South%20St%20Alvin%20TX%2077511</v>
      </c>
      <c r="X813" s="10"/>
      <c r="Y813" s="9" t="str">
        <f>IFERROR(__xludf.DUMMYFUNCTION("""COMPUTED_VALUE"""),"Alvin")</f>
        <v>Alvin</v>
      </c>
      <c r="Z813" s="9" t="str">
        <f>IFERROR(__xludf.DUMMYFUNCTION("""COMPUTED_VALUE"""),"Alvin")</f>
        <v>Alvin</v>
      </c>
      <c r="AA813" s="9" t="str">
        <f>IFERROR(__xludf.DUMMYFUNCTION("""COMPUTED_VALUE"""),"St John the Baptist Alvin")</f>
        <v>St John the Baptist Alvin</v>
      </c>
      <c r="AB813" s="9" t="str">
        <f>IFERROR(__xludf.DUMMYFUNCTION("""COMPUTED_VALUE"""),"Alvin")</f>
        <v>Alvin</v>
      </c>
    </row>
    <row r="814" ht="30.0" customHeight="1">
      <c r="A814" s="17">
        <v>813.0</v>
      </c>
      <c r="B814" s="8" t="str">
        <f>IFERROR(__xludf.DUMMYFUNCTION("""COMPUTED_VALUE"""),"[""77077"", ""77079""]")</f>
        <v>["77077", "77079"]</v>
      </c>
      <c r="C814" s="9" t="str">
        <f>IFERROR(__xludf.DUMMYFUNCTION("""COMPUTED_VALUE"""),"St John Vianney")</f>
        <v>St John Vianney</v>
      </c>
      <c r="D814" s="9" t="str">
        <f>IFERROR(__xludf.DUMMYFUNCTION("""COMPUTED_VALUE"""),"625 Nottingham Oaks Trail")</f>
        <v>625 Nottingham Oaks Trail</v>
      </c>
      <c r="E814" s="9"/>
      <c r="F814" s="9" t="str">
        <f>IFERROR(__xludf.DUMMYFUNCTION("""COMPUTED_VALUE"""),"Houston")</f>
        <v>Houston</v>
      </c>
      <c r="G814" s="9" t="str">
        <f>IFERROR(__xludf.DUMMYFUNCTION("""COMPUTED_VALUE"""),"TX")</f>
        <v>TX</v>
      </c>
      <c r="H814" s="9" t="str">
        <f>IFERROR(__xludf.DUMMYFUNCTION("""COMPUTED_VALUE"""),"77079")</f>
        <v>77079</v>
      </c>
      <c r="I814" s="9" t="str">
        <f>IFERROR(__xludf.DUMMYFUNCTION("""COMPUTED_VALUE"""),"281-497-4434")</f>
        <v>281-497-4434</v>
      </c>
      <c r="J814" s="9" t="str">
        <f>IFERROR(__xludf.DUMMYFUNCTION("""COMPUTED_VALUE"""),"29.7688440102041, -95.612840255102")</f>
        <v>29.7688440102041, -95.612840255102</v>
      </c>
      <c r="K814" s="9" t="str">
        <f>IFERROR(__xludf.DUMMYFUNCTION("""COMPUTED_VALUE"""),"{""regular"":[{""days"":[""Mo"",""Tu"",""We"",""Th"",""Fr""],""open"":""09:00"",""close"":""15:00""}]}")</f>
        <v>{"regular":[{"days":["Mo","Tu","We","Th","Fr"],"open":"09:00","close":"15:00"}]}</v>
      </c>
      <c r="L814" s="9"/>
      <c r="M814" s="10">
        <f>IFERROR(__xludf.DUMMYFUNCTION("""COMPUTED_VALUE"""),12.0)</f>
        <v>12</v>
      </c>
      <c r="N814" s="10" t="str">
        <f>IFERROR(__xludf.DUMMYFUNCTION("""COMPUTED_VALUE"""),"Utilities")</f>
        <v>Utilities</v>
      </c>
      <c r="O814" s="10">
        <f>IFERROR(__xludf.DUMMYFUNCTION("""COMPUTED_VALUE"""),1.0)</f>
        <v>1</v>
      </c>
      <c r="P814" s="10" t="str">
        <f>IFERROR(__xludf.DUMMYFUNCTION("""COMPUTED_VALUE"""),"ACTIVE")</f>
        <v>ACTIVE</v>
      </c>
      <c r="Q814" s="11"/>
      <c r="R814" s="9"/>
      <c r="S814" s="9" t="str">
        <f>IFERROR(__xludf.DUMMYFUNCTION("""COMPUTED_VALUE"""),"Call to schedule an appointment.")</f>
        <v>Call to schedule an appointment.</v>
      </c>
      <c r="T814" s="12" t="b">
        <f>IFERROR(__xludf.DUMMYFUNCTION("""COMPUTED_VALUE"""),FALSE)</f>
        <v>0</v>
      </c>
      <c r="U814" s="12" t="b">
        <f>IFERROR(__xludf.DUMMYFUNCTION("""COMPUTED_VALUE"""),FALSE)</f>
        <v>0</v>
      </c>
      <c r="V814" s="13" t="str">
        <f>IFERROR(__xludf.DUMMYFUNCTION("""COMPUTED_VALUE"""),"https://www.stjohnvianney.org/ministries/social-services/food-program/")</f>
        <v>https://www.stjohnvianney.org/ministries/social-services/food-program/</v>
      </c>
      <c r="W814" s="14" t="str">
        <f>IFERROR(__xludf.DUMMYFUNCTION("""COMPUTED_VALUE"""),"https://maps.google.com/?q=St%20John%20Vianney%20625%20Nottingham%20Oaks%20Trail%20Houston%20TX%2077079")</f>
        <v>https://maps.google.com/?q=St%20John%20Vianney%20625%20Nottingham%20Oaks%20Trail%20Houston%20TX%2077079</v>
      </c>
      <c r="X814" s="10"/>
      <c r="Y814" s="9" t="str">
        <f>IFERROR(__xludf.DUMMYFUNCTION("""COMPUTED_VALUE"""),"Houston")</f>
        <v>Houston</v>
      </c>
      <c r="Z814" s="9" t="str">
        <f>IFERROR(__xludf.DUMMYFUNCTION("""COMPUTED_VALUE"""),"Fleetwood, Memorial")</f>
        <v>Fleetwood, Memorial</v>
      </c>
      <c r="AA814" s="9" t="str">
        <f>IFERROR(__xludf.DUMMYFUNCTION("""COMPUTED_VALUE"""),"St John Vianney")</f>
        <v>St John Vianney</v>
      </c>
      <c r="AB814" s="9" t="str">
        <f>IFERROR(__xludf.DUMMYFUNCTION("""COMPUTED_VALUE"""),"Memorial")</f>
        <v>Memorial</v>
      </c>
    </row>
    <row r="815" ht="30.0" customHeight="1">
      <c r="A815" s="17">
        <v>814.0</v>
      </c>
      <c r="B815" s="8" t="str">
        <f>IFERROR(__xludf.DUMMYFUNCTION("""COMPUTED_VALUE"""),"[""77340"", ""77358""]")</f>
        <v>["77340", "77358"]</v>
      </c>
      <c r="C815" s="9" t="str">
        <f>IFERROR(__xludf.DUMMYFUNCTION("""COMPUTED_VALUE"""),"St Joseph (SVdP D6) New Waverly")</f>
        <v>St Joseph (SVdP D6) New Waverly</v>
      </c>
      <c r="D815" s="9" t="str">
        <f>IFERROR(__xludf.DUMMYFUNCTION("""COMPUTED_VALUE"""),"101 Elmore Street")</f>
        <v>101 Elmore Street</v>
      </c>
      <c r="E815" s="9"/>
      <c r="F815" s="9" t="str">
        <f>IFERROR(__xludf.DUMMYFUNCTION("""COMPUTED_VALUE"""),"New Waverly")</f>
        <v>New Waverly</v>
      </c>
      <c r="G815" s="9" t="str">
        <f>IFERROR(__xludf.DUMMYFUNCTION("""COMPUTED_VALUE"""),"TX")</f>
        <v>TX</v>
      </c>
      <c r="H815" s="9" t="str">
        <f>IFERROR(__xludf.DUMMYFUNCTION("""COMPUTED_VALUE"""),"77358")</f>
        <v>77358</v>
      </c>
      <c r="I815" s="9" t="str">
        <f>IFERROR(__xludf.DUMMYFUNCTION("""COMPUTED_VALUE"""),"936-227-0095")</f>
        <v>936-227-0095</v>
      </c>
      <c r="J815" s="9" t="str">
        <f>IFERROR(__xludf.DUMMYFUNCTION("""COMPUTED_VALUE"""),"30.535631, -95.481527")</f>
        <v>30.535631, -95.481527</v>
      </c>
      <c r="K815" s="9" t="str">
        <f>IFERROR(__xludf.DUMMYFUNCTION("""COMPUTED_VALUE"""),"{""regular"":[{""days"":[""Mo"",""Tu"",""We"",""Th"",""Fr""],""open"":""09:00"",""close"":""18:00""}]}")</f>
        <v>{"regular":[{"days":["Mo","Tu","We","Th","Fr"],"open":"09:00","close":"18:00"}]}</v>
      </c>
      <c r="L815" s="9"/>
      <c r="M815" s="10">
        <f>IFERROR(__xludf.DUMMYFUNCTION("""COMPUTED_VALUE"""),11.0)</f>
        <v>11</v>
      </c>
      <c r="N815" s="10" t="str">
        <f>IFERROR(__xludf.DUMMYFUNCTION("""COMPUTED_VALUE"""),"Rent")</f>
        <v>Rent</v>
      </c>
      <c r="O815" s="10">
        <f>IFERROR(__xludf.DUMMYFUNCTION("""COMPUTED_VALUE"""),1.0)</f>
        <v>1</v>
      </c>
      <c r="P815" s="10" t="str">
        <f>IFERROR(__xludf.DUMMYFUNCTION("""COMPUTED_VALUE"""),"ACTIVE")</f>
        <v>ACTIVE</v>
      </c>
      <c r="Q815" s="11"/>
      <c r="R815" s="9"/>
      <c r="S815" s="9"/>
      <c r="T815" s="12" t="b">
        <f>IFERROR(__xludf.DUMMYFUNCTION("""COMPUTED_VALUE"""),FALSE)</f>
        <v>0</v>
      </c>
      <c r="U815" s="12" t="b">
        <f>IFERROR(__xludf.DUMMYFUNCTION("""COMPUTED_VALUE"""),FALSE)</f>
        <v>0</v>
      </c>
      <c r="V815" s="13" t="str">
        <f>IFERROR(__xludf.DUMMYFUNCTION("""COMPUTED_VALUE"""),"https://www.st-josephtx.org/from-the-desk-of-fr-kim-2/")</f>
        <v>https://www.st-josephtx.org/from-the-desk-of-fr-kim-2/</v>
      </c>
      <c r="W815" s="14" t="str">
        <f>IFERROR(__xludf.DUMMYFUNCTION("""COMPUTED_VALUE"""),"https://maps.google.com/?q=St%20Joseph%20(SVdP%20D6)%20New%20Waverly%20101%20Elmore%20St%20New%20Waverly%20TX%2077358")</f>
        <v>https://maps.google.com/?q=St%20Joseph%20(SVdP%20D6)%20New%20Waverly%20101%20Elmore%20St%20New%20Waverly%20TX%2077358</v>
      </c>
      <c r="X815" s="10"/>
      <c r="Y815" s="9" t="str">
        <f>IFERROR(__xludf.DUMMYFUNCTION("""COMPUTED_VALUE"""),"New Waverly")</f>
        <v>New Waverly</v>
      </c>
      <c r="Z815" s="9" t="str">
        <f>IFERROR(__xludf.DUMMYFUNCTION("""COMPUTED_VALUE"""),"New Waverly")</f>
        <v>New Waverly</v>
      </c>
      <c r="AA815" s="9" t="str">
        <f>IFERROR(__xludf.DUMMYFUNCTION("""COMPUTED_VALUE"""),"Society of St Vincent de Paul")</f>
        <v>Society of St Vincent de Paul</v>
      </c>
      <c r="AB815" s="9" t="str">
        <f>IFERROR(__xludf.DUMMYFUNCTION("""COMPUTED_VALUE"""),"New Waverly")</f>
        <v>New Waverly</v>
      </c>
    </row>
    <row r="816" ht="30.0" customHeight="1">
      <c r="A816" s="17">
        <v>815.0</v>
      </c>
      <c r="B816" s="8" t="str">
        <f>IFERROR(__xludf.DUMMYFUNCTION("""COMPUTED_VALUE"""),"[""77340"", ""77358""]")</f>
        <v>["77340", "77358"]</v>
      </c>
      <c r="C816" s="9" t="str">
        <f>IFERROR(__xludf.DUMMYFUNCTION("""COMPUTED_VALUE"""),"St Joseph (SVdP D6) New Waverly")</f>
        <v>St Joseph (SVdP D6) New Waverly</v>
      </c>
      <c r="D816" s="9" t="str">
        <f>IFERROR(__xludf.DUMMYFUNCTION("""COMPUTED_VALUE"""),"101 Elmore Street")</f>
        <v>101 Elmore Street</v>
      </c>
      <c r="E816" s="9"/>
      <c r="F816" s="9" t="str">
        <f>IFERROR(__xludf.DUMMYFUNCTION("""COMPUTED_VALUE"""),"New Waverly")</f>
        <v>New Waverly</v>
      </c>
      <c r="G816" s="9" t="str">
        <f>IFERROR(__xludf.DUMMYFUNCTION("""COMPUTED_VALUE"""),"TX")</f>
        <v>TX</v>
      </c>
      <c r="H816" s="9" t="str">
        <f>IFERROR(__xludf.DUMMYFUNCTION("""COMPUTED_VALUE"""),"77358")</f>
        <v>77358</v>
      </c>
      <c r="I816" s="9" t="str">
        <f>IFERROR(__xludf.DUMMYFUNCTION("""COMPUTED_VALUE"""),"936-227-0095")</f>
        <v>936-227-0095</v>
      </c>
      <c r="J816" s="9" t="str">
        <f>IFERROR(__xludf.DUMMYFUNCTION("""COMPUTED_VALUE"""),"30.535631, -95.481527")</f>
        <v>30.535631, -95.481527</v>
      </c>
      <c r="K816" s="9" t="str">
        <f>IFERROR(__xludf.DUMMYFUNCTION("""COMPUTED_VALUE"""),"{""regular"":[{""days"":[""Mo"",""Tu"",""We"",""Th"",""Fr""],""open"":""09:00"",""close"":""18:00""}]}")</f>
        <v>{"regular":[{"days":["Mo","Tu","We","Th","Fr"],"open":"09:00","close":"18:00"}]}</v>
      </c>
      <c r="L816" s="9"/>
      <c r="M816" s="10">
        <f>IFERROR(__xludf.DUMMYFUNCTION("""COMPUTED_VALUE"""),12.0)</f>
        <v>12</v>
      </c>
      <c r="N816" s="10" t="str">
        <f>IFERROR(__xludf.DUMMYFUNCTION("""COMPUTED_VALUE"""),"Utilities")</f>
        <v>Utilities</v>
      </c>
      <c r="O816" s="10">
        <f>IFERROR(__xludf.DUMMYFUNCTION("""COMPUTED_VALUE"""),1.0)</f>
        <v>1</v>
      </c>
      <c r="P816" s="10" t="str">
        <f>IFERROR(__xludf.DUMMYFUNCTION("""COMPUTED_VALUE"""),"ACTIVE")</f>
        <v>ACTIVE</v>
      </c>
      <c r="Q816" s="11"/>
      <c r="R816" s="9"/>
      <c r="S816" s="9"/>
      <c r="T816" s="12" t="b">
        <f>IFERROR(__xludf.DUMMYFUNCTION("""COMPUTED_VALUE"""),FALSE)</f>
        <v>0</v>
      </c>
      <c r="U816" s="12" t="b">
        <f>IFERROR(__xludf.DUMMYFUNCTION("""COMPUTED_VALUE"""),FALSE)</f>
        <v>0</v>
      </c>
      <c r="V816" s="13" t="str">
        <f>IFERROR(__xludf.DUMMYFUNCTION("""COMPUTED_VALUE"""),"https://www.st-josephtx.org/from-the-desk-of-fr-kim-2/")</f>
        <v>https://www.st-josephtx.org/from-the-desk-of-fr-kim-2/</v>
      </c>
      <c r="W816" s="14" t="str">
        <f>IFERROR(__xludf.DUMMYFUNCTION("""COMPUTED_VALUE"""),"https://maps.google.com/?q=St%20Joseph%20(SVdP%20D6)%20New%20Waverly%20101%20Elmore%20St%20New%20Waverly%20TX%2077358")</f>
        <v>https://maps.google.com/?q=St%20Joseph%20(SVdP%20D6)%20New%20Waverly%20101%20Elmore%20St%20New%20Waverly%20TX%2077358</v>
      </c>
      <c r="X816" s="10"/>
      <c r="Y816" s="9" t="str">
        <f>IFERROR(__xludf.DUMMYFUNCTION("""COMPUTED_VALUE"""),"New Waverly")</f>
        <v>New Waverly</v>
      </c>
      <c r="Z816" s="9" t="str">
        <f>IFERROR(__xludf.DUMMYFUNCTION("""COMPUTED_VALUE"""),"New Waverly")</f>
        <v>New Waverly</v>
      </c>
      <c r="AA816" s="9" t="str">
        <f>IFERROR(__xludf.DUMMYFUNCTION("""COMPUTED_VALUE"""),"Society of St Vincent de Paul")</f>
        <v>Society of St Vincent de Paul</v>
      </c>
      <c r="AB816" s="9" t="str">
        <f>IFERROR(__xludf.DUMMYFUNCTION("""COMPUTED_VALUE"""),"New Waverly")</f>
        <v>New Waverly</v>
      </c>
    </row>
    <row r="817" ht="30.0" customHeight="1">
      <c r="A817" s="17">
        <v>816.0</v>
      </c>
      <c r="B817" s="8" t="str">
        <f>IFERROR(__xludf.DUMMYFUNCTION("""COMPUTED_VALUE"""),"[""77340"", ""77358""]")</f>
        <v>["77340", "77358"]</v>
      </c>
      <c r="C817" s="9" t="str">
        <f>IFERROR(__xludf.DUMMYFUNCTION("""COMPUTED_VALUE"""),"St Joseph (SVdP D6) New Waverly")</f>
        <v>St Joseph (SVdP D6) New Waverly</v>
      </c>
      <c r="D817" s="9" t="str">
        <f>IFERROR(__xludf.DUMMYFUNCTION("""COMPUTED_VALUE"""),"101 Elmore Street")</f>
        <v>101 Elmore Street</v>
      </c>
      <c r="E817" s="9"/>
      <c r="F817" s="9" t="str">
        <f>IFERROR(__xludf.DUMMYFUNCTION("""COMPUTED_VALUE"""),"New Waverly")</f>
        <v>New Waverly</v>
      </c>
      <c r="G817" s="9" t="str">
        <f>IFERROR(__xludf.DUMMYFUNCTION("""COMPUTED_VALUE"""),"TX")</f>
        <v>TX</v>
      </c>
      <c r="H817" s="9" t="str">
        <f>IFERROR(__xludf.DUMMYFUNCTION("""COMPUTED_VALUE"""),"77358")</f>
        <v>77358</v>
      </c>
      <c r="I817" s="9" t="str">
        <f>IFERROR(__xludf.DUMMYFUNCTION("""COMPUTED_VALUE"""),"936-227-0095")</f>
        <v>936-227-0095</v>
      </c>
      <c r="J817" s="9" t="str">
        <f>IFERROR(__xludf.DUMMYFUNCTION("""COMPUTED_VALUE"""),"30.535631, -95.481527")</f>
        <v>30.535631, -95.481527</v>
      </c>
      <c r="K817" s="9" t="str">
        <f>IFERROR(__xludf.DUMMYFUNCTION("""COMPUTED_VALUE"""),"{""special"":[{""pattern"":""2nd &amp; 4th Mo"",""open"":""09:00"",""close"":""12:00""}]}")</f>
        <v>{"special":[{"pattern":"2nd &amp; 4th Mo","open":"09:00","close":"12:00"}]}</v>
      </c>
      <c r="L817" s="9"/>
      <c r="M817" s="10">
        <f>IFERROR(__xludf.DUMMYFUNCTION("""COMPUTED_VALUE"""),13.0)</f>
        <v>13</v>
      </c>
      <c r="N817" s="10" t="str">
        <f>IFERROR(__xludf.DUMMYFUNCTION("""COMPUTED_VALUE"""),"Food")</f>
        <v>Food</v>
      </c>
      <c r="O817" s="10">
        <f>IFERROR(__xludf.DUMMYFUNCTION("""COMPUTED_VALUE"""),1.0)</f>
        <v>1</v>
      </c>
      <c r="P817" s="10" t="str">
        <f>IFERROR(__xludf.DUMMYFUNCTION("""COMPUTED_VALUE"""),"ACTIVE")</f>
        <v>ACTIVE</v>
      </c>
      <c r="Q817" s="11"/>
      <c r="R817" s="9"/>
      <c r="S817" s="9"/>
      <c r="T817" s="12" t="b">
        <f>IFERROR(__xludf.DUMMYFUNCTION("""COMPUTED_VALUE"""),FALSE)</f>
        <v>0</v>
      </c>
      <c r="U817" s="12" t="b">
        <f>IFERROR(__xludf.DUMMYFUNCTION("""COMPUTED_VALUE"""),FALSE)</f>
        <v>0</v>
      </c>
      <c r="V817" s="13" t="str">
        <f>IFERROR(__xludf.DUMMYFUNCTION("""COMPUTED_VALUE"""),"https://www.st-josephtx.org/from-the-desk-of-fr-kim-2/")</f>
        <v>https://www.st-josephtx.org/from-the-desk-of-fr-kim-2/</v>
      </c>
      <c r="W817" s="14" t="str">
        <f>IFERROR(__xludf.DUMMYFUNCTION("""COMPUTED_VALUE"""),"https://maps.google.com/?q=St%20Joseph%20(SVdP%20D6)%20New%20Waverly%20101%20Elmore%20St%20New%20Waverly%20TX%2077358")</f>
        <v>https://maps.google.com/?q=St%20Joseph%20(SVdP%20D6)%20New%20Waverly%20101%20Elmore%20St%20New%20Waverly%20TX%2077358</v>
      </c>
      <c r="X817" s="10"/>
      <c r="Y817" s="9" t="str">
        <f>IFERROR(__xludf.DUMMYFUNCTION("""COMPUTED_VALUE"""),"New Waverly")</f>
        <v>New Waverly</v>
      </c>
      <c r="Z817" s="9" t="str">
        <f>IFERROR(__xludf.DUMMYFUNCTION("""COMPUTED_VALUE"""),"New Waverly")</f>
        <v>New Waverly</v>
      </c>
      <c r="AA817" s="9" t="str">
        <f>IFERROR(__xludf.DUMMYFUNCTION("""COMPUTED_VALUE"""),"Society of St Vincent de Paul")</f>
        <v>Society of St Vincent de Paul</v>
      </c>
      <c r="AB817" s="9" t="str">
        <f>IFERROR(__xludf.DUMMYFUNCTION("""COMPUTED_VALUE"""),"New Waverly")</f>
        <v>New Waverly</v>
      </c>
    </row>
    <row r="818" ht="30.0" customHeight="1">
      <c r="A818" s="17">
        <v>817.0</v>
      </c>
      <c r="B818" s="8" t="str">
        <f>IFERROR(__xludf.DUMMYFUNCTION("""COMPUTED_VALUE"""),"[""77422"", ""77426""]")</f>
        <v>["77422", "77426"]</v>
      </c>
      <c r="C818" s="9" t="str">
        <f>IFERROR(__xludf.DUMMYFUNCTION("""COMPUTED_VALUE"""),"St Joseph Brazoria")</f>
        <v>St Joseph Brazoria</v>
      </c>
      <c r="D818" s="9" t="str">
        <f>IFERROR(__xludf.DUMMYFUNCTION("""COMPUTED_VALUE"""),"219 County Road 762")</f>
        <v>219 County Road 762</v>
      </c>
      <c r="E818" s="9"/>
      <c r="F818" s="9" t="str">
        <f>IFERROR(__xludf.DUMMYFUNCTION("""COMPUTED_VALUE"""),"Brazoria")</f>
        <v>Brazoria</v>
      </c>
      <c r="G818" s="9" t="str">
        <f>IFERROR(__xludf.DUMMYFUNCTION("""COMPUTED_VALUE"""),"TX")</f>
        <v>TX</v>
      </c>
      <c r="H818" s="9" t="str">
        <f>IFERROR(__xludf.DUMMYFUNCTION("""COMPUTED_VALUE"""),"77422")</f>
        <v>77422</v>
      </c>
      <c r="I818" s="9" t="str">
        <f>IFERROR(__xludf.DUMMYFUNCTION("""COMPUTED_VALUE"""),"979-798-2288")</f>
        <v>979-798-2288</v>
      </c>
      <c r="J818" s="9" t="str">
        <f>IFERROR(__xludf.DUMMYFUNCTION("""COMPUTED_VALUE"""),"29.0444868657718, -95.5585003489933")</f>
        <v>29.0444868657718, -95.5585003489933</v>
      </c>
      <c r="K818" s="9" t="str">
        <f>IFERROR(__xludf.DUMMYFUNCTION("""COMPUTED_VALUE"""),"{""regular"":[{""days"":[""Mo"",""Tu"",""We"",""Th"",""Fr""],""open"":""09:00"",""close"":""17:00""}]}")</f>
        <v>{"regular":[{"days":["Mo","Tu","We","Th","Fr"],"open":"09:00","close":"17:00"}]}</v>
      </c>
      <c r="L818" s="9"/>
      <c r="M818" s="10">
        <f>IFERROR(__xludf.DUMMYFUNCTION("""COMPUTED_VALUE"""),13.0)</f>
        <v>13</v>
      </c>
      <c r="N818" s="10" t="str">
        <f>IFERROR(__xludf.DUMMYFUNCTION("""COMPUTED_VALUE"""),"Food")</f>
        <v>Food</v>
      </c>
      <c r="O818" s="10">
        <f>IFERROR(__xludf.DUMMYFUNCTION("""COMPUTED_VALUE"""),1.0)</f>
        <v>1</v>
      </c>
      <c r="P818" s="10" t="str">
        <f>IFERROR(__xludf.DUMMYFUNCTION("""COMPUTED_VALUE"""),"ACTIVE")</f>
        <v>ACTIVE</v>
      </c>
      <c r="Q818" s="11"/>
      <c r="R818" s="9"/>
      <c r="S818" s="9"/>
      <c r="T818" s="12" t="b">
        <f>IFERROR(__xludf.DUMMYFUNCTION("""COMPUTED_VALUE"""),FALSE)</f>
        <v>0</v>
      </c>
      <c r="U818" s="12" t="b">
        <f>IFERROR(__xludf.DUMMYFUNCTION("""COMPUTED_VALUE"""),FALSE)</f>
        <v>0</v>
      </c>
      <c r="V818" s="13" t="str">
        <f>IFERROR(__xludf.DUMMYFUNCTION("""COMPUTED_VALUE"""),"https://stjosephonthebrazos.com/st-josephs-helping-hands")</f>
        <v>https://stjosephonthebrazos.com/st-josephs-helping-hands</v>
      </c>
      <c r="W818" s="14" t="str">
        <f>IFERROR(__xludf.DUMMYFUNCTION("""COMPUTED_VALUE"""),"https://maps.google.com/?q=St%20Joseph%20Brazoria%20219%20County%20Rd%20762%20Brazoria%20TX%2077422")</f>
        <v>https://maps.google.com/?q=St%20Joseph%20Brazoria%20219%20County%20Rd%20762%20Brazoria%20TX%2077422</v>
      </c>
      <c r="X818" s="10"/>
      <c r="Y818" s="9" t="str">
        <f>IFERROR(__xludf.DUMMYFUNCTION("""COMPUTED_VALUE"""),"Brookshire")</f>
        <v>Brookshire</v>
      </c>
      <c r="Z818" s="9" t="str">
        <f>IFERROR(__xludf.DUMMYFUNCTION("""COMPUTED_VALUE"""),"Brazoria")</f>
        <v>Brazoria</v>
      </c>
      <c r="AA818" s="9" t="str">
        <f>IFERROR(__xludf.DUMMYFUNCTION("""COMPUTED_VALUE"""),"St Joseph Brazoria")</f>
        <v>St Joseph Brazoria</v>
      </c>
      <c r="AB818" s="9" t="str">
        <f>IFERROR(__xludf.DUMMYFUNCTION("""COMPUTED_VALUE"""),"Brazoria")</f>
        <v>Brazoria</v>
      </c>
    </row>
    <row r="819" ht="30.0" customHeight="1">
      <c r="A819" s="17">
        <v>818.0</v>
      </c>
      <c r="B819" s="8" t="str">
        <f>IFERROR(__xludf.DUMMYFUNCTION("""COMPUTED_VALUE"""),"[""77007"", ""77008"", ""77009""]")</f>
        <v>["77007", "77008", "77009"]</v>
      </c>
      <c r="C819" s="9" t="str">
        <f>IFERROR(__xludf.DUMMYFUNCTION("""COMPUTED_VALUE"""),"St Joseph Catholic Church")</f>
        <v>St Joseph Catholic Church</v>
      </c>
      <c r="D819" s="9" t="str">
        <f>IFERROR(__xludf.DUMMYFUNCTION("""COMPUTED_VALUE"""),"1505 Kane Street")</f>
        <v>1505 Kane Street</v>
      </c>
      <c r="E819" s="9"/>
      <c r="F819" s="9" t="str">
        <f>IFERROR(__xludf.DUMMYFUNCTION("""COMPUTED_VALUE"""),"Houston")</f>
        <v>Houston</v>
      </c>
      <c r="G819" s="9" t="str">
        <f>IFERROR(__xludf.DUMMYFUNCTION("""COMPUTED_VALUE"""),"TX")</f>
        <v>TX</v>
      </c>
      <c r="H819" s="9" t="str">
        <f>IFERROR(__xludf.DUMMYFUNCTION("""COMPUTED_VALUE"""),"77007")</f>
        <v>77007</v>
      </c>
      <c r="I819" s="9" t="str">
        <f>IFERROR(__xludf.DUMMYFUNCTION("""COMPUTED_VALUE"""),"713-222-8903")</f>
        <v>713-222-8903</v>
      </c>
      <c r="J819" s="9" t="str">
        <f>IFERROR(__xludf.DUMMYFUNCTION("""COMPUTED_VALUE"""),"29.7660760612245, -95.3725138163265")</f>
        <v>29.7660760612245, -95.3725138163265</v>
      </c>
      <c r="K819" s="9" t="str">
        <f>IFERROR(__xludf.DUMMYFUNCTION("""COMPUTED_VALUE"""),"{""regular"":[{""days"":[""Mo""],""open"":""09:00"",""close"":""12:00""},{""days"":[""We""],""open"":""10:00"",""close"":""14:00""}]}")</f>
        <v>{"regular":[{"days":["Mo"],"open":"09:00","close":"12:00"},{"days":["We"],"open":"10:00","close":"14:00"}]}</v>
      </c>
      <c r="L819" s="9"/>
      <c r="M819" s="10">
        <f>IFERROR(__xludf.DUMMYFUNCTION("""COMPUTED_VALUE"""),11.0)</f>
        <v>11</v>
      </c>
      <c r="N819" s="10" t="str">
        <f>IFERROR(__xludf.DUMMYFUNCTION("""COMPUTED_VALUE"""),"Rent")</f>
        <v>Rent</v>
      </c>
      <c r="O819" s="10">
        <f>IFERROR(__xludf.DUMMYFUNCTION("""COMPUTED_VALUE"""),1.0)</f>
        <v>1</v>
      </c>
      <c r="P819" s="10" t="str">
        <f>IFERROR(__xludf.DUMMYFUNCTION("""COMPUTED_VALUE"""),"ACTIVE")</f>
        <v>ACTIVE</v>
      </c>
      <c r="Q819" s="11">
        <f>IFERROR(__xludf.DUMMYFUNCTION("""COMPUTED_VALUE"""),45816.0)</f>
        <v>45816</v>
      </c>
      <c r="R819" s="9" t="str">
        <f>IFERROR(__xludf.DUMMYFUNCTION("""COMPUTED_VALUE"""),"Verified online")</f>
        <v>Verified online</v>
      </c>
      <c r="S819" s="9"/>
      <c r="T819" s="12" t="b">
        <f>IFERROR(__xludf.DUMMYFUNCTION("""COMPUTED_VALUE"""),FALSE)</f>
        <v>0</v>
      </c>
      <c r="U819" s="12" t="b">
        <f>IFERROR(__xludf.DUMMYFUNCTION("""COMPUTED_VALUE"""),FALSE)</f>
        <v>0</v>
      </c>
      <c r="V819" s="13" t="str">
        <f>IFERROR(__xludf.DUMMYFUNCTION("""COMPUTED_VALUE"""),"https://www.saintjoseph.org/en/serve/social-committee")</f>
        <v>https://www.saintjoseph.org/en/serve/social-committee</v>
      </c>
      <c r="W819" s="14" t="str">
        <f>IFERROR(__xludf.DUMMYFUNCTION("""COMPUTED_VALUE"""),"https://maps.app.goo.gl/qxuHRbWT6MeMWjHP7")</f>
        <v>https://maps.app.goo.gl/qxuHRbWT6MeMWjHP7</v>
      </c>
      <c r="X819" s="10"/>
      <c r="Y819" s="9" t="str">
        <f>IFERROR(__xludf.DUMMYFUNCTION("""COMPUTED_VALUE"""),"Houston")</f>
        <v>Houston</v>
      </c>
      <c r="Z819"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819" s="9" t="str">
        <f>IFERROR(__xludf.DUMMYFUNCTION("""COMPUTED_VALUE"""),"St Joseph Catholic Church")</f>
        <v>St Joseph Catholic Church</v>
      </c>
      <c r="AB819" s="9" t="str">
        <f>IFERROR(__xludf.DUMMYFUNCTION("""COMPUTED_VALUE"""),"Washington Avenue Coalition / Memorial Park")</f>
        <v>Washington Avenue Coalition / Memorial Park</v>
      </c>
    </row>
    <row r="820" ht="30.0" customHeight="1">
      <c r="A820" s="17">
        <v>819.0</v>
      </c>
      <c r="B820" s="8" t="str">
        <f>IFERROR(__xludf.DUMMYFUNCTION("""COMPUTED_VALUE"""),"[""77007"", ""77008"", ""77009""]")</f>
        <v>["77007", "77008", "77009"]</v>
      </c>
      <c r="C820" s="9" t="str">
        <f>IFERROR(__xludf.DUMMYFUNCTION("""COMPUTED_VALUE"""),"St Joseph Catholic Church")</f>
        <v>St Joseph Catholic Church</v>
      </c>
      <c r="D820" s="9" t="str">
        <f>IFERROR(__xludf.DUMMYFUNCTION("""COMPUTED_VALUE"""),"1505 Kane Street")</f>
        <v>1505 Kane Street</v>
      </c>
      <c r="E820" s="9"/>
      <c r="F820" s="9" t="str">
        <f>IFERROR(__xludf.DUMMYFUNCTION("""COMPUTED_VALUE"""),"Houston")</f>
        <v>Houston</v>
      </c>
      <c r="G820" s="9" t="str">
        <f>IFERROR(__xludf.DUMMYFUNCTION("""COMPUTED_VALUE"""),"TX")</f>
        <v>TX</v>
      </c>
      <c r="H820" s="9" t="str">
        <f>IFERROR(__xludf.DUMMYFUNCTION("""COMPUTED_VALUE"""),"77007")</f>
        <v>77007</v>
      </c>
      <c r="I820" s="9" t="str">
        <f>IFERROR(__xludf.DUMMYFUNCTION("""COMPUTED_VALUE"""),"713-222-8903")</f>
        <v>713-222-8903</v>
      </c>
      <c r="J820" s="9" t="str">
        <f>IFERROR(__xludf.DUMMYFUNCTION("""COMPUTED_VALUE"""),"29.7660760612245, -95.3725138163265")</f>
        <v>29.7660760612245, -95.3725138163265</v>
      </c>
      <c r="K820" s="9" t="str">
        <f>IFERROR(__xludf.DUMMYFUNCTION("""COMPUTED_VALUE"""),"{""regular"":[{""days"":[""Mo""],""open"":""09:00"",""close"":""12:00""},{""days"":[""We""],""open"":""10:00"",""close"":""14:00""}]}")</f>
        <v>{"regular":[{"days":["Mo"],"open":"09:00","close":"12:00"},{"days":["We"],"open":"10:00","close":"14:00"}]}</v>
      </c>
      <c r="L820" s="9"/>
      <c r="M820" s="10">
        <f>IFERROR(__xludf.DUMMYFUNCTION("""COMPUTED_VALUE"""),12.0)</f>
        <v>12</v>
      </c>
      <c r="N820" s="10" t="str">
        <f>IFERROR(__xludf.DUMMYFUNCTION("""COMPUTED_VALUE"""),"Utilities")</f>
        <v>Utilities</v>
      </c>
      <c r="O820" s="10">
        <f>IFERROR(__xludf.DUMMYFUNCTION("""COMPUTED_VALUE"""),1.0)</f>
        <v>1</v>
      </c>
      <c r="P820" s="10" t="str">
        <f>IFERROR(__xludf.DUMMYFUNCTION("""COMPUTED_VALUE"""),"ACTIVE")</f>
        <v>ACTIVE</v>
      </c>
      <c r="Q820" s="11">
        <f>IFERROR(__xludf.DUMMYFUNCTION("""COMPUTED_VALUE"""),45816.0)</f>
        <v>45816</v>
      </c>
      <c r="R820" s="9" t="str">
        <f>IFERROR(__xludf.DUMMYFUNCTION("""COMPUTED_VALUE"""),"Verified online")</f>
        <v>Verified online</v>
      </c>
      <c r="S820" s="9"/>
      <c r="T820" s="12" t="b">
        <f>IFERROR(__xludf.DUMMYFUNCTION("""COMPUTED_VALUE"""),FALSE)</f>
        <v>0</v>
      </c>
      <c r="U820" s="12" t="b">
        <f>IFERROR(__xludf.DUMMYFUNCTION("""COMPUTED_VALUE"""),FALSE)</f>
        <v>0</v>
      </c>
      <c r="V820" s="13" t="str">
        <f>IFERROR(__xludf.DUMMYFUNCTION("""COMPUTED_VALUE"""),"https://www.saintjoseph.org/en/serve/social-committee")</f>
        <v>https://www.saintjoseph.org/en/serve/social-committee</v>
      </c>
      <c r="W820" s="14" t="str">
        <f>IFERROR(__xludf.DUMMYFUNCTION("""COMPUTED_VALUE"""),"https://maps.app.goo.gl/qxuHRbWT6MeMWjHP7")</f>
        <v>https://maps.app.goo.gl/qxuHRbWT6MeMWjHP7</v>
      </c>
      <c r="X820" s="10"/>
      <c r="Y820" s="9" t="str">
        <f>IFERROR(__xludf.DUMMYFUNCTION("""COMPUTED_VALUE"""),"Houston")</f>
        <v>Houston</v>
      </c>
      <c r="Z820"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820" s="9" t="str">
        <f>IFERROR(__xludf.DUMMYFUNCTION("""COMPUTED_VALUE"""),"St Joseph Catholic Church")</f>
        <v>St Joseph Catholic Church</v>
      </c>
      <c r="AB820" s="9" t="str">
        <f>IFERROR(__xludf.DUMMYFUNCTION("""COMPUTED_VALUE"""),"Washington Avenue Coalition / Memorial Park")</f>
        <v>Washington Avenue Coalition / Memorial Park</v>
      </c>
    </row>
    <row r="821" ht="30.0" customHeight="1">
      <c r="A821" s="17">
        <v>820.0</v>
      </c>
      <c r="B821" s="8" t="str">
        <f>IFERROR(__xludf.DUMMYFUNCTION("""COMPUTED_VALUE"""),"[""77007"", ""77008"", ""77009""]")</f>
        <v>["77007", "77008", "77009"]</v>
      </c>
      <c r="C821" s="9" t="str">
        <f>IFERROR(__xludf.DUMMYFUNCTION("""COMPUTED_VALUE"""),"St Joseph Catholic Church")</f>
        <v>St Joseph Catholic Church</v>
      </c>
      <c r="D821" s="9" t="str">
        <f>IFERROR(__xludf.DUMMYFUNCTION("""COMPUTED_VALUE"""),"1505 Kane Street")</f>
        <v>1505 Kane Street</v>
      </c>
      <c r="E821" s="9"/>
      <c r="F821" s="9" t="str">
        <f>IFERROR(__xludf.DUMMYFUNCTION("""COMPUTED_VALUE"""),"Houston")</f>
        <v>Houston</v>
      </c>
      <c r="G821" s="9" t="str">
        <f>IFERROR(__xludf.DUMMYFUNCTION("""COMPUTED_VALUE"""),"TX")</f>
        <v>TX</v>
      </c>
      <c r="H821" s="9" t="str">
        <f>IFERROR(__xludf.DUMMYFUNCTION("""COMPUTED_VALUE"""),"77007")</f>
        <v>77007</v>
      </c>
      <c r="I821" s="9" t="str">
        <f>IFERROR(__xludf.DUMMYFUNCTION("""COMPUTED_VALUE"""),"713-222-8903")</f>
        <v>713-222-8903</v>
      </c>
      <c r="J821" s="9" t="str">
        <f>IFERROR(__xludf.DUMMYFUNCTION("""COMPUTED_VALUE"""),"29.7660760612245, -95.3725138163265")</f>
        <v>29.7660760612245, -95.3725138163265</v>
      </c>
      <c r="K821" s="9" t="str">
        <f>IFERROR(__xludf.DUMMYFUNCTION("""COMPUTED_VALUE"""),"{""regular"":[{""days"":[""Mo""],""open"":""09:00"",""close"":""12:00""},{""days"":[""We""],""open"":""10:00"",""close"":""14:00""}]}")</f>
        <v>{"regular":[{"days":["Mo"],"open":"09:00","close":"12:00"},{"days":["We"],"open":"10:00","close":"14:00"}]}</v>
      </c>
      <c r="L821" s="9"/>
      <c r="M821" s="10">
        <f>IFERROR(__xludf.DUMMYFUNCTION("""COMPUTED_VALUE"""),13.0)</f>
        <v>13</v>
      </c>
      <c r="N821" s="10" t="str">
        <f>IFERROR(__xludf.DUMMYFUNCTION("""COMPUTED_VALUE"""),"Food")</f>
        <v>Food</v>
      </c>
      <c r="O821" s="10">
        <f>IFERROR(__xludf.DUMMYFUNCTION("""COMPUTED_VALUE"""),1.0)</f>
        <v>1</v>
      </c>
      <c r="P821" s="10" t="str">
        <f>IFERROR(__xludf.DUMMYFUNCTION("""COMPUTED_VALUE"""),"ACTIVE")</f>
        <v>ACTIVE</v>
      </c>
      <c r="Q821" s="11">
        <f>IFERROR(__xludf.DUMMYFUNCTION("""COMPUTED_VALUE"""),45816.0)</f>
        <v>45816</v>
      </c>
      <c r="R821" s="9" t="str">
        <f>IFERROR(__xludf.DUMMYFUNCTION("""COMPUTED_VALUE"""),"Verified online")</f>
        <v>Verified online</v>
      </c>
      <c r="S821" s="9" t="str">
        <f>IFERROR(__xludf.DUMMYFUNCTION("""COMPUTED_VALUE"""),"Food pantry.
Toiletries/hygiene kits")</f>
        <v>Food pantry.
Toiletries/hygiene kits</v>
      </c>
      <c r="T821" s="12" t="b">
        <f>IFERROR(__xludf.DUMMYFUNCTION("""COMPUTED_VALUE"""),FALSE)</f>
        <v>0</v>
      </c>
      <c r="U821" s="12" t="b">
        <f>IFERROR(__xludf.DUMMYFUNCTION("""COMPUTED_VALUE"""),FALSE)</f>
        <v>0</v>
      </c>
      <c r="V821" s="13" t="str">
        <f>IFERROR(__xludf.DUMMYFUNCTION("""COMPUTED_VALUE"""),"https://www.saintjoseph.org/en/serve/social-committee")</f>
        <v>https://www.saintjoseph.org/en/serve/social-committee</v>
      </c>
      <c r="W821" s="14" t="str">
        <f>IFERROR(__xludf.DUMMYFUNCTION("""COMPUTED_VALUE"""),"https://maps.app.goo.gl/qxuHRbWT6MeMWjHP7")</f>
        <v>https://maps.app.goo.gl/qxuHRbWT6MeMWjHP7</v>
      </c>
      <c r="X821" s="10"/>
      <c r="Y821" s="9" t="str">
        <f>IFERROR(__xludf.DUMMYFUNCTION("""COMPUTED_VALUE"""),"Houston")</f>
        <v>Houston</v>
      </c>
      <c r="Z821"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821" s="9" t="str">
        <f>IFERROR(__xludf.DUMMYFUNCTION("""COMPUTED_VALUE"""),"St Joseph Catholic Church")</f>
        <v>St Joseph Catholic Church</v>
      </c>
      <c r="AB821" s="9" t="str">
        <f>IFERROR(__xludf.DUMMYFUNCTION("""COMPUTED_VALUE"""),"Washington Avenue Coalition / Memorial Park")</f>
        <v>Washington Avenue Coalition / Memorial Park</v>
      </c>
    </row>
    <row r="822" ht="30.0" customHeight="1">
      <c r="A822" s="17">
        <v>821.0</v>
      </c>
      <c r="B822" s="8" t="str">
        <f>IFERROR(__xludf.DUMMYFUNCTION("""COMPUTED_VALUE"""),"[""77007"", ""77008"", ""77009""]")</f>
        <v>["77007", "77008", "77009"]</v>
      </c>
      <c r="C822" s="9" t="str">
        <f>IFERROR(__xludf.DUMMYFUNCTION("""COMPUTED_VALUE"""),"St Joseph Catholic Church")</f>
        <v>St Joseph Catholic Church</v>
      </c>
      <c r="D822" s="9" t="str">
        <f>IFERROR(__xludf.DUMMYFUNCTION("""COMPUTED_VALUE"""),"1505 Kane Street")</f>
        <v>1505 Kane Street</v>
      </c>
      <c r="E822" s="9"/>
      <c r="F822" s="9" t="str">
        <f>IFERROR(__xludf.DUMMYFUNCTION("""COMPUTED_VALUE"""),"Houston")</f>
        <v>Houston</v>
      </c>
      <c r="G822" s="9" t="str">
        <f>IFERROR(__xludf.DUMMYFUNCTION("""COMPUTED_VALUE"""),"TX")</f>
        <v>TX</v>
      </c>
      <c r="H822" s="9" t="str">
        <f>IFERROR(__xludf.DUMMYFUNCTION("""COMPUTED_VALUE"""),"77007")</f>
        <v>77007</v>
      </c>
      <c r="I822" s="9" t="str">
        <f>IFERROR(__xludf.DUMMYFUNCTION("""COMPUTED_VALUE"""),"713-222-8903")</f>
        <v>713-222-8903</v>
      </c>
      <c r="J822" s="9" t="str">
        <f>IFERROR(__xludf.DUMMYFUNCTION("""COMPUTED_VALUE"""),"29.7660760612245, -95.3725138163265")</f>
        <v>29.7660760612245, -95.3725138163265</v>
      </c>
      <c r="K822" s="9" t="str">
        <f>IFERROR(__xludf.DUMMYFUNCTION("""COMPUTED_VALUE"""),"{""regular"":[{""days"":[""Mo""],""open"":""09:00"",""close"":""12:00""},{""days"":[""We""],""open"":""10:00"",""close"":""14:00""}]}")</f>
        <v>{"regular":[{"days":["Mo"],"open":"09:00","close":"12:00"},{"days":["We"],"open":"10:00","close":"14:00"}]}</v>
      </c>
      <c r="L822" s="9"/>
      <c r="M822" s="10">
        <f>IFERROR(__xludf.DUMMYFUNCTION("""COMPUTED_VALUE"""),14.0)</f>
        <v>14</v>
      </c>
      <c r="N822" s="10" t="str">
        <f>IFERROR(__xludf.DUMMYFUNCTION("""COMPUTED_VALUE"""),"Clothing")</f>
        <v>Clothing</v>
      </c>
      <c r="O822" s="10">
        <f>IFERROR(__xludf.DUMMYFUNCTION("""COMPUTED_VALUE"""),1.0)</f>
        <v>1</v>
      </c>
      <c r="P822" s="10" t="str">
        <f>IFERROR(__xludf.DUMMYFUNCTION("""COMPUTED_VALUE"""),"ACTIVE")</f>
        <v>ACTIVE</v>
      </c>
      <c r="Q822" s="11">
        <f>IFERROR(__xludf.DUMMYFUNCTION("""COMPUTED_VALUE"""),45816.0)</f>
        <v>45816</v>
      </c>
      <c r="R822" s="9" t="str">
        <f>IFERROR(__xludf.DUMMYFUNCTION("""COMPUTED_VALUE"""),"Verified online")</f>
        <v>Verified online</v>
      </c>
      <c r="S822" s="9"/>
      <c r="T822" s="12" t="b">
        <f>IFERROR(__xludf.DUMMYFUNCTION("""COMPUTED_VALUE"""),FALSE)</f>
        <v>0</v>
      </c>
      <c r="U822" s="12" t="b">
        <f>IFERROR(__xludf.DUMMYFUNCTION("""COMPUTED_VALUE"""),FALSE)</f>
        <v>0</v>
      </c>
      <c r="V822" s="13" t="str">
        <f>IFERROR(__xludf.DUMMYFUNCTION("""COMPUTED_VALUE"""),"https://www.saintjoseph.org/en/serve/social-committee")</f>
        <v>https://www.saintjoseph.org/en/serve/social-committee</v>
      </c>
      <c r="W822" s="14" t="str">
        <f>IFERROR(__xludf.DUMMYFUNCTION("""COMPUTED_VALUE"""),"https://maps.app.goo.gl/qxuHRbWT6MeMWjHP7")</f>
        <v>https://maps.app.goo.gl/qxuHRbWT6MeMWjHP7</v>
      </c>
      <c r="X822" s="10"/>
      <c r="Y822" s="9" t="str">
        <f>IFERROR(__xludf.DUMMYFUNCTION("""COMPUTED_VALUE"""),"Houston")</f>
        <v>Houston</v>
      </c>
      <c r="Z822"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822" s="9" t="str">
        <f>IFERROR(__xludf.DUMMYFUNCTION("""COMPUTED_VALUE"""),"St Joseph Catholic Church")</f>
        <v>St Joseph Catholic Church</v>
      </c>
      <c r="AB822" s="9" t="str">
        <f>IFERROR(__xludf.DUMMYFUNCTION("""COMPUTED_VALUE"""),"Washington Avenue Coalition / Memorial Park")</f>
        <v>Washington Avenue Coalition / Memorial Park</v>
      </c>
    </row>
    <row r="823" ht="30.0" customHeight="1">
      <c r="A823" s="17">
        <v>822.0</v>
      </c>
      <c r="B823" s="8" t="str">
        <f>IFERROR(__xludf.DUMMYFUNCTION("""COMPUTED_VALUE"""),"[""99999""]")</f>
        <v>["99999"]</v>
      </c>
      <c r="C823" s="9" t="str">
        <f>IFERROR(__xludf.DUMMYFUNCTION("""COMPUTED_VALUE"""),"St Joseph Catholic Church")</f>
        <v>St Joseph Catholic Church</v>
      </c>
      <c r="D823" s="9" t="str">
        <f>IFERROR(__xludf.DUMMYFUNCTION("""COMPUTED_VALUE"""),"1505 Kane Street")</f>
        <v>1505 Kane Street</v>
      </c>
      <c r="E823" s="9"/>
      <c r="F823" s="9" t="str">
        <f>IFERROR(__xludf.DUMMYFUNCTION("""COMPUTED_VALUE"""),"Houston")</f>
        <v>Houston</v>
      </c>
      <c r="G823" s="9" t="str">
        <f>IFERROR(__xludf.DUMMYFUNCTION("""COMPUTED_VALUE"""),"TX")</f>
        <v>TX</v>
      </c>
      <c r="H823" s="9" t="str">
        <f>IFERROR(__xludf.DUMMYFUNCTION("""COMPUTED_VALUE"""),"77007")</f>
        <v>77007</v>
      </c>
      <c r="I823" s="9" t="str">
        <f>IFERROR(__xludf.DUMMYFUNCTION("""COMPUTED_VALUE"""),"713-222-8903")</f>
        <v>713-222-8903</v>
      </c>
      <c r="J823" s="9" t="str">
        <f>IFERROR(__xludf.DUMMYFUNCTION("""COMPUTED_VALUE"""),"29.7660760612245, -95.3725138163265")</f>
        <v>29.7660760612245, -95.3725138163265</v>
      </c>
      <c r="K823" s="9" t="str">
        <f>IFERROR(__xludf.DUMMYFUNCTION("""COMPUTED_VALUE"""),"{""regular"":[{""days"":[""Mo""],""open"":""09:00"",""close"":""10:30""}]}")</f>
        <v>{"regular":[{"days":["Mo"],"open":"09:00","close":"10:30"}]}</v>
      </c>
      <c r="L823" s="9"/>
      <c r="M823" s="10">
        <f>IFERROR(__xludf.DUMMYFUNCTION("""COMPUTED_VALUE"""),23.0)</f>
        <v>23</v>
      </c>
      <c r="N823" s="10" t="str">
        <f>IFERROR(__xludf.DUMMYFUNCTION("""COMPUTED_VALUE"""),"Homeless - Other")</f>
        <v>Homeless - Other</v>
      </c>
      <c r="O823" s="10">
        <f>IFERROR(__xludf.DUMMYFUNCTION("""COMPUTED_VALUE"""),1.0)</f>
        <v>1</v>
      </c>
      <c r="P823" s="10" t="str">
        <f>IFERROR(__xludf.DUMMYFUNCTION("""COMPUTED_VALUE"""),"ACTIVE")</f>
        <v>ACTIVE</v>
      </c>
      <c r="Q823" s="11">
        <f>IFERROR(__xludf.DUMMYFUNCTION("""COMPUTED_VALUE"""),45816.0)</f>
        <v>45816</v>
      </c>
      <c r="R823" s="9" t="str">
        <f>IFERROR(__xludf.DUMMYFUNCTION("""COMPUTED_VALUE"""),"Verified online")</f>
        <v>Verified online</v>
      </c>
      <c r="S823" s="9" t="str">
        <f>IFERROR(__xludf.DUMMYFUNCTION("""COMPUTED_VALUE"""),"Sack lunches for unhoused")</f>
        <v>Sack lunches for unhoused</v>
      </c>
      <c r="T823" s="12" t="b">
        <f>IFERROR(__xludf.DUMMYFUNCTION("""COMPUTED_VALUE"""),FALSE)</f>
        <v>0</v>
      </c>
      <c r="U823" s="12" t="b">
        <f>IFERROR(__xludf.DUMMYFUNCTION("""COMPUTED_VALUE"""),FALSE)</f>
        <v>0</v>
      </c>
      <c r="V823" s="13" t="str">
        <f>IFERROR(__xludf.DUMMYFUNCTION("""COMPUTED_VALUE"""),"https://www.saintjoseph.org/en/serve/social-committee")</f>
        <v>https://www.saintjoseph.org/en/serve/social-committee</v>
      </c>
      <c r="W823" s="14" t="str">
        <f>IFERROR(__xludf.DUMMYFUNCTION("""COMPUTED_VALUE"""),"https://maps.app.goo.gl/qxuHRbWT6MeMWjHP7")</f>
        <v>https://maps.app.goo.gl/qxuHRbWT6MeMWjHP7</v>
      </c>
      <c r="X823" s="10"/>
      <c r="Y823" s="9" t="str">
        <f>IFERROR(__xludf.DUMMYFUNCTION("""COMPUTED_VALUE"""),"Houston")</f>
        <v>Houston</v>
      </c>
      <c r="Z823"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823" s="9" t="str">
        <f>IFERROR(__xludf.DUMMYFUNCTION("""COMPUTED_VALUE"""),"St Joseph Catholic Church")</f>
        <v>St Joseph Catholic Church</v>
      </c>
      <c r="AB823" s="9" t="str">
        <f>IFERROR(__xludf.DUMMYFUNCTION("""COMPUTED_VALUE"""),"Washington Avenue Coalition / Memorial Park")</f>
        <v>Washington Avenue Coalition / Memorial Park</v>
      </c>
    </row>
    <row r="824" ht="30.0" customHeight="1">
      <c r="A824" s="17">
        <v>823.0</v>
      </c>
      <c r="B824" s="8" t="str">
        <f>IFERROR(__xludf.DUMMYFUNCTION("""COMPUTED_VALUE"""),"[""77535""]")</f>
        <v>["77535"]</v>
      </c>
      <c r="C824" s="9" t="str">
        <f>IFERROR(__xludf.DUMMYFUNCTION("""COMPUTED_VALUE"""),"St Joseph the Worker Dayton")</f>
        <v>St Joseph the Worker Dayton</v>
      </c>
      <c r="D824" s="9" t="str">
        <f>IFERROR(__xludf.DUMMYFUNCTION("""COMPUTED_VALUE"""),"804 S Cleveland Street")</f>
        <v>804 S Cleveland Street</v>
      </c>
      <c r="E824" s="9"/>
      <c r="F824" s="9" t="str">
        <f>IFERROR(__xludf.DUMMYFUNCTION("""COMPUTED_VALUE"""),"Dayton")</f>
        <v>Dayton</v>
      </c>
      <c r="G824" s="9" t="str">
        <f>IFERROR(__xludf.DUMMYFUNCTION("""COMPUTED_VALUE"""),"TX")</f>
        <v>TX</v>
      </c>
      <c r="H824" s="9" t="str">
        <f>IFERROR(__xludf.DUMMYFUNCTION("""COMPUTED_VALUE"""),"77535")</f>
        <v>77535</v>
      </c>
      <c r="I824" s="9" t="str">
        <f>IFERROR(__xludf.DUMMYFUNCTION("""COMPUTED_VALUE"""),"936-258-5735")</f>
        <v>936-258-5735</v>
      </c>
      <c r="J824" s="9" t="str">
        <f>IFERROR(__xludf.DUMMYFUNCTION("""COMPUTED_VALUE"""),"30.036961, -94.8858285")</f>
        <v>30.036961, -94.8858285</v>
      </c>
      <c r="K824" s="9" t="str">
        <f>IFERROR(__xludf.DUMMYFUNCTION("""COMPUTED_VALUE"""),"{""regular"":[{""days"":[""Mo"",""We""],""open"":""09:00"",""close"":""12:00""}]}")</f>
        <v>{"regular":[{"days":["Mo","We"],"open":"09:00","close":"12:00"}]}</v>
      </c>
      <c r="L824" s="9"/>
      <c r="M824" s="10">
        <f>IFERROR(__xludf.DUMMYFUNCTION("""COMPUTED_VALUE"""),13.0)</f>
        <v>13</v>
      </c>
      <c r="N824" s="10" t="str">
        <f>IFERROR(__xludf.DUMMYFUNCTION("""COMPUTED_VALUE"""),"Food")</f>
        <v>Food</v>
      </c>
      <c r="O824" s="10">
        <f>IFERROR(__xludf.DUMMYFUNCTION("""COMPUTED_VALUE"""),1.0)</f>
        <v>1</v>
      </c>
      <c r="P824" s="10" t="str">
        <f>IFERROR(__xludf.DUMMYFUNCTION("""COMPUTED_VALUE"""),"ACTIVE")</f>
        <v>ACTIVE</v>
      </c>
      <c r="Q824" s="11"/>
      <c r="R824" s="9"/>
      <c r="S824" s="9"/>
      <c r="T824" s="12" t="b">
        <f>IFERROR(__xludf.DUMMYFUNCTION("""COMPUTED_VALUE"""),FALSE)</f>
        <v>0</v>
      </c>
      <c r="U824" s="12" t="b">
        <f>IFERROR(__xludf.DUMMYFUNCTION("""COMPUTED_VALUE"""),FALSE)</f>
        <v>0</v>
      </c>
      <c r="V824" s="13" t="str">
        <f>IFERROR(__xludf.DUMMYFUNCTION("""COMPUTED_VALUE"""),"https://www.stjosephdaytontx.com/Food-Pantry.html")</f>
        <v>https://www.stjosephdaytontx.com/Food-Pantry.html</v>
      </c>
      <c r="W824" s="14" t="str">
        <f>IFERROR(__xludf.DUMMYFUNCTION("""COMPUTED_VALUE"""),"https://maps.google.com/?q=St%20Joseph%20the%20Worker%20Dayton%20804%20S%20Cleveland%20St%20Dayton%20TX%2077535")</f>
        <v>https://maps.google.com/?q=St%20Joseph%20the%20Worker%20Dayton%20804%20S%20Cleveland%20St%20Dayton%20TX%2077535</v>
      </c>
      <c r="X824" s="10"/>
      <c r="Y824" s="9" t="str">
        <f>IFERROR(__xludf.DUMMYFUNCTION("""COMPUTED_VALUE"""),"Dayton")</f>
        <v>Dayton</v>
      </c>
      <c r="Z824" s="9" t="str">
        <f>IFERROR(__xludf.DUMMYFUNCTION("""COMPUTED_VALUE"""),"Dayton")</f>
        <v>Dayton</v>
      </c>
      <c r="AA824" s="9" t="str">
        <f>IFERROR(__xludf.DUMMYFUNCTION("""COMPUTED_VALUE"""),"St Joseph the Worker Dayton")</f>
        <v>St Joseph the Worker Dayton</v>
      </c>
      <c r="AB824" s="9" t="str">
        <f>IFERROR(__xludf.DUMMYFUNCTION("""COMPUTED_VALUE"""),"Dayton")</f>
        <v>Dayton</v>
      </c>
    </row>
    <row r="825" ht="30.0" customHeight="1">
      <c r="A825" s="17">
        <v>824.0</v>
      </c>
      <c r="B825" s="8" t="str">
        <f>IFERROR(__xludf.DUMMYFUNCTION("""COMPUTED_VALUE"""),"[""77082"", ""77083""]")</f>
        <v>["77082", "77083"]</v>
      </c>
      <c r="C825" s="9" t="str">
        <f>IFERROR(__xludf.DUMMYFUNCTION("""COMPUTED_VALUE"""),"St Justin Martyr")</f>
        <v>St Justin Martyr</v>
      </c>
      <c r="D825" s="9" t="str">
        <f>IFERROR(__xludf.DUMMYFUNCTION("""COMPUTED_VALUE"""),"13350 Ashford Point Drive")</f>
        <v>13350 Ashford Point Drive</v>
      </c>
      <c r="E825" s="9"/>
      <c r="F825" s="9" t="str">
        <f>IFERROR(__xludf.DUMMYFUNCTION("""COMPUTED_VALUE"""),"Houston")</f>
        <v>Houston</v>
      </c>
      <c r="G825" s="9" t="str">
        <f>IFERROR(__xludf.DUMMYFUNCTION("""COMPUTED_VALUE"""),"TX")</f>
        <v>TX</v>
      </c>
      <c r="H825" s="9" t="str">
        <f>IFERROR(__xludf.DUMMYFUNCTION("""COMPUTED_VALUE"""),"77082")</f>
        <v>77082</v>
      </c>
      <c r="I825" s="9" t="str">
        <f>IFERROR(__xludf.DUMMYFUNCTION("""COMPUTED_VALUE"""),"281-556-6882")</f>
        <v>281-556-6882</v>
      </c>
      <c r="J825" s="9" t="str">
        <f>IFERROR(__xludf.DUMMYFUNCTION("""COMPUTED_VALUE"""),"29.7146637755102, -95.6188316938776")</f>
        <v>29.7146637755102, -95.6188316938776</v>
      </c>
      <c r="K825" s="9" t="str">
        <f>IFERROR(__xludf.DUMMYFUNCTION("""COMPUTED_VALUE"""),"{""regular"":[{""days"":[""We""],""open"":""08:00"",""close"":""09:30""}]}")</f>
        <v>{"regular":[{"days":["We"],"open":"08:00","close":"09:30"}]}</v>
      </c>
      <c r="L825" s="9"/>
      <c r="M825" s="10">
        <f>IFERROR(__xludf.DUMMYFUNCTION("""COMPUTED_VALUE"""),13.0)</f>
        <v>13</v>
      </c>
      <c r="N825" s="10" t="str">
        <f>IFERROR(__xludf.DUMMYFUNCTION("""COMPUTED_VALUE"""),"Food")</f>
        <v>Food</v>
      </c>
      <c r="O825" s="10">
        <f>IFERROR(__xludf.DUMMYFUNCTION("""COMPUTED_VALUE"""),1.0)</f>
        <v>1</v>
      </c>
      <c r="P825" s="10" t="str">
        <f>IFERROR(__xludf.DUMMYFUNCTION("""COMPUTED_VALUE"""),"ACTIVE")</f>
        <v>ACTIVE</v>
      </c>
      <c r="Q825" s="11"/>
      <c r="R825" s="9"/>
      <c r="S825" s="9"/>
      <c r="T825" s="12" t="b">
        <f>IFERROR(__xludf.DUMMYFUNCTION("""COMPUTED_VALUE"""),FALSE)</f>
        <v>0</v>
      </c>
      <c r="U825" s="12" t="b">
        <f>IFERROR(__xludf.DUMMYFUNCTION("""COMPUTED_VALUE"""),FALSE)</f>
        <v>0</v>
      </c>
      <c r="V825" s="13" t="str">
        <f>IFERROR(__xludf.DUMMYFUNCTION("""COMPUTED_VALUE"""),"https://www.sjmtx.org/social-ministry")</f>
        <v>https://www.sjmtx.org/social-ministry</v>
      </c>
      <c r="W825" s="14" t="str">
        <f>IFERROR(__xludf.DUMMYFUNCTION("""COMPUTED_VALUE"""),"https://maps.google.com/?q=St%20Justin%20Martyr%2013350%20Ashford%20Point%20Dr%20Houston%20TX%2077082")</f>
        <v>https://maps.google.com/?q=St%20Justin%20Martyr%2013350%20Ashford%20Point%20Dr%20Houston%20TX%2077082</v>
      </c>
      <c r="X825" s="10"/>
      <c r="Y825" s="9" t="str">
        <f>IFERROR(__xludf.DUMMYFUNCTION("""COMPUTED_VALUE"""),"Houston")</f>
        <v>Houston</v>
      </c>
      <c r="Z825" s="9" t="str">
        <f>IFERROR(__xludf.DUMMYFUNCTION("""COMPUTED_VALUE"""),"Alief, Eldridge/West Oaks, Westside")</f>
        <v>Alief, Eldridge/West Oaks, Westside</v>
      </c>
      <c r="AA825" s="9" t="str">
        <f>IFERROR(__xludf.DUMMYFUNCTION("""COMPUTED_VALUE"""),"St Justin Martyr")</f>
        <v>St Justin Martyr</v>
      </c>
      <c r="AB825" s="9" t="str">
        <f>IFERROR(__xludf.DUMMYFUNCTION("""COMPUTED_VALUE"""),"Westside")</f>
        <v>Westside</v>
      </c>
    </row>
    <row r="826" ht="30.0" customHeight="1">
      <c r="A826" s="17">
        <v>825.0</v>
      </c>
      <c r="B826" s="8" t="str">
        <f>IFERROR(__xludf.DUMMYFUNCTION("""COMPUTED_VALUE"""),"[""77445"", ""77449""]")</f>
        <v>["77445", "77449"]</v>
      </c>
      <c r="C826" s="9" t="str">
        <f>IFERROR(__xludf.DUMMYFUNCTION("""COMPUTED_VALUE"""),"St Katherine of Drexel Hempstead")</f>
        <v>St Katherine of Drexel Hempstead</v>
      </c>
      <c r="D826" s="9" t="str">
        <f>IFERROR(__xludf.DUMMYFUNCTION("""COMPUTED_VALUE"""),"800 FM 1488")</f>
        <v>800 FM 1488</v>
      </c>
      <c r="E826" s="9"/>
      <c r="F826" s="9" t="str">
        <f>IFERROR(__xludf.DUMMYFUNCTION("""COMPUTED_VALUE"""),"Hempstead")</f>
        <v>Hempstead</v>
      </c>
      <c r="G826" s="9" t="str">
        <f>IFERROR(__xludf.DUMMYFUNCTION("""COMPUTED_VALUE"""),"TX")</f>
        <v>TX</v>
      </c>
      <c r="H826" s="9" t="str">
        <f>IFERROR(__xludf.DUMMYFUNCTION("""COMPUTED_VALUE"""),"77445")</f>
        <v>77445</v>
      </c>
      <c r="I826" s="9" t="str">
        <f>IFERROR(__xludf.DUMMYFUNCTION("""COMPUTED_VALUE"""),"979-826-2275")</f>
        <v>979-826-2275</v>
      </c>
      <c r="J826" s="9" t="str">
        <f>IFERROR(__xludf.DUMMYFUNCTION("""COMPUTED_VALUE"""),"30.098491, -96.067558")</f>
        <v>30.098491, -96.067558</v>
      </c>
      <c r="K826" s="9" t="str">
        <f>IFERROR(__xludf.DUMMYFUNCTION("""COMPUTED_VALUE"""),"{""regular"":[{""days"":[""Tu"",""We"",""Th"",""Fr""],""open"":""09:00"",""close"":""17:00""}]}")</f>
        <v>{"regular":[{"days":["Tu","We","Th","Fr"],"open":"09:00","close":"17:00"}]}</v>
      </c>
      <c r="L826" s="9"/>
      <c r="M826" s="10">
        <f>IFERROR(__xludf.DUMMYFUNCTION("""COMPUTED_VALUE"""),11.0)</f>
        <v>11</v>
      </c>
      <c r="N826" s="10" t="str">
        <f>IFERROR(__xludf.DUMMYFUNCTION("""COMPUTED_VALUE"""),"Rent")</f>
        <v>Rent</v>
      </c>
      <c r="O826" s="10">
        <f>IFERROR(__xludf.DUMMYFUNCTION("""COMPUTED_VALUE"""),1.0)</f>
        <v>1</v>
      </c>
      <c r="P826" s="10" t="str">
        <f>IFERROR(__xludf.DUMMYFUNCTION("""COMPUTED_VALUE"""),"ACTIVE")</f>
        <v>ACTIVE</v>
      </c>
      <c r="Q826" s="11"/>
      <c r="R826" s="9"/>
      <c r="S826" s="9"/>
      <c r="T826" s="12" t="b">
        <f>IFERROR(__xludf.DUMMYFUNCTION("""COMPUTED_VALUE"""),FALSE)</f>
        <v>0</v>
      </c>
      <c r="U826" s="12" t="b">
        <f>IFERROR(__xludf.DUMMYFUNCTION("""COMPUTED_VALUE"""),FALSE)</f>
        <v>0</v>
      </c>
      <c r="V826" s="13" t="str">
        <f>IFERROR(__xludf.DUMMYFUNCTION("""COMPUTED_VALUE"""),"https://skdcc.com/parish-organizations")</f>
        <v>https://skdcc.com/parish-organizations</v>
      </c>
      <c r="W826" s="14" t="str">
        <f>IFERROR(__xludf.DUMMYFUNCTION("""COMPUTED_VALUE"""),"https://maps.google.com/?q=St%20Katherine%20of%20Drexel%20Hempstead%20800%20FM%201488%20Hempstead%20TX%2077445")</f>
        <v>https://maps.google.com/?q=St%20Katherine%20of%20Drexel%20Hempstead%20800%20FM%201488%20Hempstead%20TX%2077445</v>
      </c>
      <c r="X826" s="10"/>
      <c r="Y826" s="9" t="str">
        <f>IFERROR(__xludf.DUMMYFUNCTION("""COMPUTED_VALUE"""),"Hempstead")</f>
        <v>Hempstead</v>
      </c>
      <c r="Z826" s="9" t="str">
        <f>IFERROR(__xludf.DUMMYFUNCTION("""COMPUTED_VALUE"""),"Hempstead, Northside")</f>
        <v>Hempstead, Northside</v>
      </c>
      <c r="AA826" s="9" t="str">
        <f>IFERROR(__xludf.DUMMYFUNCTION("""COMPUTED_VALUE"""),"St Katherine of Drexel Hempstead")</f>
        <v>St Katherine of Drexel Hempstead</v>
      </c>
      <c r="AB826" s="9" t="str">
        <f>IFERROR(__xludf.DUMMYFUNCTION("""COMPUTED_VALUE"""),"Hempstead")</f>
        <v>Hempstead</v>
      </c>
    </row>
    <row r="827" ht="30.0" customHeight="1">
      <c r="A827" s="17">
        <v>826.0</v>
      </c>
      <c r="B827" s="8" t="str">
        <f>IFERROR(__xludf.DUMMYFUNCTION("""COMPUTED_VALUE"""),"[""77445"", ""77449""]")</f>
        <v>["77445", "77449"]</v>
      </c>
      <c r="C827" s="9" t="str">
        <f>IFERROR(__xludf.DUMMYFUNCTION("""COMPUTED_VALUE"""),"St Katherine of Drexel Hempstead")</f>
        <v>St Katherine of Drexel Hempstead</v>
      </c>
      <c r="D827" s="9" t="str">
        <f>IFERROR(__xludf.DUMMYFUNCTION("""COMPUTED_VALUE"""),"800 FM 1488")</f>
        <v>800 FM 1488</v>
      </c>
      <c r="E827" s="9"/>
      <c r="F827" s="9" t="str">
        <f>IFERROR(__xludf.DUMMYFUNCTION("""COMPUTED_VALUE"""),"Hempstead")</f>
        <v>Hempstead</v>
      </c>
      <c r="G827" s="9" t="str">
        <f>IFERROR(__xludf.DUMMYFUNCTION("""COMPUTED_VALUE"""),"TX")</f>
        <v>TX</v>
      </c>
      <c r="H827" s="9" t="str">
        <f>IFERROR(__xludf.DUMMYFUNCTION("""COMPUTED_VALUE"""),"77445")</f>
        <v>77445</v>
      </c>
      <c r="I827" s="9" t="str">
        <f>IFERROR(__xludf.DUMMYFUNCTION("""COMPUTED_VALUE"""),"979-826-2275")</f>
        <v>979-826-2275</v>
      </c>
      <c r="J827" s="9" t="str">
        <f>IFERROR(__xludf.DUMMYFUNCTION("""COMPUTED_VALUE"""),"30.098491, -96.067558")</f>
        <v>30.098491, -96.067558</v>
      </c>
      <c r="K827" s="9" t="str">
        <f>IFERROR(__xludf.DUMMYFUNCTION("""COMPUTED_VALUE"""),"{""regular"":[{""days"":[""Tu"",""We"",""Th"",""Fr""],""open"":""09:00"",""close"":""17:00""}]}")</f>
        <v>{"regular":[{"days":["Tu","We","Th","Fr"],"open":"09:00","close":"17:00"}]}</v>
      </c>
      <c r="L827" s="9"/>
      <c r="M827" s="10">
        <f>IFERROR(__xludf.DUMMYFUNCTION("""COMPUTED_VALUE"""),12.0)</f>
        <v>12</v>
      </c>
      <c r="N827" s="10" t="str">
        <f>IFERROR(__xludf.DUMMYFUNCTION("""COMPUTED_VALUE"""),"Utilities")</f>
        <v>Utilities</v>
      </c>
      <c r="O827" s="10">
        <f>IFERROR(__xludf.DUMMYFUNCTION("""COMPUTED_VALUE"""),1.0)</f>
        <v>1</v>
      </c>
      <c r="P827" s="10" t="str">
        <f>IFERROR(__xludf.DUMMYFUNCTION("""COMPUTED_VALUE"""),"ACTIVE")</f>
        <v>ACTIVE</v>
      </c>
      <c r="Q827" s="11"/>
      <c r="R827" s="9"/>
      <c r="S827" s="9"/>
      <c r="T827" s="12" t="b">
        <f>IFERROR(__xludf.DUMMYFUNCTION("""COMPUTED_VALUE"""),FALSE)</f>
        <v>0</v>
      </c>
      <c r="U827" s="12" t="b">
        <f>IFERROR(__xludf.DUMMYFUNCTION("""COMPUTED_VALUE"""),FALSE)</f>
        <v>0</v>
      </c>
      <c r="V827" s="13" t="str">
        <f>IFERROR(__xludf.DUMMYFUNCTION("""COMPUTED_VALUE"""),"https://skdcc.com/parish-organizations")</f>
        <v>https://skdcc.com/parish-organizations</v>
      </c>
      <c r="W827" s="14" t="str">
        <f>IFERROR(__xludf.DUMMYFUNCTION("""COMPUTED_VALUE"""),"https://maps.google.com/?q=St%20Katherine%20of%20Drexel%20Hempstead%20800%20FM%201488%20Hempstead%20TX%2077445")</f>
        <v>https://maps.google.com/?q=St%20Katherine%20of%20Drexel%20Hempstead%20800%20FM%201488%20Hempstead%20TX%2077445</v>
      </c>
      <c r="X827" s="10"/>
      <c r="Y827" s="9" t="str">
        <f>IFERROR(__xludf.DUMMYFUNCTION("""COMPUTED_VALUE"""),"Hempstead")</f>
        <v>Hempstead</v>
      </c>
      <c r="Z827" s="9" t="str">
        <f>IFERROR(__xludf.DUMMYFUNCTION("""COMPUTED_VALUE"""),"Hempstead, Northside")</f>
        <v>Hempstead, Northside</v>
      </c>
      <c r="AA827" s="9" t="str">
        <f>IFERROR(__xludf.DUMMYFUNCTION("""COMPUTED_VALUE"""),"St Katherine of Drexel Hempstead")</f>
        <v>St Katherine of Drexel Hempstead</v>
      </c>
      <c r="AB827" s="9" t="str">
        <f>IFERROR(__xludf.DUMMYFUNCTION("""COMPUTED_VALUE"""),"Hempstead")</f>
        <v>Hempstead</v>
      </c>
    </row>
    <row r="828" ht="30.0" customHeight="1">
      <c r="A828" s="17">
        <v>827.0</v>
      </c>
      <c r="B828" s="8" t="str">
        <f>IFERROR(__xludf.DUMMYFUNCTION("""COMPUTED_VALUE"""),"[""77445"", ""77449""]")</f>
        <v>["77445", "77449"]</v>
      </c>
      <c r="C828" s="9" t="str">
        <f>IFERROR(__xludf.DUMMYFUNCTION("""COMPUTED_VALUE"""),"St Katherine of Drexel Hempstead")</f>
        <v>St Katherine of Drexel Hempstead</v>
      </c>
      <c r="D828" s="9" t="str">
        <f>IFERROR(__xludf.DUMMYFUNCTION("""COMPUTED_VALUE"""),"800 FM 1488")</f>
        <v>800 FM 1488</v>
      </c>
      <c r="E828" s="9"/>
      <c r="F828" s="9" t="str">
        <f>IFERROR(__xludf.DUMMYFUNCTION("""COMPUTED_VALUE"""),"Hempstead")</f>
        <v>Hempstead</v>
      </c>
      <c r="G828" s="9" t="str">
        <f>IFERROR(__xludf.DUMMYFUNCTION("""COMPUTED_VALUE"""),"TX")</f>
        <v>TX</v>
      </c>
      <c r="H828" s="9" t="str">
        <f>IFERROR(__xludf.DUMMYFUNCTION("""COMPUTED_VALUE"""),"77445")</f>
        <v>77445</v>
      </c>
      <c r="I828" s="9" t="str">
        <f>IFERROR(__xludf.DUMMYFUNCTION("""COMPUTED_VALUE"""),"979-826-2275")</f>
        <v>979-826-2275</v>
      </c>
      <c r="J828" s="9" t="str">
        <f>IFERROR(__xludf.DUMMYFUNCTION("""COMPUTED_VALUE"""),"30.098491, -96.067558")</f>
        <v>30.098491, -96.067558</v>
      </c>
      <c r="K828" s="9" t="str">
        <f>IFERROR(__xludf.DUMMYFUNCTION("""COMPUTED_VALUE"""),"{""regular"":[{""days"":[""Tu"",""We"",""Th"",""Fr""],""open"":""09:00"",""close"":""17:00""}]}")</f>
        <v>{"regular":[{"days":["Tu","We","Th","Fr"],"open":"09:00","close":"17:00"}]}</v>
      </c>
      <c r="L828" s="9"/>
      <c r="M828" s="10">
        <f>IFERROR(__xludf.DUMMYFUNCTION("""COMPUTED_VALUE"""),13.0)</f>
        <v>13</v>
      </c>
      <c r="N828" s="10" t="str">
        <f>IFERROR(__xludf.DUMMYFUNCTION("""COMPUTED_VALUE"""),"Food")</f>
        <v>Food</v>
      </c>
      <c r="O828" s="10">
        <f>IFERROR(__xludf.DUMMYFUNCTION("""COMPUTED_VALUE"""),1.0)</f>
        <v>1</v>
      </c>
      <c r="P828" s="10" t="str">
        <f>IFERROR(__xludf.DUMMYFUNCTION("""COMPUTED_VALUE"""),"ACTIVE")</f>
        <v>ACTIVE</v>
      </c>
      <c r="Q828" s="11"/>
      <c r="R828" s="9"/>
      <c r="S828" s="9"/>
      <c r="T828" s="12" t="b">
        <f>IFERROR(__xludf.DUMMYFUNCTION("""COMPUTED_VALUE"""),FALSE)</f>
        <v>0</v>
      </c>
      <c r="U828" s="12" t="b">
        <f>IFERROR(__xludf.DUMMYFUNCTION("""COMPUTED_VALUE"""),FALSE)</f>
        <v>0</v>
      </c>
      <c r="V828" s="13" t="str">
        <f>IFERROR(__xludf.DUMMYFUNCTION("""COMPUTED_VALUE"""),"https://skdcc.com/parish-organizations")</f>
        <v>https://skdcc.com/parish-organizations</v>
      </c>
      <c r="W828" s="14" t="str">
        <f>IFERROR(__xludf.DUMMYFUNCTION("""COMPUTED_VALUE"""),"https://maps.google.com/?q=St%20Katherine%20of%20Drexel%20Hempstead%20800%20FM%201488%20Hempstead%20TX%2077445")</f>
        <v>https://maps.google.com/?q=St%20Katherine%20of%20Drexel%20Hempstead%20800%20FM%201488%20Hempstead%20TX%2077445</v>
      </c>
      <c r="X828" s="10"/>
      <c r="Y828" s="9" t="str">
        <f>IFERROR(__xludf.DUMMYFUNCTION("""COMPUTED_VALUE"""),"Hempstead")</f>
        <v>Hempstead</v>
      </c>
      <c r="Z828" s="9" t="str">
        <f>IFERROR(__xludf.DUMMYFUNCTION("""COMPUTED_VALUE"""),"Hempstead, Northside")</f>
        <v>Hempstead, Northside</v>
      </c>
      <c r="AA828" s="9" t="str">
        <f>IFERROR(__xludf.DUMMYFUNCTION("""COMPUTED_VALUE"""),"St Katherine of Drexel Hempstead")</f>
        <v>St Katherine of Drexel Hempstead</v>
      </c>
      <c r="AB828" s="9" t="str">
        <f>IFERROR(__xludf.DUMMYFUNCTION("""COMPUTED_VALUE"""),"Hempstead")</f>
        <v>Hempstead</v>
      </c>
    </row>
    <row r="829" ht="30.0" customHeight="1">
      <c r="A829" s="17">
        <v>828.0</v>
      </c>
      <c r="B829" s="8" t="str">
        <f>IFERROR(__xludf.DUMMYFUNCTION("""COMPUTED_VALUE"""),"[""77445"", ""77449""]")</f>
        <v>["77445", "77449"]</v>
      </c>
      <c r="C829" s="9" t="str">
        <f>IFERROR(__xludf.DUMMYFUNCTION("""COMPUTED_VALUE"""),"St Katherine of Drexel Hempstead")</f>
        <v>St Katherine of Drexel Hempstead</v>
      </c>
      <c r="D829" s="9" t="str">
        <f>IFERROR(__xludf.DUMMYFUNCTION("""COMPUTED_VALUE"""),"800 FM 1488")</f>
        <v>800 FM 1488</v>
      </c>
      <c r="E829" s="9"/>
      <c r="F829" s="9" t="str">
        <f>IFERROR(__xludf.DUMMYFUNCTION("""COMPUTED_VALUE"""),"Hempstead")</f>
        <v>Hempstead</v>
      </c>
      <c r="G829" s="9" t="str">
        <f>IFERROR(__xludf.DUMMYFUNCTION("""COMPUTED_VALUE"""),"TX")</f>
        <v>TX</v>
      </c>
      <c r="H829" s="9" t="str">
        <f>IFERROR(__xludf.DUMMYFUNCTION("""COMPUTED_VALUE"""),"77445")</f>
        <v>77445</v>
      </c>
      <c r="I829" s="9" t="str">
        <f>IFERROR(__xludf.DUMMYFUNCTION("""COMPUTED_VALUE"""),"979-826-2275")</f>
        <v>979-826-2275</v>
      </c>
      <c r="J829" s="9" t="str">
        <f>IFERROR(__xludf.DUMMYFUNCTION("""COMPUTED_VALUE"""),"30.098491, -96.067558")</f>
        <v>30.098491, -96.067558</v>
      </c>
      <c r="K829" s="9" t="str">
        <f>IFERROR(__xludf.DUMMYFUNCTION("""COMPUTED_VALUE"""),"{""regular"":[{""days"":[""Tu"",""We"",""Th"",""Fr""],""open"":""09:00"",""close"":""17:00""}]}")</f>
        <v>{"regular":[{"days":["Tu","We","Th","Fr"],"open":"09:00","close":"17:00"}]}</v>
      </c>
      <c r="L829" s="9"/>
      <c r="M829" s="10">
        <f>IFERROR(__xludf.DUMMYFUNCTION("""COMPUTED_VALUE"""),14.0)</f>
        <v>14</v>
      </c>
      <c r="N829" s="10" t="str">
        <f>IFERROR(__xludf.DUMMYFUNCTION("""COMPUTED_VALUE"""),"Clothing")</f>
        <v>Clothing</v>
      </c>
      <c r="O829" s="10">
        <f>IFERROR(__xludf.DUMMYFUNCTION("""COMPUTED_VALUE"""),1.0)</f>
        <v>1</v>
      </c>
      <c r="P829" s="10" t="str">
        <f>IFERROR(__xludf.DUMMYFUNCTION("""COMPUTED_VALUE"""),"ACTIVE")</f>
        <v>ACTIVE</v>
      </c>
      <c r="Q829" s="11"/>
      <c r="R829" s="9"/>
      <c r="S829" s="9"/>
      <c r="T829" s="12" t="b">
        <f>IFERROR(__xludf.DUMMYFUNCTION("""COMPUTED_VALUE"""),FALSE)</f>
        <v>0</v>
      </c>
      <c r="U829" s="12" t="b">
        <f>IFERROR(__xludf.DUMMYFUNCTION("""COMPUTED_VALUE"""),FALSE)</f>
        <v>0</v>
      </c>
      <c r="V829" s="13" t="str">
        <f>IFERROR(__xludf.DUMMYFUNCTION("""COMPUTED_VALUE"""),"https://skdcc.com/parish-organizations")</f>
        <v>https://skdcc.com/parish-organizations</v>
      </c>
      <c r="W829" s="14" t="str">
        <f>IFERROR(__xludf.DUMMYFUNCTION("""COMPUTED_VALUE"""),"https://maps.google.com/?q=St%20Katherine%20of%20Drexel%20Hempstead%20800%20FM%201488%20Hempstead%20TX%2077445")</f>
        <v>https://maps.google.com/?q=St%20Katherine%20of%20Drexel%20Hempstead%20800%20FM%201488%20Hempstead%20TX%2077445</v>
      </c>
      <c r="X829" s="10"/>
      <c r="Y829" s="9" t="str">
        <f>IFERROR(__xludf.DUMMYFUNCTION("""COMPUTED_VALUE"""),"Hempstead")</f>
        <v>Hempstead</v>
      </c>
      <c r="Z829" s="9" t="str">
        <f>IFERROR(__xludf.DUMMYFUNCTION("""COMPUTED_VALUE"""),"Hempstead, Northside")</f>
        <v>Hempstead, Northside</v>
      </c>
      <c r="AA829" s="9" t="str">
        <f>IFERROR(__xludf.DUMMYFUNCTION("""COMPUTED_VALUE"""),"St Katherine of Drexel Hempstead")</f>
        <v>St Katherine of Drexel Hempstead</v>
      </c>
      <c r="AB829" s="9" t="str">
        <f>IFERROR(__xludf.DUMMYFUNCTION("""COMPUTED_VALUE"""),"Hempstead")</f>
        <v>Hempstead</v>
      </c>
    </row>
    <row r="830" ht="30.0" customHeight="1">
      <c r="A830" s="17">
        <v>829.0</v>
      </c>
      <c r="B830" s="8" t="str">
        <f>IFERROR(__xludf.DUMMYFUNCTION("""COMPUTED_VALUE"""),"[""77034"", ""77075"", ""77076""]")</f>
        <v>["77034", "77075", "77076"]</v>
      </c>
      <c r="C830" s="9" t="str">
        <f>IFERROR(__xludf.DUMMYFUNCTION("""COMPUTED_VALUE"""),"St Luke the Evangelist")</f>
        <v>St Luke the Evangelist</v>
      </c>
      <c r="D830" s="9" t="str">
        <f>IFERROR(__xludf.DUMMYFUNCTION("""COMPUTED_VALUE"""),"11011 Hall Road")</f>
        <v>11011 Hall Road</v>
      </c>
      <c r="E830" s="9"/>
      <c r="F830" s="9" t="str">
        <f>IFERROR(__xludf.DUMMYFUNCTION("""COMPUTED_VALUE"""),"Houston")</f>
        <v>Houston</v>
      </c>
      <c r="G830" s="9" t="str">
        <f>IFERROR(__xludf.DUMMYFUNCTION("""COMPUTED_VALUE"""),"TX")</f>
        <v>TX</v>
      </c>
      <c r="H830" s="9" t="str">
        <f>IFERROR(__xludf.DUMMYFUNCTION("""COMPUTED_VALUE"""),"77089")</f>
        <v>77089</v>
      </c>
      <c r="I830" s="9" t="str">
        <f>IFERROR(__xludf.DUMMYFUNCTION("""COMPUTED_VALUE"""),"281-481-6816")</f>
        <v>281-481-6816</v>
      </c>
      <c r="J830" s="9" t="str">
        <f>IFERROR(__xludf.DUMMYFUNCTION("""COMPUTED_VALUE"""),"29.5918627692308, -95.2331493846154")</f>
        <v>29.5918627692308, -95.2331493846154</v>
      </c>
      <c r="K830" s="9"/>
      <c r="L830" s="9"/>
      <c r="M830" s="10">
        <f>IFERROR(__xludf.DUMMYFUNCTION("""COMPUTED_VALUE"""),13.0)</f>
        <v>13</v>
      </c>
      <c r="N830" s="10" t="str">
        <f>IFERROR(__xludf.DUMMYFUNCTION("""COMPUTED_VALUE"""),"Food")</f>
        <v>Food</v>
      </c>
      <c r="O830" s="10">
        <f>IFERROR(__xludf.DUMMYFUNCTION("""COMPUTED_VALUE"""),2.0)</f>
        <v>2</v>
      </c>
      <c r="P830" s="10" t="str">
        <f>IFERROR(__xludf.DUMMYFUNCTION("""COMPUTED_VALUE"""),"LIMITED")</f>
        <v>LIMITED</v>
      </c>
      <c r="Q830" s="11"/>
      <c r="R830" s="9" t="str">
        <f>IFERROR(__xludf.DUMMYFUNCTION("""COMPUTED_VALUE"""),"Limited to Parishioners.")</f>
        <v>Limited to Parishioners.</v>
      </c>
      <c r="S830" s="9"/>
      <c r="T830" s="12" t="b">
        <f>IFERROR(__xludf.DUMMYFUNCTION("""COMPUTED_VALUE"""),FALSE)</f>
        <v>0</v>
      </c>
      <c r="U830" s="12" t="b">
        <f>IFERROR(__xludf.DUMMYFUNCTION("""COMPUTED_VALUE"""),FALSE)</f>
        <v>0</v>
      </c>
      <c r="V830" s="13" t="str">
        <f>IFERROR(__xludf.DUMMYFUNCTION("""COMPUTED_VALUE"""),"https://stlukescatholic.com/")</f>
        <v>https://stlukescatholic.com/</v>
      </c>
      <c r="W830" s="14" t="str">
        <f>IFERROR(__xludf.DUMMYFUNCTION("""COMPUTED_VALUE"""),"https://maps.google.com/?q=St%20Luke%20the%20Evangelist%2011011%20Hall%20Rd%20Houston%20TX%2077089")</f>
        <v>https://maps.google.com/?q=St%20Luke%20the%20Evangelist%2011011%20Hall%20Rd%20Houston%20TX%2077089</v>
      </c>
      <c r="X830" s="10"/>
      <c r="Y830" s="9" t="str">
        <f>IFERROR(__xludf.DUMMYFUNCTION("""COMPUTED_VALUE"""),"Houston")</f>
        <v>Houston</v>
      </c>
      <c r="Z830" s="9" t="str">
        <f>IFERROR(__xludf.DUMMYFUNCTION("""COMPUTED_VALUE"""),"Sagemont, South Belt / Ellington")</f>
        <v>Sagemont, South Belt / Ellington</v>
      </c>
      <c r="AA830" s="9" t="str">
        <f>IFERROR(__xludf.DUMMYFUNCTION("""COMPUTED_VALUE"""),"St Luke the Evangelist")</f>
        <v>St Luke the Evangelist</v>
      </c>
      <c r="AB830" s="9" t="str">
        <f>IFERROR(__xludf.DUMMYFUNCTION("""COMPUTED_VALUE"""),"South Belt / Ellington")</f>
        <v>South Belt / Ellington</v>
      </c>
    </row>
    <row r="831" ht="30.0" customHeight="1">
      <c r="A831" s="17">
        <v>830.0</v>
      </c>
      <c r="B831" s="8" t="str">
        <f>IFERROR(__xludf.DUMMYFUNCTION("""COMPUTED_VALUE"""),"[""77044"", ""77336"", ""77338"", ""77339"", ""77345"", ""77346"", ""77357"", ""77365"", ""77372"", ""77396""]")</f>
        <v>["77044", "77336", "77338", "77339", "77345", "77346", "77357", "77365", "77372", "77396"]</v>
      </c>
      <c r="C831" s="9" t="str">
        <f>IFERROR(__xludf.DUMMYFUNCTION("""COMPUTED_VALUE"""),"St Martha (SVdP D1) Kingwood")</f>
        <v>St Martha (SVdP D1) Kingwood</v>
      </c>
      <c r="D831" s="9" t="str">
        <f>IFERROR(__xludf.DUMMYFUNCTION("""COMPUTED_VALUE"""),"4301 Woodridge Parkway")</f>
        <v>4301 Woodridge Parkway</v>
      </c>
      <c r="E831" s="9"/>
      <c r="F831" s="9" t="str">
        <f>IFERROR(__xludf.DUMMYFUNCTION("""COMPUTED_VALUE"""),"Porter")</f>
        <v>Porter</v>
      </c>
      <c r="G831" s="9" t="str">
        <f>IFERROR(__xludf.DUMMYFUNCTION("""COMPUTED_VALUE"""),"TX")</f>
        <v>TX</v>
      </c>
      <c r="H831" s="9" t="str">
        <f>IFERROR(__xludf.DUMMYFUNCTION("""COMPUTED_VALUE"""),"77365")</f>
        <v>77365</v>
      </c>
      <c r="I831" s="9" t="str">
        <f>IFERROR(__xludf.DUMMYFUNCTION("""COMPUTED_VALUE"""),"281-358-6636")</f>
        <v>281-358-6636</v>
      </c>
      <c r="J831" s="9" t="str">
        <f>IFERROR(__xludf.DUMMYFUNCTION("""COMPUTED_VALUE"""),"30.0734581978645, -95.222331618106")</f>
        <v>30.0734581978645, -95.222331618106</v>
      </c>
      <c r="K831" s="9" t="str">
        <f>IFERROR(__xludf.DUMMYFUNCTION("""COMPUTED_VALUE"""),"{""regular"":[{""days"":[""Tu"",""Th""],""open"":""10:00"",""close"":""14:00""}]}")</f>
        <v>{"regular":[{"days":["Tu","Th"],"open":"10:00","close":"14:00"}]}</v>
      </c>
      <c r="L831" s="9"/>
      <c r="M831" s="10">
        <f>IFERROR(__xludf.DUMMYFUNCTION("""COMPUTED_VALUE"""),11.0)</f>
        <v>11</v>
      </c>
      <c r="N831" s="10" t="str">
        <f>IFERROR(__xludf.DUMMYFUNCTION("""COMPUTED_VALUE"""),"Rent")</f>
        <v>Rent</v>
      </c>
      <c r="O831" s="10">
        <f>IFERROR(__xludf.DUMMYFUNCTION("""COMPUTED_VALUE"""),1.0)</f>
        <v>1</v>
      </c>
      <c r="P831" s="10" t="str">
        <f>IFERROR(__xludf.DUMMYFUNCTION("""COMPUTED_VALUE"""),"ACTIVE")</f>
        <v>ACTIVE</v>
      </c>
      <c r="Q831" s="11"/>
      <c r="R831" s="9"/>
      <c r="S831" s="9"/>
      <c r="T831" s="12" t="b">
        <f>IFERROR(__xludf.DUMMYFUNCTION("""COMPUTED_VALUE"""),FALSE)</f>
        <v>0</v>
      </c>
      <c r="U831" s="12" t="b">
        <f>IFERROR(__xludf.DUMMYFUNCTION("""COMPUTED_VALUE"""),FALSE)</f>
        <v>0</v>
      </c>
      <c r="V831" s="13" t="str">
        <f>IFERROR(__xludf.DUMMYFUNCTION("""COMPUTED_VALUE"""),"https://stmartha.com/st-vincent-de-paul-society")</f>
        <v>https://stmartha.com/st-vincent-de-paul-society</v>
      </c>
      <c r="W831" s="14" t="str">
        <f>IFERROR(__xludf.DUMMYFUNCTION("""COMPUTED_VALUE"""),"https://maps.google.com/?q=St%20Martha%20(SVdP%20D1)%20Kingwood%204301%20Woodridge%20Parkway%20Porter%20TX%2077365")</f>
        <v>https://maps.google.com/?q=St%20Martha%20(SVdP%20D1)%20Kingwood%204301%20Woodridge%20Parkway%20Porter%20TX%2077365</v>
      </c>
      <c r="X831" s="10"/>
      <c r="Y831" s="9" t="str">
        <f>IFERROR(__xludf.DUMMYFUNCTION("""COMPUTED_VALUE"""),"Porter")</f>
        <v>Porter</v>
      </c>
      <c r="Z831" s="9" t="str">
        <f>IFERROR(__xludf.DUMMYFUNCTION("""COMPUTED_VALUE"""),"Kingwood, Porter")</f>
        <v>Kingwood, Porter</v>
      </c>
      <c r="AA831" s="9" t="str">
        <f>IFERROR(__xludf.DUMMYFUNCTION("""COMPUTED_VALUE"""),"Society of St Vincent de Paul")</f>
        <v>Society of St Vincent de Paul</v>
      </c>
      <c r="AB831" s="9" t="str">
        <f>IFERROR(__xludf.DUMMYFUNCTION("""COMPUTED_VALUE"""),"Kingwood")</f>
        <v>Kingwood</v>
      </c>
    </row>
    <row r="832" ht="30.0" customHeight="1">
      <c r="A832" s="17">
        <v>831.0</v>
      </c>
      <c r="B832" s="8" t="str">
        <f>IFERROR(__xludf.DUMMYFUNCTION("""COMPUTED_VALUE"""),"[""77044"", ""77336"", ""77338"", ""77339"", ""77345"", ""77346"", ""77357"", ""77365"", ""77372"", ""77396""]")</f>
        <v>["77044", "77336", "77338", "77339", "77345", "77346", "77357", "77365", "77372", "77396"]</v>
      </c>
      <c r="C832" s="9" t="str">
        <f>IFERROR(__xludf.DUMMYFUNCTION("""COMPUTED_VALUE"""),"St Martha (SVdP D1) Kingwood")</f>
        <v>St Martha (SVdP D1) Kingwood</v>
      </c>
      <c r="D832" s="9" t="str">
        <f>IFERROR(__xludf.DUMMYFUNCTION("""COMPUTED_VALUE"""),"4301 Woodridge Parkway")</f>
        <v>4301 Woodridge Parkway</v>
      </c>
      <c r="E832" s="9"/>
      <c r="F832" s="9" t="str">
        <f>IFERROR(__xludf.DUMMYFUNCTION("""COMPUTED_VALUE"""),"Porter")</f>
        <v>Porter</v>
      </c>
      <c r="G832" s="9" t="str">
        <f>IFERROR(__xludf.DUMMYFUNCTION("""COMPUTED_VALUE"""),"TX")</f>
        <v>TX</v>
      </c>
      <c r="H832" s="9" t="str">
        <f>IFERROR(__xludf.DUMMYFUNCTION("""COMPUTED_VALUE"""),"77365")</f>
        <v>77365</v>
      </c>
      <c r="I832" s="9" t="str">
        <f>IFERROR(__xludf.DUMMYFUNCTION("""COMPUTED_VALUE"""),"281-358-6636")</f>
        <v>281-358-6636</v>
      </c>
      <c r="J832" s="9" t="str">
        <f>IFERROR(__xludf.DUMMYFUNCTION("""COMPUTED_VALUE"""),"30.0734581978645, -95.222331618106")</f>
        <v>30.0734581978645, -95.222331618106</v>
      </c>
      <c r="K832" s="9" t="str">
        <f>IFERROR(__xludf.DUMMYFUNCTION("""COMPUTED_VALUE"""),"{""regular"":[{""days"":[""Tu"",""Th""],""open"":""10:00"",""close"":""14:00""}]}")</f>
        <v>{"regular":[{"days":["Tu","Th"],"open":"10:00","close":"14:00"}]}</v>
      </c>
      <c r="L832" s="9"/>
      <c r="M832" s="10">
        <f>IFERROR(__xludf.DUMMYFUNCTION("""COMPUTED_VALUE"""),12.0)</f>
        <v>12</v>
      </c>
      <c r="N832" s="10" t="str">
        <f>IFERROR(__xludf.DUMMYFUNCTION("""COMPUTED_VALUE"""),"Utilities")</f>
        <v>Utilities</v>
      </c>
      <c r="O832" s="10">
        <f>IFERROR(__xludf.DUMMYFUNCTION("""COMPUTED_VALUE"""),1.0)</f>
        <v>1</v>
      </c>
      <c r="P832" s="10" t="str">
        <f>IFERROR(__xludf.DUMMYFUNCTION("""COMPUTED_VALUE"""),"ACTIVE")</f>
        <v>ACTIVE</v>
      </c>
      <c r="Q832" s="11"/>
      <c r="R832" s="9"/>
      <c r="S832" s="9"/>
      <c r="T832" s="12" t="b">
        <f>IFERROR(__xludf.DUMMYFUNCTION("""COMPUTED_VALUE"""),FALSE)</f>
        <v>0</v>
      </c>
      <c r="U832" s="12" t="b">
        <f>IFERROR(__xludf.DUMMYFUNCTION("""COMPUTED_VALUE"""),FALSE)</f>
        <v>0</v>
      </c>
      <c r="V832" s="13" t="str">
        <f>IFERROR(__xludf.DUMMYFUNCTION("""COMPUTED_VALUE"""),"https://stmartha.com/st-vincent-de-paul-society")</f>
        <v>https://stmartha.com/st-vincent-de-paul-society</v>
      </c>
      <c r="W832" s="14" t="str">
        <f>IFERROR(__xludf.DUMMYFUNCTION("""COMPUTED_VALUE"""),"https://maps.google.com/?q=St%20Martha%20(SVdP%20D1)%20Kingwood%204301%20Woodridge%20Parkway%20Porter%20TX%2077365")</f>
        <v>https://maps.google.com/?q=St%20Martha%20(SVdP%20D1)%20Kingwood%204301%20Woodridge%20Parkway%20Porter%20TX%2077365</v>
      </c>
      <c r="X832" s="10"/>
      <c r="Y832" s="9" t="str">
        <f>IFERROR(__xludf.DUMMYFUNCTION("""COMPUTED_VALUE"""),"Porter")</f>
        <v>Porter</v>
      </c>
      <c r="Z832" s="9" t="str">
        <f>IFERROR(__xludf.DUMMYFUNCTION("""COMPUTED_VALUE"""),"Kingwood, Porter")</f>
        <v>Kingwood, Porter</v>
      </c>
      <c r="AA832" s="9" t="str">
        <f>IFERROR(__xludf.DUMMYFUNCTION("""COMPUTED_VALUE"""),"Society of St Vincent de Paul")</f>
        <v>Society of St Vincent de Paul</v>
      </c>
      <c r="AB832" s="9" t="str">
        <f>IFERROR(__xludf.DUMMYFUNCTION("""COMPUTED_VALUE"""),"Kingwood")</f>
        <v>Kingwood</v>
      </c>
    </row>
    <row r="833" ht="30.0" customHeight="1">
      <c r="A833" s="17">
        <v>832.0</v>
      </c>
      <c r="B833" s="8" t="str">
        <f>IFERROR(__xludf.DUMMYFUNCTION("""COMPUTED_VALUE"""),"[""77520"", ""77521"", ""77535"", ""77562""]")</f>
        <v>["77520", "77521", "77535", "77562"]</v>
      </c>
      <c r="C833" s="9" t="str">
        <f>IFERROR(__xludf.DUMMYFUNCTION("""COMPUTED_VALUE"""),"St Martin de Porres (SVdP D5)")</f>
        <v>St Martin de Porres (SVdP D5)</v>
      </c>
      <c r="D833" s="9" t="str">
        <f>IFERROR(__xludf.DUMMYFUNCTION("""COMPUTED_VALUE"""),"12606 Crosby Lynchburg Road")</f>
        <v>12606 Crosby Lynchburg Road</v>
      </c>
      <c r="E833" s="9"/>
      <c r="F833" s="9" t="str">
        <f>IFERROR(__xludf.DUMMYFUNCTION("""COMPUTED_VALUE"""),"Crosby")</f>
        <v>Crosby</v>
      </c>
      <c r="G833" s="9" t="str">
        <f>IFERROR(__xludf.DUMMYFUNCTION("""COMPUTED_VALUE"""),"TX")</f>
        <v>TX</v>
      </c>
      <c r="H833" s="9" t="str">
        <f>IFERROR(__xludf.DUMMYFUNCTION("""COMPUTED_VALUE"""),"77532")</f>
        <v>77532</v>
      </c>
      <c r="I833" s="9" t="str">
        <f>IFERROR(__xludf.DUMMYFUNCTION("""COMPUTED_VALUE"""),"281-813-4506")</f>
        <v>281-813-4506</v>
      </c>
      <c r="J833" s="9" t="str">
        <f>IFERROR(__xludf.DUMMYFUNCTION("""COMPUTED_VALUE"""),"29.8747058333333, -95.0635471666667")</f>
        <v>29.8747058333333, -95.0635471666667</v>
      </c>
      <c r="K833" s="9" t="str">
        <f>IFERROR(__xludf.DUMMYFUNCTION("""COMPUTED_VALUE"""),"{""special"":[{""pattern"":""1st We"",""open"":null,""close"":null},{""pattern"":""3rd Sa"",""open"":null,""close"":null}]}")</f>
        <v>{"special":[{"pattern":"1st We","open":null,"close":null},{"pattern":"3rd Sa","open":null,"close":null}]}</v>
      </c>
      <c r="L833" s="9"/>
      <c r="M833" s="10">
        <f>IFERROR(__xludf.DUMMYFUNCTION("""COMPUTED_VALUE"""),11.0)</f>
        <v>11</v>
      </c>
      <c r="N833" s="10" t="str">
        <f>IFERROR(__xludf.DUMMYFUNCTION("""COMPUTED_VALUE"""),"Rent")</f>
        <v>Rent</v>
      </c>
      <c r="O833" s="10">
        <f>IFERROR(__xludf.DUMMYFUNCTION("""COMPUTED_VALUE"""),1.0)</f>
        <v>1</v>
      </c>
      <c r="P833" s="10" t="str">
        <f>IFERROR(__xludf.DUMMYFUNCTION("""COMPUTED_VALUE"""),"ACTIVE")</f>
        <v>ACTIVE</v>
      </c>
      <c r="Q833" s="11"/>
      <c r="R833" s="9"/>
      <c r="S833" s="9"/>
      <c r="T833" s="12" t="b">
        <f>IFERROR(__xludf.DUMMYFUNCTION("""COMPUTED_VALUE"""),FALSE)</f>
        <v>0</v>
      </c>
      <c r="U833" s="12" t="b">
        <f>IFERROR(__xludf.DUMMYFUNCTION("""COMPUTED_VALUE"""),FALSE)</f>
        <v>0</v>
      </c>
      <c r="V833" s="13" t="str">
        <f>IFERROR(__xludf.DUMMYFUNCTION("""COMPUTED_VALUE"""),"https://stmartinbarrett.org/")</f>
        <v>https://stmartinbarrett.org/</v>
      </c>
      <c r="W833" s="14" t="str">
        <f>IFERROR(__xludf.DUMMYFUNCTION("""COMPUTED_VALUE"""),"https://maps.google.com/?q=St%20Martin%20de%20Porres%20(SVdP%20D5)%2012606%20Crosby%20Lynchburg%20Rd%20Crosby%20TX%2077532")</f>
        <v>https://maps.google.com/?q=St%20Martin%20de%20Porres%20(SVdP%20D5)%2012606%20Crosby%20Lynchburg%20Rd%20Crosby%20TX%2077532</v>
      </c>
      <c r="X833" s="10"/>
      <c r="Y833" s="9" t="str">
        <f>IFERROR(__xludf.DUMMYFUNCTION("""COMPUTED_VALUE"""),"Crosby")</f>
        <v>Crosby</v>
      </c>
      <c r="Z833" s="9" t="str">
        <f>IFERROR(__xludf.DUMMYFUNCTION("""COMPUTED_VALUE"""),"Burris, Crosby")</f>
        <v>Burris, Crosby</v>
      </c>
      <c r="AA833" s="9" t="str">
        <f>IFERROR(__xludf.DUMMYFUNCTION("""COMPUTED_VALUE"""),"Society of St Vincent de Paul")</f>
        <v>Society of St Vincent de Paul</v>
      </c>
      <c r="AB833" s="9" t="str">
        <f>IFERROR(__xludf.DUMMYFUNCTION("""COMPUTED_VALUE"""),"Crosby")</f>
        <v>Crosby</v>
      </c>
    </row>
    <row r="834" ht="30.0" customHeight="1">
      <c r="A834" s="17">
        <v>833.0</v>
      </c>
      <c r="B834" s="8" t="str">
        <f>IFERROR(__xludf.DUMMYFUNCTION("""COMPUTED_VALUE"""),"[""77520"", ""77521"", ""77535"", ""77562""]")</f>
        <v>["77520", "77521", "77535", "77562"]</v>
      </c>
      <c r="C834" s="9" t="str">
        <f>IFERROR(__xludf.DUMMYFUNCTION("""COMPUTED_VALUE"""),"St Martin de Porres (SVdP D5)")</f>
        <v>St Martin de Porres (SVdP D5)</v>
      </c>
      <c r="D834" s="9" t="str">
        <f>IFERROR(__xludf.DUMMYFUNCTION("""COMPUTED_VALUE"""),"12606 Crosby Lynchburg Road")</f>
        <v>12606 Crosby Lynchburg Road</v>
      </c>
      <c r="E834" s="9"/>
      <c r="F834" s="9" t="str">
        <f>IFERROR(__xludf.DUMMYFUNCTION("""COMPUTED_VALUE"""),"Crosby")</f>
        <v>Crosby</v>
      </c>
      <c r="G834" s="9" t="str">
        <f>IFERROR(__xludf.DUMMYFUNCTION("""COMPUTED_VALUE"""),"TX")</f>
        <v>TX</v>
      </c>
      <c r="H834" s="9" t="str">
        <f>IFERROR(__xludf.DUMMYFUNCTION("""COMPUTED_VALUE"""),"77532")</f>
        <v>77532</v>
      </c>
      <c r="I834" s="9" t="str">
        <f>IFERROR(__xludf.DUMMYFUNCTION("""COMPUTED_VALUE"""),"281-813-4506")</f>
        <v>281-813-4506</v>
      </c>
      <c r="J834" s="9" t="str">
        <f>IFERROR(__xludf.DUMMYFUNCTION("""COMPUTED_VALUE"""),"29.8747058333333, -95.0635471666667")</f>
        <v>29.8747058333333, -95.0635471666667</v>
      </c>
      <c r="K834" s="9" t="str">
        <f>IFERROR(__xludf.DUMMYFUNCTION("""COMPUTED_VALUE"""),"{""special"":[{""pattern"":""1st We"",""open"":null,""close"":null},{""pattern"":""3rd Sa"",""open"":null,""close"":null}]}")</f>
        <v>{"special":[{"pattern":"1st We","open":null,"close":null},{"pattern":"3rd Sa","open":null,"close":null}]}</v>
      </c>
      <c r="L834" s="9"/>
      <c r="M834" s="10">
        <f>IFERROR(__xludf.DUMMYFUNCTION("""COMPUTED_VALUE"""),12.0)</f>
        <v>12</v>
      </c>
      <c r="N834" s="10" t="str">
        <f>IFERROR(__xludf.DUMMYFUNCTION("""COMPUTED_VALUE"""),"Utilities")</f>
        <v>Utilities</v>
      </c>
      <c r="O834" s="10">
        <f>IFERROR(__xludf.DUMMYFUNCTION("""COMPUTED_VALUE"""),1.0)</f>
        <v>1</v>
      </c>
      <c r="P834" s="10" t="str">
        <f>IFERROR(__xludf.DUMMYFUNCTION("""COMPUTED_VALUE"""),"ACTIVE")</f>
        <v>ACTIVE</v>
      </c>
      <c r="Q834" s="11"/>
      <c r="R834" s="9"/>
      <c r="S834" s="9"/>
      <c r="T834" s="12" t="b">
        <f>IFERROR(__xludf.DUMMYFUNCTION("""COMPUTED_VALUE"""),FALSE)</f>
        <v>0</v>
      </c>
      <c r="U834" s="12" t="b">
        <f>IFERROR(__xludf.DUMMYFUNCTION("""COMPUTED_VALUE"""),FALSE)</f>
        <v>0</v>
      </c>
      <c r="V834" s="13" t="str">
        <f>IFERROR(__xludf.DUMMYFUNCTION("""COMPUTED_VALUE"""),"https://stmartinbarrett.org/")</f>
        <v>https://stmartinbarrett.org/</v>
      </c>
      <c r="W834" s="14" t="str">
        <f>IFERROR(__xludf.DUMMYFUNCTION("""COMPUTED_VALUE"""),"https://maps.google.com/?q=St%20Martin%20de%20Porres%20(SVdP%20D5)%2012606%20Crosby%20Lynchburg%20Rd%20Crosby%20TX%2077532")</f>
        <v>https://maps.google.com/?q=St%20Martin%20de%20Porres%20(SVdP%20D5)%2012606%20Crosby%20Lynchburg%20Rd%20Crosby%20TX%2077532</v>
      </c>
      <c r="X834" s="10"/>
      <c r="Y834" s="9" t="str">
        <f>IFERROR(__xludf.DUMMYFUNCTION("""COMPUTED_VALUE"""),"Crosby")</f>
        <v>Crosby</v>
      </c>
      <c r="Z834" s="9" t="str">
        <f>IFERROR(__xludf.DUMMYFUNCTION("""COMPUTED_VALUE"""),"Burris, Crosby")</f>
        <v>Burris, Crosby</v>
      </c>
      <c r="AA834" s="9" t="str">
        <f>IFERROR(__xludf.DUMMYFUNCTION("""COMPUTED_VALUE"""),"Society of St Vincent de Paul")</f>
        <v>Society of St Vincent de Paul</v>
      </c>
      <c r="AB834" s="9" t="str">
        <f>IFERROR(__xludf.DUMMYFUNCTION("""COMPUTED_VALUE"""),"Crosby")</f>
        <v>Crosby</v>
      </c>
    </row>
    <row r="835" ht="30.0" customHeight="1">
      <c r="A835" s="17">
        <v>834.0</v>
      </c>
      <c r="B835" s="8" t="str">
        <f>IFERROR(__xludf.DUMMYFUNCTION("""COMPUTED_VALUE"""),"[""77044"", ""77338"", ""77346"", ""77347"", ""77396""]")</f>
        <v>["77044", "77338", "77346", "77347", "77396"]</v>
      </c>
      <c r="C835" s="9" t="str">
        <f>IFERROR(__xludf.DUMMYFUNCTION("""COMPUTED_VALUE"""),"St Mary Magdalene Humble")</f>
        <v>St Mary Magdalene Humble</v>
      </c>
      <c r="D835" s="9" t="str">
        <f>IFERROR(__xludf.DUMMYFUNCTION("""COMPUTED_VALUE"""),"527 South Houston Avenue")</f>
        <v>527 South Houston Avenue</v>
      </c>
      <c r="E835" s="9"/>
      <c r="F835" s="9" t="str">
        <f>IFERROR(__xludf.DUMMYFUNCTION("""COMPUTED_VALUE"""),"Humble")</f>
        <v>Humble</v>
      </c>
      <c r="G835" s="9" t="str">
        <f>IFERROR(__xludf.DUMMYFUNCTION("""COMPUTED_VALUE"""),"TX")</f>
        <v>TX</v>
      </c>
      <c r="H835" s="9" t="str">
        <f>IFERROR(__xludf.DUMMYFUNCTION("""COMPUTED_VALUE"""),"77338")</f>
        <v>77338</v>
      </c>
      <c r="I835" s="9" t="str">
        <f>IFERROR(__xludf.DUMMYFUNCTION("""COMPUTED_VALUE"""),"281-540-1907")</f>
        <v>281-540-1907</v>
      </c>
      <c r="J835" s="9" t="str">
        <f>IFERROR(__xludf.DUMMYFUNCTION("""COMPUTED_VALUE"""),"29.990495, -95.257573")</f>
        <v>29.990495, -95.257573</v>
      </c>
      <c r="K835" s="9" t="str">
        <f>IFERROR(__xludf.DUMMYFUNCTION("""COMPUTED_VALUE"""),"{""regular"":[{""days"":[""Mo"",""We"",""Fr""],""open"":""09:30"",""close"":""12:30""}]}")</f>
        <v>{"regular":[{"days":["Mo","We","Fr"],"open":"09:30","close":"12:30"}]}</v>
      </c>
      <c r="L835" s="9"/>
      <c r="M835" s="10">
        <f>IFERROR(__xludf.DUMMYFUNCTION("""COMPUTED_VALUE"""),13.0)</f>
        <v>13</v>
      </c>
      <c r="N835" s="10" t="str">
        <f>IFERROR(__xludf.DUMMYFUNCTION("""COMPUTED_VALUE"""),"Food")</f>
        <v>Food</v>
      </c>
      <c r="O835" s="10">
        <f>IFERROR(__xludf.DUMMYFUNCTION("""COMPUTED_VALUE"""),1.0)</f>
        <v>1</v>
      </c>
      <c r="P835" s="10" t="str">
        <f>IFERROR(__xludf.DUMMYFUNCTION("""COMPUTED_VALUE"""),"ACTIVE")</f>
        <v>ACTIVE</v>
      </c>
      <c r="Q835" s="11"/>
      <c r="R835" s="9"/>
      <c r="S835" s="9"/>
      <c r="T835" s="12" t="b">
        <f>IFERROR(__xludf.DUMMYFUNCTION("""COMPUTED_VALUE"""),FALSE)</f>
        <v>0</v>
      </c>
      <c r="U835" s="12" t="b">
        <f>IFERROR(__xludf.DUMMYFUNCTION("""COMPUTED_VALUE"""),FALSE)</f>
        <v>0</v>
      </c>
      <c r="V835" s="13" t="str">
        <f>IFERROR(__xludf.DUMMYFUNCTION("""COMPUTED_VALUE"""),"https://st-mm.com/social-ministry")</f>
        <v>https://st-mm.com/social-ministry</v>
      </c>
      <c r="W835" s="14" t="str">
        <f>IFERROR(__xludf.DUMMYFUNCTION("""COMPUTED_VALUE"""),"https://maps.google.com/?q=St%20Mary%20Magdalene%20Humble%20527%20South%20Houston%20Ave%20Humble%20TX%2077338")</f>
        <v>https://maps.google.com/?q=St%20Mary%20Magdalene%20Humble%20527%20South%20Houston%20Ave%20Humble%20TX%2077338</v>
      </c>
      <c r="X835" s="10"/>
      <c r="Y835" s="9" t="str">
        <f>IFERROR(__xludf.DUMMYFUNCTION("""COMPUTED_VALUE"""),"Humble")</f>
        <v>Humble</v>
      </c>
      <c r="Z835" s="9" t="str">
        <f>IFERROR(__xludf.DUMMYFUNCTION("""COMPUTED_VALUE"""),"Humble, Humble (Old Town), Northshire")</f>
        <v>Humble, Humble (Old Town), Northshire</v>
      </c>
      <c r="AA835" s="9" t="str">
        <f>IFERROR(__xludf.DUMMYFUNCTION("""COMPUTED_VALUE"""),"St Mary Magdalene Humble")</f>
        <v>St Mary Magdalene Humble</v>
      </c>
      <c r="AB835" s="9" t="str">
        <f>IFERROR(__xludf.DUMMYFUNCTION("""COMPUTED_VALUE"""),"Humble")</f>
        <v>Humble</v>
      </c>
    </row>
    <row r="836" ht="30.0" customHeight="1">
      <c r="A836" s="17">
        <v>835.0</v>
      </c>
      <c r="B836" s="8" t="str">
        <f>IFERROR(__xludf.DUMMYFUNCTION("""COMPUTED_VALUE"""),"[""77518"", ""77539"", ""77565"", ""77573"", ""77586"", ""77598""]")</f>
        <v>["77518", "77539", "77565", "77573", "77586", "77598"]</v>
      </c>
      <c r="C836" s="9" t="str">
        <f>IFERROR(__xludf.DUMMYFUNCTION("""COMPUTED_VALUE"""),"St Mary of the Expectation")</f>
        <v>St Mary of the Expectation</v>
      </c>
      <c r="D836" s="9" t="str">
        <f>IFERROR(__xludf.DUMMYFUNCTION("""COMPUTED_VALUE"""),"1612 E Walker Street")</f>
        <v>1612 E Walker Street</v>
      </c>
      <c r="E836" s="9"/>
      <c r="F836" s="9" t="str">
        <f>IFERROR(__xludf.DUMMYFUNCTION("""COMPUTED_VALUE"""),"League City")</f>
        <v>League City</v>
      </c>
      <c r="G836" s="9" t="str">
        <f>IFERROR(__xludf.DUMMYFUNCTION("""COMPUTED_VALUE"""),"TX")</f>
        <v>TX</v>
      </c>
      <c r="H836" s="9" t="str">
        <f>IFERROR(__xludf.DUMMYFUNCTION("""COMPUTED_VALUE"""),"77573")</f>
        <v>77573</v>
      </c>
      <c r="I836" s="9" t="str">
        <f>IFERROR(__xludf.DUMMYFUNCTION("""COMPUTED_VALUE"""),"281-332-3031")</f>
        <v>281-332-3031</v>
      </c>
      <c r="J836" s="9" t="str">
        <f>IFERROR(__xludf.DUMMYFUNCTION("""COMPUTED_VALUE"""),"29.5142535, -95.079834")</f>
        <v>29.5142535, -95.079834</v>
      </c>
      <c r="K836" s="9" t="str">
        <f>IFERROR(__xludf.DUMMYFUNCTION("""COMPUTED_VALUE"""),"{""regular"":[{""days"":[""We""],""open"":""10:00"",""close"":""12:00""}]}")</f>
        <v>{"regular":[{"days":["We"],"open":"10:00","close":"12:00"}]}</v>
      </c>
      <c r="L836" s="9"/>
      <c r="M836" s="10">
        <f>IFERROR(__xludf.DUMMYFUNCTION("""COMPUTED_VALUE"""),13.0)</f>
        <v>13</v>
      </c>
      <c r="N836" s="10" t="str">
        <f>IFERROR(__xludf.DUMMYFUNCTION("""COMPUTED_VALUE"""),"Food")</f>
        <v>Food</v>
      </c>
      <c r="O836" s="10">
        <f>IFERROR(__xludf.DUMMYFUNCTION("""COMPUTED_VALUE"""),1.0)</f>
        <v>1</v>
      </c>
      <c r="P836" s="10" t="str">
        <f>IFERROR(__xludf.DUMMYFUNCTION("""COMPUTED_VALUE"""),"ACTIVE")</f>
        <v>ACTIVE</v>
      </c>
      <c r="Q836" s="11"/>
      <c r="R836" s="9"/>
      <c r="S836" s="9"/>
      <c r="T836" s="12" t="b">
        <f>IFERROR(__xludf.DUMMYFUNCTION("""COMPUTED_VALUE"""),FALSE)</f>
        <v>0</v>
      </c>
      <c r="U836" s="12" t="b">
        <f>IFERROR(__xludf.DUMMYFUNCTION("""COMPUTED_VALUE"""),FALSE)</f>
        <v>0</v>
      </c>
      <c r="V836" s="13" t="str">
        <f>IFERROR(__xludf.DUMMYFUNCTION("""COMPUTED_VALUE"""),"https://saintmcc.org/food-pantry")</f>
        <v>https://saintmcc.org/food-pantry</v>
      </c>
      <c r="W836" s="14" t="str">
        <f>IFERROR(__xludf.DUMMYFUNCTION("""COMPUTED_VALUE"""),"https://maps.google.com/?q=St%20Mary%20of%20the%20Expectation%201612%20E%20Walker%20St%20League%20City%20TX%2077573")</f>
        <v>https://maps.google.com/?q=St%20Mary%20of%20the%20Expectation%201612%20E%20Walker%20St%20League%20City%20TX%2077573</v>
      </c>
      <c r="X836" s="10"/>
      <c r="Y836" s="9" t="str">
        <f>IFERROR(__xludf.DUMMYFUNCTION("""COMPUTED_VALUE"""),"League City")</f>
        <v>League City</v>
      </c>
      <c r="Z836" s="9" t="str">
        <f>IFERROR(__xludf.DUMMYFUNCTION("""COMPUTED_VALUE"""),"League City, South Shore Harbour, Victory Lakes")</f>
        <v>League City, South Shore Harbour, Victory Lakes</v>
      </c>
      <c r="AA836" s="9" t="str">
        <f>IFERROR(__xludf.DUMMYFUNCTION("""COMPUTED_VALUE"""),"St Mary of the Expectation")</f>
        <v>St Mary of the Expectation</v>
      </c>
      <c r="AB836" s="9" t="str">
        <f>IFERROR(__xludf.DUMMYFUNCTION("""COMPUTED_VALUE"""),"League City")</f>
        <v>League City</v>
      </c>
    </row>
    <row r="837" ht="30.0" customHeight="1">
      <c r="A837" s="17">
        <v>836.0</v>
      </c>
      <c r="B837" s="8" t="str">
        <f>IFERROR(__xludf.DUMMYFUNCTION("""COMPUTED_VALUE"""),"[""77004"", ""77021""]")</f>
        <v>["77004", "77021"]</v>
      </c>
      <c r="C837" s="9" t="str">
        <f>IFERROR(__xludf.DUMMYFUNCTION("""COMPUTED_VALUE"""),"St Mary of the Purification (SVdP D3)")</f>
        <v>St Mary of the Purification (SVdP D3)</v>
      </c>
      <c r="D837" s="9" t="str">
        <f>IFERROR(__xludf.DUMMYFUNCTION("""COMPUTED_VALUE"""),"3006 Rosedale Street")</f>
        <v>3006 Rosedale Street</v>
      </c>
      <c r="E837" s="9"/>
      <c r="F837" s="9" t="str">
        <f>IFERROR(__xludf.DUMMYFUNCTION("""COMPUTED_VALUE"""),"Houston")</f>
        <v>Houston</v>
      </c>
      <c r="G837" s="9" t="str">
        <f>IFERROR(__xludf.DUMMYFUNCTION("""COMPUTED_VALUE"""),"TX")</f>
        <v>TX</v>
      </c>
      <c r="H837" s="9" t="str">
        <f>IFERROR(__xludf.DUMMYFUNCTION("""COMPUTED_VALUE"""),"77004")</f>
        <v>77004</v>
      </c>
      <c r="I837" s="9" t="str">
        <f>IFERROR(__xludf.DUMMYFUNCTION("""COMPUTED_VALUE"""),"713-524-3772")</f>
        <v>713-524-3772</v>
      </c>
      <c r="J837" s="9" t="str">
        <f>IFERROR(__xludf.DUMMYFUNCTION("""COMPUTED_VALUE"""),"29.7199164242424, -95.3686874242424")</f>
        <v>29.7199164242424, -95.3686874242424</v>
      </c>
      <c r="K837" s="9"/>
      <c r="L837" s="9"/>
      <c r="M837" s="10">
        <f>IFERROR(__xludf.DUMMYFUNCTION("""COMPUTED_VALUE"""),11.0)</f>
        <v>11</v>
      </c>
      <c r="N837" s="10" t="str">
        <f>IFERROR(__xludf.DUMMYFUNCTION("""COMPUTED_VALUE"""),"Rent")</f>
        <v>Rent</v>
      </c>
      <c r="O837" s="10">
        <f>IFERROR(__xludf.DUMMYFUNCTION("""COMPUTED_VALUE"""),1.0)</f>
        <v>1</v>
      </c>
      <c r="P837" s="10" t="str">
        <f>IFERROR(__xludf.DUMMYFUNCTION("""COMPUTED_VALUE"""),"ACTIVE")</f>
        <v>ACTIVE</v>
      </c>
      <c r="Q837" s="11"/>
      <c r="R837" s="9"/>
      <c r="S837" s="9"/>
      <c r="T837" s="12" t="b">
        <f>IFERROR(__xludf.DUMMYFUNCTION("""COMPUTED_VALUE"""),FALSE)</f>
        <v>0</v>
      </c>
      <c r="U837" s="12" t="b">
        <f>IFERROR(__xludf.DUMMYFUNCTION("""COMPUTED_VALUE"""),FALSE)</f>
        <v>0</v>
      </c>
      <c r="V837" s="13" t="str">
        <f>IFERROR(__xludf.DUMMYFUNCTION("""COMPUTED_VALUE"""),"https://stmaryshouston.org/st-vincent-de-paul")</f>
        <v>https://stmaryshouston.org/st-vincent-de-paul</v>
      </c>
      <c r="W837" s="14" t="str">
        <f>IFERROR(__xludf.DUMMYFUNCTION("""COMPUTED_VALUE"""),"https://maps.google.com/?q=St%20Mary%20of%20the%20Purification%20(SVdP%20D3)%203006%20Rosedale%20St%20Houston%20TX%2077004")</f>
        <v>https://maps.google.com/?q=St%20Mary%20of%20the%20Purification%20(SVdP%20D3)%203006%20Rosedale%20St%20Houston%20TX%2077004</v>
      </c>
      <c r="X837" s="10"/>
      <c r="Y837" s="9" t="str">
        <f>IFERROR(__xludf.DUMMYFUNCTION("""COMPUTED_VALUE"""),"Houston")</f>
        <v>Houston</v>
      </c>
      <c r="Z837"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837" s="9" t="str">
        <f>IFERROR(__xludf.DUMMYFUNCTION("""COMPUTED_VALUE"""),"Society of St Vincent de Paul")</f>
        <v>Society of St Vincent de Paul</v>
      </c>
      <c r="AB837" s="9" t="str">
        <f>IFERROR(__xludf.DUMMYFUNCTION("""COMPUTED_VALUE"""),"South Side")</f>
        <v>South Side</v>
      </c>
    </row>
    <row r="838" ht="30.0" customHeight="1">
      <c r="A838" s="17">
        <v>837.0</v>
      </c>
      <c r="B838" s="8" t="str">
        <f>IFERROR(__xludf.DUMMYFUNCTION("""COMPUTED_VALUE"""),"[""77004"", ""77021""]")</f>
        <v>["77004", "77021"]</v>
      </c>
      <c r="C838" s="9" t="str">
        <f>IFERROR(__xludf.DUMMYFUNCTION("""COMPUTED_VALUE"""),"St Mary of the Purification (SVdP D3)")</f>
        <v>St Mary of the Purification (SVdP D3)</v>
      </c>
      <c r="D838" s="9" t="str">
        <f>IFERROR(__xludf.DUMMYFUNCTION("""COMPUTED_VALUE"""),"3006 Rosedale Street")</f>
        <v>3006 Rosedale Street</v>
      </c>
      <c r="E838" s="9"/>
      <c r="F838" s="9" t="str">
        <f>IFERROR(__xludf.DUMMYFUNCTION("""COMPUTED_VALUE"""),"Houston")</f>
        <v>Houston</v>
      </c>
      <c r="G838" s="9" t="str">
        <f>IFERROR(__xludf.DUMMYFUNCTION("""COMPUTED_VALUE"""),"TX")</f>
        <v>TX</v>
      </c>
      <c r="H838" s="9" t="str">
        <f>IFERROR(__xludf.DUMMYFUNCTION("""COMPUTED_VALUE"""),"77004")</f>
        <v>77004</v>
      </c>
      <c r="I838" s="9" t="str">
        <f>IFERROR(__xludf.DUMMYFUNCTION("""COMPUTED_VALUE"""),"713-524-3772")</f>
        <v>713-524-3772</v>
      </c>
      <c r="J838" s="9" t="str">
        <f>IFERROR(__xludf.DUMMYFUNCTION("""COMPUTED_VALUE"""),"29.7199164242424, -95.3686874242424")</f>
        <v>29.7199164242424, -95.3686874242424</v>
      </c>
      <c r="K838" s="9"/>
      <c r="L838" s="9"/>
      <c r="M838" s="10">
        <f>IFERROR(__xludf.DUMMYFUNCTION("""COMPUTED_VALUE"""),12.0)</f>
        <v>12</v>
      </c>
      <c r="N838" s="10" t="str">
        <f>IFERROR(__xludf.DUMMYFUNCTION("""COMPUTED_VALUE"""),"Utilities")</f>
        <v>Utilities</v>
      </c>
      <c r="O838" s="10">
        <f>IFERROR(__xludf.DUMMYFUNCTION("""COMPUTED_VALUE"""),1.0)</f>
        <v>1</v>
      </c>
      <c r="P838" s="10" t="str">
        <f>IFERROR(__xludf.DUMMYFUNCTION("""COMPUTED_VALUE"""),"ACTIVE")</f>
        <v>ACTIVE</v>
      </c>
      <c r="Q838" s="11"/>
      <c r="R838" s="9"/>
      <c r="S838" s="9"/>
      <c r="T838" s="12" t="b">
        <f>IFERROR(__xludf.DUMMYFUNCTION("""COMPUTED_VALUE"""),FALSE)</f>
        <v>0</v>
      </c>
      <c r="U838" s="12" t="b">
        <f>IFERROR(__xludf.DUMMYFUNCTION("""COMPUTED_VALUE"""),FALSE)</f>
        <v>0</v>
      </c>
      <c r="V838" s="13" t="str">
        <f>IFERROR(__xludf.DUMMYFUNCTION("""COMPUTED_VALUE"""),"https://stmaryshouston.org/st-vincent-de-paul")</f>
        <v>https://stmaryshouston.org/st-vincent-de-paul</v>
      </c>
      <c r="W838" s="14" t="str">
        <f>IFERROR(__xludf.DUMMYFUNCTION("""COMPUTED_VALUE"""),"https://maps.google.com/?q=St%20Mary%20of%20the%20Purification%20(SVdP%20D3)%203006%20Rosedale%20St%20Houston%20TX%2077004")</f>
        <v>https://maps.google.com/?q=St%20Mary%20of%20the%20Purification%20(SVdP%20D3)%203006%20Rosedale%20St%20Houston%20TX%2077004</v>
      </c>
      <c r="X838" s="10"/>
      <c r="Y838" s="9" t="str">
        <f>IFERROR(__xludf.DUMMYFUNCTION("""COMPUTED_VALUE"""),"Houston")</f>
        <v>Houston</v>
      </c>
      <c r="Z838"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838" s="9" t="str">
        <f>IFERROR(__xludf.DUMMYFUNCTION("""COMPUTED_VALUE"""),"Society of St Vincent de Paul")</f>
        <v>Society of St Vincent de Paul</v>
      </c>
      <c r="AB838" s="9" t="str">
        <f>IFERROR(__xludf.DUMMYFUNCTION("""COMPUTED_VALUE"""),"South Side")</f>
        <v>South Side</v>
      </c>
    </row>
    <row r="839" ht="30.0" customHeight="1">
      <c r="A839" s="17">
        <v>838.0</v>
      </c>
      <c r="B839" s="8" t="str">
        <f>IFERROR(__xludf.DUMMYFUNCTION("""COMPUTED_VALUE"""),"[""77571""]")</f>
        <v>["77571"]</v>
      </c>
      <c r="C839" s="9" t="str">
        <f>IFERROR(__xludf.DUMMYFUNCTION("""COMPUTED_VALUE"""),"St Mary's (SVdP D5) La Porte")</f>
        <v>St Mary's (SVdP D5) La Porte</v>
      </c>
      <c r="D839" s="9" t="str">
        <f>IFERROR(__xludf.DUMMYFUNCTION("""COMPUTED_VALUE"""),"816 Park Drive")</f>
        <v>816 Park Drive</v>
      </c>
      <c r="E839" s="9"/>
      <c r="F839" s="9" t="str">
        <f>IFERROR(__xludf.DUMMYFUNCTION("""COMPUTED_VALUE"""),"La Porte")</f>
        <v>La Porte</v>
      </c>
      <c r="G839" s="9" t="str">
        <f>IFERROR(__xludf.DUMMYFUNCTION("""COMPUTED_VALUE"""),"TX")</f>
        <v>TX</v>
      </c>
      <c r="H839" s="9" t="str">
        <f>IFERROR(__xludf.DUMMYFUNCTION("""COMPUTED_VALUE"""),"77571")</f>
        <v>77571</v>
      </c>
      <c r="I839" s="9" t="str">
        <f>IFERROR(__xludf.DUMMYFUNCTION("""COMPUTED_VALUE"""),"281-471-2000")</f>
        <v>281-471-2000</v>
      </c>
      <c r="J839" s="9" t="str">
        <f>IFERROR(__xludf.DUMMYFUNCTION("""COMPUTED_VALUE"""),"29.6557401836735, -95.0114840816326")</f>
        <v>29.6557401836735, -95.0114840816326</v>
      </c>
      <c r="K839" s="9" t="str">
        <f>IFERROR(__xludf.DUMMYFUNCTION("""COMPUTED_VALUE"""),"{""regular"":[{""days"":[""Tu"",""Th""],""open"":""09:00"",""close"":""12:00""}]}")</f>
        <v>{"regular":[{"days":["Tu","Th"],"open":"09:00","close":"12:00"}]}</v>
      </c>
      <c r="L839" s="9"/>
      <c r="M839" s="10">
        <f>IFERROR(__xludf.DUMMYFUNCTION("""COMPUTED_VALUE"""),11.0)</f>
        <v>11</v>
      </c>
      <c r="N839" s="10" t="str">
        <f>IFERROR(__xludf.DUMMYFUNCTION("""COMPUTED_VALUE"""),"Rent")</f>
        <v>Rent</v>
      </c>
      <c r="O839" s="10">
        <f>IFERROR(__xludf.DUMMYFUNCTION("""COMPUTED_VALUE"""),1.0)</f>
        <v>1</v>
      </c>
      <c r="P839" s="10" t="str">
        <f>IFERROR(__xludf.DUMMYFUNCTION("""COMPUTED_VALUE"""),"ACTIVE")</f>
        <v>ACTIVE</v>
      </c>
      <c r="Q839" s="11"/>
      <c r="R839" s="9"/>
      <c r="S839" s="9"/>
      <c r="T839" s="12" t="b">
        <f>IFERROR(__xludf.DUMMYFUNCTION("""COMPUTED_VALUE"""),FALSE)</f>
        <v>0</v>
      </c>
      <c r="U839" s="12" t="b">
        <f>IFERROR(__xludf.DUMMYFUNCTION("""COMPUTED_VALUE"""),FALSE)</f>
        <v>0</v>
      </c>
      <c r="V839" s="13" t="str">
        <f>IFERROR(__xludf.DUMMYFUNCTION("""COMPUTED_VALUE"""),"https://stmaryslaporte.com/st-vincent-de-paul-store")</f>
        <v>https://stmaryslaporte.com/st-vincent-de-paul-store</v>
      </c>
      <c r="W839" s="14" t="str">
        <f>IFERROR(__xludf.DUMMYFUNCTION("""COMPUTED_VALUE"""),"https://maps.google.com/?q=St%20Mary's%20(SVdP%20D5)%20La%20Porte%20816%20Park%20Dr%20La%20Porte%20TX%2077571")</f>
        <v>https://maps.google.com/?q=St%20Mary's%20(SVdP%20D5)%20La%20Porte%20816%20Park%20Dr%20La%20Porte%20TX%2077571</v>
      </c>
      <c r="X839" s="10"/>
      <c r="Y839" s="9" t="str">
        <f>IFERROR(__xludf.DUMMYFUNCTION("""COMPUTED_VALUE"""),"La Porte")</f>
        <v>La Porte</v>
      </c>
      <c r="Z839" s="9" t="str">
        <f>IFERROR(__xludf.DUMMYFUNCTION("""COMPUTED_VALUE"""),"Beach Park, La Porte")</f>
        <v>Beach Park, La Porte</v>
      </c>
      <c r="AA839" s="9" t="str">
        <f>IFERROR(__xludf.DUMMYFUNCTION("""COMPUTED_VALUE"""),"Society of St Vincent de Paul")</f>
        <v>Society of St Vincent de Paul</v>
      </c>
      <c r="AB839" s="9" t="str">
        <f>IFERROR(__xludf.DUMMYFUNCTION("""COMPUTED_VALUE"""),"Beach Park")</f>
        <v>Beach Park</v>
      </c>
    </row>
    <row r="840" ht="30.0" customHeight="1">
      <c r="A840" s="17">
        <v>839.0</v>
      </c>
      <c r="B840" s="8" t="str">
        <f>IFERROR(__xludf.DUMMYFUNCTION("""COMPUTED_VALUE"""),"[""77571""]")</f>
        <v>["77571"]</v>
      </c>
      <c r="C840" s="9" t="str">
        <f>IFERROR(__xludf.DUMMYFUNCTION("""COMPUTED_VALUE"""),"St Mary's (SVdP D5) La Porte")</f>
        <v>St Mary's (SVdP D5) La Porte</v>
      </c>
      <c r="D840" s="9" t="str">
        <f>IFERROR(__xludf.DUMMYFUNCTION("""COMPUTED_VALUE"""),"816 Park Drive")</f>
        <v>816 Park Drive</v>
      </c>
      <c r="E840" s="9"/>
      <c r="F840" s="9" t="str">
        <f>IFERROR(__xludf.DUMMYFUNCTION("""COMPUTED_VALUE"""),"La Porte")</f>
        <v>La Porte</v>
      </c>
      <c r="G840" s="9" t="str">
        <f>IFERROR(__xludf.DUMMYFUNCTION("""COMPUTED_VALUE"""),"TX")</f>
        <v>TX</v>
      </c>
      <c r="H840" s="9" t="str">
        <f>IFERROR(__xludf.DUMMYFUNCTION("""COMPUTED_VALUE"""),"77571")</f>
        <v>77571</v>
      </c>
      <c r="I840" s="9" t="str">
        <f>IFERROR(__xludf.DUMMYFUNCTION("""COMPUTED_VALUE"""),"281-471-2000")</f>
        <v>281-471-2000</v>
      </c>
      <c r="J840" s="9" t="str">
        <f>IFERROR(__xludf.DUMMYFUNCTION("""COMPUTED_VALUE"""),"29.6557401836735, -95.0114840816326")</f>
        <v>29.6557401836735, -95.0114840816326</v>
      </c>
      <c r="K840" s="9" t="str">
        <f>IFERROR(__xludf.DUMMYFUNCTION("""COMPUTED_VALUE"""),"{""regular"":[{""days"":[""Tu"",""Th""],""open"":""09:00"",""close"":""12:00""}]}")</f>
        <v>{"regular":[{"days":["Tu","Th"],"open":"09:00","close":"12:00"}]}</v>
      </c>
      <c r="L840" s="9"/>
      <c r="M840" s="10">
        <f>IFERROR(__xludf.DUMMYFUNCTION("""COMPUTED_VALUE"""),12.0)</f>
        <v>12</v>
      </c>
      <c r="N840" s="10" t="str">
        <f>IFERROR(__xludf.DUMMYFUNCTION("""COMPUTED_VALUE"""),"Utilities")</f>
        <v>Utilities</v>
      </c>
      <c r="O840" s="10">
        <f>IFERROR(__xludf.DUMMYFUNCTION("""COMPUTED_VALUE"""),1.0)</f>
        <v>1</v>
      </c>
      <c r="P840" s="10" t="str">
        <f>IFERROR(__xludf.DUMMYFUNCTION("""COMPUTED_VALUE"""),"ACTIVE")</f>
        <v>ACTIVE</v>
      </c>
      <c r="Q840" s="11"/>
      <c r="R840" s="9"/>
      <c r="S840" s="9"/>
      <c r="T840" s="12" t="b">
        <f>IFERROR(__xludf.DUMMYFUNCTION("""COMPUTED_VALUE"""),FALSE)</f>
        <v>0</v>
      </c>
      <c r="U840" s="12" t="b">
        <f>IFERROR(__xludf.DUMMYFUNCTION("""COMPUTED_VALUE"""),FALSE)</f>
        <v>0</v>
      </c>
      <c r="V840" s="13" t="str">
        <f>IFERROR(__xludf.DUMMYFUNCTION("""COMPUTED_VALUE"""),"https://stmaryslaporte.com/st-vincent-de-paul-store")</f>
        <v>https://stmaryslaporte.com/st-vincent-de-paul-store</v>
      </c>
      <c r="W840" s="14" t="str">
        <f>IFERROR(__xludf.DUMMYFUNCTION("""COMPUTED_VALUE"""),"https://maps.google.com/?q=St%20Mary's%20(SVdP%20D5)%20La%20Porte%20816%20Park%20Dr%20La%20Porte%20TX%2077571")</f>
        <v>https://maps.google.com/?q=St%20Mary's%20(SVdP%20D5)%20La%20Porte%20816%20Park%20Dr%20La%20Porte%20TX%2077571</v>
      </c>
      <c r="X840" s="10"/>
      <c r="Y840" s="9" t="str">
        <f>IFERROR(__xludf.DUMMYFUNCTION("""COMPUTED_VALUE"""),"La Porte")</f>
        <v>La Porte</v>
      </c>
      <c r="Z840" s="9" t="str">
        <f>IFERROR(__xludf.DUMMYFUNCTION("""COMPUTED_VALUE"""),"Beach Park, La Porte")</f>
        <v>Beach Park, La Porte</v>
      </c>
      <c r="AA840" s="9" t="str">
        <f>IFERROR(__xludf.DUMMYFUNCTION("""COMPUTED_VALUE"""),"Society of St Vincent de Paul")</f>
        <v>Society of St Vincent de Paul</v>
      </c>
      <c r="AB840" s="9" t="str">
        <f>IFERROR(__xludf.DUMMYFUNCTION("""COMPUTED_VALUE"""),"Beach Park")</f>
        <v>Beach Park</v>
      </c>
    </row>
    <row r="841" ht="30.0" customHeight="1">
      <c r="A841" s="17">
        <v>840.0</v>
      </c>
      <c r="B841" s="8" t="str">
        <f>IFERROR(__xludf.DUMMYFUNCTION("""COMPUTED_VALUE"""),"[""77571""]")</f>
        <v>["77571"]</v>
      </c>
      <c r="C841" s="9" t="str">
        <f>IFERROR(__xludf.DUMMYFUNCTION("""COMPUTED_VALUE"""),"St Mary's (SVdP D5) La Porte")</f>
        <v>St Mary's (SVdP D5) La Porte</v>
      </c>
      <c r="D841" s="9" t="str">
        <f>IFERROR(__xludf.DUMMYFUNCTION("""COMPUTED_VALUE"""),"816 Park Drive")</f>
        <v>816 Park Drive</v>
      </c>
      <c r="E841" s="9"/>
      <c r="F841" s="9" t="str">
        <f>IFERROR(__xludf.DUMMYFUNCTION("""COMPUTED_VALUE"""),"La Porte")</f>
        <v>La Porte</v>
      </c>
      <c r="G841" s="9" t="str">
        <f>IFERROR(__xludf.DUMMYFUNCTION("""COMPUTED_VALUE"""),"TX")</f>
        <v>TX</v>
      </c>
      <c r="H841" s="9" t="str">
        <f>IFERROR(__xludf.DUMMYFUNCTION("""COMPUTED_VALUE"""),"77571")</f>
        <v>77571</v>
      </c>
      <c r="I841" s="9" t="str">
        <f>IFERROR(__xludf.DUMMYFUNCTION("""COMPUTED_VALUE"""),"281-471-2000")</f>
        <v>281-471-2000</v>
      </c>
      <c r="J841" s="9" t="str">
        <f>IFERROR(__xludf.DUMMYFUNCTION("""COMPUTED_VALUE"""),"29.6557401836735, -95.0114840816326")</f>
        <v>29.6557401836735, -95.0114840816326</v>
      </c>
      <c r="K841" s="9" t="str">
        <f>IFERROR(__xludf.DUMMYFUNCTION("""COMPUTED_VALUE"""),"{""regular"":[{""days"":[""Tu"",""Th""],""open"":""09:00"",""close"":""12:00""}]}")</f>
        <v>{"regular":[{"days":["Tu","Th"],"open":"09:00","close":"12:00"}]}</v>
      </c>
      <c r="L841" s="9"/>
      <c r="M841" s="10">
        <f>IFERROR(__xludf.DUMMYFUNCTION("""COMPUTED_VALUE"""),14.0)</f>
        <v>14</v>
      </c>
      <c r="N841" s="10" t="str">
        <f>IFERROR(__xludf.DUMMYFUNCTION("""COMPUTED_VALUE"""),"Clothing")</f>
        <v>Clothing</v>
      </c>
      <c r="O841" s="10">
        <f>IFERROR(__xludf.DUMMYFUNCTION("""COMPUTED_VALUE"""),1.0)</f>
        <v>1</v>
      </c>
      <c r="P841" s="10" t="str">
        <f>IFERROR(__xludf.DUMMYFUNCTION("""COMPUTED_VALUE"""),"ACTIVE")</f>
        <v>ACTIVE</v>
      </c>
      <c r="Q841" s="11"/>
      <c r="R841" s="9"/>
      <c r="S841" s="9" t="str">
        <f>IFERROR(__xludf.DUMMYFUNCTION("""COMPUTED_VALUE"""),"Includes household essentials, dishes and silverware.
")</f>
        <v>Includes household essentials, dishes and silverware.
</v>
      </c>
      <c r="T841" s="12" t="b">
        <f>IFERROR(__xludf.DUMMYFUNCTION("""COMPUTED_VALUE"""),FALSE)</f>
        <v>0</v>
      </c>
      <c r="U841" s="12" t="b">
        <f>IFERROR(__xludf.DUMMYFUNCTION("""COMPUTED_VALUE"""),FALSE)</f>
        <v>0</v>
      </c>
      <c r="V841" s="13" t="str">
        <f>IFERROR(__xludf.DUMMYFUNCTION("""COMPUTED_VALUE"""),"https://stmaryslaporte.com/st-vincent-de-paul-store")</f>
        <v>https://stmaryslaporte.com/st-vincent-de-paul-store</v>
      </c>
      <c r="W841" s="14" t="str">
        <f>IFERROR(__xludf.DUMMYFUNCTION("""COMPUTED_VALUE"""),"https://maps.google.com/?q=St%20Mary's%20(SVdP%20D5)%20La%20Porte%20816%20Park%20Dr%20La%20Porte%20TX%2077571")</f>
        <v>https://maps.google.com/?q=St%20Mary's%20(SVdP%20D5)%20La%20Porte%20816%20Park%20Dr%20La%20Porte%20TX%2077571</v>
      </c>
      <c r="X841" s="10"/>
      <c r="Y841" s="9" t="str">
        <f>IFERROR(__xludf.DUMMYFUNCTION("""COMPUTED_VALUE"""),"La Porte")</f>
        <v>La Porte</v>
      </c>
      <c r="Z841" s="9" t="str">
        <f>IFERROR(__xludf.DUMMYFUNCTION("""COMPUTED_VALUE"""),"Beach Park, La Porte")</f>
        <v>Beach Park, La Porte</v>
      </c>
      <c r="AA841" s="9" t="str">
        <f>IFERROR(__xludf.DUMMYFUNCTION("""COMPUTED_VALUE"""),"Society of St Vincent de Paul")</f>
        <v>Society of St Vincent de Paul</v>
      </c>
      <c r="AB841" s="9" t="str">
        <f>IFERROR(__xludf.DUMMYFUNCTION("""COMPUTED_VALUE"""),"Beach Park")</f>
        <v>Beach Park</v>
      </c>
    </row>
    <row r="842" ht="30.0" customHeight="1">
      <c r="A842" s="17">
        <v>841.0</v>
      </c>
      <c r="B842" s="8" t="str">
        <f>IFERROR(__xludf.DUMMYFUNCTION("""COMPUTED_VALUE"""),"[""77316"", ""77333"", ""77363""]")</f>
        <v>["77316", "77333", "77363"]</v>
      </c>
      <c r="C842" s="9" t="str">
        <f>IFERROR(__xludf.DUMMYFUNCTION("""COMPUTED_VALUE"""),"St Mary's (SVdP D6) Plantersville")</f>
        <v>St Mary's (SVdP D6) Plantersville</v>
      </c>
      <c r="D842" s="9" t="str">
        <f>IFERROR(__xludf.DUMMYFUNCTION("""COMPUTED_VALUE"""),"8227 County Road 205")</f>
        <v>8227 County Road 205</v>
      </c>
      <c r="E842" s="9"/>
      <c r="F842" s="9" t="str">
        <f>IFERROR(__xludf.DUMMYFUNCTION("""COMPUTED_VALUE"""),"Plantersville")</f>
        <v>Plantersville</v>
      </c>
      <c r="G842" s="9" t="str">
        <f>IFERROR(__xludf.DUMMYFUNCTION("""COMPUTED_VALUE"""),"TX")</f>
        <v>TX</v>
      </c>
      <c r="H842" s="9" t="str">
        <f>IFERROR(__xludf.DUMMYFUNCTION("""COMPUTED_VALUE"""),"77363")</f>
        <v>77363</v>
      </c>
      <c r="I842" s="9" t="str">
        <f>IFERROR(__xludf.DUMMYFUNCTION("""COMPUTED_VALUE"""),"936-894-2362")</f>
        <v>936-894-2362</v>
      </c>
      <c r="J842" s="9" t="str">
        <f>IFERROR(__xludf.DUMMYFUNCTION("""COMPUTED_VALUE"""),"30.368704, -95.871175")</f>
        <v>30.368704, -95.871175</v>
      </c>
      <c r="K842" s="9" t="str">
        <f>IFERROR(__xludf.DUMMYFUNCTION("""COMPUTED_VALUE"""),"{""regular"":[{""days"":[""Mo"",""Tu"",""We"",""Th"",""Fr"",""Sa"",""Su""],""open"":""00:00"",""close"":""23:59""}]}")</f>
        <v>{"regular":[{"days":["Mo","Tu","We","Th","Fr","Sa","Su"],"open":"00:00","close":"23:59"}]}</v>
      </c>
      <c r="L842" s="9"/>
      <c r="M842" s="10">
        <f>IFERROR(__xludf.DUMMYFUNCTION("""COMPUTED_VALUE"""),11.0)</f>
        <v>11</v>
      </c>
      <c r="N842" s="10" t="str">
        <f>IFERROR(__xludf.DUMMYFUNCTION("""COMPUTED_VALUE"""),"Rent")</f>
        <v>Rent</v>
      </c>
      <c r="O842" s="10">
        <f>IFERROR(__xludf.DUMMYFUNCTION("""COMPUTED_VALUE"""),1.0)</f>
        <v>1</v>
      </c>
      <c r="P842" s="10" t="str">
        <f>IFERROR(__xludf.DUMMYFUNCTION("""COMPUTED_VALUE"""),"ACTIVE")</f>
        <v>ACTIVE</v>
      </c>
      <c r="Q842" s="11"/>
      <c r="R842" s="9"/>
      <c r="S842" s="9"/>
      <c r="T842" s="12" t="b">
        <f>IFERROR(__xludf.DUMMYFUNCTION("""COMPUTED_VALUE"""),FALSE)</f>
        <v>0</v>
      </c>
      <c r="U842" s="12" t="b">
        <f>IFERROR(__xludf.DUMMYFUNCTION("""COMPUTED_VALUE"""),FALSE)</f>
        <v>0</v>
      </c>
      <c r="V842" s="13" t="str">
        <f>IFERROR(__xludf.DUMMYFUNCTION("""COMPUTED_VALUE"""),"https://smsj.org/")</f>
        <v>https://smsj.org/</v>
      </c>
      <c r="W842" s="14" t="str">
        <f>IFERROR(__xludf.DUMMYFUNCTION("""COMPUTED_VALUE"""),"https://maps.google.com/?q=St%20Mary's%20%20(SVdP%20D6)%20Plantersville%208227%20County%20Road%20205%20Plantersville%20TX%2077363")</f>
        <v>https://maps.google.com/?q=St%20Mary's%20%20(SVdP%20D6)%20Plantersville%208227%20County%20Road%20205%20Plantersville%20TX%2077363</v>
      </c>
      <c r="X842" s="10"/>
      <c r="Y842" s="9" t="str">
        <f>IFERROR(__xludf.DUMMYFUNCTION("""COMPUTED_VALUE"""),"Plantersville")</f>
        <v>Plantersville</v>
      </c>
      <c r="Z842" s="9" t="str">
        <f>IFERROR(__xludf.DUMMYFUNCTION("""COMPUTED_VALUE"""),"Plantersville")</f>
        <v>Plantersville</v>
      </c>
      <c r="AA842" s="9" t="str">
        <f>IFERROR(__xludf.DUMMYFUNCTION("""COMPUTED_VALUE"""),"Society of St Vincent de Paul")</f>
        <v>Society of St Vincent de Paul</v>
      </c>
      <c r="AB842" s="9" t="str">
        <f>IFERROR(__xludf.DUMMYFUNCTION("""COMPUTED_VALUE"""),"Plantersville")</f>
        <v>Plantersville</v>
      </c>
    </row>
    <row r="843" ht="30.0" customHeight="1">
      <c r="A843" s="17">
        <v>842.0</v>
      </c>
      <c r="B843" s="8" t="str">
        <f>IFERROR(__xludf.DUMMYFUNCTION("""COMPUTED_VALUE"""),"[""77316"", ""77333"", ""77363""]")</f>
        <v>["77316", "77333", "77363"]</v>
      </c>
      <c r="C843" s="9" t="str">
        <f>IFERROR(__xludf.DUMMYFUNCTION("""COMPUTED_VALUE"""),"St Mary's (SVdP D6) Plantersville")</f>
        <v>St Mary's (SVdP D6) Plantersville</v>
      </c>
      <c r="D843" s="9" t="str">
        <f>IFERROR(__xludf.DUMMYFUNCTION("""COMPUTED_VALUE"""),"8227 County Road 205")</f>
        <v>8227 County Road 205</v>
      </c>
      <c r="E843" s="9"/>
      <c r="F843" s="9" t="str">
        <f>IFERROR(__xludf.DUMMYFUNCTION("""COMPUTED_VALUE"""),"Plantersville")</f>
        <v>Plantersville</v>
      </c>
      <c r="G843" s="9" t="str">
        <f>IFERROR(__xludf.DUMMYFUNCTION("""COMPUTED_VALUE"""),"TX")</f>
        <v>TX</v>
      </c>
      <c r="H843" s="9" t="str">
        <f>IFERROR(__xludf.DUMMYFUNCTION("""COMPUTED_VALUE"""),"77363")</f>
        <v>77363</v>
      </c>
      <c r="I843" s="9" t="str">
        <f>IFERROR(__xludf.DUMMYFUNCTION("""COMPUTED_VALUE"""),"936-894-2362")</f>
        <v>936-894-2362</v>
      </c>
      <c r="J843" s="9" t="str">
        <f>IFERROR(__xludf.DUMMYFUNCTION("""COMPUTED_VALUE"""),"30.368704, -95.871175")</f>
        <v>30.368704, -95.871175</v>
      </c>
      <c r="K843" s="9" t="str">
        <f>IFERROR(__xludf.DUMMYFUNCTION("""COMPUTED_VALUE"""),"{""regular"":[{""days"":[""Mo"",""Tu"",""We"",""Th"",""Fr"",""Sa"",""Su""],""open"":""00:00"",""close"":""23:59""}]}")</f>
        <v>{"regular":[{"days":["Mo","Tu","We","Th","Fr","Sa","Su"],"open":"00:00","close":"23:59"}]}</v>
      </c>
      <c r="L843" s="9"/>
      <c r="M843" s="10">
        <f>IFERROR(__xludf.DUMMYFUNCTION("""COMPUTED_VALUE"""),12.0)</f>
        <v>12</v>
      </c>
      <c r="N843" s="10" t="str">
        <f>IFERROR(__xludf.DUMMYFUNCTION("""COMPUTED_VALUE"""),"Utilities")</f>
        <v>Utilities</v>
      </c>
      <c r="O843" s="10">
        <f>IFERROR(__xludf.DUMMYFUNCTION("""COMPUTED_VALUE"""),1.0)</f>
        <v>1</v>
      </c>
      <c r="P843" s="10" t="str">
        <f>IFERROR(__xludf.DUMMYFUNCTION("""COMPUTED_VALUE"""),"ACTIVE")</f>
        <v>ACTIVE</v>
      </c>
      <c r="Q843" s="11"/>
      <c r="R843" s="9"/>
      <c r="S843" s="9"/>
      <c r="T843" s="12" t="b">
        <f>IFERROR(__xludf.DUMMYFUNCTION("""COMPUTED_VALUE"""),FALSE)</f>
        <v>0</v>
      </c>
      <c r="U843" s="12" t="b">
        <f>IFERROR(__xludf.DUMMYFUNCTION("""COMPUTED_VALUE"""),FALSE)</f>
        <v>0</v>
      </c>
      <c r="V843" s="13" t="str">
        <f>IFERROR(__xludf.DUMMYFUNCTION("""COMPUTED_VALUE"""),"https://smsj.org/")</f>
        <v>https://smsj.org/</v>
      </c>
      <c r="W843" s="14" t="str">
        <f>IFERROR(__xludf.DUMMYFUNCTION("""COMPUTED_VALUE"""),"https://maps.google.com/?q=St%20Mary's%20%20(SVdP%20D6)%20Plantersville%208227%20County%20Road%20205%20Plantersville%20TX%2077363")</f>
        <v>https://maps.google.com/?q=St%20Mary's%20%20(SVdP%20D6)%20Plantersville%208227%20County%20Road%20205%20Plantersville%20TX%2077363</v>
      </c>
      <c r="X843" s="10"/>
      <c r="Y843" s="9" t="str">
        <f>IFERROR(__xludf.DUMMYFUNCTION("""COMPUTED_VALUE"""),"Plantersville")</f>
        <v>Plantersville</v>
      </c>
      <c r="Z843" s="9" t="str">
        <f>IFERROR(__xludf.DUMMYFUNCTION("""COMPUTED_VALUE"""),"Plantersville")</f>
        <v>Plantersville</v>
      </c>
      <c r="AA843" s="9" t="str">
        <f>IFERROR(__xludf.DUMMYFUNCTION("""COMPUTED_VALUE"""),"Society of St Vincent de Paul")</f>
        <v>Society of St Vincent de Paul</v>
      </c>
      <c r="AB843" s="9" t="str">
        <f>IFERROR(__xludf.DUMMYFUNCTION("""COMPUTED_VALUE"""),"Plantersville")</f>
        <v>Plantersville</v>
      </c>
    </row>
    <row r="844" ht="30.0" customHeight="1">
      <c r="A844" s="17">
        <v>843.0</v>
      </c>
      <c r="B844" s="8" t="str">
        <f>IFERROR(__xludf.DUMMYFUNCTION("""COMPUTED_VALUE"""),"[""77316"", ""77333"", ""77363""]")</f>
        <v>["77316", "77333", "77363"]</v>
      </c>
      <c r="C844" s="9" t="str">
        <f>IFERROR(__xludf.DUMMYFUNCTION("""COMPUTED_VALUE"""),"St Mary's (SVdP D6) Plantersville")</f>
        <v>St Mary's (SVdP D6) Plantersville</v>
      </c>
      <c r="D844" s="9" t="str">
        <f>IFERROR(__xludf.DUMMYFUNCTION("""COMPUTED_VALUE"""),"8227 County Road 205")</f>
        <v>8227 County Road 205</v>
      </c>
      <c r="E844" s="9"/>
      <c r="F844" s="9" t="str">
        <f>IFERROR(__xludf.DUMMYFUNCTION("""COMPUTED_VALUE"""),"Plantersville")</f>
        <v>Plantersville</v>
      </c>
      <c r="G844" s="9" t="str">
        <f>IFERROR(__xludf.DUMMYFUNCTION("""COMPUTED_VALUE"""),"TX")</f>
        <v>TX</v>
      </c>
      <c r="H844" s="9" t="str">
        <f>IFERROR(__xludf.DUMMYFUNCTION("""COMPUTED_VALUE"""),"77363")</f>
        <v>77363</v>
      </c>
      <c r="I844" s="9" t="str">
        <f>IFERROR(__xludf.DUMMYFUNCTION("""COMPUTED_VALUE"""),"936-894-2362")</f>
        <v>936-894-2362</v>
      </c>
      <c r="J844" s="9" t="str">
        <f>IFERROR(__xludf.DUMMYFUNCTION("""COMPUTED_VALUE"""),"30.368704, -95.871175")</f>
        <v>30.368704, -95.871175</v>
      </c>
      <c r="K844" s="9" t="str">
        <f>IFERROR(__xludf.DUMMYFUNCTION("""COMPUTED_VALUE"""),"{""regular"":[{""days"":[""Mo"",""Tu"",""We"",""Th"",""Fr"",""Sa"",""Su""],""open"":""00:00"",""close"":""23:59""}]}")</f>
        <v>{"regular":[{"days":["Mo","Tu","We","Th","Fr","Sa","Su"],"open":"00:00","close":"23:59"}]}</v>
      </c>
      <c r="L844" s="9"/>
      <c r="M844" s="10">
        <f>IFERROR(__xludf.DUMMYFUNCTION("""COMPUTED_VALUE"""),13.0)</f>
        <v>13</v>
      </c>
      <c r="N844" s="10" t="str">
        <f>IFERROR(__xludf.DUMMYFUNCTION("""COMPUTED_VALUE"""),"Food")</f>
        <v>Food</v>
      </c>
      <c r="O844" s="10">
        <f>IFERROR(__xludf.DUMMYFUNCTION("""COMPUTED_VALUE"""),1.0)</f>
        <v>1</v>
      </c>
      <c r="P844" s="10" t="str">
        <f>IFERROR(__xludf.DUMMYFUNCTION("""COMPUTED_VALUE"""),"ACTIVE")</f>
        <v>ACTIVE</v>
      </c>
      <c r="Q844" s="11"/>
      <c r="R844" s="9"/>
      <c r="S844" s="9"/>
      <c r="T844" s="12" t="b">
        <f>IFERROR(__xludf.DUMMYFUNCTION("""COMPUTED_VALUE"""),FALSE)</f>
        <v>0</v>
      </c>
      <c r="U844" s="12" t="b">
        <f>IFERROR(__xludf.DUMMYFUNCTION("""COMPUTED_VALUE"""),FALSE)</f>
        <v>0</v>
      </c>
      <c r="V844" s="13" t="str">
        <f>IFERROR(__xludf.DUMMYFUNCTION("""COMPUTED_VALUE"""),"https://smsj.org/")</f>
        <v>https://smsj.org/</v>
      </c>
      <c r="W844" s="14" t="str">
        <f>IFERROR(__xludf.DUMMYFUNCTION("""COMPUTED_VALUE"""),"https://maps.google.com/?q=St%20Mary's%20%20(SVdP%20D6)%20Plantersville%208227%20County%20Road%20205%20Plantersville%20TX%2077363")</f>
        <v>https://maps.google.com/?q=St%20Mary's%20%20(SVdP%20D6)%20Plantersville%208227%20County%20Road%20205%20Plantersville%20TX%2077363</v>
      </c>
      <c r="X844" s="10"/>
      <c r="Y844" s="9" t="str">
        <f>IFERROR(__xludf.DUMMYFUNCTION("""COMPUTED_VALUE"""),"Plantersville")</f>
        <v>Plantersville</v>
      </c>
      <c r="Z844" s="9" t="str">
        <f>IFERROR(__xludf.DUMMYFUNCTION("""COMPUTED_VALUE"""),"Plantersville")</f>
        <v>Plantersville</v>
      </c>
      <c r="AA844" s="9" t="str">
        <f>IFERROR(__xludf.DUMMYFUNCTION("""COMPUTED_VALUE"""),"Society of St Vincent de Paul")</f>
        <v>Society of St Vincent de Paul</v>
      </c>
      <c r="AB844" s="9" t="str">
        <f>IFERROR(__xludf.DUMMYFUNCTION("""COMPUTED_VALUE"""),"Plantersville")</f>
        <v>Plantersville</v>
      </c>
    </row>
    <row r="845" ht="30.0" customHeight="1">
      <c r="A845" s="17">
        <v>844.0</v>
      </c>
      <c r="B845" s="8" t="str">
        <f>IFERROR(__xludf.DUMMYFUNCTION("""COMPUTED_VALUE"""),"[""77590""]")</f>
        <v>["77590"]</v>
      </c>
      <c r="C845" s="9" t="str">
        <f>IFERROR(__xludf.DUMMYFUNCTION("""COMPUTED_VALUE"""),"St Mary's Texas City (SVdP D7)")</f>
        <v>St Mary's Texas City (SVdP D7)</v>
      </c>
      <c r="D845" s="9" t="str">
        <f>IFERROR(__xludf.DUMMYFUNCTION("""COMPUTED_VALUE"""),"1604 9th Avenue N")</f>
        <v>1604 9th Avenue N</v>
      </c>
      <c r="E845" s="9"/>
      <c r="F845" s="9" t="str">
        <f>IFERROR(__xludf.DUMMYFUNCTION("""COMPUTED_VALUE"""),"Texas City")</f>
        <v>Texas City</v>
      </c>
      <c r="G845" s="9" t="str">
        <f>IFERROR(__xludf.DUMMYFUNCTION("""COMPUTED_VALUE"""),"TX")</f>
        <v>TX</v>
      </c>
      <c r="H845" s="9" t="str">
        <f>IFERROR(__xludf.DUMMYFUNCTION("""COMPUTED_VALUE"""),"77590")</f>
        <v>77590</v>
      </c>
      <c r="I845" s="9" t="str">
        <f>IFERROR(__xludf.DUMMYFUNCTION("""COMPUTED_VALUE"""),"409-948-8448")</f>
        <v>409-948-8448</v>
      </c>
      <c r="J845" s="9" t="str">
        <f>IFERROR(__xludf.DUMMYFUNCTION("""COMPUTED_VALUE"""),"29.393277, -94.919353")</f>
        <v>29.393277, -94.919353</v>
      </c>
      <c r="K845" s="9" t="str">
        <f>IFERROR(__xludf.DUMMYFUNCTION("""COMPUTED_VALUE"""),"{""regular"":[{""days"":[""Sa""],""open"":""09:00"",""close"":""11:00""}]}")</f>
        <v>{"regular":[{"days":["Sa"],"open":"09:00","close":"11:00"}]}</v>
      </c>
      <c r="L845" s="9"/>
      <c r="M845" s="10">
        <f>IFERROR(__xludf.DUMMYFUNCTION("""COMPUTED_VALUE"""),13.0)</f>
        <v>13</v>
      </c>
      <c r="N845" s="10" t="str">
        <f>IFERROR(__xludf.DUMMYFUNCTION("""COMPUTED_VALUE"""),"Food")</f>
        <v>Food</v>
      </c>
      <c r="O845" s="10">
        <f>IFERROR(__xludf.DUMMYFUNCTION("""COMPUTED_VALUE"""),1.0)</f>
        <v>1</v>
      </c>
      <c r="P845" s="10" t="str">
        <f>IFERROR(__xludf.DUMMYFUNCTION("""COMPUTED_VALUE"""),"ACTIVE")</f>
        <v>ACTIVE</v>
      </c>
      <c r="Q845" s="11"/>
      <c r="R845" s="9"/>
      <c r="S845" s="9"/>
      <c r="T845" s="12" t="b">
        <f>IFERROR(__xludf.DUMMYFUNCTION("""COMPUTED_VALUE"""),FALSE)</f>
        <v>0</v>
      </c>
      <c r="U845" s="12" t="b">
        <f>IFERROR(__xludf.DUMMYFUNCTION("""COMPUTED_VALUE"""),FALSE)</f>
        <v>0</v>
      </c>
      <c r="V845" s="13" t="str">
        <f>IFERROR(__xludf.DUMMYFUNCTION("""COMPUTED_VALUE"""),"https://www.stmarycctc.org/st-vincent-de-paul")</f>
        <v>https://www.stmarycctc.org/st-vincent-de-paul</v>
      </c>
      <c r="W845" s="14" t="str">
        <f>IFERROR(__xludf.DUMMYFUNCTION("""COMPUTED_VALUE"""),"https://maps.google.com/?q=St%20Mary's%20Texas%20City%20(SVdP%20D7)%201604%209th%20Ave%20N%20Texas%20City%20TX%2077590")</f>
        <v>https://maps.google.com/?q=St%20Mary's%20Texas%20City%20(SVdP%20D7)%201604%209th%20Ave%20N%20Texas%20City%20TX%2077590</v>
      </c>
      <c r="X845" s="10"/>
      <c r="Y845" s="9" t="str">
        <f>IFERROR(__xludf.DUMMYFUNCTION("""COMPUTED_VALUE"""),"Texas City")</f>
        <v>Texas City</v>
      </c>
      <c r="Z845" s="9" t="str">
        <f>IFERROR(__xludf.DUMMYFUNCTION("""COMPUTED_VALUE"""),"Texas City")</f>
        <v>Texas City</v>
      </c>
      <c r="AA845" s="9" t="str">
        <f>IFERROR(__xludf.DUMMYFUNCTION("""COMPUTED_VALUE"""),"Society of St Vincent de Paul")</f>
        <v>Society of St Vincent de Paul</v>
      </c>
      <c r="AB845" s="9" t="str">
        <f>IFERROR(__xludf.DUMMYFUNCTION("""COMPUTED_VALUE"""),"Texas City")</f>
        <v>Texas City</v>
      </c>
    </row>
    <row r="846" ht="30.0" customHeight="1">
      <c r="A846" s="17">
        <v>845.0</v>
      </c>
      <c r="B846" s="8" t="str">
        <f>IFERROR(__xludf.DUMMYFUNCTION("""COMPUTED_VALUE"""),"[""77041"", ""77088""]")</f>
        <v>["77041", "77088"]</v>
      </c>
      <c r="C846" s="9" t="str">
        <f>IFERROR(__xludf.DUMMYFUNCTION("""COMPUTED_VALUE"""),"St Matthew the Evangelist")</f>
        <v>St Matthew the Evangelist</v>
      </c>
      <c r="D846" s="9" t="str">
        <f>IFERROR(__xludf.DUMMYFUNCTION("""COMPUTED_VALUE"""),"9915 Hollister Street")</f>
        <v>9915 Hollister Street</v>
      </c>
      <c r="E846" s="9"/>
      <c r="F846" s="9" t="str">
        <f>IFERROR(__xludf.DUMMYFUNCTION("""COMPUTED_VALUE"""),"Houston")</f>
        <v>Houston</v>
      </c>
      <c r="G846" s="9" t="str">
        <f>IFERROR(__xludf.DUMMYFUNCTION("""COMPUTED_VALUE"""),"TX")</f>
        <v>TX</v>
      </c>
      <c r="H846" s="9" t="str">
        <f>IFERROR(__xludf.DUMMYFUNCTION("""COMPUTED_VALUE"""),"77040")</f>
        <v>77040</v>
      </c>
      <c r="I846" s="9" t="str">
        <f>IFERROR(__xludf.DUMMYFUNCTION("""COMPUTED_VALUE"""),"713-466-4030")</f>
        <v>713-466-4030</v>
      </c>
      <c r="J846" s="9" t="str">
        <f>IFERROR(__xludf.DUMMYFUNCTION("""COMPUTED_VALUE"""),"29.8845241666667, -95.5068628333333")</f>
        <v>29.8845241666667, -95.5068628333333</v>
      </c>
      <c r="K846" s="9" t="str">
        <f>IFERROR(__xludf.DUMMYFUNCTION("""COMPUTED_VALUE"""),"{""regular"":[{""days"":[""Mo"",""We""],""open"":""09:00"",""close"":""12:00""}]}")</f>
        <v>{"regular":[{"days":["Mo","We"],"open":"09:00","close":"12:00"}]}</v>
      </c>
      <c r="L846" s="9"/>
      <c r="M846" s="10">
        <f>IFERROR(__xludf.DUMMYFUNCTION("""COMPUTED_VALUE"""),13.0)</f>
        <v>13</v>
      </c>
      <c r="N846" s="10" t="str">
        <f>IFERROR(__xludf.DUMMYFUNCTION("""COMPUTED_VALUE"""),"Food")</f>
        <v>Food</v>
      </c>
      <c r="O846" s="10">
        <f>IFERROR(__xludf.DUMMYFUNCTION("""COMPUTED_VALUE"""),1.0)</f>
        <v>1</v>
      </c>
      <c r="P846" s="10" t="str">
        <f>IFERROR(__xludf.DUMMYFUNCTION("""COMPUTED_VALUE"""),"ACTIVE")</f>
        <v>ACTIVE</v>
      </c>
      <c r="Q846" s="11"/>
      <c r="R846" s="9"/>
      <c r="S846" s="9"/>
      <c r="T846" s="12" t="b">
        <f>IFERROR(__xludf.DUMMYFUNCTION("""COMPUTED_VALUE"""),FALSE)</f>
        <v>0</v>
      </c>
      <c r="U846" s="12" t="b">
        <f>IFERROR(__xludf.DUMMYFUNCTION("""COMPUTED_VALUE"""),FALSE)</f>
        <v>0</v>
      </c>
      <c r="V846" s="13" t="str">
        <f>IFERROR(__xludf.DUMMYFUNCTION("""COMPUTED_VALUE"""),"https://www.stmatthewhou.org/")</f>
        <v>https://www.stmatthewhou.org/</v>
      </c>
      <c r="W846" s="14" t="str">
        <f>IFERROR(__xludf.DUMMYFUNCTION("""COMPUTED_VALUE"""),"https://maps.google.com/?q=St%20Matthew%20the%20Evangelist%209915%20Hollister%20St%20Houston%20TX%2077040")</f>
        <v>https://maps.google.com/?q=St%20Matthew%20the%20Evangelist%209915%20Hollister%20St%20Houston%20TX%2077040</v>
      </c>
      <c r="X846" s="10"/>
      <c r="Y846" s="9" t="str">
        <f>IFERROR(__xludf.DUMMYFUNCTION("""COMPUTED_VALUE"""),"Houston")</f>
        <v>Houston</v>
      </c>
      <c r="Z846" s="9" t="str">
        <f>IFERROR(__xludf.DUMMYFUNCTION("""COMPUTED_VALUE"""),"Fairbanks / Northwest Crossing, Jersey Village, Northside, Oak Hollow")</f>
        <v>Fairbanks / Northwest Crossing, Jersey Village, Northside, Oak Hollow</v>
      </c>
      <c r="AA846" s="9" t="str">
        <f>IFERROR(__xludf.DUMMYFUNCTION("""COMPUTED_VALUE"""),"St Matthew the Evangelist")</f>
        <v>St Matthew the Evangelist</v>
      </c>
      <c r="AB846" s="9" t="str">
        <f>IFERROR(__xludf.DUMMYFUNCTION("""COMPUTED_VALUE"""),"Northside")</f>
        <v>Northside</v>
      </c>
    </row>
    <row r="847" ht="30.0" customHeight="1">
      <c r="A847" s="17">
        <v>846.0</v>
      </c>
      <c r="B847" s="8" t="str">
        <f>IFERROR(__xludf.DUMMYFUNCTION("""COMPUTED_VALUE"""),"[""77354"", ""77355"", ""77362""]")</f>
        <v>["77354", "77355", "77362"]</v>
      </c>
      <c r="C847" s="9" t="str">
        <f>IFERROR(__xludf.DUMMYFUNCTION("""COMPUTED_VALUE"""),"St Matthias (SVdP D6) Magnolia")</f>
        <v>St Matthias (SVdP D6) Magnolia</v>
      </c>
      <c r="D847" s="9" t="str">
        <f>IFERROR(__xludf.DUMMYFUNCTION("""COMPUTED_VALUE"""),"302 Magnolia Blvd")</f>
        <v>302 Magnolia Blvd</v>
      </c>
      <c r="E847" s="9"/>
      <c r="F847" s="9" t="str">
        <f>IFERROR(__xludf.DUMMYFUNCTION("""COMPUTED_VALUE"""),"Magnolia")</f>
        <v>Magnolia</v>
      </c>
      <c r="G847" s="9" t="str">
        <f>IFERROR(__xludf.DUMMYFUNCTION("""COMPUTED_VALUE"""),"TX")</f>
        <v>TX</v>
      </c>
      <c r="H847" s="9" t="str">
        <f>IFERROR(__xludf.DUMMYFUNCTION("""COMPUTED_VALUE"""),"77355")</f>
        <v>77355</v>
      </c>
      <c r="I847" s="9" t="str">
        <f>IFERROR(__xludf.DUMMYFUNCTION("""COMPUTED_VALUE"""),"281-259-7300")</f>
        <v>281-259-7300</v>
      </c>
      <c r="J847" s="9" t="str">
        <f>IFERROR(__xludf.DUMMYFUNCTION("""COMPUTED_VALUE"""),"30.208227, -95.748643")</f>
        <v>30.208227, -95.748643</v>
      </c>
      <c r="K847" s="9"/>
      <c r="L847" s="9"/>
      <c r="M847" s="10">
        <f>IFERROR(__xludf.DUMMYFUNCTION("""COMPUTED_VALUE"""),11.0)</f>
        <v>11</v>
      </c>
      <c r="N847" s="10" t="str">
        <f>IFERROR(__xludf.DUMMYFUNCTION("""COMPUTED_VALUE"""),"Rent")</f>
        <v>Rent</v>
      </c>
      <c r="O847" s="10">
        <f>IFERROR(__xludf.DUMMYFUNCTION("""COMPUTED_VALUE"""),1.0)</f>
        <v>1</v>
      </c>
      <c r="P847" s="10" t="str">
        <f>IFERROR(__xludf.DUMMYFUNCTION("""COMPUTED_VALUE"""),"ACTIVE")</f>
        <v>ACTIVE</v>
      </c>
      <c r="Q847" s="11">
        <f>IFERROR(__xludf.DUMMYFUNCTION("""COMPUTED_VALUE"""),45637.0)</f>
        <v>45637</v>
      </c>
      <c r="R847" s="9"/>
      <c r="S847" s="9"/>
      <c r="T847" s="12" t="b">
        <f>IFERROR(__xludf.DUMMYFUNCTION("""COMPUTED_VALUE"""),FALSE)</f>
        <v>0</v>
      </c>
      <c r="U847" s="12" t="b">
        <f>IFERROR(__xludf.DUMMYFUNCTION("""COMPUTED_VALUE"""),FALSE)</f>
        <v>0</v>
      </c>
      <c r="V847" s="13" t="str">
        <f>IFERROR(__xludf.DUMMYFUNCTION("""COMPUTED_VALUE"""),"https://st-matthias.net/st-vincent-de-paul")</f>
        <v>https://st-matthias.net/st-vincent-de-paul</v>
      </c>
      <c r="W847" s="14" t="str">
        <f>IFERROR(__xludf.DUMMYFUNCTION("""COMPUTED_VALUE"""),"https://maps.google.com/?q=St%20Matthias%20%20(SVdP%20D6)%20Magnolia%20302%20Magnolia%20Blvd%20Magnolia%20TX%2077355")</f>
        <v>https://maps.google.com/?q=St%20Matthias%20%20(SVdP%20D6)%20Magnolia%20302%20Magnolia%20Blvd%20Magnolia%20TX%2077355</v>
      </c>
      <c r="X847" s="10"/>
      <c r="Y847" s="9" t="str">
        <f>IFERROR(__xludf.DUMMYFUNCTION("""COMPUTED_VALUE"""),"Magnolia")</f>
        <v>Magnolia</v>
      </c>
      <c r="Z847" s="9" t="str">
        <f>IFERROR(__xludf.DUMMYFUNCTION("""COMPUTED_VALUE"""),"Magnolia")</f>
        <v>Magnolia</v>
      </c>
      <c r="AA847" s="9" t="str">
        <f>IFERROR(__xludf.DUMMYFUNCTION("""COMPUTED_VALUE"""),"Society of St Vincent de Paul")</f>
        <v>Society of St Vincent de Paul</v>
      </c>
      <c r="AB847" s="9" t="str">
        <f>IFERROR(__xludf.DUMMYFUNCTION("""COMPUTED_VALUE"""),"Magnolia")</f>
        <v>Magnolia</v>
      </c>
    </row>
    <row r="848" ht="30.0" customHeight="1">
      <c r="A848" s="17">
        <v>847.0</v>
      </c>
      <c r="B848" s="8" t="str">
        <f>IFERROR(__xludf.DUMMYFUNCTION("""COMPUTED_VALUE"""),"[""77354"", ""77355"", ""77362""]")</f>
        <v>["77354", "77355", "77362"]</v>
      </c>
      <c r="C848" s="9" t="str">
        <f>IFERROR(__xludf.DUMMYFUNCTION("""COMPUTED_VALUE"""),"St Matthias (SVdP D6) Magnolia")</f>
        <v>St Matthias (SVdP D6) Magnolia</v>
      </c>
      <c r="D848" s="9" t="str">
        <f>IFERROR(__xludf.DUMMYFUNCTION("""COMPUTED_VALUE"""),"302 Magnolia Blvd")</f>
        <v>302 Magnolia Blvd</v>
      </c>
      <c r="E848" s="9"/>
      <c r="F848" s="9" t="str">
        <f>IFERROR(__xludf.DUMMYFUNCTION("""COMPUTED_VALUE"""),"Magnolia")</f>
        <v>Magnolia</v>
      </c>
      <c r="G848" s="9" t="str">
        <f>IFERROR(__xludf.DUMMYFUNCTION("""COMPUTED_VALUE"""),"TX")</f>
        <v>TX</v>
      </c>
      <c r="H848" s="9" t="str">
        <f>IFERROR(__xludf.DUMMYFUNCTION("""COMPUTED_VALUE"""),"77355")</f>
        <v>77355</v>
      </c>
      <c r="I848" s="9" t="str">
        <f>IFERROR(__xludf.DUMMYFUNCTION("""COMPUTED_VALUE"""),"281-259-7300")</f>
        <v>281-259-7300</v>
      </c>
      <c r="J848" s="9" t="str">
        <f>IFERROR(__xludf.DUMMYFUNCTION("""COMPUTED_VALUE"""),"30.208227, -95.748643")</f>
        <v>30.208227, -95.748643</v>
      </c>
      <c r="K848" s="9"/>
      <c r="L848" s="9"/>
      <c r="M848" s="10">
        <f>IFERROR(__xludf.DUMMYFUNCTION("""COMPUTED_VALUE"""),12.0)</f>
        <v>12</v>
      </c>
      <c r="N848" s="10" t="str">
        <f>IFERROR(__xludf.DUMMYFUNCTION("""COMPUTED_VALUE"""),"Utilities")</f>
        <v>Utilities</v>
      </c>
      <c r="O848" s="10">
        <f>IFERROR(__xludf.DUMMYFUNCTION("""COMPUTED_VALUE"""),1.0)</f>
        <v>1</v>
      </c>
      <c r="P848" s="10" t="str">
        <f>IFERROR(__xludf.DUMMYFUNCTION("""COMPUTED_VALUE"""),"ACTIVE")</f>
        <v>ACTIVE</v>
      </c>
      <c r="Q848" s="11">
        <f>IFERROR(__xludf.DUMMYFUNCTION("""COMPUTED_VALUE"""),45637.0)</f>
        <v>45637</v>
      </c>
      <c r="R848" s="9"/>
      <c r="S848" s="9"/>
      <c r="T848" s="12" t="b">
        <f>IFERROR(__xludf.DUMMYFUNCTION("""COMPUTED_VALUE"""),FALSE)</f>
        <v>0</v>
      </c>
      <c r="U848" s="12" t="b">
        <f>IFERROR(__xludf.DUMMYFUNCTION("""COMPUTED_VALUE"""),FALSE)</f>
        <v>0</v>
      </c>
      <c r="V848" s="13" t="str">
        <f>IFERROR(__xludf.DUMMYFUNCTION("""COMPUTED_VALUE"""),"https://st-matthias.net/st-vincent-de-paul")</f>
        <v>https://st-matthias.net/st-vincent-de-paul</v>
      </c>
      <c r="W848" s="14" t="str">
        <f>IFERROR(__xludf.DUMMYFUNCTION("""COMPUTED_VALUE"""),"https://maps.google.com/?q=St%20Matthias%20%20(SVdP%20D6)%20Magnolia%20302%20Magnolia%20Blvd%20Magnolia%20TX%2077355")</f>
        <v>https://maps.google.com/?q=St%20Matthias%20%20(SVdP%20D6)%20Magnolia%20302%20Magnolia%20Blvd%20Magnolia%20TX%2077355</v>
      </c>
      <c r="X848" s="10"/>
      <c r="Y848" s="9" t="str">
        <f>IFERROR(__xludf.DUMMYFUNCTION("""COMPUTED_VALUE"""),"Magnolia")</f>
        <v>Magnolia</v>
      </c>
      <c r="Z848" s="9" t="str">
        <f>IFERROR(__xludf.DUMMYFUNCTION("""COMPUTED_VALUE"""),"Magnolia")</f>
        <v>Magnolia</v>
      </c>
      <c r="AA848" s="9" t="str">
        <f>IFERROR(__xludf.DUMMYFUNCTION("""COMPUTED_VALUE"""),"Society of St Vincent de Paul")</f>
        <v>Society of St Vincent de Paul</v>
      </c>
      <c r="AB848" s="9" t="str">
        <f>IFERROR(__xludf.DUMMYFUNCTION("""COMPUTED_VALUE"""),"Magnolia")</f>
        <v>Magnolia</v>
      </c>
    </row>
    <row r="849" ht="30.0" customHeight="1">
      <c r="A849" s="17">
        <v>848.0</v>
      </c>
      <c r="B849" s="8" t="str">
        <f>IFERROR(__xludf.DUMMYFUNCTION("""COMPUTED_VALUE"""),"[""77354"", ""77355"", ""77362""]")</f>
        <v>["77354", "77355", "77362"]</v>
      </c>
      <c r="C849" s="9" t="str">
        <f>IFERROR(__xludf.DUMMYFUNCTION("""COMPUTED_VALUE"""),"St Matthias (SVdP D6) Magnolia")</f>
        <v>St Matthias (SVdP D6) Magnolia</v>
      </c>
      <c r="D849" s="9" t="str">
        <f>IFERROR(__xludf.DUMMYFUNCTION("""COMPUTED_VALUE"""),"302 Magnolia Blvd")</f>
        <v>302 Magnolia Blvd</v>
      </c>
      <c r="E849" s="9"/>
      <c r="F849" s="9" t="str">
        <f>IFERROR(__xludf.DUMMYFUNCTION("""COMPUTED_VALUE"""),"Magnolia")</f>
        <v>Magnolia</v>
      </c>
      <c r="G849" s="9" t="str">
        <f>IFERROR(__xludf.DUMMYFUNCTION("""COMPUTED_VALUE"""),"TX")</f>
        <v>TX</v>
      </c>
      <c r="H849" s="9" t="str">
        <f>IFERROR(__xludf.DUMMYFUNCTION("""COMPUTED_VALUE"""),"77355")</f>
        <v>77355</v>
      </c>
      <c r="I849" s="9" t="str">
        <f>IFERROR(__xludf.DUMMYFUNCTION("""COMPUTED_VALUE"""),"281-259-7300")</f>
        <v>281-259-7300</v>
      </c>
      <c r="J849" s="9" t="str">
        <f>IFERROR(__xludf.DUMMYFUNCTION("""COMPUTED_VALUE"""),"30.208227, -95.748643")</f>
        <v>30.208227, -95.748643</v>
      </c>
      <c r="K849" s="9" t="str">
        <f>IFERROR(__xludf.DUMMYFUNCTION("""COMPUTED_VALUE"""),"{""regular"":[{""days"":[""Fr""],""open"":""09:00"",""close"":""13:30""}]}")</f>
        <v>{"regular":[{"days":["Fr"],"open":"09:00","close":"13:30"}]}</v>
      </c>
      <c r="L849" s="9"/>
      <c r="M849" s="10">
        <f>IFERROR(__xludf.DUMMYFUNCTION("""COMPUTED_VALUE"""),13.0)</f>
        <v>13</v>
      </c>
      <c r="N849" s="10" t="str">
        <f>IFERROR(__xludf.DUMMYFUNCTION("""COMPUTED_VALUE"""),"Food")</f>
        <v>Food</v>
      </c>
      <c r="O849" s="10">
        <f>IFERROR(__xludf.DUMMYFUNCTION("""COMPUTED_VALUE"""),1.0)</f>
        <v>1</v>
      </c>
      <c r="P849" s="10" t="str">
        <f>IFERROR(__xludf.DUMMYFUNCTION("""COMPUTED_VALUE"""),"ACTIVE")</f>
        <v>ACTIVE</v>
      </c>
      <c r="Q849" s="11">
        <f>IFERROR(__xludf.DUMMYFUNCTION("""COMPUTED_VALUE"""),45637.0)</f>
        <v>45637</v>
      </c>
      <c r="R849" s="9"/>
      <c r="S849" s="9" t="str">
        <f>IFERROR(__xludf.DUMMYFUNCTION("""COMPUTED_VALUE"""),"Will deliver to those who are homebound.")</f>
        <v>Will deliver to those who are homebound.</v>
      </c>
      <c r="T849" s="12" t="b">
        <f>IFERROR(__xludf.DUMMYFUNCTION("""COMPUTED_VALUE"""),FALSE)</f>
        <v>0</v>
      </c>
      <c r="U849" s="12" t="b">
        <f>IFERROR(__xludf.DUMMYFUNCTION("""COMPUTED_VALUE"""),FALSE)</f>
        <v>0</v>
      </c>
      <c r="V849" s="13" t="str">
        <f>IFERROR(__xludf.DUMMYFUNCTION("""COMPUTED_VALUE"""),"https://st-matthias.net/st-vincent-de-paul")</f>
        <v>https://st-matthias.net/st-vincent-de-paul</v>
      </c>
      <c r="W849" s="14" t="str">
        <f>IFERROR(__xludf.DUMMYFUNCTION("""COMPUTED_VALUE"""),"https://maps.google.com/?q=St%20Matthias%20%20(SVdP%20D6)%20Magnolia%20302%20Magnolia%20Blvd%20Magnolia%20TX%2077355")</f>
        <v>https://maps.google.com/?q=St%20Matthias%20%20(SVdP%20D6)%20Magnolia%20302%20Magnolia%20Blvd%20Magnolia%20TX%2077355</v>
      </c>
      <c r="X849" s="10"/>
      <c r="Y849" s="9" t="str">
        <f>IFERROR(__xludf.DUMMYFUNCTION("""COMPUTED_VALUE"""),"Magnolia")</f>
        <v>Magnolia</v>
      </c>
      <c r="Z849" s="9" t="str">
        <f>IFERROR(__xludf.DUMMYFUNCTION("""COMPUTED_VALUE"""),"Magnolia")</f>
        <v>Magnolia</v>
      </c>
      <c r="AA849" s="9" t="str">
        <f>IFERROR(__xludf.DUMMYFUNCTION("""COMPUTED_VALUE"""),"Society of St Vincent de Paul")</f>
        <v>Society of St Vincent de Paul</v>
      </c>
      <c r="AB849" s="9" t="str">
        <f>IFERROR(__xludf.DUMMYFUNCTION("""COMPUTED_VALUE"""),"Magnolia")</f>
        <v>Magnolia</v>
      </c>
    </row>
    <row r="850" ht="30.0" customHeight="1">
      <c r="A850" s="17">
        <v>849.0</v>
      </c>
      <c r="B850" s="8" t="str">
        <f>IFERROR(__xludf.DUMMYFUNCTION("""COMPUTED_VALUE"""),"[""77354"", ""77355"", ""77362""]")</f>
        <v>["77354", "77355", "77362"]</v>
      </c>
      <c r="C850" s="9" t="str">
        <f>IFERROR(__xludf.DUMMYFUNCTION("""COMPUTED_VALUE"""),"St Matthias (SVdP D6) Magnolia")</f>
        <v>St Matthias (SVdP D6) Magnolia</v>
      </c>
      <c r="D850" s="9" t="str">
        <f>IFERROR(__xludf.DUMMYFUNCTION("""COMPUTED_VALUE"""),"302 Magnolia Blvd")</f>
        <v>302 Magnolia Blvd</v>
      </c>
      <c r="E850" s="9"/>
      <c r="F850" s="9" t="str">
        <f>IFERROR(__xludf.DUMMYFUNCTION("""COMPUTED_VALUE"""),"Magnolia")</f>
        <v>Magnolia</v>
      </c>
      <c r="G850" s="9" t="str">
        <f>IFERROR(__xludf.DUMMYFUNCTION("""COMPUTED_VALUE"""),"TX")</f>
        <v>TX</v>
      </c>
      <c r="H850" s="9" t="str">
        <f>IFERROR(__xludf.DUMMYFUNCTION("""COMPUTED_VALUE"""),"77355")</f>
        <v>77355</v>
      </c>
      <c r="I850" s="9" t="str">
        <f>IFERROR(__xludf.DUMMYFUNCTION("""COMPUTED_VALUE"""),"281-259-7300")</f>
        <v>281-259-7300</v>
      </c>
      <c r="J850" s="9" t="str">
        <f>IFERROR(__xludf.DUMMYFUNCTION("""COMPUTED_VALUE"""),"30.208227, -95.748643")</f>
        <v>30.208227, -95.748643</v>
      </c>
      <c r="K850" s="9"/>
      <c r="L850" s="9"/>
      <c r="M850" s="10">
        <f>IFERROR(__xludf.DUMMYFUNCTION("""COMPUTED_VALUE"""),32.0)</f>
        <v>32</v>
      </c>
      <c r="N850" s="10" t="str">
        <f>IFERROR(__xludf.DUMMYFUNCTION("""COMPUTED_VALUE"""),"Medical - Dental &amp; Vision")</f>
        <v>Medical - Dental &amp; Vision</v>
      </c>
      <c r="O850" s="10">
        <f>IFERROR(__xludf.DUMMYFUNCTION("""COMPUTED_VALUE"""),1.0)</f>
        <v>1</v>
      </c>
      <c r="P850" s="10" t="str">
        <f>IFERROR(__xludf.DUMMYFUNCTION("""COMPUTED_VALUE"""),"ACTIVE")</f>
        <v>ACTIVE</v>
      </c>
      <c r="Q850" s="11">
        <f>IFERROR(__xludf.DUMMYFUNCTION("""COMPUTED_VALUE"""),45637.0)</f>
        <v>45637</v>
      </c>
      <c r="R850" s="9"/>
      <c r="S850" s="9" t="str">
        <f>IFERROR(__xludf.DUMMYFUNCTION("""COMPUTED_VALUE"""),"Dental &amp; Vision
Help pay for dental care and eyeglasses")</f>
        <v>Dental &amp; Vision
Help pay for dental care and eyeglasses</v>
      </c>
      <c r="T850" s="12" t="b">
        <f>IFERROR(__xludf.DUMMYFUNCTION("""COMPUTED_VALUE"""),TRUE)</f>
        <v>1</v>
      </c>
      <c r="U850" s="12" t="b">
        <f>IFERROR(__xludf.DUMMYFUNCTION("""COMPUTED_VALUE"""),FALSE)</f>
        <v>0</v>
      </c>
      <c r="V850" s="13" t="str">
        <f>IFERROR(__xludf.DUMMYFUNCTION("""COMPUTED_VALUE"""),"https://st-matthias.net/st-vincent-de-paul")</f>
        <v>https://st-matthias.net/st-vincent-de-paul</v>
      </c>
      <c r="W850" s="14" t="str">
        <f>IFERROR(__xludf.DUMMYFUNCTION("""COMPUTED_VALUE"""),"https://maps.google.com/?q=St%20Matthias%20%20(SVdP%20D6)%20Magnolia%20302%20Magnolia%20Blvd%20Magnolia%20TX%2077355")</f>
        <v>https://maps.google.com/?q=St%20Matthias%20%20(SVdP%20D6)%20Magnolia%20302%20Magnolia%20Blvd%20Magnolia%20TX%2077355</v>
      </c>
      <c r="X850" s="10"/>
      <c r="Y850" s="9" t="str">
        <f>IFERROR(__xludf.DUMMYFUNCTION("""COMPUTED_VALUE"""),"Magnolia")</f>
        <v>Magnolia</v>
      </c>
      <c r="Z850" s="9" t="str">
        <f>IFERROR(__xludf.DUMMYFUNCTION("""COMPUTED_VALUE"""),"Magnolia")</f>
        <v>Magnolia</v>
      </c>
      <c r="AA850" s="9" t="str">
        <f>IFERROR(__xludf.DUMMYFUNCTION("""COMPUTED_VALUE"""),"Society of St Vincent de Paul")</f>
        <v>Society of St Vincent de Paul</v>
      </c>
      <c r="AB850" s="9" t="str">
        <f>IFERROR(__xludf.DUMMYFUNCTION("""COMPUTED_VALUE"""),"Magnolia")</f>
        <v>Magnolia</v>
      </c>
    </row>
    <row r="851" ht="30.0" customHeight="1">
      <c r="A851" s="17">
        <v>850.0</v>
      </c>
      <c r="B851" s="8" t="str">
        <f>IFERROR(__xludf.DUMMYFUNCTION("""COMPUTED_VALUE"""),"[""77354"", ""77355"", ""77362""]")</f>
        <v>["77354", "77355", "77362"]</v>
      </c>
      <c r="C851" s="9" t="str">
        <f>IFERROR(__xludf.DUMMYFUNCTION("""COMPUTED_VALUE"""),"St Matthias (SVdP D6) Magnolia")</f>
        <v>St Matthias (SVdP D6) Magnolia</v>
      </c>
      <c r="D851" s="9" t="str">
        <f>IFERROR(__xludf.DUMMYFUNCTION("""COMPUTED_VALUE"""),"302 Magnolia Blvd")</f>
        <v>302 Magnolia Blvd</v>
      </c>
      <c r="E851" s="9"/>
      <c r="F851" s="9" t="str">
        <f>IFERROR(__xludf.DUMMYFUNCTION("""COMPUTED_VALUE"""),"Magnolia")</f>
        <v>Magnolia</v>
      </c>
      <c r="G851" s="9" t="str">
        <f>IFERROR(__xludf.DUMMYFUNCTION("""COMPUTED_VALUE"""),"TX")</f>
        <v>TX</v>
      </c>
      <c r="H851" s="9" t="str">
        <f>IFERROR(__xludf.DUMMYFUNCTION("""COMPUTED_VALUE"""),"77355")</f>
        <v>77355</v>
      </c>
      <c r="I851" s="9" t="str">
        <f>IFERROR(__xludf.DUMMYFUNCTION("""COMPUTED_VALUE"""),"281-259-7300")</f>
        <v>281-259-7300</v>
      </c>
      <c r="J851" s="9" t="str">
        <f>IFERROR(__xludf.DUMMYFUNCTION("""COMPUTED_VALUE"""),"30.208227, -95.748643")</f>
        <v>30.208227, -95.748643</v>
      </c>
      <c r="K851" s="9"/>
      <c r="L851" s="9"/>
      <c r="M851" s="10">
        <f>IFERROR(__xludf.DUMMYFUNCTION("""COMPUTED_VALUE"""),36.0)</f>
        <v>36</v>
      </c>
      <c r="N851" s="10" t="str">
        <f>IFERROR(__xludf.DUMMYFUNCTION("""COMPUTED_VALUE"""),"Medical - Bill Payment")</f>
        <v>Medical - Bill Payment</v>
      </c>
      <c r="O851" s="10">
        <f>IFERROR(__xludf.DUMMYFUNCTION("""COMPUTED_VALUE"""),1.0)</f>
        <v>1</v>
      </c>
      <c r="P851" s="10" t="str">
        <f>IFERROR(__xludf.DUMMYFUNCTION("""COMPUTED_VALUE"""),"ACTIVE")</f>
        <v>ACTIVE</v>
      </c>
      <c r="Q851" s="11">
        <f>IFERROR(__xludf.DUMMYFUNCTION("""COMPUTED_VALUE"""),45637.0)</f>
        <v>45637</v>
      </c>
      <c r="R851" s="9"/>
      <c r="S851" s="9" t="str">
        <f>IFERROR(__xludf.DUMMYFUNCTION("""COMPUTED_VALUE"""),"Help with prescriptions.")</f>
        <v>Help with prescriptions.</v>
      </c>
      <c r="T851" s="12" t="b">
        <f>IFERROR(__xludf.DUMMYFUNCTION("""COMPUTED_VALUE"""),FALSE)</f>
        <v>0</v>
      </c>
      <c r="U851" s="12" t="b">
        <f>IFERROR(__xludf.DUMMYFUNCTION("""COMPUTED_VALUE"""),FALSE)</f>
        <v>0</v>
      </c>
      <c r="V851" s="13" t="str">
        <f>IFERROR(__xludf.DUMMYFUNCTION("""COMPUTED_VALUE"""),"https://st-matthias.net/st-vincent-de-paul")</f>
        <v>https://st-matthias.net/st-vincent-de-paul</v>
      </c>
      <c r="W851" s="14" t="str">
        <f>IFERROR(__xludf.DUMMYFUNCTION("""COMPUTED_VALUE"""),"https://maps.google.com/?q=St%20Matthias%20%20(SVdP%20D6)%20Magnolia%20302%20Magnolia%20Blvd%20Magnolia%20TX%2077355")</f>
        <v>https://maps.google.com/?q=St%20Matthias%20%20(SVdP%20D6)%20Magnolia%20302%20Magnolia%20Blvd%20Magnolia%20TX%2077355</v>
      </c>
      <c r="X851" s="10"/>
      <c r="Y851" s="9" t="str">
        <f>IFERROR(__xludf.DUMMYFUNCTION("""COMPUTED_VALUE"""),"Magnolia")</f>
        <v>Magnolia</v>
      </c>
      <c r="Z851" s="9" t="str">
        <f>IFERROR(__xludf.DUMMYFUNCTION("""COMPUTED_VALUE"""),"Magnolia")</f>
        <v>Magnolia</v>
      </c>
      <c r="AA851" s="9" t="str">
        <f>IFERROR(__xludf.DUMMYFUNCTION("""COMPUTED_VALUE"""),"Society of St Vincent de Paul")</f>
        <v>Society of St Vincent de Paul</v>
      </c>
      <c r="AB851" s="9" t="str">
        <f>IFERROR(__xludf.DUMMYFUNCTION("""COMPUTED_VALUE"""),"Magnolia")</f>
        <v>Magnolia</v>
      </c>
    </row>
    <row r="852" ht="30.0" customHeight="1">
      <c r="A852" s="17">
        <v>851.0</v>
      </c>
      <c r="B852" s="8" t="str">
        <f>IFERROR(__xludf.DUMMYFUNCTION("""COMPUTED_VALUE"""),"[""77430"", ""77444"", ""77461""]")</f>
        <v>["77430", "77444", "77461"]</v>
      </c>
      <c r="C852" s="9" t="str">
        <f>IFERROR(__xludf.DUMMYFUNCTION("""COMPUTED_VALUE"""),"St Michael the Archangel (SVdP D2) Needville")</f>
        <v>St Michael the Archangel (SVdP D2) Needville</v>
      </c>
      <c r="D852" s="9" t="str">
        <f>IFERROR(__xludf.DUMMYFUNCTION("""COMPUTED_VALUE"""),"9214 Main Street")</f>
        <v>9214 Main Street</v>
      </c>
      <c r="E852" s="9"/>
      <c r="F852" s="9" t="str">
        <f>IFERROR(__xludf.DUMMYFUNCTION("""COMPUTED_VALUE"""),"Needville")</f>
        <v>Needville</v>
      </c>
      <c r="G852" s="9" t="str">
        <f>IFERROR(__xludf.DUMMYFUNCTION("""COMPUTED_VALUE"""),"TX")</f>
        <v>TX</v>
      </c>
      <c r="H852" s="9" t="str">
        <f>IFERROR(__xludf.DUMMYFUNCTION("""COMPUTED_VALUE"""),"77461")</f>
        <v>77461</v>
      </c>
      <c r="I852" s="9" t="str">
        <f>IFERROR(__xludf.DUMMYFUNCTION("""COMPUTED_VALUE"""),"979-793-4477")</f>
        <v>979-793-4477</v>
      </c>
      <c r="J852" s="9" t="str">
        <f>IFERROR(__xludf.DUMMYFUNCTION("""COMPUTED_VALUE"""),"29.3974153163265, -95.8354615102041")</f>
        <v>29.3974153163265, -95.8354615102041</v>
      </c>
      <c r="K852" s="9" t="str">
        <f>IFERROR(__xludf.DUMMYFUNCTION("""COMPUTED_VALUE"""),"{""regular"":[{""days"":[""Mo"",""Tu"",""We"",""Th"",""Fr""],""open"":""09:00"",""close"":""14:30""}]}")</f>
        <v>{"regular":[{"days":["Mo","Tu","We","Th","Fr"],"open":"09:00","close":"14:30"}]}</v>
      </c>
      <c r="L852" s="9"/>
      <c r="M852" s="10">
        <f>IFERROR(__xludf.DUMMYFUNCTION("""COMPUTED_VALUE"""),11.0)</f>
        <v>11</v>
      </c>
      <c r="N852" s="10" t="str">
        <f>IFERROR(__xludf.DUMMYFUNCTION("""COMPUTED_VALUE"""),"Rent")</f>
        <v>Rent</v>
      </c>
      <c r="O852" s="10">
        <f>IFERROR(__xludf.DUMMYFUNCTION("""COMPUTED_VALUE"""),1.0)</f>
        <v>1</v>
      </c>
      <c r="P852" s="10" t="str">
        <f>IFERROR(__xludf.DUMMYFUNCTION("""COMPUTED_VALUE"""),"ACTIVE")</f>
        <v>ACTIVE</v>
      </c>
      <c r="Q852" s="11"/>
      <c r="R852" s="9"/>
      <c r="S852" s="9"/>
      <c r="T852" s="12" t="b">
        <f>IFERROR(__xludf.DUMMYFUNCTION("""COMPUTED_VALUE"""),FALSE)</f>
        <v>0</v>
      </c>
      <c r="U852" s="12" t="b">
        <f>IFERROR(__xludf.DUMMYFUNCTION("""COMPUTED_VALUE"""),FALSE)</f>
        <v>0</v>
      </c>
      <c r="V852" s="13" t="str">
        <f>IFERROR(__xludf.DUMMYFUNCTION("""COMPUTED_VALUE"""),"https://needvillecatholic.com/")</f>
        <v>https://needvillecatholic.com/</v>
      </c>
      <c r="W852" s="14" t="str">
        <f>IFERROR(__xludf.DUMMYFUNCTION("""COMPUTED_VALUE"""),"https://maps.google.com/?q=St%20Michael%20the%20Archangel%20(SVdP%20D2)%20Needville%209214%20Main%20St%20Needville%20TX%2077461")</f>
        <v>https://maps.google.com/?q=St%20Michael%20the%20Archangel%20(SVdP%20D2)%20Needville%209214%20Main%20St%20Needville%20TX%2077461</v>
      </c>
      <c r="X852" s="10"/>
      <c r="Y852" s="9" t="str">
        <f>IFERROR(__xludf.DUMMYFUNCTION("""COMPUTED_VALUE"""),"Needville")</f>
        <v>Needville</v>
      </c>
      <c r="Z852" s="9" t="str">
        <f>IFERROR(__xludf.DUMMYFUNCTION("""COMPUTED_VALUE"""),"Needville")</f>
        <v>Needville</v>
      </c>
      <c r="AA852" s="9" t="str">
        <f>IFERROR(__xludf.DUMMYFUNCTION("""COMPUTED_VALUE"""),"Society of St Vincent de Paul")</f>
        <v>Society of St Vincent de Paul</v>
      </c>
      <c r="AB852" s="9" t="str">
        <f>IFERROR(__xludf.DUMMYFUNCTION("""COMPUTED_VALUE"""),"Needville")</f>
        <v>Needville</v>
      </c>
    </row>
    <row r="853" ht="30.0" customHeight="1">
      <c r="A853" s="17">
        <v>852.0</v>
      </c>
      <c r="B853" s="8" t="str">
        <f>IFERROR(__xludf.DUMMYFUNCTION("""COMPUTED_VALUE"""),"[""77430"", ""77444"", ""77461""]")</f>
        <v>["77430", "77444", "77461"]</v>
      </c>
      <c r="C853" s="9" t="str">
        <f>IFERROR(__xludf.DUMMYFUNCTION("""COMPUTED_VALUE"""),"St Michael the Archangel (SVdP D2) Needville")</f>
        <v>St Michael the Archangel (SVdP D2) Needville</v>
      </c>
      <c r="D853" s="9" t="str">
        <f>IFERROR(__xludf.DUMMYFUNCTION("""COMPUTED_VALUE"""),"9214 Main Street")</f>
        <v>9214 Main Street</v>
      </c>
      <c r="E853" s="9"/>
      <c r="F853" s="9" t="str">
        <f>IFERROR(__xludf.DUMMYFUNCTION("""COMPUTED_VALUE"""),"Needville")</f>
        <v>Needville</v>
      </c>
      <c r="G853" s="9" t="str">
        <f>IFERROR(__xludf.DUMMYFUNCTION("""COMPUTED_VALUE"""),"TX")</f>
        <v>TX</v>
      </c>
      <c r="H853" s="9" t="str">
        <f>IFERROR(__xludf.DUMMYFUNCTION("""COMPUTED_VALUE"""),"77461")</f>
        <v>77461</v>
      </c>
      <c r="I853" s="9" t="str">
        <f>IFERROR(__xludf.DUMMYFUNCTION("""COMPUTED_VALUE"""),"979-793-4477")</f>
        <v>979-793-4477</v>
      </c>
      <c r="J853" s="9" t="str">
        <f>IFERROR(__xludf.DUMMYFUNCTION("""COMPUTED_VALUE"""),"29.3974153163265, -95.8354615102041")</f>
        <v>29.3974153163265, -95.8354615102041</v>
      </c>
      <c r="K853" s="9" t="str">
        <f>IFERROR(__xludf.DUMMYFUNCTION("""COMPUTED_VALUE"""),"{""regular"":[{""days"":[""Mo"",""Tu"",""We"",""Th"",""Fr""],""open"":""09:00"",""close"":""14:30""}]}")</f>
        <v>{"regular":[{"days":["Mo","Tu","We","Th","Fr"],"open":"09:00","close":"14:30"}]}</v>
      </c>
      <c r="L853" s="9"/>
      <c r="M853" s="10">
        <f>IFERROR(__xludf.DUMMYFUNCTION("""COMPUTED_VALUE"""),12.0)</f>
        <v>12</v>
      </c>
      <c r="N853" s="10" t="str">
        <f>IFERROR(__xludf.DUMMYFUNCTION("""COMPUTED_VALUE"""),"Utilities")</f>
        <v>Utilities</v>
      </c>
      <c r="O853" s="10">
        <f>IFERROR(__xludf.DUMMYFUNCTION("""COMPUTED_VALUE"""),1.0)</f>
        <v>1</v>
      </c>
      <c r="P853" s="10" t="str">
        <f>IFERROR(__xludf.DUMMYFUNCTION("""COMPUTED_VALUE"""),"ACTIVE")</f>
        <v>ACTIVE</v>
      </c>
      <c r="Q853" s="11"/>
      <c r="R853" s="9"/>
      <c r="S853" s="9"/>
      <c r="T853" s="12" t="b">
        <f>IFERROR(__xludf.DUMMYFUNCTION("""COMPUTED_VALUE"""),FALSE)</f>
        <v>0</v>
      </c>
      <c r="U853" s="12" t="b">
        <f>IFERROR(__xludf.DUMMYFUNCTION("""COMPUTED_VALUE"""),FALSE)</f>
        <v>0</v>
      </c>
      <c r="V853" s="13" t="str">
        <f>IFERROR(__xludf.DUMMYFUNCTION("""COMPUTED_VALUE"""),"https://needvillecatholic.com/")</f>
        <v>https://needvillecatholic.com/</v>
      </c>
      <c r="W853" s="14" t="str">
        <f>IFERROR(__xludf.DUMMYFUNCTION("""COMPUTED_VALUE"""),"https://maps.google.com/?q=St%20Michael%20the%20Archangel%20(SVdP%20D2)%20Needville%209214%20Main%20St%20Needville%20TX%2077461")</f>
        <v>https://maps.google.com/?q=St%20Michael%20the%20Archangel%20(SVdP%20D2)%20Needville%209214%20Main%20St%20Needville%20TX%2077461</v>
      </c>
      <c r="X853" s="10"/>
      <c r="Y853" s="9" t="str">
        <f>IFERROR(__xludf.DUMMYFUNCTION("""COMPUTED_VALUE"""),"Needville")</f>
        <v>Needville</v>
      </c>
      <c r="Z853" s="9" t="str">
        <f>IFERROR(__xludf.DUMMYFUNCTION("""COMPUTED_VALUE"""),"Needville")</f>
        <v>Needville</v>
      </c>
      <c r="AA853" s="9" t="str">
        <f>IFERROR(__xludf.DUMMYFUNCTION("""COMPUTED_VALUE"""),"Society of St Vincent de Paul")</f>
        <v>Society of St Vincent de Paul</v>
      </c>
      <c r="AB853" s="9" t="str">
        <f>IFERROR(__xludf.DUMMYFUNCTION("""COMPUTED_VALUE"""),"Needville")</f>
        <v>Needville</v>
      </c>
    </row>
    <row r="854" ht="30.0" customHeight="1">
      <c r="A854" s="17">
        <v>853.0</v>
      </c>
      <c r="B854" s="8" t="str">
        <f>IFERROR(__xludf.DUMMYFUNCTION("""COMPUTED_VALUE"""),"[""77027"", ""77056"", ""77057"", ""77063""]")</f>
        <v>["77027", "77056", "77057", "77063"]</v>
      </c>
      <c r="C854" s="9" t="str">
        <f>IFERROR(__xludf.DUMMYFUNCTION("""COMPUTED_VALUE"""),"St Michael the Archangel (SVdP D3)")</f>
        <v>St Michael the Archangel (SVdP D3)</v>
      </c>
      <c r="D854" s="9" t="str">
        <f>IFERROR(__xludf.DUMMYFUNCTION("""COMPUTED_VALUE"""),"1801 Sage Road")</f>
        <v>1801 Sage Road</v>
      </c>
      <c r="E854" s="9"/>
      <c r="F854" s="9" t="str">
        <f>IFERROR(__xludf.DUMMYFUNCTION("""COMPUTED_VALUE"""),"Houston")</f>
        <v>Houston</v>
      </c>
      <c r="G854" s="9" t="str">
        <f>IFERROR(__xludf.DUMMYFUNCTION("""COMPUTED_VALUE"""),"TX")</f>
        <v>TX</v>
      </c>
      <c r="H854" s="9" t="str">
        <f>IFERROR(__xludf.DUMMYFUNCTION("""COMPUTED_VALUE"""),"77056")</f>
        <v>77056</v>
      </c>
      <c r="I854" s="9" t="str">
        <f>IFERROR(__xludf.DUMMYFUNCTION("""COMPUTED_VALUE"""),"713-403-4102")</f>
        <v>713-403-4102</v>
      </c>
      <c r="J854" s="9" t="str">
        <f>IFERROR(__xludf.DUMMYFUNCTION("""COMPUTED_VALUE"""),"29.748979509434, -95.4672613207547")</f>
        <v>29.748979509434, -95.4672613207547</v>
      </c>
      <c r="K854" s="9" t="str">
        <f>IFERROR(__xludf.DUMMYFUNCTION("""COMPUTED_VALUE"""),"{""regular"":[{""days"":[""Mo"",""Tu"",""We"",""Th"",""Fr""],""open"":""08:00"",""close"":""14:00""}]}")</f>
        <v>{"regular":[{"days":["Mo","Tu","We","Th","Fr"],"open":"08:00","close":"14:00"}]}</v>
      </c>
      <c r="L854" s="9"/>
      <c r="M854" s="10">
        <f>IFERROR(__xludf.DUMMYFUNCTION("""COMPUTED_VALUE"""),11.0)</f>
        <v>11</v>
      </c>
      <c r="N854" s="10" t="str">
        <f>IFERROR(__xludf.DUMMYFUNCTION("""COMPUTED_VALUE"""),"Rent")</f>
        <v>Rent</v>
      </c>
      <c r="O854" s="10">
        <f>IFERROR(__xludf.DUMMYFUNCTION("""COMPUTED_VALUE"""),1.0)</f>
        <v>1</v>
      </c>
      <c r="P854" s="10" t="str">
        <f>IFERROR(__xludf.DUMMYFUNCTION("""COMPUTED_VALUE"""),"ACTIVE")</f>
        <v>ACTIVE</v>
      </c>
      <c r="Q854" s="11">
        <f>IFERROR(__xludf.DUMMYFUNCTION("""COMPUTED_VALUE"""),45637.0)</f>
        <v>45637</v>
      </c>
      <c r="R854" s="9"/>
      <c r="S854" s="9"/>
      <c r="T854" s="12" t="b">
        <f>IFERROR(__xludf.DUMMYFUNCTION("""COMPUTED_VALUE"""),FALSE)</f>
        <v>0</v>
      </c>
      <c r="U854" s="12" t="b">
        <f>IFERROR(__xludf.DUMMYFUNCTION("""COMPUTED_VALUE"""),FALSE)</f>
        <v>0</v>
      </c>
      <c r="V854" s="13" t="str">
        <f>IFERROR(__xludf.DUMMYFUNCTION("""COMPUTED_VALUE"""),"https://www.stmichaelchurch.net/society-of-st-vincent-de-paul")</f>
        <v>https://www.stmichaelchurch.net/society-of-st-vincent-de-paul</v>
      </c>
      <c r="W854" s="14" t="str">
        <f>IFERROR(__xludf.DUMMYFUNCTION("""COMPUTED_VALUE"""),"https://maps.google.com/?q=St%20Michael%20the%20Archangel%20(SVdP%20D3)%201801%20Sage%20Rd%20Houston%20TX%2077056")</f>
        <v>https://maps.google.com/?q=St%20Michael%20the%20Archangel%20(SVdP%20D3)%201801%20Sage%20Rd%20Houston%20TX%2077056</v>
      </c>
      <c r="X854" s="10"/>
      <c r="Y854" s="9" t="str">
        <f>IFERROR(__xludf.DUMMYFUNCTION("""COMPUTED_VALUE"""),"Houston")</f>
        <v>Houston</v>
      </c>
      <c r="Z854" s="9" t="str">
        <f>IFERROR(__xludf.DUMMYFUNCTION("""COMPUTED_VALUE"""),"Galleria, Tanglewood, Uptown, Westside")</f>
        <v>Galleria, Tanglewood, Uptown, Westside</v>
      </c>
      <c r="AA854" s="9" t="str">
        <f>IFERROR(__xludf.DUMMYFUNCTION("""COMPUTED_VALUE"""),"Society of St Vincent de Paul")</f>
        <v>Society of St Vincent de Paul</v>
      </c>
      <c r="AB854" s="9" t="str">
        <f>IFERROR(__xludf.DUMMYFUNCTION("""COMPUTED_VALUE"""),"Westside")</f>
        <v>Westside</v>
      </c>
    </row>
    <row r="855" ht="30.0" customHeight="1">
      <c r="A855" s="17">
        <v>854.0</v>
      </c>
      <c r="B855" s="8" t="str">
        <f>IFERROR(__xludf.DUMMYFUNCTION("""COMPUTED_VALUE"""),"[""77027"", ""77056"", ""77057"", ""77063""]")</f>
        <v>["77027", "77056", "77057", "77063"]</v>
      </c>
      <c r="C855" s="9" t="str">
        <f>IFERROR(__xludf.DUMMYFUNCTION("""COMPUTED_VALUE"""),"St Michael the Archangel (SVdP D3)")</f>
        <v>St Michael the Archangel (SVdP D3)</v>
      </c>
      <c r="D855" s="9" t="str">
        <f>IFERROR(__xludf.DUMMYFUNCTION("""COMPUTED_VALUE"""),"1801 Sage Road")</f>
        <v>1801 Sage Road</v>
      </c>
      <c r="E855" s="9"/>
      <c r="F855" s="9" t="str">
        <f>IFERROR(__xludf.DUMMYFUNCTION("""COMPUTED_VALUE"""),"Houston")</f>
        <v>Houston</v>
      </c>
      <c r="G855" s="9" t="str">
        <f>IFERROR(__xludf.DUMMYFUNCTION("""COMPUTED_VALUE"""),"TX")</f>
        <v>TX</v>
      </c>
      <c r="H855" s="9" t="str">
        <f>IFERROR(__xludf.DUMMYFUNCTION("""COMPUTED_VALUE"""),"77056")</f>
        <v>77056</v>
      </c>
      <c r="I855" s="9" t="str">
        <f>IFERROR(__xludf.DUMMYFUNCTION("""COMPUTED_VALUE"""),"713-403-4102")</f>
        <v>713-403-4102</v>
      </c>
      <c r="J855" s="9" t="str">
        <f>IFERROR(__xludf.DUMMYFUNCTION("""COMPUTED_VALUE"""),"29.748979509434, -95.4672613207547")</f>
        <v>29.748979509434, -95.4672613207547</v>
      </c>
      <c r="K855" s="9" t="str">
        <f>IFERROR(__xludf.DUMMYFUNCTION("""COMPUTED_VALUE"""),"{""regular"":[{""days"":[""Mo"",""Tu"",""We"",""Th"",""Fr""],""open"":""08:00"",""close"":""14:00""}]}")</f>
        <v>{"regular":[{"days":["Mo","Tu","We","Th","Fr"],"open":"08:00","close":"14:00"}]}</v>
      </c>
      <c r="L855" s="9"/>
      <c r="M855" s="10">
        <f>IFERROR(__xludf.DUMMYFUNCTION("""COMPUTED_VALUE"""),12.0)</f>
        <v>12</v>
      </c>
      <c r="N855" s="10" t="str">
        <f>IFERROR(__xludf.DUMMYFUNCTION("""COMPUTED_VALUE"""),"Utilities")</f>
        <v>Utilities</v>
      </c>
      <c r="O855" s="10">
        <f>IFERROR(__xludf.DUMMYFUNCTION("""COMPUTED_VALUE"""),1.0)</f>
        <v>1</v>
      </c>
      <c r="P855" s="10" t="str">
        <f>IFERROR(__xludf.DUMMYFUNCTION("""COMPUTED_VALUE"""),"ACTIVE")</f>
        <v>ACTIVE</v>
      </c>
      <c r="Q855" s="11">
        <f>IFERROR(__xludf.DUMMYFUNCTION("""COMPUTED_VALUE"""),45637.0)</f>
        <v>45637</v>
      </c>
      <c r="R855" s="9"/>
      <c r="S855" s="9"/>
      <c r="T855" s="12" t="b">
        <f>IFERROR(__xludf.DUMMYFUNCTION("""COMPUTED_VALUE"""),FALSE)</f>
        <v>0</v>
      </c>
      <c r="U855" s="12" t="b">
        <f>IFERROR(__xludf.DUMMYFUNCTION("""COMPUTED_VALUE"""),FALSE)</f>
        <v>0</v>
      </c>
      <c r="V855" s="13" t="str">
        <f>IFERROR(__xludf.DUMMYFUNCTION("""COMPUTED_VALUE"""),"https://www.stmichaelchurch.net/society-of-st-vincent-de-paul")</f>
        <v>https://www.stmichaelchurch.net/society-of-st-vincent-de-paul</v>
      </c>
      <c r="W855" s="14" t="str">
        <f>IFERROR(__xludf.DUMMYFUNCTION("""COMPUTED_VALUE"""),"https://maps.google.com/?q=St%20Michael%20the%20Archangel%20(SVdP%20D3)%201801%20Sage%20Rd%20Houston%20TX%2077056")</f>
        <v>https://maps.google.com/?q=St%20Michael%20the%20Archangel%20(SVdP%20D3)%201801%20Sage%20Rd%20Houston%20TX%2077056</v>
      </c>
      <c r="X855" s="10"/>
      <c r="Y855" s="9" t="str">
        <f>IFERROR(__xludf.DUMMYFUNCTION("""COMPUTED_VALUE"""),"Houston")</f>
        <v>Houston</v>
      </c>
      <c r="Z855" s="9" t="str">
        <f>IFERROR(__xludf.DUMMYFUNCTION("""COMPUTED_VALUE"""),"Galleria, Tanglewood, Uptown, Westside")</f>
        <v>Galleria, Tanglewood, Uptown, Westside</v>
      </c>
      <c r="AA855" s="9" t="str">
        <f>IFERROR(__xludf.DUMMYFUNCTION("""COMPUTED_VALUE"""),"Society of St Vincent de Paul")</f>
        <v>Society of St Vincent de Paul</v>
      </c>
      <c r="AB855" s="9" t="str">
        <f>IFERROR(__xludf.DUMMYFUNCTION("""COMPUTED_VALUE"""),"Westside")</f>
        <v>Westside</v>
      </c>
    </row>
    <row r="856" ht="30.0" customHeight="1">
      <c r="A856" s="17">
        <v>855.0</v>
      </c>
      <c r="B856" s="8" t="str">
        <f>IFERROR(__xludf.DUMMYFUNCTION("""COMPUTED_VALUE"""),"[""77531"", ""77541"", ""77566""]")</f>
        <v>["77531", "77541", "77566"]</v>
      </c>
      <c r="C856" s="9" t="str">
        <f>IFERROR(__xludf.DUMMYFUNCTION("""COMPUTED_VALUE"""),"St Michael the Archangel (SVdP D7) Lake Jackson")</f>
        <v>St Michael the Archangel (SVdP D7) Lake Jackson</v>
      </c>
      <c r="D856" s="9" t="str">
        <f>IFERROR(__xludf.DUMMYFUNCTION("""COMPUTED_VALUE"""),"100 Oak Drive South")</f>
        <v>100 Oak Drive South</v>
      </c>
      <c r="E856" s="9"/>
      <c r="F856" s="9" t="str">
        <f>IFERROR(__xludf.DUMMYFUNCTION("""COMPUTED_VALUE"""),"Lake Jackson")</f>
        <v>Lake Jackson</v>
      </c>
      <c r="G856" s="9" t="str">
        <f>IFERROR(__xludf.DUMMYFUNCTION("""COMPUTED_VALUE"""),"TX")</f>
        <v>TX</v>
      </c>
      <c r="H856" s="9" t="str">
        <f>IFERROR(__xludf.DUMMYFUNCTION("""COMPUTED_VALUE"""),"77566")</f>
        <v>77566</v>
      </c>
      <c r="I856" s="9" t="str">
        <f>IFERROR(__xludf.DUMMYFUNCTION("""COMPUTED_VALUE"""),"979-297-2046")</f>
        <v>979-297-2046</v>
      </c>
      <c r="J856" s="9" t="str">
        <f>IFERROR(__xludf.DUMMYFUNCTION("""COMPUTED_VALUE"""),"29.035051, -95.449637")</f>
        <v>29.035051, -95.449637</v>
      </c>
      <c r="K856" s="9" t="str">
        <f>IFERROR(__xludf.DUMMYFUNCTION("""COMPUTED_VALUE"""),"{""regular"":[{""days"":[""Mo"",""Tu"",""We"",""Th"",""Fr""],""open"":""08:00"",""close"":""17:00""}]}")</f>
        <v>{"regular":[{"days":["Mo","Tu","We","Th","Fr"],"open":"08:00","close":"17:00"}]}</v>
      </c>
      <c r="L856" s="9"/>
      <c r="M856" s="10">
        <f>IFERROR(__xludf.DUMMYFUNCTION("""COMPUTED_VALUE"""),11.0)</f>
        <v>11</v>
      </c>
      <c r="N856" s="10" t="str">
        <f>IFERROR(__xludf.DUMMYFUNCTION("""COMPUTED_VALUE"""),"Rent")</f>
        <v>Rent</v>
      </c>
      <c r="O856" s="10">
        <f>IFERROR(__xludf.DUMMYFUNCTION("""COMPUTED_VALUE"""),1.0)</f>
        <v>1</v>
      </c>
      <c r="P856" s="10" t="str">
        <f>IFERROR(__xludf.DUMMYFUNCTION("""COMPUTED_VALUE"""),"ACTIVE")</f>
        <v>ACTIVE</v>
      </c>
      <c r="Q856" s="11"/>
      <c r="R856" s="9"/>
      <c r="S856" s="9"/>
      <c r="T856" s="12" t="b">
        <f>IFERROR(__xludf.DUMMYFUNCTION("""COMPUTED_VALUE"""),FALSE)</f>
        <v>0</v>
      </c>
      <c r="U856" s="12" t="b">
        <f>IFERROR(__xludf.DUMMYFUNCTION("""COMPUTED_VALUE"""),FALSE)</f>
        <v>0</v>
      </c>
      <c r="V856" s="13" t="str">
        <f>IFERROR(__xludf.DUMMYFUNCTION("""COMPUTED_VALUE"""),"https://smlj.org/st-vincent-de-paul")</f>
        <v>https://smlj.org/st-vincent-de-paul</v>
      </c>
      <c r="W856" s="14" t="str">
        <f>IFERROR(__xludf.DUMMYFUNCTION("""COMPUTED_VALUE"""),"https://maps.google.com/?q=St%20Michael%20the%20Archangel%20(SVdP%20D7)%20Lake%20Jackson%20%20100%20Oak%20Drive%20South%20Lake%20Jackson%20TX%2077566")</f>
        <v>https://maps.google.com/?q=St%20Michael%20the%20Archangel%20(SVdP%20D7)%20Lake%20Jackson%20%20100%20Oak%20Drive%20South%20Lake%20Jackson%20TX%2077566</v>
      </c>
      <c r="X856" s="10"/>
      <c r="Y856" s="9" t="str">
        <f>IFERROR(__xludf.DUMMYFUNCTION("""COMPUTED_VALUE"""),"Lake Jackson")</f>
        <v>Lake Jackson</v>
      </c>
      <c r="Z856" s="9" t="str">
        <f>IFERROR(__xludf.DUMMYFUNCTION("""COMPUTED_VALUE"""),"Lake Jackson")</f>
        <v>Lake Jackson</v>
      </c>
      <c r="AA856" s="9" t="str">
        <f>IFERROR(__xludf.DUMMYFUNCTION("""COMPUTED_VALUE"""),"Society of St Vincent de Paul")</f>
        <v>Society of St Vincent de Paul</v>
      </c>
      <c r="AB856" s="9" t="str">
        <f>IFERROR(__xludf.DUMMYFUNCTION("""COMPUTED_VALUE"""),"Lake Jackson")</f>
        <v>Lake Jackson</v>
      </c>
    </row>
    <row r="857" ht="30.0" customHeight="1">
      <c r="A857" s="17">
        <v>856.0</v>
      </c>
      <c r="B857" s="8" t="str">
        <f>IFERROR(__xludf.DUMMYFUNCTION("""COMPUTED_VALUE"""),"[""77531"", ""77541"", ""77566""]")</f>
        <v>["77531", "77541", "77566"]</v>
      </c>
      <c r="C857" s="9" t="str">
        <f>IFERROR(__xludf.DUMMYFUNCTION("""COMPUTED_VALUE"""),"St Michael the Archangel (SVdP D7) Lake Jackson")</f>
        <v>St Michael the Archangel (SVdP D7) Lake Jackson</v>
      </c>
      <c r="D857" s="9" t="str">
        <f>IFERROR(__xludf.DUMMYFUNCTION("""COMPUTED_VALUE"""),"100 Oak Drive South")</f>
        <v>100 Oak Drive South</v>
      </c>
      <c r="E857" s="9"/>
      <c r="F857" s="9" t="str">
        <f>IFERROR(__xludf.DUMMYFUNCTION("""COMPUTED_VALUE"""),"Lake Jackson")</f>
        <v>Lake Jackson</v>
      </c>
      <c r="G857" s="9" t="str">
        <f>IFERROR(__xludf.DUMMYFUNCTION("""COMPUTED_VALUE"""),"TX")</f>
        <v>TX</v>
      </c>
      <c r="H857" s="9" t="str">
        <f>IFERROR(__xludf.DUMMYFUNCTION("""COMPUTED_VALUE"""),"77566")</f>
        <v>77566</v>
      </c>
      <c r="I857" s="9" t="str">
        <f>IFERROR(__xludf.DUMMYFUNCTION("""COMPUTED_VALUE"""),"979-297-2046")</f>
        <v>979-297-2046</v>
      </c>
      <c r="J857" s="9" t="str">
        <f>IFERROR(__xludf.DUMMYFUNCTION("""COMPUTED_VALUE"""),"29.035051, -95.449637")</f>
        <v>29.035051, -95.449637</v>
      </c>
      <c r="K857" s="9" t="str">
        <f>IFERROR(__xludf.DUMMYFUNCTION("""COMPUTED_VALUE"""),"{""regular"":[{""days"":[""Mo"",""Tu"",""We"",""Th"",""Fr""],""open"":""08:00"",""close"":""17:00""}]}")</f>
        <v>{"regular":[{"days":["Mo","Tu","We","Th","Fr"],"open":"08:00","close":"17:00"}]}</v>
      </c>
      <c r="L857" s="9"/>
      <c r="M857" s="10">
        <f>IFERROR(__xludf.DUMMYFUNCTION("""COMPUTED_VALUE"""),12.0)</f>
        <v>12</v>
      </c>
      <c r="N857" s="10" t="str">
        <f>IFERROR(__xludf.DUMMYFUNCTION("""COMPUTED_VALUE"""),"Utilities")</f>
        <v>Utilities</v>
      </c>
      <c r="O857" s="10">
        <f>IFERROR(__xludf.DUMMYFUNCTION("""COMPUTED_VALUE"""),1.0)</f>
        <v>1</v>
      </c>
      <c r="P857" s="10" t="str">
        <f>IFERROR(__xludf.DUMMYFUNCTION("""COMPUTED_VALUE"""),"ACTIVE")</f>
        <v>ACTIVE</v>
      </c>
      <c r="Q857" s="11"/>
      <c r="R857" s="9"/>
      <c r="S857" s="9"/>
      <c r="T857" s="12" t="b">
        <f>IFERROR(__xludf.DUMMYFUNCTION("""COMPUTED_VALUE"""),FALSE)</f>
        <v>0</v>
      </c>
      <c r="U857" s="12" t="b">
        <f>IFERROR(__xludf.DUMMYFUNCTION("""COMPUTED_VALUE"""),FALSE)</f>
        <v>0</v>
      </c>
      <c r="V857" s="13" t="str">
        <f>IFERROR(__xludf.DUMMYFUNCTION("""COMPUTED_VALUE"""),"https://smlj.org/st-vincent-de-paul")</f>
        <v>https://smlj.org/st-vincent-de-paul</v>
      </c>
      <c r="W857" s="14" t="str">
        <f>IFERROR(__xludf.DUMMYFUNCTION("""COMPUTED_VALUE"""),"https://maps.google.com/?q=St%20Michael%20the%20Archangel%20(SVdP%20D7)%20Lake%20Jackson%20%20100%20Oak%20Drive%20South%20Lake%20Jackson%20TX%2077566")</f>
        <v>https://maps.google.com/?q=St%20Michael%20the%20Archangel%20(SVdP%20D7)%20Lake%20Jackson%20%20100%20Oak%20Drive%20South%20Lake%20Jackson%20TX%2077566</v>
      </c>
      <c r="X857" s="10"/>
      <c r="Y857" s="9" t="str">
        <f>IFERROR(__xludf.DUMMYFUNCTION("""COMPUTED_VALUE"""),"Lake Jackson")</f>
        <v>Lake Jackson</v>
      </c>
      <c r="Z857" s="9" t="str">
        <f>IFERROR(__xludf.DUMMYFUNCTION("""COMPUTED_VALUE"""),"Lake Jackson")</f>
        <v>Lake Jackson</v>
      </c>
      <c r="AA857" s="9" t="str">
        <f>IFERROR(__xludf.DUMMYFUNCTION("""COMPUTED_VALUE"""),"Society of St Vincent de Paul")</f>
        <v>Society of St Vincent de Paul</v>
      </c>
      <c r="AB857" s="9" t="str">
        <f>IFERROR(__xludf.DUMMYFUNCTION("""COMPUTED_VALUE"""),"Lake Jackson")</f>
        <v>Lake Jackson</v>
      </c>
    </row>
    <row r="858" ht="30.0" customHeight="1">
      <c r="A858" s="17">
        <v>857.0</v>
      </c>
      <c r="B858" s="8" t="str">
        <f>IFERROR(__xludf.DUMMYFUNCTION("""COMPUTED_VALUE"""),"[""77531"", ""77541"", ""77566""]")</f>
        <v>["77531", "77541", "77566"]</v>
      </c>
      <c r="C858" s="9" t="str">
        <f>IFERROR(__xludf.DUMMYFUNCTION("""COMPUTED_VALUE"""),"St Michael the Archangel (SVdP D7) Lake Jackson")</f>
        <v>St Michael the Archangel (SVdP D7) Lake Jackson</v>
      </c>
      <c r="D858" s="9" t="str">
        <f>IFERROR(__xludf.DUMMYFUNCTION("""COMPUTED_VALUE"""),"100 Oak Drive South")</f>
        <v>100 Oak Drive South</v>
      </c>
      <c r="E858" s="9"/>
      <c r="F858" s="9" t="str">
        <f>IFERROR(__xludf.DUMMYFUNCTION("""COMPUTED_VALUE"""),"Lake Jackson")</f>
        <v>Lake Jackson</v>
      </c>
      <c r="G858" s="9" t="str">
        <f>IFERROR(__xludf.DUMMYFUNCTION("""COMPUTED_VALUE"""),"TX")</f>
        <v>TX</v>
      </c>
      <c r="H858" s="9" t="str">
        <f>IFERROR(__xludf.DUMMYFUNCTION("""COMPUTED_VALUE"""),"77566")</f>
        <v>77566</v>
      </c>
      <c r="I858" s="9" t="str">
        <f>IFERROR(__xludf.DUMMYFUNCTION("""COMPUTED_VALUE"""),"979-297-2046")</f>
        <v>979-297-2046</v>
      </c>
      <c r="J858" s="9" t="str">
        <f>IFERROR(__xludf.DUMMYFUNCTION("""COMPUTED_VALUE"""),"29.035051, -95.449637")</f>
        <v>29.035051, -95.449637</v>
      </c>
      <c r="K858" s="9" t="str">
        <f>IFERROR(__xludf.DUMMYFUNCTION("""COMPUTED_VALUE"""),"{""regular"":[{""days"":[""Mo"",""Tu"",""We"",""Th"",""Fr""],""open"":""08:00"",""close"":""17:00""}]}")</f>
        <v>{"regular":[{"days":["Mo","Tu","We","Th","Fr"],"open":"08:00","close":"17:00"}]}</v>
      </c>
      <c r="L858" s="9"/>
      <c r="M858" s="10">
        <f>IFERROR(__xludf.DUMMYFUNCTION("""COMPUTED_VALUE"""),13.0)</f>
        <v>13</v>
      </c>
      <c r="N858" s="10" t="str">
        <f>IFERROR(__xludf.DUMMYFUNCTION("""COMPUTED_VALUE"""),"Food")</f>
        <v>Food</v>
      </c>
      <c r="O858" s="10">
        <f>IFERROR(__xludf.DUMMYFUNCTION("""COMPUTED_VALUE"""),1.0)</f>
        <v>1</v>
      </c>
      <c r="P858" s="10" t="str">
        <f>IFERROR(__xludf.DUMMYFUNCTION("""COMPUTED_VALUE"""),"ACTIVE")</f>
        <v>ACTIVE</v>
      </c>
      <c r="Q858" s="11"/>
      <c r="R858" s="9"/>
      <c r="S858" s="9"/>
      <c r="T858" s="12" t="b">
        <f>IFERROR(__xludf.DUMMYFUNCTION("""COMPUTED_VALUE"""),FALSE)</f>
        <v>0</v>
      </c>
      <c r="U858" s="12" t="b">
        <f>IFERROR(__xludf.DUMMYFUNCTION("""COMPUTED_VALUE"""),FALSE)</f>
        <v>0</v>
      </c>
      <c r="V858" s="13" t="str">
        <f>IFERROR(__xludf.DUMMYFUNCTION("""COMPUTED_VALUE"""),"https://smlj.org/st-vincent-de-paul")</f>
        <v>https://smlj.org/st-vincent-de-paul</v>
      </c>
      <c r="W858" s="14" t="str">
        <f>IFERROR(__xludf.DUMMYFUNCTION("""COMPUTED_VALUE"""),"https://maps.google.com/?q=St%20Michael%20the%20Archangel%20(SVdP%20D7)%20Lake%20Jackson%20%20100%20Oak%20Drive%20South%20Lake%20Jackson%20TX%2077566")</f>
        <v>https://maps.google.com/?q=St%20Michael%20the%20Archangel%20(SVdP%20D7)%20Lake%20Jackson%20%20100%20Oak%20Drive%20South%20Lake%20Jackson%20TX%2077566</v>
      </c>
      <c r="X858" s="10"/>
      <c r="Y858" s="9" t="str">
        <f>IFERROR(__xludf.DUMMYFUNCTION("""COMPUTED_VALUE"""),"Lake Jackson")</f>
        <v>Lake Jackson</v>
      </c>
      <c r="Z858" s="9" t="str">
        <f>IFERROR(__xludf.DUMMYFUNCTION("""COMPUTED_VALUE"""),"Lake Jackson")</f>
        <v>Lake Jackson</v>
      </c>
      <c r="AA858" s="9" t="str">
        <f>IFERROR(__xludf.DUMMYFUNCTION("""COMPUTED_VALUE"""),"Society of St Vincent de Paul")</f>
        <v>Society of St Vincent de Paul</v>
      </c>
      <c r="AB858" s="9" t="str">
        <f>IFERROR(__xludf.DUMMYFUNCTION("""COMPUTED_VALUE"""),"Lake Jackson")</f>
        <v>Lake Jackson</v>
      </c>
    </row>
    <row r="859" ht="30.0" customHeight="1">
      <c r="A859" s="17">
        <v>858.0</v>
      </c>
      <c r="B859" s="8" t="str">
        <f>IFERROR(__xludf.DUMMYFUNCTION("""COMPUTED_VALUE"""),"[""77086"", ""77088"", ""77091""]")</f>
        <v>["77086", "77088", "77091"]</v>
      </c>
      <c r="C859" s="9" t="str">
        <f>IFERROR(__xludf.DUMMYFUNCTION("""COMPUTED_VALUE"""),"St Monica (SVdP D1)")</f>
        <v>St Monica (SVdP D1)</v>
      </c>
      <c r="D859" s="9" t="str">
        <f>IFERROR(__xludf.DUMMYFUNCTION("""COMPUTED_VALUE"""),"8421 W Montgomery Road")</f>
        <v>8421 W Montgomery Road</v>
      </c>
      <c r="E859" s="9"/>
      <c r="F859" s="9" t="str">
        <f>IFERROR(__xludf.DUMMYFUNCTION("""COMPUTED_VALUE"""),"Houston")</f>
        <v>Houston</v>
      </c>
      <c r="G859" s="9" t="str">
        <f>IFERROR(__xludf.DUMMYFUNCTION("""COMPUTED_VALUE"""),"TX")</f>
        <v>TX</v>
      </c>
      <c r="H859" s="9" t="str">
        <f>IFERROR(__xludf.DUMMYFUNCTION("""COMPUTED_VALUE"""),"77088")</f>
        <v>77088</v>
      </c>
      <c r="I859" s="9" t="str">
        <f>IFERROR(__xludf.DUMMYFUNCTION("""COMPUTED_VALUE"""),"281-447-3212")</f>
        <v>281-447-3212</v>
      </c>
      <c r="J859" s="9" t="str">
        <f>IFERROR(__xludf.DUMMYFUNCTION("""COMPUTED_VALUE"""),"29.8701939795918, -95.4361393265306")</f>
        <v>29.8701939795918, -95.4361393265306</v>
      </c>
      <c r="K859" s="9" t="str">
        <f>IFERROR(__xludf.DUMMYFUNCTION("""COMPUTED_VALUE"""),"{""regular"":[{""days"":[""Tu"",""Th"",""Fr""],""open"":""09:00"",""close"":""10:30""}]}")</f>
        <v>{"regular":[{"days":["Tu","Th","Fr"],"open":"09:00","close":"10:30"}]}</v>
      </c>
      <c r="L859" s="9"/>
      <c r="M859" s="10">
        <f>IFERROR(__xludf.DUMMYFUNCTION("""COMPUTED_VALUE"""),13.0)</f>
        <v>13</v>
      </c>
      <c r="N859" s="10" t="str">
        <f>IFERROR(__xludf.DUMMYFUNCTION("""COMPUTED_VALUE"""),"Food")</f>
        <v>Food</v>
      </c>
      <c r="O859" s="10">
        <f>IFERROR(__xludf.DUMMYFUNCTION("""COMPUTED_VALUE"""),1.0)</f>
        <v>1</v>
      </c>
      <c r="P859" s="10" t="str">
        <f>IFERROR(__xludf.DUMMYFUNCTION("""COMPUTED_VALUE"""),"ACTIVE")</f>
        <v>ACTIVE</v>
      </c>
      <c r="Q859" s="11">
        <f>IFERROR(__xludf.DUMMYFUNCTION("""COMPUTED_VALUE"""),45637.0)</f>
        <v>45637</v>
      </c>
      <c r="R859" s="9"/>
      <c r="S859" s="9"/>
      <c r="T859" s="12" t="b">
        <f>IFERROR(__xludf.DUMMYFUNCTION("""COMPUTED_VALUE"""),FALSE)</f>
        <v>0</v>
      </c>
      <c r="U859" s="12" t="b">
        <f>IFERROR(__xludf.DUMMYFUNCTION("""COMPUTED_VALUE"""),FALSE)</f>
        <v>0</v>
      </c>
      <c r="V859" s="13" t="str">
        <f>IFERROR(__xludf.DUMMYFUNCTION("""COMPUTED_VALUE"""),"https://www.stmonicafoodpantry.com/")</f>
        <v>https://www.stmonicafoodpantry.com/</v>
      </c>
      <c r="W859" s="14" t="str">
        <f>IFERROR(__xludf.DUMMYFUNCTION("""COMPUTED_VALUE"""),"https://maps.google.com/?q=St%20Monica%20(SVdP%20D1)%208421%20W%20Montgomery%20Rd%20Houston%20TX%2077088")</f>
        <v>https://maps.google.com/?q=St%20Monica%20(SVdP%20D1)%208421%20W%20Montgomery%20Rd%20Houston%20TX%2077088</v>
      </c>
      <c r="X859" s="10" t="str">
        <f>IFERROR(__xludf.DUMMYFUNCTION("""COMPUTED_VALUE"""),"stmonicasvdpdocs@gmail.com")</f>
        <v>stmonicasvdpdocs@gmail.com</v>
      </c>
      <c r="Y859" s="9" t="str">
        <f>IFERROR(__xludf.DUMMYFUNCTION("""COMPUTED_VALUE"""),"Houston")</f>
        <v>Houston</v>
      </c>
      <c r="Z859" s="9" t="str">
        <f>IFERROR(__xludf.DUMMYFUNCTION("""COMPUTED_VALUE"""),"Acres Home, Inwood, Northside")</f>
        <v>Acres Home, Inwood, Northside</v>
      </c>
      <c r="AA859" s="9" t="str">
        <f>IFERROR(__xludf.DUMMYFUNCTION("""COMPUTED_VALUE"""),"Society of St Vincent de Paul")</f>
        <v>Society of St Vincent de Paul</v>
      </c>
      <c r="AB859" s="9" t="str">
        <f>IFERROR(__xludf.DUMMYFUNCTION("""COMPUTED_VALUE"""),"Acres Home")</f>
        <v>Acres Home</v>
      </c>
    </row>
    <row r="860" ht="30.0" customHeight="1">
      <c r="A860" s="17">
        <v>859.0</v>
      </c>
      <c r="B860" s="8" t="str">
        <f>IFERROR(__xludf.DUMMYFUNCTION("""COMPUTED_VALUE"""),"[""77009"", ""77026""]")</f>
        <v>["77009", "77026"]</v>
      </c>
      <c r="C860" s="9" t="str">
        <f>IFERROR(__xludf.DUMMYFUNCTION("""COMPUTED_VALUE"""),"St Patrick (SVdP)")</f>
        <v>St Patrick (SVdP)</v>
      </c>
      <c r="D860" s="9" t="str">
        <f>IFERROR(__xludf.DUMMYFUNCTION("""COMPUTED_VALUE"""),"4918 Cochran Street")</f>
        <v>4918 Cochran Street</v>
      </c>
      <c r="E860" s="9"/>
      <c r="F860" s="9" t="str">
        <f>IFERROR(__xludf.DUMMYFUNCTION("""COMPUTED_VALUE"""),"Houston")</f>
        <v>Houston</v>
      </c>
      <c r="G860" s="9" t="str">
        <f>IFERROR(__xludf.DUMMYFUNCTION("""COMPUTED_VALUE"""),"TX")</f>
        <v>TX</v>
      </c>
      <c r="H860" s="9" t="str">
        <f>IFERROR(__xludf.DUMMYFUNCTION("""COMPUTED_VALUE"""),"77009")</f>
        <v>77009</v>
      </c>
      <c r="I860" s="9" t="str">
        <f>IFERROR(__xludf.DUMMYFUNCTION("""COMPUTED_VALUE"""),"281-529-5336")</f>
        <v>281-529-5336</v>
      </c>
      <c r="J860" s="9" t="str">
        <f>IFERROR(__xludf.DUMMYFUNCTION("""COMPUTED_VALUE"""),"29.8046875, -95.3559124557039")</f>
        <v>29.8046875, -95.3559124557039</v>
      </c>
      <c r="K860" s="9"/>
      <c r="L860" s="9" t="str">
        <f>IFERROR(__xludf.DUMMYFUNCTION("""COMPUTED_VALUE"""),"Leave message")</f>
        <v>Leave message</v>
      </c>
      <c r="M860" s="10">
        <f>IFERROR(__xludf.DUMMYFUNCTION("""COMPUTED_VALUE"""),11.0)</f>
        <v>11</v>
      </c>
      <c r="N860" s="10" t="str">
        <f>IFERROR(__xludf.DUMMYFUNCTION("""COMPUTED_VALUE"""),"Rent")</f>
        <v>Rent</v>
      </c>
      <c r="O860" s="10">
        <f>IFERROR(__xludf.DUMMYFUNCTION("""COMPUTED_VALUE"""),1.0)</f>
        <v>1</v>
      </c>
      <c r="P860" s="10" t="str">
        <f>IFERROR(__xludf.DUMMYFUNCTION("""COMPUTED_VALUE"""),"ACTIVE")</f>
        <v>ACTIVE</v>
      </c>
      <c r="Q860" s="11">
        <f>IFERROR(__xludf.DUMMYFUNCTION("""COMPUTED_VALUE"""),45637.0)</f>
        <v>45637</v>
      </c>
      <c r="R860" s="9"/>
      <c r="S860" s="9"/>
      <c r="T860" s="12" t="b">
        <f>IFERROR(__xludf.DUMMYFUNCTION("""COMPUTED_VALUE"""),FALSE)</f>
        <v>0</v>
      </c>
      <c r="U860" s="12" t="b">
        <f>IFERROR(__xludf.DUMMYFUNCTION("""COMPUTED_VALUE"""),FALSE)</f>
        <v>0</v>
      </c>
      <c r="V860" s="13" t="str">
        <f>IFERROR(__xludf.DUMMYFUNCTION("""COMPUTED_VALUE"""),"https://stpatrickhouston.com/help-support")</f>
        <v>https://stpatrickhouston.com/help-support</v>
      </c>
      <c r="W860" s="14" t="str">
        <f>IFERROR(__xludf.DUMMYFUNCTION("""COMPUTED_VALUE"""),"https://maps.google.com/?q=St%20Patrick%20(SVdP)%204918%20Cochran%20St%20Houston%20TX%2077009")</f>
        <v>https://maps.google.com/?q=St%20Patrick%20(SVdP)%204918%20Cochran%20St%20Houston%20TX%2077009</v>
      </c>
      <c r="X860" s="10"/>
      <c r="Y860" s="9" t="str">
        <f>IFERROR(__xludf.DUMMYFUNCTION("""COMPUTED_VALUE"""),"Houston")</f>
        <v>Houston</v>
      </c>
      <c r="Z860" s="9" t="str">
        <f>IFERROR(__xludf.DUMMYFUNCTION("""COMPUTED_VALUE"""),"Lindale Park, Near Northside, Northside, Woodland Heights")</f>
        <v>Lindale Park, Near Northside, Northside, Woodland Heights</v>
      </c>
      <c r="AA860" s="9" t="str">
        <f>IFERROR(__xludf.DUMMYFUNCTION("""COMPUTED_VALUE"""),"Society of St Vincent de Paul")</f>
        <v>Society of St Vincent de Paul</v>
      </c>
      <c r="AB860" s="9" t="str">
        <f>IFERROR(__xludf.DUMMYFUNCTION("""COMPUTED_VALUE"""),"Northside")</f>
        <v>Northside</v>
      </c>
    </row>
    <row r="861" ht="30.0" customHeight="1">
      <c r="A861" s="17">
        <v>860.0</v>
      </c>
      <c r="B861" s="8" t="str">
        <f>IFERROR(__xludf.DUMMYFUNCTION("""COMPUTED_VALUE"""),"[""77009"", ""77026""]")</f>
        <v>["77009", "77026"]</v>
      </c>
      <c r="C861" s="9" t="str">
        <f>IFERROR(__xludf.DUMMYFUNCTION("""COMPUTED_VALUE"""),"St Patrick (SVdP)")</f>
        <v>St Patrick (SVdP)</v>
      </c>
      <c r="D861" s="9" t="str">
        <f>IFERROR(__xludf.DUMMYFUNCTION("""COMPUTED_VALUE"""),"4918 Cochran Street")</f>
        <v>4918 Cochran Street</v>
      </c>
      <c r="E861" s="9"/>
      <c r="F861" s="9" t="str">
        <f>IFERROR(__xludf.DUMMYFUNCTION("""COMPUTED_VALUE"""),"Houston")</f>
        <v>Houston</v>
      </c>
      <c r="G861" s="9" t="str">
        <f>IFERROR(__xludf.DUMMYFUNCTION("""COMPUTED_VALUE"""),"TX")</f>
        <v>TX</v>
      </c>
      <c r="H861" s="9" t="str">
        <f>IFERROR(__xludf.DUMMYFUNCTION("""COMPUTED_VALUE"""),"77009")</f>
        <v>77009</v>
      </c>
      <c r="I861" s="9" t="str">
        <f>IFERROR(__xludf.DUMMYFUNCTION("""COMPUTED_VALUE"""),"281-529-5336")</f>
        <v>281-529-5336</v>
      </c>
      <c r="J861" s="9" t="str">
        <f>IFERROR(__xludf.DUMMYFUNCTION("""COMPUTED_VALUE"""),"29.8046875, -95.3559124557039")</f>
        <v>29.8046875, -95.3559124557039</v>
      </c>
      <c r="K861" s="9" t="str">
        <f>IFERROR(__xludf.DUMMYFUNCTION("""COMPUTED_VALUE"""),"{""regular"":[{""days"":[""Mo"",""Tu"",""We"",""Th"",""Fr"",""Sa"",""Su""],""open"":""00:00"",""close"":""23:59""}]}")</f>
        <v>{"regular":[{"days":["Mo","Tu","We","Th","Fr","Sa","Su"],"open":"00:00","close":"23:59"}]}</v>
      </c>
      <c r="L861" s="9"/>
      <c r="M861" s="10">
        <f>IFERROR(__xludf.DUMMYFUNCTION("""COMPUTED_VALUE"""),12.0)</f>
        <v>12</v>
      </c>
      <c r="N861" s="10" t="str">
        <f>IFERROR(__xludf.DUMMYFUNCTION("""COMPUTED_VALUE"""),"Utilities")</f>
        <v>Utilities</v>
      </c>
      <c r="O861" s="10">
        <f>IFERROR(__xludf.DUMMYFUNCTION("""COMPUTED_VALUE"""),1.0)</f>
        <v>1</v>
      </c>
      <c r="P861" s="10" t="str">
        <f>IFERROR(__xludf.DUMMYFUNCTION("""COMPUTED_VALUE"""),"ACTIVE")</f>
        <v>ACTIVE</v>
      </c>
      <c r="Q861" s="11">
        <f>IFERROR(__xludf.DUMMYFUNCTION("""COMPUTED_VALUE"""),45637.0)</f>
        <v>45637</v>
      </c>
      <c r="R861" s="9"/>
      <c r="S861" s="9"/>
      <c r="T861" s="12" t="b">
        <f>IFERROR(__xludf.DUMMYFUNCTION("""COMPUTED_VALUE"""),FALSE)</f>
        <v>0</v>
      </c>
      <c r="U861" s="12" t="b">
        <f>IFERROR(__xludf.DUMMYFUNCTION("""COMPUTED_VALUE"""),FALSE)</f>
        <v>0</v>
      </c>
      <c r="V861" s="13" t="str">
        <f>IFERROR(__xludf.DUMMYFUNCTION("""COMPUTED_VALUE"""),"https://stpatrickhouston.com/help-support")</f>
        <v>https://stpatrickhouston.com/help-support</v>
      </c>
      <c r="W861" s="14" t="str">
        <f>IFERROR(__xludf.DUMMYFUNCTION("""COMPUTED_VALUE"""),"https://maps.google.com/?q=St%20Patrick%20(SVdP)%204918%20Cochran%20St%20Houston%20TX%2077009")</f>
        <v>https://maps.google.com/?q=St%20Patrick%20(SVdP)%204918%20Cochran%20St%20Houston%20TX%2077009</v>
      </c>
      <c r="X861" s="10"/>
      <c r="Y861" s="9" t="str">
        <f>IFERROR(__xludf.DUMMYFUNCTION("""COMPUTED_VALUE"""),"Houston")</f>
        <v>Houston</v>
      </c>
      <c r="Z861" s="9" t="str">
        <f>IFERROR(__xludf.DUMMYFUNCTION("""COMPUTED_VALUE"""),"Lindale Park, Near Northside, Northside, Woodland Heights")</f>
        <v>Lindale Park, Near Northside, Northside, Woodland Heights</v>
      </c>
      <c r="AA861" s="9" t="str">
        <f>IFERROR(__xludf.DUMMYFUNCTION("""COMPUTED_VALUE"""),"Society of St Vincent de Paul")</f>
        <v>Society of St Vincent de Paul</v>
      </c>
      <c r="AB861" s="9" t="str">
        <f>IFERROR(__xludf.DUMMYFUNCTION("""COMPUTED_VALUE"""),"Northside")</f>
        <v>Northside</v>
      </c>
    </row>
    <row r="862" ht="30.0" customHeight="1">
      <c r="A862" s="17">
        <v>861.0</v>
      </c>
      <c r="B862" s="8" t="str">
        <f>IFERROR(__xludf.DUMMYFUNCTION("""COMPUTED_VALUE"""),"[""77058"", ""77059"", ""77062"", ""77573"", ""77586"", ""77598""]")</f>
        <v>["77058", "77059", "77062", "77573", "77586", "77598"]</v>
      </c>
      <c r="C862" s="9" t="str">
        <f>IFERROR(__xludf.DUMMYFUNCTION("""COMPUTED_VALUE"""),"St Paul the Apostle (SVdP D7)")</f>
        <v>St Paul the Apostle (SVdP D7)</v>
      </c>
      <c r="D862" s="9" t="str">
        <f>IFERROR(__xludf.DUMMYFUNCTION("""COMPUTED_VALUE"""),"18223 Point Lookout Drive")</f>
        <v>18223 Point Lookout Drive</v>
      </c>
      <c r="E862" s="9"/>
      <c r="F862" s="9" t="str">
        <f>IFERROR(__xludf.DUMMYFUNCTION("""COMPUTED_VALUE"""),"Houston")</f>
        <v>Houston</v>
      </c>
      <c r="G862" s="9" t="str">
        <f>IFERROR(__xludf.DUMMYFUNCTION("""COMPUTED_VALUE"""),"TX")</f>
        <v>TX</v>
      </c>
      <c r="H862" s="9" t="str">
        <f>IFERROR(__xludf.DUMMYFUNCTION("""COMPUTED_VALUE"""),"77058")</f>
        <v>77058</v>
      </c>
      <c r="I862" s="9" t="str">
        <f>IFERROR(__xludf.DUMMYFUNCTION("""COMPUTED_VALUE"""),"281-333-2509")</f>
        <v>281-333-2509</v>
      </c>
      <c r="J862" s="9" t="str">
        <f>IFERROR(__xludf.DUMMYFUNCTION("""COMPUTED_VALUE"""),"29.5461602750122, -95.0936010344487")</f>
        <v>29.5461602750122, -95.0936010344487</v>
      </c>
      <c r="K862" s="9"/>
      <c r="L862" s="9" t="str">
        <f>IFERROR(__xludf.DUMMYFUNCTION("""COMPUTED_VALUE"""),"Leave message. Calls only returned if funds available.")</f>
        <v>Leave message. Calls only returned if funds available.</v>
      </c>
      <c r="M862" s="10">
        <f>IFERROR(__xludf.DUMMYFUNCTION("""COMPUTED_VALUE"""),11.0)</f>
        <v>11</v>
      </c>
      <c r="N862" s="10" t="str">
        <f>IFERROR(__xludf.DUMMYFUNCTION("""COMPUTED_VALUE"""),"Rent")</f>
        <v>Rent</v>
      </c>
      <c r="O862" s="10">
        <f>IFERROR(__xludf.DUMMYFUNCTION("""COMPUTED_VALUE"""),1.0)</f>
        <v>1</v>
      </c>
      <c r="P862" s="10" t="str">
        <f>IFERROR(__xludf.DUMMYFUNCTION("""COMPUTED_VALUE"""),"ACTIVE")</f>
        <v>ACTIVE</v>
      </c>
      <c r="Q862" s="11">
        <f>IFERROR(__xludf.DUMMYFUNCTION("""COMPUTED_VALUE"""),45637.0)</f>
        <v>45637</v>
      </c>
      <c r="R862" s="9"/>
      <c r="S862" s="9"/>
      <c r="T862" s="12" t="b">
        <f>IFERROR(__xludf.DUMMYFUNCTION("""COMPUTED_VALUE"""),FALSE)</f>
        <v>0</v>
      </c>
      <c r="U862" s="12" t="b">
        <f>IFERROR(__xludf.DUMMYFUNCTION("""COMPUTED_VALUE"""),FALSE)</f>
        <v>0</v>
      </c>
      <c r="V862" s="13" t="str">
        <f>IFERROR(__xludf.DUMMYFUNCTION("""COMPUTED_VALUE"""),"https://stpaulcatholic.org/foodassistance")</f>
        <v>https://stpaulcatholic.org/foodassistance</v>
      </c>
      <c r="W862" s="14" t="str">
        <f>IFERROR(__xludf.DUMMYFUNCTION("""COMPUTED_VALUE"""),"https://maps.google.com/?q=St%20Paul%20the%20Apostle%20(SVdP%20D7)%2018223%20Point%20Lookout%20Dr%20Houston%20TX%2077058")</f>
        <v>https://maps.google.com/?q=St%20Paul%20the%20Apostle%20(SVdP%20D7)%2018223%20Point%20Lookout%20Dr%20Houston%20TX%2077058</v>
      </c>
      <c r="X862" s="10"/>
      <c r="Y862" s="9" t="str">
        <f>IFERROR(__xludf.DUMMYFUNCTION("""COMPUTED_VALUE"""),"Houston")</f>
        <v>Houston</v>
      </c>
      <c r="Z862" s="9" t="str">
        <f>IFERROR(__xludf.DUMMYFUNCTION("""COMPUTED_VALUE"""),"Clear Lake, Nassau Bay")</f>
        <v>Clear Lake, Nassau Bay</v>
      </c>
      <c r="AA862" s="9" t="str">
        <f>IFERROR(__xludf.DUMMYFUNCTION("""COMPUTED_VALUE"""),"Society of St Vincent de Paul")</f>
        <v>Society of St Vincent de Paul</v>
      </c>
      <c r="AB862" s="9" t="str">
        <f>IFERROR(__xludf.DUMMYFUNCTION("""COMPUTED_VALUE"""),"Nassau Bay")</f>
        <v>Nassau Bay</v>
      </c>
    </row>
    <row r="863" ht="30.0" customHeight="1">
      <c r="A863" s="17">
        <v>862.0</v>
      </c>
      <c r="B863" s="8" t="str">
        <f>IFERROR(__xludf.DUMMYFUNCTION("""COMPUTED_VALUE"""),"[""77058"", ""77059"", ""77062"", ""77573"", ""77586"", ""77598""]")</f>
        <v>["77058", "77059", "77062", "77573", "77586", "77598"]</v>
      </c>
      <c r="C863" s="9" t="str">
        <f>IFERROR(__xludf.DUMMYFUNCTION("""COMPUTED_VALUE"""),"St Paul the Apostle (SVdP D7)")</f>
        <v>St Paul the Apostle (SVdP D7)</v>
      </c>
      <c r="D863" s="9" t="str">
        <f>IFERROR(__xludf.DUMMYFUNCTION("""COMPUTED_VALUE"""),"18223 Point Lookout Drive")</f>
        <v>18223 Point Lookout Drive</v>
      </c>
      <c r="E863" s="9"/>
      <c r="F863" s="9" t="str">
        <f>IFERROR(__xludf.DUMMYFUNCTION("""COMPUTED_VALUE"""),"Houston")</f>
        <v>Houston</v>
      </c>
      <c r="G863" s="9" t="str">
        <f>IFERROR(__xludf.DUMMYFUNCTION("""COMPUTED_VALUE"""),"TX")</f>
        <v>TX</v>
      </c>
      <c r="H863" s="9" t="str">
        <f>IFERROR(__xludf.DUMMYFUNCTION("""COMPUTED_VALUE"""),"77058")</f>
        <v>77058</v>
      </c>
      <c r="I863" s="9" t="str">
        <f>IFERROR(__xludf.DUMMYFUNCTION("""COMPUTED_VALUE"""),"281-333-2509")</f>
        <v>281-333-2509</v>
      </c>
      <c r="J863" s="9" t="str">
        <f>IFERROR(__xludf.DUMMYFUNCTION("""COMPUTED_VALUE"""),"29.5461602750122, -95.0936010344487")</f>
        <v>29.5461602750122, -95.0936010344487</v>
      </c>
      <c r="K863" s="9"/>
      <c r="L863" s="9" t="str">
        <f>IFERROR(__xludf.DUMMYFUNCTION("""COMPUTED_VALUE"""),"Leave message. Calls only returned if funds available.")</f>
        <v>Leave message. Calls only returned if funds available.</v>
      </c>
      <c r="M863" s="10">
        <f>IFERROR(__xludf.DUMMYFUNCTION("""COMPUTED_VALUE"""),12.0)</f>
        <v>12</v>
      </c>
      <c r="N863" s="10" t="str">
        <f>IFERROR(__xludf.DUMMYFUNCTION("""COMPUTED_VALUE"""),"Utilities")</f>
        <v>Utilities</v>
      </c>
      <c r="O863" s="10">
        <f>IFERROR(__xludf.DUMMYFUNCTION("""COMPUTED_VALUE"""),1.0)</f>
        <v>1</v>
      </c>
      <c r="P863" s="10" t="str">
        <f>IFERROR(__xludf.DUMMYFUNCTION("""COMPUTED_VALUE"""),"ACTIVE")</f>
        <v>ACTIVE</v>
      </c>
      <c r="Q863" s="11">
        <f>IFERROR(__xludf.DUMMYFUNCTION("""COMPUTED_VALUE"""),45637.0)</f>
        <v>45637</v>
      </c>
      <c r="R863" s="9"/>
      <c r="S863" s="9"/>
      <c r="T863" s="12" t="b">
        <f>IFERROR(__xludf.DUMMYFUNCTION("""COMPUTED_VALUE"""),FALSE)</f>
        <v>0</v>
      </c>
      <c r="U863" s="12" t="b">
        <f>IFERROR(__xludf.DUMMYFUNCTION("""COMPUTED_VALUE"""),FALSE)</f>
        <v>0</v>
      </c>
      <c r="V863" s="13" t="str">
        <f>IFERROR(__xludf.DUMMYFUNCTION("""COMPUTED_VALUE"""),"https://stpaulcatholic.org/foodassistance")</f>
        <v>https://stpaulcatholic.org/foodassistance</v>
      </c>
      <c r="W863" s="14" t="str">
        <f>IFERROR(__xludf.DUMMYFUNCTION("""COMPUTED_VALUE"""),"https://maps.google.com/?q=St%20Paul%20the%20Apostle%20(SVdP%20D7)%2018223%20Point%20Lookout%20Dr%20Houston%20TX%2077058")</f>
        <v>https://maps.google.com/?q=St%20Paul%20the%20Apostle%20(SVdP%20D7)%2018223%20Point%20Lookout%20Dr%20Houston%20TX%2077058</v>
      </c>
      <c r="X863" s="10"/>
      <c r="Y863" s="9" t="str">
        <f>IFERROR(__xludf.DUMMYFUNCTION("""COMPUTED_VALUE"""),"Houston")</f>
        <v>Houston</v>
      </c>
      <c r="Z863" s="9" t="str">
        <f>IFERROR(__xludf.DUMMYFUNCTION("""COMPUTED_VALUE"""),"Clear Lake, Nassau Bay")</f>
        <v>Clear Lake, Nassau Bay</v>
      </c>
      <c r="AA863" s="9" t="str">
        <f>IFERROR(__xludf.DUMMYFUNCTION("""COMPUTED_VALUE"""),"Society of St Vincent de Paul")</f>
        <v>Society of St Vincent de Paul</v>
      </c>
      <c r="AB863" s="9" t="str">
        <f>IFERROR(__xludf.DUMMYFUNCTION("""COMPUTED_VALUE"""),"Nassau Bay")</f>
        <v>Nassau Bay</v>
      </c>
    </row>
    <row r="864" ht="30.0" customHeight="1">
      <c r="A864" s="17">
        <v>863.0</v>
      </c>
      <c r="B864" s="8" t="str">
        <f>IFERROR(__xludf.DUMMYFUNCTION("""COMPUTED_VALUE"""),"[""77058"", ""77059"", ""77062"", ""77573"", ""77586"", ""77598""]")</f>
        <v>["77058", "77059", "77062", "77573", "77586", "77598"]</v>
      </c>
      <c r="C864" s="9" t="str">
        <f>IFERROR(__xludf.DUMMYFUNCTION("""COMPUTED_VALUE"""),"St Paul the Apostle (SVdP D7)")</f>
        <v>St Paul the Apostle (SVdP D7)</v>
      </c>
      <c r="D864" s="9" t="str">
        <f>IFERROR(__xludf.DUMMYFUNCTION("""COMPUTED_VALUE"""),"18223 Point Lookout Drive")</f>
        <v>18223 Point Lookout Drive</v>
      </c>
      <c r="E864" s="9"/>
      <c r="F864" s="9" t="str">
        <f>IFERROR(__xludf.DUMMYFUNCTION("""COMPUTED_VALUE"""),"Houston")</f>
        <v>Houston</v>
      </c>
      <c r="G864" s="9" t="str">
        <f>IFERROR(__xludf.DUMMYFUNCTION("""COMPUTED_VALUE"""),"TX")</f>
        <v>TX</v>
      </c>
      <c r="H864" s="9" t="str">
        <f>IFERROR(__xludf.DUMMYFUNCTION("""COMPUTED_VALUE"""),"77058")</f>
        <v>77058</v>
      </c>
      <c r="I864" s="9" t="str">
        <f>IFERROR(__xludf.DUMMYFUNCTION("""COMPUTED_VALUE"""),"281-333-2509")</f>
        <v>281-333-2509</v>
      </c>
      <c r="J864" s="9" t="str">
        <f>IFERROR(__xludf.DUMMYFUNCTION("""COMPUTED_VALUE"""),"29.5461602750122, -95.0936010344487")</f>
        <v>29.5461602750122, -95.0936010344487</v>
      </c>
      <c r="K864" s="9" t="str">
        <f>IFERROR(__xludf.DUMMYFUNCTION("""COMPUTED_VALUE"""),"{""regular"":[{""days"":[""We""],""open"":""08:30"",""close"":""11:00""},{""days"":[""Th""],""open"":""18:00"",""close"":""20:00""}],""special"":[{""pattern"":""1st &amp; 3rd Sa"",""open"":""08:00"",""close"":null}]}")</f>
        <v>{"regular":[{"days":["We"],"open":"08:30","close":"11:00"},{"days":["Th"],"open":"18:00","close":"20:00"}],"special":[{"pattern":"1st &amp; 3rd Sa","open":"08:00","close":null}]}</v>
      </c>
      <c r="L864" s="9"/>
      <c r="M864" s="10">
        <f>IFERROR(__xludf.DUMMYFUNCTION("""COMPUTED_VALUE"""),13.0)</f>
        <v>13</v>
      </c>
      <c r="N864" s="10" t="str">
        <f>IFERROR(__xludf.DUMMYFUNCTION("""COMPUTED_VALUE"""),"Food")</f>
        <v>Food</v>
      </c>
      <c r="O864" s="10">
        <f>IFERROR(__xludf.DUMMYFUNCTION("""COMPUTED_VALUE"""),1.0)</f>
        <v>1</v>
      </c>
      <c r="P864" s="10" t="str">
        <f>IFERROR(__xludf.DUMMYFUNCTION("""COMPUTED_VALUE"""),"ACTIVE")</f>
        <v>ACTIVE</v>
      </c>
      <c r="Q864" s="11">
        <f>IFERROR(__xludf.DUMMYFUNCTION("""COMPUTED_VALUE"""),45637.0)</f>
        <v>45637</v>
      </c>
      <c r="R864" s="9"/>
      <c r="S864" s="9" t="str">
        <f>IFERROR(__xludf.DUMMYFUNCTION("""COMPUTED_VALUE"""),"Saturdays are Food Fairs which have fresh foods and vegetables.
Food Fairs start at 8 AM until food runs out.
Check website to confirm dates for Food Fairs.
")</f>
        <v>Saturdays are Food Fairs which have fresh foods and vegetables.
Food Fairs start at 8 AM until food runs out.
Check website to confirm dates for Food Fairs.
</v>
      </c>
      <c r="T864" s="12" t="b">
        <f>IFERROR(__xludf.DUMMYFUNCTION("""COMPUTED_VALUE"""),FALSE)</f>
        <v>0</v>
      </c>
      <c r="U864" s="12" t="b">
        <f>IFERROR(__xludf.DUMMYFUNCTION("""COMPUTED_VALUE"""),FALSE)</f>
        <v>0</v>
      </c>
      <c r="V864" s="13" t="str">
        <f>IFERROR(__xludf.DUMMYFUNCTION("""COMPUTED_VALUE"""),"https://stpaulcatholic.org/foodassistance")</f>
        <v>https://stpaulcatholic.org/foodassistance</v>
      </c>
      <c r="W864" s="14" t="str">
        <f>IFERROR(__xludf.DUMMYFUNCTION("""COMPUTED_VALUE"""),"https://maps.google.com/?q=St%20Paul%20the%20Apostle%20(SVdP%20D7)%2018223%20Point%20Lookout%20Dr%20Houston%20TX%2077058")</f>
        <v>https://maps.google.com/?q=St%20Paul%20the%20Apostle%20(SVdP%20D7)%2018223%20Point%20Lookout%20Dr%20Houston%20TX%2077058</v>
      </c>
      <c r="X864" s="10"/>
      <c r="Y864" s="9" t="str">
        <f>IFERROR(__xludf.DUMMYFUNCTION("""COMPUTED_VALUE"""),"Houston")</f>
        <v>Houston</v>
      </c>
      <c r="Z864" s="9" t="str">
        <f>IFERROR(__xludf.DUMMYFUNCTION("""COMPUTED_VALUE"""),"Clear Lake, Nassau Bay")</f>
        <v>Clear Lake, Nassau Bay</v>
      </c>
      <c r="AA864" s="9" t="str">
        <f>IFERROR(__xludf.DUMMYFUNCTION("""COMPUTED_VALUE"""),"Society of St Vincent de Paul")</f>
        <v>Society of St Vincent de Paul</v>
      </c>
      <c r="AB864" s="9" t="str">
        <f>IFERROR(__xludf.DUMMYFUNCTION("""COMPUTED_VALUE"""),"Nassau Bay")</f>
        <v>Nassau Bay</v>
      </c>
    </row>
    <row r="865" ht="30.0" customHeight="1">
      <c r="A865" s="17">
        <v>864.0</v>
      </c>
      <c r="B865" s="8" t="str">
        <f>IFERROR(__xludf.DUMMYFUNCTION("""COMPUTED_VALUE"""),"[""77418""]")</f>
        <v>["77418"]</v>
      </c>
      <c r="C865" s="9" t="str">
        <f>IFERROR(__xludf.DUMMYFUNCTION("""COMPUTED_VALUE"""),"St Peter &amp; Paul Bellville")</f>
        <v>St Peter &amp; Paul Bellville</v>
      </c>
      <c r="D865" s="9" t="str">
        <f>IFERROR(__xludf.DUMMYFUNCTION("""COMPUTED_VALUE"""),"936 South Front Street")</f>
        <v>936 South Front Street</v>
      </c>
      <c r="E865" s="9"/>
      <c r="F865" s="9" t="str">
        <f>IFERROR(__xludf.DUMMYFUNCTION("""COMPUTED_VALUE"""),"Bellville")</f>
        <v>Bellville</v>
      </c>
      <c r="G865" s="9" t="str">
        <f>IFERROR(__xludf.DUMMYFUNCTION("""COMPUTED_VALUE"""),"TX")</f>
        <v>TX</v>
      </c>
      <c r="H865" s="9" t="str">
        <f>IFERROR(__xludf.DUMMYFUNCTION("""COMPUTED_VALUE"""),"77418")</f>
        <v>77418</v>
      </c>
      <c r="I865" s="9" t="str">
        <f>IFERROR(__xludf.DUMMYFUNCTION("""COMPUTED_VALUE"""),"979-865-0676")</f>
        <v>979-865-0676</v>
      </c>
      <c r="J865" s="9" t="str">
        <f>IFERROR(__xludf.DUMMYFUNCTION("""COMPUTED_VALUE"""),"29.9374088, -96.252053405151")</f>
        <v>29.9374088, -96.252053405151</v>
      </c>
      <c r="K865" s="9"/>
      <c r="L865" s="9"/>
      <c r="M865" s="10">
        <f>IFERROR(__xludf.DUMMYFUNCTION("""COMPUTED_VALUE"""),13.0)</f>
        <v>13</v>
      </c>
      <c r="N865" s="10" t="str">
        <f>IFERROR(__xludf.DUMMYFUNCTION("""COMPUTED_VALUE"""),"Food")</f>
        <v>Food</v>
      </c>
      <c r="O865" s="10">
        <f>IFERROR(__xludf.DUMMYFUNCTION("""COMPUTED_VALUE"""),1.0)</f>
        <v>1</v>
      </c>
      <c r="P865" s="10" t="str">
        <f>IFERROR(__xludf.DUMMYFUNCTION("""COMPUTED_VALUE"""),"ACTIVE")</f>
        <v>ACTIVE</v>
      </c>
      <c r="Q865" s="11"/>
      <c r="R865" s="9"/>
      <c r="S865" s="9"/>
      <c r="T865" s="12" t="b">
        <f>IFERROR(__xludf.DUMMYFUNCTION("""COMPUTED_VALUE"""),FALSE)</f>
        <v>0</v>
      </c>
      <c r="U865" s="12" t="b">
        <f>IFERROR(__xludf.DUMMYFUNCTION("""COMPUTED_VALUE"""),FALSE)</f>
        <v>0</v>
      </c>
      <c r="V865" s="13" t="str">
        <f>IFERROR(__xludf.DUMMYFUNCTION("""COMPUTED_VALUE"""),"https://stsppbellvilletx.org/")</f>
        <v>https://stsppbellvilletx.org/</v>
      </c>
      <c r="W865" s="14" t="str">
        <f>IFERROR(__xludf.DUMMYFUNCTION("""COMPUTED_VALUE"""),"https://maps.google.com/?q=St%20Peter%20%26%20Paul%20Bellville%20936%20South%20Front%20St%20Bellville%20TX%2077418")</f>
        <v>https://maps.google.com/?q=St%20Peter%20%26%20Paul%20Bellville%20936%20South%20Front%20St%20Bellville%20TX%2077418</v>
      </c>
      <c r="X865" s="10"/>
      <c r="Y865" s="9" t="str">
        <f>IFERROR(__xludf.DUMMYFUNCTION("""COMPUTED_VALUE"""),"Bellville")</f>
        <v>Bellville</v>
      </c>
      <c r="Z865" s="9" t="str">
        <f>IFERROR(__xludf.DUMMYFUNCTION("""COMPUTED_VALUE"""),"Bellville")</f>
        <v>Bellville</v>
      </c>
      <c r="AA865" s="9" t="str">
        <f>IFERROR(__xludf.DUMMYFUNCTION("""COMPUTED_VALUE"""),"St Peter &amp; Paul Bellville")</f>
        <v>St Peter &amp; Paul Bellville</v>
      </c>
      <c r="AB865" s="9" t="str">
        <f>IFERROR(__xludf.DUMMYFUNCTION("""COMPUTED_VALUE"""),"Bellville")</f>
        <v>Bellville</v>
      </c>
    </row>
    <row r="866" ht="30.0" customHeight="1">
      <c r="A866" s="17">
        <v>865.0</v>
      </c>
      <c r="B866" s="8" t="str">
        <f>IFERROR(__xludf.DUMMYFUNCTION("""COMPUTED_VALUE"""),"[""77418""]")</f>
        <v>["77418"]</v>
      </c>
      <c r="C866" s="9" t="str">
        <f>IFERROR(__xludf.DUMMYFUNCTION("""COMPUTED_VALUE"""),"St Philip Neri (SVdP D3)")</f>
        <v>St Philip Neri (SVdP D3)</v>
      </c>
      <c r="D866" s="9" t="str">
        <f>IFERROR(__xludf.DUMMYFUNCTION("""COMPUTED_VALUE"""),"10960 Martin Luther King Blvd")</f>
        <v>10960 Martin Luther King Blvd</v>
      </c>
      <c r="E866" s="9"/>
      <c r="F866" s="9" t="str">
        <f>IFERROR(__xludf.DUMMYFUNCTION("""COMPUTED_VALUE"""),"Houston")</f>
        <v>Houston</v>
      </c>
      <c r="G866" s="9" t="str">
        <f>IFERROR(__xludf.DUMMYFUNCTION("""COMPUTED_VALUE"""),"TX")</f>
        <v>TX</v>
      </c>
      <c r="H866" s="9" t="str">
        <f>IFERROR(__xludf.DUMMYFUNCTION("""COMPUTED_VALUE"""),"77048")</f>
        <v>77048</v>
      </c>
      <c r="I866" s="9" t="str">
        <f>IFERROR(__xludf.DUMMYFUNCTION("""COMPUTED_VALUE"""),"713-734-0320")</f>
        <v>713-734-0320</v>
      </c>
      <c r="J866" s="9" t="str">
        <f>IFERROR(__xludf.DUMMYFUNCTION("""COMPUTED_VALUE"""),"29.6401659565217, -95.338596")</f>
        <v>29.6401659565217, -95.338596</v>
      </c>
      <c r="K866" s="9" t="str">
        <f>IFERROR(__xludf.DUMMYFUNCTION("""COMPUTED_VALUE"""),"{""special"":[{""pattern"":""2nd &amp; 3rd Fr"",""open"":null,""close"":null}]}")</f>
        <v>{"special":[{"pattern":"2nd &amp; 3rd Fr","open":null,"close":null}]}</v>
      </c>
      <c r="L866" s="9"/>
      <c r="M866" s="10">
        <f>IFERROR(__xludf.DUMMYFUNCTION("""COMPUTED_VALUE"""),13.0)</f>
        <v>13</v>
      </c>
      <c r="N866" s="10" t="str">
        <f>IFERROR(__xludf.DUMMYFUNCTION("""COMPUTED_VALUE"""),"Food")</f>
        <v>Food</v>
      </c>
      <c r="O866" s="10">
        <f>IFERROR(__xludf.DUMMYFUNCTION("""COMPUTED_VALUE"""),1.0)</f>
        <v>1</v>
      </c>
      <c r="P866" s="10" t="str">
        <f>IFERROR(__xludf.DUMMYFUNCTION("""COMPUTED_VALUE"""),"ACTIVE")</f>
        <v>ACTIVE</v>
      </c>
      <c r="Q866" s="11"/>
      <c r="R866" s="9"/>
      <c r="S866" s="9"/>
      <c r="T866" s="12" t="b">
        <f>IFERROR(__xludf.DUMMYFUNCTION("""COMPUTED_VALUE"""),FALSE)</f>
        <v>0</v>
      </c>
      <c r="U866" s="12" t="b">
        <f>IFERROR(__xludf.DUMMYFUNCTION("""COMPUTED_VALUE"""),FALSE)</f>
        <v>0</v>
      </c>
      <c r="V866" s="13" t="str">
        <f>IFERROR(__xludf.DUMMYFUNCTION("""COMPUTED_VALUE"""),"https://stphilipnerichurch.org/")</f>
        <v>https://stphilipnerichurch.org/</v>
      </c>
      <c r="W866" s="14" t="str">
        <f>IFERROR(__xludf.DUMMYFUNCTION("""COMPUTED_VALUE"""),"https://maps.google.com/?q=St%20Philip%20Neri%20(SVdP%20D3)%2010960%20Martin%20Luther%20King%20Blvd%20Houston%20TX%2077048")</f>
        <v>https://maps.google.com/?q=St%20Philip%20Neri%20(SVdP%20D3)%2010960%20Martin%20Luther%20King%20Blvd%20Houston%20TX%2077048</v>
      </c>
      <c r="X866" s="10"/>
      <c r="Y866" s="9" t="str">
        <f>IFERROR(__xludf.DUMMYFUNCTION("""COMPUTED_VALUE"""),"Houston")</f>
        <v>Houston</v>
      </c>
      <c r="Z866" s="9" t="str">
        <f>IFERROR(__xludf.DUMMYFUNCTION("""COMPUTED_VALUE"""),"Minnetex, South Acres / Crestmont Park")</f>
        <v>Minnetex, South Acres / Crestmont Park</v>
      </c>
      <c r="AA866" s="9" t="str">
        <f>IFERROR(__xludf.DUMMYFUNCTION("""COMPUTED_VALUE"""),"Society of St Vincent de Paul")</f>
        <v>Society of St Vincent de Paul</v>
      </c>
      <c r="AB866" s="9" t="str">
        <f>IFERROR(__xludf.DUMMYFUNCTION("""COMPUTED_VALUE"""),"South Acres / Crestmont Park")</f>
        <v>South Acres / Crestmont Park</v>
      </c>
    </row>
    <row r="867" ht="30.0" customHeight="1">
      <c r="A867" s="17">
        <v>866.0</v>
      </c>
      <c r="B867" s="8" t="str">
        <f>IFERROR(__xludf.DUMMYFUNCTION("""COMPUTED_VALUE"""),"[""77418""]")</f>
        <v>["77418"]</v>
      </c>
      <c r="C867" s="9" t="str">
        <f>IFERROR(__xludf.DUMMYFUNCTION("""COMPUTED_VALUE"""),"St Philip Neri (SVdP D3)")</f>
        <v>St Philip Neri (SVdP D3)</v>
      </c>
      <c r="D867" s="9" t="str">
        <f>IFERROR(__xludf.DUMMYFUNCTION("""COMPUTED_VALUE"""),"10960 Martin Luther King Blvd")</f>
        <v>10960 Martin Luther King Blvd</v>
      </c>
      <c r="E867" s="9"/>
      <c r="F867" s="9" t="str">
        <f>IFERROR(__xludf.DUMMYFUNCTION("""COMPUTED_VALUE"""),"Houston")</f>
        <v>Houston</v>
      </c>
      <c r="G867" s="9" t="str">
        <f>IFERROR(__xludf.DUMMYFUNCTION("""COMPUTED_VALUE"""),"TX")</f>
        <v>TX</v>
      </c>
      <c r="H867" s="9" t="str">
        <f>IFERROR(__xludf.DUMMYFUNCTION("""COMPUTED_VALUE"""),"77048")</f>
        <v>77048</v>
      </c>
      <c r="I867" s="9" t="str">
        <f>IFERROR(__xludf.DUMMYFUNCTION("""COMPUTED_VALUE"""),"713-734-0320")</f>
        <v>713-734-0320</v>
      </c>
      <c r="J867" s="9" t="str">
        <f>IFERROR(__xludf.DUMMYFUNCTION("""COMPUTED_VALUE"""),"29.6401659565217, -95.338596")</f>
        <v>29.6401659565217, -95.338596</v>
      </c>
      <c r="K867" s="9" t="str">
        <f>IFERROR(__xludf.DUMMYFUNCTION("""COMPUTED_VALUE"""),"{""special"":[{""pattern"":""2nd &amp; 3rd Fr"",""open"":null,""close"":null}]}")</f>
        <v>{"special":[{"pattern":"2nd &amp; 3rd Fr","open":null,"close":null}]}</v>
      </c>
      <c r="L867" s="9"/>
      <c r="M867" s="10">
        <f>IFERROR(__xludf.DUMMYFUNCTION("""COMPUTED_VALUE"""),14.0)</f>
        <v>14</v>
      </c>
      <c r="N867" s="10" t="str">
        <f>IFERROR(__xludf.DUMMYFUNCTION("""COMPUTED_VALUE"""),"Clothing")</f>
        <v>Clothing</v>
      </c>
      <c r="O867" s="10">
        <f>IFERROR(__xludf.DUMMYFUNCTION("""COMPUTED_VALUE"""),1.0)</f>
        <v>1</v>
      </c>
      <c r="P867" s="10" t="str">
        <f>IFERROR(__xludf.DUMMYFUNCTION("""COMPUTED_VALUE"""),"ACTIVE")</f>
        <v>ACTIVE</v>
      </c>
      <c r="Q867" s="11"/>
      <c r="R867" s="9"/>
      <c r="S867" s="9"/>
      <c r="T867" s="12" t="b">
        <f>IFERROR(__xludf.DUMMYFUNCTION("""COMPUTED_VALUE"""),FALSE)</f>
        <v>0</v>
      </c>
      <c r="U867" s="12" t="b">
        <f>IFERROR(__xludf.DUMMYFUNCTION("""COMPUTED_VALUE"""),FALSE)</f>
        <v>0</v>
      </c>
      <c r="V867" s="13" t="str">
        <f>IFERROR(__xludf.DUMMYFUNCTION("""COMPUTED_VALUE"""),"https://stphilipnerichurch.org/")</f>
        <v>https://stphilipnerichurch.org/</v>
      </c>
      <c r="W867" s="14" t="str">
        <f>IFERROR(__xludf.DUMMYFUNCTION("""COMPUTED_VALUE"""),"https://maps.google.com/?q=St%20Philip%20Neri%20(SVdP%20D3)%2010960%20Martin%20Luther%20King%20Blvd%20Houston%20TX%2077048")</f>
        <v>https://maps.google.com/?q=St%20Philip%20Neri%20(SVdP%20D3)%2010960%20Martin%20Luther%20King%20Blvd%20Houston%20TX%2077048</v>
      </c>
      <c r="X867" s="10"/>
      <c r="Y867" s="9" t="str">
        <f>IFERROR(__xludf.DUMMYFUNCTION("""COMPUTED_VALUE"""),"Houston")</f>
        <v>Houston</v>
      </c>
      <c r="Z867" s="9" t="str">
        <f>IFERROR(__xludf.DUMMYFUNCTION("""COMPUTED_VALUE"""),"Minnetex, South Acres / Crestmont Park")</f>
        <v>Minnetex, South Acres / Crestmont Park</v>
      </c>
      <c r="AA867" s="9" t="str">
        <f>IFERROR(__xludf.DUMMYFUNCTION("""COMPUTED_VALUE"""),"Society of St Vincent de Paul")</f>
        <v>Society of St Vincent de Paul</v>
      </c>
      <c r="AB867" s="9" t="str">
        <f>IFERROR(__xludf.DUMMYFUNCTION("""COMPUTED_VALUE"""),"South Acres / Crestmont Park")</f>
        <v>South Acres / Crestmont Park</v>
      </c>
    </row>
    <row r="868" ht="30.0" customHeight="1">
      <c r="A868" s="17">
        <v>867.0</v>
      </c>
      <c r="B868" s="8" t="str">
        <f>IFERROR(__xludf.DUMMYFUNCTION("""COMPUTED_VALUE"""),"[""77336"", ""77346""]")</f>
        <v>["77336", "77346"]</v>
      </c>
      <c r="C868" s="9" t="str">
        <f>IFERROR(__xludf.DUMMYFUNCTION("""COMPUTED_VALUE"""),"St Philip the Apostle")</f>
        <v>St Philip the Apostle</v>
      </c>
      <c r="D868" s="9" t="str">
        <f>IFERROR(__xludf.DUMMYFUNCTION("""COMPUTED_VALUE"""),"2308 3rd Street")</f>
        <v>2308 3rd Street</v>
      </c>
      <c r="E868" s="9"/>
      <c r="F868" s="9" t="str">
        <f>IFERROR(__xludf.DUMMYFUNCTION("""COMPUTED_VALUE"""),"Huffman")</f>
        <v>Huffman</v>
      </c>
      <c r="G868" s="9" t="str">
        <f>IFERROR(__xludf.DUMMYFUNCTION("""COMPUTED_VALUE"""),"TX")</f>
        <v>TX</v>
      </c>
      <c r="H868" s="9" t="str">
        <f>IFERROR(__xludf.DUMMYFUNCTION("""COMPUTED_VALUE"""),"77336")</f>
        <v>77336</v>
      </c>
      <c r="I868" s="9" t="str">
        <f>IFERROR(__xludf.DUMMYFUNCTION("""COMPUTED_VALUE"""),"832-764-9814")</f>
        <v>832-764-9814</v>
      </c>
      <c r="J868" s="9" t="str">
        <f>IFERROR(__xludf.DUMMYFUNCTION("""COMPUTED_VALUE"""),"30.0275289481775, -95.0855670981122")</f>
        <v>30.0275289481775, -95.0855670981122</v>
      </c>
      <c r="K868" s="9" t="str">
        <f>IFERROR(__xludf.DUMMYFUNCTION("""COMPUTED_VALUE"""),"{""regular"":[{""days"":[""Mo"",""Tu"",""We"",""Th"",""Fr""],""open"":""09:00"",""close"":""17:00""}]}")</f>
        <v>{"regular":[{"days":["Mo","Tu","We","Th","Fr"],"open":"09:00","close":"17:00"}]}</v>
      </c>
      <c r="L868" s="9"/>
      <c r="M868" s="10">
        <f>IFERROR(__xludf.DUMMYFUNCTION("""COMPUTED_VALUE"""),11.0)</f>
        <v>11</v>
      </c>
      <c r="N868" s="10" t="str">
        <f>IFERROR(__xludf.DUMMYFUNCTION("""COMPUTED_VALUE"""),"Rent")</f>
        <v>Rent</v>
      </c>
      <c r="O868" s="10">
        <f>IFERROR(__xludf.DUMMYFUNCTION("""COMPUTED_VALUE"""),1.0)</f>
        <v>1</v>
      </c>
      <c r="P868" s="10" t="str">
        <f>IFERROR(__xludf.DUMMYFUNCTION("""COMPUTED_VALUE"""),"ACTIVE")</f>
        <v>ACTIVE</v>
      </c>
      <c r="Q868" s="11"/>
      <c r="R868" s="9"/>
      <c r="S868" s="9"/>
      <c r="T868" s="12" t="b">
        <f>IFERROR(__xludf.DUMMYFUNCTION("""COMPUTED_VALUE"""),FALSE)</f>
        <v>0</v>
      </c>
      <c r="U868" s="12" t="b">
        <f>IFERROR(__xludf.DUMMYFUNCTION("""COMPUTED_VALUE"""),FALSE)</f>
        <v>0</v>
      </c>
      <c r="V868" s="13" t="str">
        <f>IFERROR(__xludf.DUMMYFUNCTION("""COMPUTED_VALUE"""),"https://stphiliphuffmantx.org/contact")</f>
        <v>https://stphiliphuffmantx.org/contact</v>
      </c>
      <c r="W868" s="14" t="str">
        <f>IFERROR(__xludf.DUMMYFUNCTION("""COMPUTED_VALUE"""),"https://maps.google.com/?q=St%20Philip%20the%20Apostle%202308%203rd%20St%20Huffman%20TX%2077336")</f>
        <v>https://maps.google.com/?q=St%20Philip%20the%20Apostle%202308%203rd%20St%20Huffman%20TX%2077336</v>
      </c>
      <c r="X868" s="10"/>
      <c r="Y868" s="9" t="str">
        <f>IFERROR(__xludf.DUMMYFUNCTION("""COMPUTED_VALUE"""),"Huffman")</f>
        <v>Huffman</v>
      </c>
      <c r="Z868" s="9" t="str">
        <f>IFERROR(__xludf.DUMMYFUNCTION("""COMPUTED_VALUE"""),"Huffman")</f>
        <v>Huffman</v>
      </c>
      <c r="AA868" s="9" t="str">
        <f>IFERROR(__xludf.DUMMYFUNCTION("""COMPUTED_VALUE"""),"St Philip the Apostle")</f>
        <v>St Philip the Apostle</v>
      </c>
      <c r="AB868" s="9" t="str">
        <f>IFERROR(__xludf.DUMMYFUNCTION("""COMPUTED_VALUE"""),"Huffman")</f>
        <v>Huffman</v>
      </c>
    </row>
    <row r="869" ht="30.0" customHeight="1">
      <c r="A869" s="17">
        <v>868.0</v>
      </c>
      <c r="B869" s="8" t="str">
        <f>IFERROR(__xludf.DUMMYFUNCTION("""COMPUTED_VALUE"""),"[""77336"", ""77346""]")</f>
        <v>["77336", "77346"]</v>
      </c>
      <c r="C869" s="9" t="str">
        <f>IFERROR(__xludf.DUMMYFUNCTION("""COMPUTED_VALUE"""),"St Philip the Apostle")</f>
        <v>St Philip the Apostle</v>
      </c>
      <c r="D869" s="9" t="str">
        <f>IFERROR(__xludf.DUMMYFUNCTION("""COMPUTED_VALUE"""),"2308 3rd Street")</f>
        <v>2308 3rd Street</v>
      </c>
      <c r="E869" s="9"/>
      <c r="F869" s="9" t="str">
        <f>IFERROR(__xludf.DUMMYFUNCTION("""COMPUTED_VALUE"""),"Huffman")</f>
        <v>Huffman</v>
      </c>
      <c r="G869" s="9" t="str">
        <f>IFERROR(__xludf.DUMMYFUNCTION("""COMPUTED_VALUE"""),"TX")</f>
        <v>TX</v>
      </c>
      <c r="H869" s="9" t="str">
        <f>IFERROR(__xludf.DUMMYFUNCTION("""COMPUTED_VALUE"""),"77336")</f>
        <v>77336</v>
      </c>
      <c r="I869" s="9" t="str">
        <f>IFERROR(__xludf.DUMMYFUNCTION("""COMPUTED_VALUE"""),"832-764-9814")</f>
        <v>832-764-9814</v>
      </c>
      <c r="J869" s="9" t="str">
        <f>IFERROR(__xludf.DUMMYFUNCTION("""COMPUTED_VALUE"""),"30.0275289481775, -95.0855670981122")</f>
        <v>30.0275289481775, -95.0855670981122</v>
      </c>
      <c r="K869" s="9" t="str">
        <f>IFERROR(__xludf.DUMMYFUNCTION("""COMPUTED_VALUE"""),"{""regular"":[{""days"":[""Mo"",""Tu"",""We"",""Th"",""Fr""],""open"":""09:00"",""close"":""17:00""}]}")</f>
        <v>{"regular":[{"days":["Mo","Tu","We","Th","Fr"],"open":"09:00","close":"17:00"}]}</v>
      </c>
      <c r="L869" s="9"/>
      <c r="M869" s="10">
        <f>IFERROR(__xludf.DUMMYFUNCTION("""COMPUTED_VALUE"""),12.0)</f>
        <v>12</v>
      </c>
      <c r="N869" s="10" t="str">
        <f>IFERROR(__xludf.DUMMYFUNCTION("""COMPUTED_VALUE"""),"Utilities")</f>
        <v>Utilities</v>
      </c>
      <c r="O869" s="10">
        <f>IFERROR(__xludf.DUMMYFUNCTION("""COMPUTED_VALUE"""),1.0)</f>
        <v>1</v>
      </c>
      <c r="P869" s="10" t="str">
        <f>IFERROR(__xludf.DUMMYFUNCTION("""COMPUTED_VALUE"""),"ACTIVE")</f>
        <v>ACTIVE</v>
      </c>
      <c r="Q869" s="11"/>
      <c r="R869" s="9"/>
      <c r="S869" s="9"/>
      <c r="T869" s="12" t="b">
        <f>IFERROR(__xludf.DUMMYFUNCTION("""COMPUTED_VALUE"""),FALSE)</f>
        <v>0</v>
      </c>
      <c r="U869" s="12" t="b">
        <f>IFERROR(__xludf.DUMMYFUNCTION("""COMPUTED_VALUE"""),FALSE)</f>
        <v>0</v>
      </c>
      <c r="V869" s="13" t="str">
        <f>IFERROR(__xludf.DUMMYFUNCTION("""COMPUTED_VALUE"""),"https://stphiliphuffmantx.org/contact")</f>
        <v>https://stphiliphuffmantx.org/contact</v>
      </c>
      <c r="W869" s="14" t="str">
        <f>IFERROR(__xludf.DUMMYFUNCTION("""COMPUTED_VALUE"""),"https://maps.google.com/?q=St%20Philip%20the%20Apostle%202308%203rd%20St%20Huffman%20TX%2077336")</f>
        <v>https://maps.google.com/?q=St%20Philip%20the%20Apostle%202308%203rd%20St%20Huffman%20TX%2077336</v>
      </c>
      <c r="X869" s="10"/>
      <c r="Y869" s="9" t="str">
        <f>IFERROR(__xludf.DUMMYFUNCTION("""COMPUTED_VALUE"""),"Huffman")</f>
        <v>Huffman</v>
      </c>
      <c r="Z869" s="9" t="str">
        <f>IFERROR(__xludf.DUMMYFUNCTION("""COMPUTED_VALUE"""),"Huffman")</f>
        <v>Huffman</v>
      </c>
      <c r="AA869" s="9" t="str">
        <f>IFERROR(__xludf.DUMMYFUNCTION("""COMPUTED_VALUE"""),"St Philip the Apostle")</f>
        <v>St Philip the Apostle</v>
      </c>
      <c r="AB869" s="9" t="str">
        <f>IFERROR(__xludf.DUMMYFUNCTION("""COMPUTED_VALUE"""),"Huffman")</f>
        <v>Huffman</v>
      </c>
    </row>
    <row r="870" ht="30.0" customHeight="1">
      <c r="A870" s="17">
        <v>869.0</v>
      </c>
      <c r="B870" s="8" t="str">
        <f>IFERROR(__xludf.DUMMYFUNCTION("""COMPUTED_VALUE"""),"[""77501"", ""77504"", ""77506""]")</f>
        <v>["77501", "77504", "77506"]</v>
      </c>
      <c r="C870" s="9" t="str">
        <f>IFERROR(__xludf.DUMMYFUNCTION("""COMPUTED_VALUE"""),"St Pius Pasadena")</f>
        <v>St Pius Pasadena</v>
      </c>
      <c r="D870" s="9" t="str">
        <f>IFERROR(__xludf.DUMMYFUNCTION("""COMPUTED_VALUE"""),"824 Main Street")</f>
        <v>824 Main Street</v>
      </c>
      <c r="E870" s="9"/>
      <c r="F870" s="9" t="str">
        <f>IFERROR(__xludf.DUMMYFUNCTION("""COMPUTED_VALUE"""),"Pasadena")</f>
        <v>Pasadena</v>
      </c>
      <c r="G870" s="9" t="str">
        <f>IFERROR(__xludf.DUMMYFUNCTION("""COMPUTED_VALUE"""),"TX")</f>
        <v>TX</v>
      </c>
      <c r="H870" s="9" t="str">
        <f>IFERROR(__xludf.DUMMYFUNCTION("""COMPUTED_VALUE"""),"77506")</f>
        <v>77506</v>
      </c>
      <c r="I870" s="9" t="str">
        <f>IFERROR(__xludf.DUMMYFUNCTION("""COMPUTED_VALUE"""),"713-473-9484")</f>
        <v>713-473-9484</v>
      </c>
      <c r="J870" s="9" t="str">
        <f>IFERROR(__xludf.DUMMYFUNCTION("""COMPUTED_VALUE"""),"29.6983762, -95.2097975")</f>
        <v>29.6983762, -95.2097975</v>
      </c>
      <c r="K870" s="9" t="str">
        <f>IFERROR(__xludf.DUMMYFUNCTION("""COMPUTED_VALUE"""),"{""regular"":[{""days"":[""Tu"",""We"",""Th""],""open"":""14:00"",""close"":""16:00""}]}")</f>
        <v>{"regular":[{"days":["Tu","We","Th"],"open":"14:00","close":"16:00"}]}</v>
      </c>
      <c r="L870" s="9"/>
      <c r="M870" s="10">
        <f>IFERROR(__xludf.DUMMYFUNCTION("""COMPUTED_VALUE"""),13.0)</f>
        <v>13</v>
      </c>
      <c r="N870" s="10" t="str">
        <f>IFERROR(__xludf.DUMMYFUNCTION("""COMPUTED_VALUE"""),"Food")</f>
        <v>Food</v>
      </c>
      <c r="O870" s="10">
        <f>IFERROR(__xludf.DUMMYFUNCTION("""COMPUTED_VALUE"""),1.0)</f>
        <v>1</v>
      </c>
      <c r="P870" s="10" t="str">
        <f>IFERROR(__xludf.DUMMYFUNCTION("""COMPUTED_VALUE"""),"ACTIVE")</f>
        <v>ACTIVE</v>
      </c>
      <c r="Q870" s="11"/>
      <c r="R870" s="9"/>
      <c r="S870" s="9"/>
      <c r="T870" s="12" t="b">
        <f>IFERROR(__xludf.DUMMYFUNCTION("""COMPUTED_VALUE"""),FALSE)</f>
        <v>0</v>
      </c>
      <c r="U870" s="12" t="b">
        <f>IFERROR(__xludf.DUMMYFUNCTION("""COMPUTED_VALUE"""),FALSE)</f>
        <v>0</v>
      </c>
      <c r="V870" s="13" t="str">
        <f>IFERROR(__xludf.DUMMYFUNCTION("""COMPUTED_VALUE"""),"https://stpiusvchurch.com/social-mininstry")</f>
        <v>https://stpiusvchurch.com/social-mininstry</v>
      </c>
      <c r="W870" s="14" t="str">
        <f>IFERROR(__xludf.DUMMYFUNCTION("""COMPUTED_VALUE"""),"https://maps.google.com/?q=St%20Pius%20Pasadena%20824%20Main%20St%20Pasadena%20TX%2077506")</f>
        <v>https://maps.google.com/?q=St%20Pius%20Pasadena%20824%20Main%20St%20Pasadena%20TX%2077506</v>
      </c>
      <c r="X870" s="10"/>
      <c r="Y870" s="9" t="str">
        <f>IFERROR(__xludf.DUMMYFUNCTION("""COMPUTED_VALUE"""),"Pasadena")</f>
        <v>Pasadena</v>
      </c>
      <c r="Z870" s="9" t="str">
        <f>IFERROR(__xludf.DUMMYFUNCTION("""COMPUTED_VALUE"""),"Pasadena")</f>
        <v>Pasadena</v>
      </c>
      <c r="AA870" s="9" t="str">
        <f>IFERROR(__xludf.DUMMYFUNCTION("""COMPUTED_VALUE"""),"St Pius Pasadena")</f>
        <v>St Pius Pasadena</v>
      </c>
      <c r="AB870" s="9" t="str">
        <f>IFERROR(__xludf.DUMMYFUNCTION("""COMPUTED_VALUE"""),"Pasadena")</f>
        <v>Pasadena</v>
      </c>
    </row>
    <row r="871" ht="30.0" customHeight="1">
      <c r="A871" s="17">
        <v>870.0</v>
      </c>
      <c r="B871" s="8" t="str">
        <f>IFERROR(__xludf.DUMMYFUNCTION("""COMPUTED_VALUE"""),"[""77008"", ""77018""]")</f>
        <v>["77008", "77018"]</v>
      </c>
      <c r="C871" s="9" t="str">
        <f>IFERROR(__xludf.DUMMYFUNCTION("""COMPUTED_VALUE"""),"St Rose of Lima (SVdP D1)")</f>
        <v>St Rose of Lima (SVdP D1)</v>
      </c>
      <c r="D871" s="9" t="str">
        <f>IFERROR(__xludf.DUMMYFUNCTION("""COMPUTED_VALUE"""),"3600 Brinkman Street")</f>
        <v>3600 Brinkman Street</v>
      </c>
      <c r="E871" s="9"/>
      <c r="F871" s="9" t="str">
        <f>IFERROR(__xludf.DUMMYFUNCTION("""COMPUTED_VALUE"""),"Houston")</f>
        <v>Houston</v>
      </c>
      <c r="G871" s="9" t="str">
        <f>IFERROR(__xludf.DUMMYFUNCTION("""COMPUTED_VALUE"""),"TX")</f>
        <v>TX</v>
      </c>
      <c r="H871" s="9" t="str">
        <f>IFERROR(__xludf.DUMMYFUNCTION("""COMPUTED_VALUE"""),"77018")</f>
        <v>77018</v>
      </c>
      <c r="I871" s="9" t="str">
        <f>IFERROR(__xludf.DUMMYFUNCTION("""COMPUTED_VALUE"""),"832-320-4181")</f>
        <v>832-320-4181</v>
      </c>
      <c r="J871" s="9" t="str">
        <f>IFERROR(__xludf.DUMMYFUNCTION("""COMPUTED_VALUE"""),"29.8199487, -95.4152169")</f>
        <v>29.8199487, -95.4152169</v>
      </c>
      <c r="K871" s="9"/>
      <c r="L871" s="9"/>
      <c r="M871" s="10">
        <f>IFERROR(__xludf.DUMMYFUNCTION("""COMPUTED_VALUE"""),11.0)</f>
        <v>11</v>
      </c>
      <c r="N871" s="10" t="str">
        <f>IFERROR(__xludf.DUMMYFUNCTION("""COMPUTED_VALUE"""),"Rent")</f>
        <v>Rent</v>
      </c>
      <c r="O871" s="10">
        <f>IFERROR(__xludf.DUMMYFUNCTION("""COMPUTED_VALUE"""),1.0)</f>
        <v>1</v>
      </c>
      <c r="P871" s="10" t="str">
        <f>IFERROR(__xludf.DUMMYFUNCTION("""COMPUTED_VALUE"""),"ACTIVE")</f>
        <v>ACTIVE</v>
      </c>
      <c r="Q871" s="11">
        <f>IFERROR(__xludf.DUMMYFUNCTION("""COMPUTED_VALUE"""),45637.0)</f>
        <v>45637</v>
      </c>
      <c r="R871" s="9"/>
      <c r="S871" s="9"/>
      <c r="T871" s="12" t="b">
        <f>IFERROR(__xludf.DUMMYFUNCTION("""COMPUTED_VALUE"""),FALSE)</f>
        <v>0</v>
      </c>
      <c r="U871" s="12" t="b">
        <f>IFERROR(__xludf.DUMMYFUNCTION("""COMPUTED_VALUE"""),FALSE)</f>
        <v>0</v>
      </c>
      <c r="V871" s="13" t="str">
        <f>IFERROR(__xludf.DUMMYFUNCTION("""COMPUTED_VALUE"""),"https://www.stroselima.org/outreach")</f>
        <v>https://www.stroselima.org/outreach</v>
      </c>
      <c r="W871" s="14" t="str">
        <f>IFERROR(__xludf.DUMMYFUNCTION("""COMPUTED_VALUE"""),"https://maps.google.com/?q=St%20Rose%20of%20Lima%20(SVdP%20D1)%203600%20Brinkman%20Houston%20TX%2077018")</f>
        <v>https://maps.google.com/?q=St%20Rose%20of%20Lima%20(SVdP%20D1)%203600%20Brinkman%20Houston%20TX%2077018</v>
      </c>
      <c r="X871" s="10"/>
      <c r="Y871" s="9" t="str">
        <f>IFERROR(__xludf.DUMMYFUNCTION("""COMPUTED_VALUE"""),"Houston")</f>
        <v>Houston</v>
      </c>
      <c r="Z871" s="9" t="str">
        <f>IFERROR(__xludf.DUMMYFUNCTION("""COMPUTED_VALUE"""),"Central Northwest, Garden Oaks, Northside, Oak Forest")</f>
        <v>Central Northwest, Garden Oaks, Northside, Oak Forest</v>
      </c>
      <c r="AA871" s="9" t="str">
        <f>IFERROR(__xludf.DUMMYFUNCTION("""COMPUTED_VALUE"""),"Society of St Vincent de Paul")</f>
        <v>Society of St Vincent de Paul</v>
      </c>
      <c r="AB871" s="9" t="str">
        <f>IFERROR(__xludf.DUMMYFUNCTION("""COMPUTED_VALUE"""),"Central Northwest")</f>
        <v>Central Northwest</v>
      </c>
    </row>
    <row r="872" ht="30.0" customHeight="1">
      <c r="A872" s="17">
        <v>871.0</v>
      </c>
      <c r="B872" s="8" t="str">
        <f>IFERROR(__xludf.DUMMYFUNCTION("""COMPUTED_VALUE"""),"[""77008"", ""77018""]")</f>
        <v>["77008", "77018"]</v>
      </c>
      <c r="C872" s="9" t="str">
        <f>IFERROR(__xludf.DUMMYFUNCTION("""COMPUTED_VALUE"""),"St Rose of Lima (SVdP D1)")</f>
        <v>St Rose of Lima (SVdP D1)</v>
      </c>
      <c r="D872" s="9" t="str">
        <f>IFERROR(__xludf.DUMMYFUNCTION("""COMPUTED_VALUE"""),"3600 Brinkman Street")</f>
        <v>3600 Brinkman Street</v>
      </c>
      <c r="E872" s="9"/>
      <c r="F872" s="9" t="str">
        <f>IFERROR(__xludf.DUMMYFUNCTION("""COMPUTED_VALUE"""),"Houston")</f>
        <v>Houston</v>
      </c>
      <c r="G872" s="9" t="str">
        <f>IFERROR(__xludf.DUMMYFUNCTION("""COMPUTED_VALUE"""),"TX")</f>
        <v>TX</v>
      </c>
      <c r="H872" s="9" t="str">
        <f>IFERROR(__xludf.DUMMYFUNCTION("""COMPUTED_VALUE"""),"77018")</f>
        <v>77018</v>
      </c>
      <c r="I872" s="9" t="str">
        <f>IFERROR(__xludf.DUMMYFUNCTION("""COMPUTED_VALUE"""),"832-320-4181")</f>
        <v>832-320-4181</v>
      </c>
      <c r="J872" s="9" t="str">
        <f>IFERROR(__xludf.DUMMYFUNCTION("""COMPUTED_VALUE"""),"29.8199487, -95.4152169")</f>
        <v>29.8199487, -95.4152169</v>
      </c>
      <c r="K872" s="9"/>
      <c r="L872" s="9"/>
      <c r="M872" s="10">
        <f>IFERROR(__xludf.DUMMYFUNCTION("""COMPUTED_VALUE"""),12.0)</f>
        <v>12</v>
      </c>
      <c r="N872" s="10" t="str">
        <f>IFERROR(__xludf.DUMMYFUNCTION("""COMPUTED_VALUE"""),"Utilities")</f>
        <v>Utilities</v>
      </c>
      <c r="O872" s="10">
        <f>IFERROR(__xludf.DUMMYFUNCTION("""COMPUTED_VALUE"""),1.0)</f>
        <v>1</v>
      </c>
      <c r="P872" s="10" t="str">
        <f>IFERROR(__xludf.DUMMYFUNCTION("""COMPUTED_VALUE"""),"ACTIVE")</f>
        <v>ACTIVE</v>
      </c>
      <c r="Q872" s="11">
        <f>IFERROR(__xludf.DUMMYFUNCTION("""COMPUTED_VALUE"""),45637.0)</f>
        <v>45637</v>
      </c>
      <c r="R872" s="9"/>
      <c r="S872" s="9"/>
      <c r="T872" s="12" t="b">
        <f>IFERROR(__xludf.DUMMYFUNCTION("""COMPUTED_VALUE"""),FALSE)</f>
        <v>0</v>
      </c>
      <c r="U872" s="12" t="b">
        <f>IFERROR(__xludf.DUMMYFUNCTION("""COMPUTED_VALUE"""),FALSE)</f>
        <v>0</v>
      </c>
      <c r="V872" s="13" t="str">
        <f>IFERROR(__xludf.DUMMYFUNCTION("""COMPUTED_VALUE"""),"https://www.stroselima.org/outreach")</f>
        <v>https://www.stroselima.org/outreach</v>
      </c>
      <c r="W872" s="14" t="str">
        <f>IFERROR(__xludf.DUMMYFUNCTION("""COMPUTED_VALUE"""),"https://maps.google.com/?q=St%20Rose%20of%20Lima%20(SVdP%20D1)%203600%20Brinkman%20Houston%20TX%2077018")</f>
        <v>https://maps.google.com/?q=St%20Rose%20of%20Lima%20(SVdP%20D1)%203600%20Brinkman%20Houston%20TX%2077018</v>
      </c>
      <c r="X872" s="10"/>
      <c r="Y872" s="9" t="str">
        <f>IFERROR(__xludf.DUMMYFUNCTION("""COMPUTED_VALUE"""),"Houston")</f>
        <v>Houston</v>
      </c>
      <c r="Z872" s="9" t="str">
        <f>IFERROR(__xludf.DUMMYFUNCTION("""COMPUTED_VALUE"""),"Central Northwest, Garden Oaks, Northside, Oak Forest")</f>
        <v>Central Northwest, Garden Oaks, Northside, Oak Forest</v>
      </c>
      <c r="AA872" s="9" t="str">
        <f>IFERROR(__xludf.DUMMYFUNCTION("""COMPUTED_VALUE"""),"Society of St Vincent de Paul")</f>
        <v>Society of St Vincent de Paul</v>
      </c>
      <c r="AB872" s="9" t="str">
        <f>IFERROR(__xludf.DUMMYFUNCTION("""COMPUTED_VALUE"""),"Central Northwest")</f>
        <v>Central Northwest</v>
      </c>
    </row>
    <row r="873" ht="30.0" customHeight="1">
      <c r="A873" s="17">
        <v>872.0</v>
      </c>
      <c r="B873" s="8" t="str">
        <f>IFERROR(__xludf.DUMMYFUNCTION("""COMPUTED_VALUE"""),"[""77008"", ""77018""]")</f>
        <v>["77008", "77018"]</v>
      </c>
      <c r="C873" s="9" t="str">
        <f>IFERROR(__xludf.DUMMYFUNCTION("""COMPUTED_VALUE"""),"St Rose of Lima (SVdP D1)")</f>
        <v>St Rose of Lima (SVdP D1)</v>
      </c>
      <c r="D873" s="9" t="str">
        <f>IFERROR(__xludf.DUMMYFUNCTION("""COMPUTED_VALUE"""),"3600 Brinkman Street")</f>
        <v>3600 Brinkman Street</v>
      </c>
      <c r="E873" s="9"/>
      <c r="F873" s="9" t="str">
        <f>IFERROR(__xludf.DUMMYFUNCTION("""COMPUTED_VALUE"""),"Houston")</f>
        <v>Houston</v>
      </c>
      <c r="G873" s="9" t="str">
        <f>IFERROR(__xludf.DUMMYFUNCTION("""COMPUTED_VALUE"""),"TX")</f>
        <v>TX</v>
      </c>
      <c r="H873" s="9" t="str">
        <f>IFERROR(__xludf.DUMMYFUNCTION("""COMPUTED_VALUE"""),"77018")</f>
        <v>77018</v>
      </c>
      <c r="I873" s="9" t="str">
        <f>IFERROR(__xludf.DUMMYFUNCTION("""COMPUTED_VALUE"""),"832-320-4181")</f>
        <v>832-320-4181</v>
      </c>
      <c r="J873" s="9" t="str">
        <f>IFERROR(__xludf.DUMMYFUNCTION("""COMPUTED_VALUE"""),"29.8199487, -95.4152169")</f>
        <v>29.8199487, -95.4152169</v>
      </c>
      <c r="K873" s="9" t="str">
        <f>IFERROR(__xludf.DUMMYFUNCTION("""COMPUTED_VALUE"""),"{""regular"":[{""days"":[""Sa""],""open"":""09:00"",""close"":""11:00""}]}")</f>
        <v>{"regular":[{"days":["Sa"],"open":"09:00","close":"11:00"}]}</v>
      </c>
      <c r="L873" s="9"/>
      <c r="M873" s="10">
        <f>IFERROR(__xludf.DUMMYFUNCTION("""COMPUTED_VALUE"""),13.0)</f>
        <v>13</v>
      </c>
      <c r="N873" s="10" t="str">
        <f>IFERROR(__xludf.DUMMYFUNCTION("""COMPUTED_VALUE"""),"Food")</f>
        <v>Food</v>
      </c>
      <c r="O873" s="10">
        <f>IFERROR(__xludf.DUMMYFUNCTION("""COMPUTED_VALUE"""),1.0)</f>
        <v>1</v>
      </c>
      <c r="P873" s="10" t="str">
        <f>IFERROR(__xludf.DUMMYFUNCTION("""COMPUTED_VALUE"""),"ACTIVE")</f>
        <v>ACTIVE</v>
      </c>
      <c r="Q873" s="11">
        <f>IFERROR(__xludf.DUMMYFUNCTION("""COMPUTED_VALUE"""),45637.0)</f>
        <v>45637</v>
      </c>
      <c r="R873" s="9"/>
      <c r="S873" s="9"/>
      <c r="T873" s="12" t="b">
        <f>IFERROR(__xludf.DUMMYFUNCTION("""COMPUTED_VALUE"""),FALSE)</f>
        <v>0</v>
      </c>
      <c r="U873" s="12" t="b">
        <f>IFERROR(__xludf.DUMMYFUNCTION("""COMPUTED_VALUE"""),FALSE)</f>
        <v>0</v>
      </c>
      <c r="V873" s="13" t="str">
        <f>IFERROR(__xludf.DUMMYFUNCTION("""COMPUTED_VALUE"""),"https://www.stroselima.org/outreach")</f>
        <v>https://www.stroselima.org/outreach</v>
      </c>
      <c r="W873" s="14" t="str">
        <f>IFERROR(__xludf.DUMMYFUNCTION("""COMPUTED_VALUE"""),"https://maps.google.com/?q=St%20Rose%20of%20Lima%20(SVdP%20D1)%203600%20Brinkman%20Houston%20TX%2077018")</f>
        <v>https://maps.google.com/?q=St%20Rose%20of%20Lima%20(SVdP%20D1)%203600%20Brinkman%20Houston%20TX%2077018</v>
      </c>
      <c r="X873" s="10"/>
      <c r="Y873" s="9" t="str">
        <f>IFERROR(__xludf.DUMMYFUNCTION("""COMPUTED_VALUE"""),"Houston")</f>
        <v>Houston</v>
      </c>
      <c r="Z873" s="9" t="str">
        <f>IFERROR(__xludf.DUMMYFUNCTION("""COMPUTED_VALUE"""),"Central Northwest, Garden Oaks, Northside, Oak Forest")</f>
        <v>Central Northwest, Garden Oaks, Northside, Oak Forest</v>
      </c>
      <c r="AA873" s="9" t="str">
        <f>IFERROR(__xludf.DUMMYFUNCTION("""COMPUTED_VALUE"""),"Society of St Vincent de Paul")</f>
        <v>Society of St Vincent de Paul</v>
      </c>
      <c r="AB873" s="9" t="str">
        <f>IFERROR(__xludf.DUMMYFUNCTION("""COMPUTED_VALUE"""),"Central Northwest")</f>
        <v>Central Northwest</v>
      </c>
    </row>
    <row r="874" ht="30.0" customHeight="1">
      <c r="A874" s="17">
        <v>873.0</v>
      </c>
      <c r="B874" s="8" t="str">
        <f>IFERROR(__xludf.DUMMYFUNCTION("""COMPUTED_VALUE"""),"[""77083"", ""77479"", ""77486"", ""77498""]")</f>
        <v>["77083", "77479", "77486", "77498"]</v>
      </c>
      <c r="C874" s="9" t="str">
        <f>IFERROR(__xludf.DUMMYFUNCTION("""COMPUTED_VALUE"""),"St Theresa (SVdP D2) Sugar Land")</f>
        <v>St Theresa (SVdP D2) Sugar Land</v>
      </c>
      <c r="D874" s="9" t="str">
        <f>IFERROR(__xludf.DUMMYFUNCTION("""COMPUTED_VALUE"""),"705 St Theresa Blvd")</f>
        <v>705 St Theresa Blvd</v>
      </c>
      <c r="E874" s="9"/>
      <c r="F874" s="9" t="str">
        <f>IFERROR(__xludf.DUMMYFUNCTION("""COMPUTED_VALUE"""),"Sugar Land")</f>
        <v>Sugar Land</v>
      </c>
      <c r="G874" s="9" t="str">
        <f>IFERROR(__xludf.DUMMYFUNCTION("""COMPUTED_VALUE"""),"TX")</f>
        <v>TX</v>
      </c>
      <c r="H874" s="9" t="str">
        <f>IFERROR(__xludf.DUMMYFUNCTION("""COMPUTED_VALUE"""),"77498")</f>
        <v>77498</v>
      </c>
      <c r="I874" s="9" t="str">
        <f>IFERROR(__xludf.DUMMYFUNCTION("""COMPUTED_VALUE"""),"281-242-9149")</f>
        <v>281-242-9149</v>
      </c>
      <c r="J874" s="9" t="str">
        <f>IFERROR(__xludf.DUMMYFUNCTION("""COMPUTED_VALUE"""),"29.630249, -95.631475")</f>
        <v>29.630249, -95.631475</v>
      </c>
      <c r="K874" s="9" t="str">
        <f>IFERROR(__xludf.DUMMYFUNCTION("""COMPUTED_VALUE"""),"{""regular"":[{""days"":[""Mo"",""Tu"",""We"",""Th"",""Fr""],""open"":""09:00"",""close"":""17:00""}]}")</f>
        <v>{"regular":[{"days":["Mo","Tu","We","Th","Fr"],"open":"09:00","close":"17:00"}]}</v>
      </c>
      <c r="L874" s="9"/>
      <c r="M874" s="10">
        <f>IFERROR(__xludf.DUMMYFUNCTION("""COMPUTED_VALUE"""),11.0)</f>
        <v>11</v>
      </c>
      <c r="N874" s="10" t="str">
        <f>IFERROR(__xludf.DUMMYFUNCTION("""COMPUTED_VALUE"""),"Rent")</f>
        <v>Rent</v>
      </c>
      <c r="O874" s="10">
        <f>IFERROR(__xludf.DUMMYFUNCTION("""COMPUTED_VALUE"""),3.0)</f>
        <v>3</v>
      </c>
      <c r="P874" s="10" t="str">
        <f>IFERROR(__xludf.DUMMYFUNCTION("""COMPUTED_VALUE"""),"INACTIVE")</f>
        <v>INACTIVE</v>
      </c>
      <c r="Q874" s="11">
        <f>IFERROR(__xludf.DUMMYFUNCTION("""COMPUTED_VALUE"""),45813.0)</f>
        <v>45813</v>
      </c>
      <c r="R874" s="9"/>
      <c r="S874" s="9"/>
      <c r="T874" s="12" t="b">
        <f>IFERROR(__xludf.DUMMYFUNCTION("""COMPUTED_VALUE"""),FALSE)</f>
        <v>0</v>
      </c>
      <c r="U874" s="12" t="b">
        <f>IFERROR(__xludf.DUMMYFUNCTION("""COMPUTED_VALUE"""),FALSE)</f>
        <v>0</v>
      </c>
      <c r="V874" s="13" t="str">
        <f>IFERROR(__xludf.DUMMYFUNCTION("""COMPUTED_VALUE"""),"https://www.sugarlandcatholic.com/ministry-spotlight--st-vincent-de-paul")</f>
        <v>https://www.sugarlandcatholic.com/ministry-spotlight--st-vincent-de-paul</v>
      </c>
      <c r="W874" s="14" t="str">
        <f>IFERROR(__xludf.DUMMYFUNCTION("""COMPUTED_VALUE"""),"https://maps.google.com/?q=St%20Theresa%20%20(SVdP%20D2)%20Sugar%20Land%20705%20St%20Theresa%20Blvd%20Sugar%20Land%20TX%2077498")</f>
        <v>https://maps.google.com/?q=St%20Theresa%20%20(SVdP%20D2)%20Sugar%20Land%20705%20St%20Theresa%20Blvd%20Sugar%20Land%20TX%2077498</v>
      </c>
      <c r="X874" s="10"/>
      <c r="Y874" s="9" t="str">
        <f>IFERROR(__xludf.DUMMYFUNCTION("""COMPUTED_VALUE"""),"Sugar Land")</f>
        <v>Sugar Land</v>
      </c>
      <c r="Z874" s="9" t="str">
        <f>IFERROR(__xludf.DUMMYFUNCTION("""COMPUTED_VALUE"""),"Old Town Sugar Land, Sugar Land")</f>
        <v>Old Town Sugar Land, Sugar Land</v>
      </c>
      <c r="AA874" s="9" t="str">
        <f>IFERROR(__xludf.DUMMYFUNCTION("""COMPUTED_VALUE"""),"Society of St Vincent de Paul")</f>
        <v>Society of St Vincent de Paul</v>
      </c>
      <c r="AB874" s="9" t="str">
        <f>IFERROR(__xludf.DUMMYFUNCTION("""COMPUTED_VALUE"""),"Sugar Land")</f>
        <v>Sugar Land</v>
      </c>
    </row>
    <row r="875" ht="30.0" customHeight="1">
      <c r="A875" s="17">
        <v>874.0</v>
      </c>
      <c r="B875" s="8" t="str">
        <f>IFERROR(__xludf.DUMMYFUNCTION("""COMPUTED_VALUE"""),"[""77083"", ""77479"", ""77486"", ""77498""]")</f>
        <v>["77083", "77479", "77486", "77498"]</v>
      </c>
      <c r="C875" s="9" t="str">
        <f>IFERROR(__xludf.DUMMYFUNCTION("""COMPUTED_VALUE"""),"St Theresa (SVdP D2) Sugar Land")</f>
        <v>St Theresa (SVdP D2) Sugar Land</v>
      </c>
      <c r="D875" s="9" t="str">
        <f>IFERROR(__xludf.DUMMYFUNCTION("""COMPUTED_VALUE"""),"705 St Theresa Blvd")</f>
        <v>705 St Theresa Blvd</v>
      </c>
      <c r="E875" s="9"/>
      <c r="F875" s="9" t="str">
        <f>IFERROR(__xludf.DUMMYFUNCTION("""COMPUTED_VALUE"""),"Sugar Land")</f>
        <v>Sugar Land</v>
      </c>
      <c r="G875" s="9" t="str">
        <f>IFERROR(__xludf.DUMMYFUNCTION("""COMPUTED_VALUE"""),"TX")</f>
        <v>TX</v>
      </c>
      <c r="H875" s="9" t="str">
        <f>IFERROR(__xludf.DUMMYFUNCTION("""COMPUTED_VALUE"""),"77498")</f>
        <v>77498</v>
      </c>
      <c r="I875" s="9" t="str">
        <f>IFERROR(__xludf.DUMMYFUNCTION("""COMPUTED_VALUE"""),"281-242-9149")</f>
        <v>281-242-9149</v>
      </c>
      <c r="J875" s="9" t="str">
        <f>IFERROR(__xludf.DUMMYFUNCTION("""COMPUTED_VALUE"""),"29.630249, -95.631475")</f>
        <v>29.630249, -95.631475</v>
      </c>
      <c r="K875" s="9" t="str">
        <f>IFERROR(__xludf.DUMMYFUNCTION("""COMPUTED_VALUE"""),"{""regular"":[{""days"":[""Mo"",""Tu"",""We"",""Th"",""Fr""],""open"":""09:00"",""close"":""17:00""}]}")</f>
        <v>{"regular":[{"days":["Mo","Tu","We","Th","Fr"],"open":"09:00","close":"17:00"}]}</v>
      </c>
      <c r="L875" s="9"/>
      <c r="M875" s="10">
        <f>IFERROR(__xludf.DUMMYFUNCTION("""COMPUTED_VALUE"""),12.0)</f>
        <v>12</v>
      </c>
      <c r="N875" s="10" t="str">
        <f>IFERROR(__xludf.DUMMYFUNCTION("""COMPUTED_VALUE"""),"Utilities")</f>
        <v>Utilities</v>
      </c>
      <c r="O875" s="10">
        <f>IFERROR(__xludf.DUMMYFUNCTION("""COMPUTED_VALUE"""),1.0)</f>
        <v>1</v>
      </c>
      <c r="P875" s="10" t="str">
        <f>IFERROR(__xludf.DUMMYFUNCTION("""COMPUTED_VALUE"""),"ACTIVE")</f>
        <v>ACTIVE</v>
      </c>
      <c r="Q875" s="11">
        <f>IFERROR(__xludf.DUMMYFUNCTION("""COMPUTED_VALUE"""),45637.0)</f>
        <v>45637</v>
      </c>
      <c r="R875" s="9"/>
      <c r="S875" s="9"/>
      <c r="T875" s="12" t="b">
        <f>IFERROR(__xludf.DUMMYFUNCTION("""COMPUTED_VALUE"""),FALSE)</f>
        <v>0</v>
      </c>
      <c r="U875" s="12" t="b">
        <f>IFERROR(__xludf.DUMMYFUNCTION("""COMPUTED_VALUE"""),FALSE)</f>
        <v>0</v>
      </c>
      <c r="V875" s="13" t="str">
        <f>IFERROR(__xludf.DUMMYFUNCTION("""COMPUTED_VALUE"""),"https://www.sugarlandcatholic.com/ministry-spotlight--st-vincent-de-paul")</f>
        <v>https://www.sugarlandcatholic.com/ministry-spotlight--st-vincent-de-paul</v>
      </c>
      <c r="W875" s="14" t="str">
        <f>IFERROR(__xludf.DUMMYFUNCTION("""COMPUTED_VALUE"""),"https://maps.google.com/?q=St%20Theresa%20%20(SVdP%20D2)%20Sugar%20Land%20705%20St%20Theresa%20Blvd%20Sugar%20Land%20TX%2077498")</f>
        <v>https://maps.google.com/?q=St%20Theresa%20%20(SVdP%20D2)%20Sugar%20Land%20705%20St%20Theresa%20Blvd%20Sugar%20Land%20TX%2077498</v>
      </c>
      <c r="X875" s="10"/>
      <c r="Y875" s="9" t="str">
        <f>IFERROR(__xludf.DUMMYFUNCTION("""COMPUTED_VALUE"""),"Sugar Land")</f>
        <v>Sugar Land</v>
      </c>
      <c r="Z875" s="9" t="str">
        <f>IFERROR(__xludf.DUMMYFUNCTION("""COMPUTED_VALUE"""),"Old Town Sugar Land, Sugar Land")</f>
        <v>Old Town Sugar Land, Sugar Land</v>
      </c>
      <c r="AA875" s="9" t="str">
        <f>IFERROR(__xludf.DUMMYFUNCTION("""COMPUTED_VALUE"""),"Society of St Vincent de Paul")</f>
        <v>Society of St Vincent de Paul</v>
      </c>
      <c r="AB875" s="9" t="str">
        <f>IFERROR(__xludf.DUMMYFUNCTION("""COMPUTED_VALUE"""),"Sugar Land")</f>
        <v>Sugar Land</v>
      </c>
    </row>
    <row r="876" ht="30.0" customHeight="1">
      <c r="A876" s="17">
        <v>875.0</v>
      </c>
      <c r="B876" s="8" t="str">
        <f>IFERROR(__xludf.DUMMYFUNCTION("""COMPUTED_VALUE"""),"[""77083"", ""77479"", ""77486"", ""77498""]")</f>
        <v>["77083", "77479", "77486", "77498"]</v>
      </c>
      <c r="C876" s="9" t="str">
        <f>IFERROR(__xludf.DUMMYFUNCTION("""COMPUTED_VALUE"""),"St Theresa (SVdP D2) Sugar Land")</f>
        <v>St Theresa (SVdP D2) Sugar Land</v>
      </c>
      <c r="D876" s="9" t="str">
        <f>IFERROR(__xludf.DUMMYFUNCTION("""COMPUTED_VALUE"""),"705 St Theresa Blvd")</f>
        <v>705 St Theresa Blvd</v>
      </c>
      <c r="E876" s="9"/>
      <c r="F876" s="9" t="str">
        <f>IFERROR(__xludf.DUMMYFUNCTION("""COMPUTED_VALUE"""),"Sugar Land")</f>
        <v>Sugar Land</v>
      </c>
      <c r="G876" s="9" t="str">
        <f>IFERROR(__xludf.DUMMYFUNCTION("""COMPUTED_VALUE"""),"TX")</f>
        <v>TX</v>
      </c>
      <c r="H876" s="9" t="str">
        <f>IFERROR(__xludf.DUMMYFUNCTION("""COMPUTED_VALUE"""),"77498")</f>
        <v>77498</v>
      </c>
      <c r="I876" s="9" t="str">
        <f>IFERROR(__xludf.DUMMYFUNCTION("""COMPUTED_VALUE"""),"281-242-9149")</f>
        <v>281-242-9149</v>
      </c>
      <c r="J876" s="9" t="str">
        <f>IFERROR(__xludf.DUMMYFUNCTION("""COMPUTED_VALUE"""),"29.630249, -95.631475")</f>
        <v>29.630249, -95.631475</v>
      </c>
      <c r="K876" s="9" t="str">
        <f>IFERROR(__xludf.DUMMYFUNCTION("""COMPUTED_VALUE"""),"{""regular"":[{""days"":[""Mo"",""Fr""],""open"":""10:00"",""close"":""13:00""}]}")</f>
        <v>{"regular":[{"days":["Mo","Fr"],"open":"10:00","close":"13:00"}]}</v>
      </c>
      <c r="L876" s="9"/>
      <c r="M876" s="10">
        <f>IFERROR(__xludf.DUMMYFUNCTION("""COMPUTED_VALUE"""),13.0)</f>
        <v>13</v>
      </c>
      <c r="N876" s="10" t="str">
        <f>IFERROR(__xludf.DUMMYFUNCTION("""COMPUTED_VALUE"""),"Food")</f>
        <v>Food</v>
      </c>
      <c r="O876" s="10">
        <f>IFERROR(__xludf.DUMMYFUNCTION("""COMPUTED_VALUE"""),1.0)</f>
        <v>1</v>
      </c>
      <c r="P876" s="10" t="str">
        <f>IFERROR(__xludf.DUMMYFUNCTION("""COMPUTED_VALUE"""),"ACTIVE")</f>
        <v>ACTIVE</v>
      </c>
      <c r="Q876" s="11">
        <f>IFERROR(__xludf.DUMMYFUNCTION("""COMPUTED_VALUE"""),45637.0)</f>
        <v>45637</v>
      </c>
      <c r="R876" s="9"/>
      <c r="S876" s="9"/>
      <c r="T876" s="12" t="b">
        <f>IFERROR(__xludf.DUMMYFUNCTION("""COMPUTED_VALUE"""),FALSE)</f>
        <v>0</v>
      </c>
      <c r="U876" s="12" t="b">
        <f>IFERROR(__xludf.DUMMYFUNCTION("""COMPUTED_VALUE"""),FALSE)</f>
        <v>0</v>
      </c>
      <c r="V876" s="13" t="str">
        <f>IFERROR(__xludf.DUMMYFUNCTION("""COMPUTED_VALUE"""),"https://www.sugarlandcatholic.com/ministry-spotlight--st-vincent-de-paul")</f>
        <v>https://www.sugarlandcatholic.com/ministry-spotlight--st-vincent-de-paul</v>
      </c>
      <c r="W876" s="14" t="str">
        <f>IFERROR(__xludf.DUMMYFUNCTION("""COMPUTED_VALUE"""),"https://maps.google.com/?q=St%20Theresa%20%20(SVdP%20D2)%20Sugar%20Land%20705%20St%20Theresa%20Blvd%20Sugar%20Land%20TX%2077498")</f>
        <v>https://maps.google.com/?q=St%20Theresa%20%20(SVdP%20D2)%20Sugar%20Land%20705%20St%20Theresa%20Blvd%20Sugar%20Land%20TX%2077498</v>
      </c>
      <c r="X876" s="10"/>
      <c r="Y876" s="9" t="str">
        <f>IFERROR(__xludf.DUMMYFUNCTION("""COMPUTED_VALUE"""),"Sugar Land")</f>
        <v>Sugar Land</v>
      </c>
      <c r="Z876" s="9" t="str">
        <f>IFERROR(__xludf.DUMMYFUNCTION("""COMPUTED_VALUE"""),"Old Town Sugar Land, Sugar Land")</f>
        <v>Old Town Sugar Land, Sugar Land</v>
      </c>
      <c r="AA876" s="9" t="str">
        <f>IFERROR(__xludf.DUMMYFUNCTION("""COMPUTED_VALUE"""),"Society of St Vincent de Paul")</f>
        <v>Society of St Vincent de Paul</v>
      </c>
      <c r="AB876" s="9" t="str">
        <f>IFERROR(__xludf.DUMMYFUNCTION("""COMPUTED_VALUE"""),"Sugar Land")</f>
        <v>Sugar Land</v>
      </c>
    </row>
    <row r="877" ht="30.0" customHeight="1">
      <c r="A877" s="17">
        <v>876.0</v>
      </c>
      <c r="B877" s="8" t="str">
        <f>IFERROR(__xludf.DUMMYFUNCTION("""COMPUTED_VALUE"""),"[""77083"", ""77099"", ""77477"", ""77478""]")</f>
        <v>["77083", "77099", "77477", "77478"]</v>
      </c>
      <c r="C877" s="9" t="str">
        <f>IFERROR(__xludf.DUMMYFUNCTION("""COMPUTED_VALUE"""),"St Thomas Aquinas (SVdP D2)")</f>
        <v>St Thomas Aquinas (SVdP D2)</v>
      </c>
      <c r="D877" s="9" t="str">
        <f>IFERROR(__xludf.DUMMYFUNCTION("""COMPUTED_VALUE"""),"12627 W Belfort Avenue")</f>
        <v>12627 W Belfort Avenue</v>
      </c>
      <c r="E877" s="9"/>
      <c r="F877" s="9" t="str">
        <f>IFERROR(__xludf.DUMMYFUNCTION("""COMPUTED_VALUE"""),"Sugar Land")</f>
        <v>Sugar Land</v>
      </c>
      <c r="G877" s="9" t="str">
        <f>IFERROR(__xludf.DUMMYFUNCTION("""COMPUTED_VALUE"""),"TX")</f>
        <v>TX</v>
      </c>
      <c r="H877" s="9" t="str">
        <f>IFERROR(__xludf.DUMMYFUNCTION("""COMPUTED_VALUE"""),"77478")</f>
        <v>77478</v>
      </c>
      <c r="I877" s="9" t="str">
        <f>IFERROR(__xludf.DUMMYFUNCTION("""COMPUTED_VALUE"""),"346-368-2820")</f>
        <v>346-368-2820</v>
      </c>
      <c r="J877" s="9" t="str">
        <f>IFERROR(__xludf.DUMMYFUNCTION("""COMPUTED_VALUE"""),"29.660545027959692, -95.60394308072775")</f>
        <v>29.660545027959692, -95.60394308072775</v>
      </c>
      <c r="K877" s="9"/>
      <c r="L877" s="9"/>
      <c r="M877" s="10">
        <f>IFERROR(__xludf.DUMMYFUNCTION("""COMPUTED_VALUE"""),11.0)</f>
        <v>11</v>
      </c>
      <c r="N877" s="10" t="str">
        <f>IFERROR(__xludf.DUMMYFUNCTION("""COMPUTED_VALUE"""),"Rent")</f>
        <v>Rent</v>
      </c>
      <c r="O877" s="10">
        <f>IFERROR(__xludf.DUMMYFUNCTION("""COMPUTED_VALUE"""),1.0)</f>
        <v>1</v>
      </c>
      <c r="P877" s="10" t="str">
        <f>IFERROR(__xludf.DUMMYFUNCTION("""COMPUTED_VALUE"""),"ACTIVE")</f>
        <v>ACTIVE</v>
      </c>
      <c r="Q877" s="11">
        <f>IFERROR(__xludf.DUMMYFUNCTION("""COMPUTED_VALUE"""),45637.0)</f>
        <v>45637</v>
      </c>
      <c r="R877" s="9"/>
      <c r="S877" s="9"/>
      <c r="T877" s="12" t="b">
        <f>IFERROR(__xludf.DUMMYFUNCTION("""COMPUTED_VALUE"""),FALSE)</f>
        <v>0</v>
      </c>
      <c r="U877" s="12" t="b">
        <f>IFERROR(__xludf.DUMMYFUNCTION("""COMPUTED_VALUE"""),FALSE)</f>
        <v>0</v>
      </c>
      <c r="V877" s="13" t="str">
        <f>IFERROR(__xludf.DUMMYFUNCTION("""COMPUTED_VALUE"""),"https://www.stasugarland.com/caring-ministries")</f>
        <v>https://www.stasugarland.com/caring-ministries</v>
      </c>
      <c r="W877" s="14" t="str">
        <f>IFERROR(__xludf.DUMMYFUNCTION("""COMPUTED_VALUE"""),"https://maps.google.com/?q=St%20Thomas%20Aquinas%20(SVdP%20D2)%2012627%20W%20Belfort%20Ave%20Sugar%20Land%20TX%2077478")</f>
        <v>https://maps.google.com/?q=St%20Thomas%20Aquinas%20(SVdP%20D2)%2012627%20W%20Belfort%20Ave%20Sugar%20Land%20TX%2077478</v>
      </c>
      <c r="X877" s="10"/>
      <c r="Y877" s="9" t="str">
        <f>IFERROR(__xludf.DUMMYFUNCTION("""COMPUTED_VALUE"""),"Sugar Land")</f>
        <v>Sugar Land</v>
      </c>
      <c r="Z877" s="9" t="str">
        <f>IFERROR(__xludf.DUMMYFUNCTION("""COMPUTED_VALUE"""),"First Colony, Sugar Land, Westside")</f>
        <v>First Colony, Sugar Land, Westside</v>
      </c>
      <c r="AA877" s="9" t="str">
        <f>IFERROR(__xludf.DUMMYFUNCTION("""COMPUTED_VALUE"""),"Society of St Vincent de Paul")</f>
        <v>Society of St Vincent de Paul</v>
      </c>
      <c r="AB877" s="9" t="str">
        <f>IFERROR(__xludf.DUMMYFUNCTION("""COMPUTED_VALUE"""),"Westside")</f>
        <v>Westside</v>
      </c>
    </row>
    <row r="878" ht="30.0" customHeight="1">
      <c r="A878" s="17">
        <v>877.0</v>
      </c>
      <c r="B878" s="8" t="str">
        <f>IFERROR(__xludf.DUMMYFUNCTION("""COMPUTED_VALUE"""),"[""77083"", ""77099"", ""77477"", ""77478""]")</f>
        <v>["77083", "77099", "77477", "77478"]</v>
      </c>
      <c r="C878" s="9" t="str">
        <f>IFERROR(__xludf.DUMMYFUNCTION("""COMPUTED_VALUE"""),"St Thomas Aquinas (SVdP D2)")</f>
        <v>St Thomas Aquinas (SVdP D2)</v>
      </c>
      <c r="D878" s="9" t="str">
        <f>IFERROR(__xludf.DUMMYFUNCTION("""COMPUTED_VALUE"""),"12627 W Belfort Avenue")</f>
        <v>12627 W Belfort Avenue</v>
      </c>
      <c r="E878" s="9"/>
      <c r="F878" s="9" t="str">
        <f>IFERROR(__xludf.DUMMYFUNCTION("""COMPUTED_VALUE"""),"Sugar Land")</f>
        <v>Sugar Land</v>
      </c>
      <c r="G878" s="9" t="str">
        <f>IFERROR(__xludf.DUMMYFUNCTION("""COMPUTED_VALUE"""),"TX")</f>
        <v>TX</v>
      </c>
      <c r="H878" s="9" t="str">
        <f>IFERROR(__xludf.DUMMYFUNCTION("""COMPUTED_VALUE"""),"77478")</f>
        <v>77478</v>
      </c>
      <c r="I878" s="9" t="str">
        <f>IFERROR(__xludf.DUMMYFUNCTION("""COMPUTED_VALUE"""),"346-368-2820")</f>
        <v>346-368-2820</v>
      </c>
      <c r="J878" s="9" t="str">
        <f>IFERROR(__xludf.DUMMYFUNCTION("""COMPUTED_VALUE"""),"29.660545027959692, -95.60394308072775")</f>
        <v>29.660545027959692, -95.60394308072775</v>
      </c>
      <c r="K878" s="9"/>
      <c r="L878" s="9"/>
      <c r="M878" s="10">
        <f>IFERROR(__xludf.DUMMYFUNCTION("""COMPUTED_VALUE"""),12.0)</f>
        <v>12</v>
      </c>
      <c r="N878" s="10" t="str">
        <f>IFERROR(__xludf.DUMMYFUNCTION("""COMPUTED_VALUE"""),"Utilities")</f>
        <v>Utilities</v>
      </c>
      <c r="O878" s="10">
        <f>IFERROR(__xludf.DUMMYFUNCTION("""COMPUTED_VALUE"""),1.0)</f>
        <v>1</v>
      </c>
      <c r="P878" s="10" t="str">
        <f>IFERROR(__xludf.DUMMYFUNCTION("""COMPUTED_VALUE"""),"ACTIVE")</f>
        <v>ACTIVE</v>
      </c>
      <c r="Q878" s="11">
        <f>IFERROR(__xludf.DUMMYFUNCTION("""COMPUTED_VALUE"""),45637.0)</f>
        <v>45637</v>
      </c>
      <c r="R878" s="9"/>
      <c r="S878" s="9"/>
      <c r="T878" s="12" t="b">
        <f>IFERROR(__xludf.DUMMYFUNCTION("""COMPUTED_VALUE"""),FALSE)</f>
        <v>0</v>
      </c>
      <c r="U878" s="12" t="b">
        <f>IFERROR(__xludf.DUMMYFUNCTION("""COMPUTED_VALUE"""),FALSE)</f>
        <v>0</v>
      </c>
      <c r="V878" s="13" t="str">
        <f>IFERROR(__xludf.DUMMYFUNCTION("""COMPUTED_VALUE"""),"https://www.stasugarland.com/caring-ministries")</f>
        <v>https://www.stasugarland.com/caring-ministries</v>
      </c>
      <c r="W878" s="14" t="str">
        <f>IFERROR(__xludf.DUMMYFUNCTION("""COMPUTED_VALUE"""),"https://maps.google.com/?q=St%20Thomas%20Aquinas%20(SVdP%20D2)%2012627%20W%20Belfort%20Ave%20Sugar%20Land%20TX%2077478")</f>
        <v>https://maps.google.com/?q=St%20Thomas%20Aquinas%20(SVdP%20D2)%2012627%20W%20Belfort%20Ave%20Sugar%20Land%20TX%2077478</v>
      </c>
      <c r="X878" s="10"/>
      <c r="Y878" s="9" t="str">
        <f>IFERROR(__xludf.DUMMYFUNCTION("""COMPUTED_VALUE"""),"Sugar Land")</f>
        <v>Sugar Land</v>
      </c>
      <c r="Z878" s="9" t="str">
        <f>IFERROR(__xludf.DUMMYFUNCTION("""COMPUTED_VALUE"""),"First Colony, Sugar Land, Westside")</f>
        <v>First Colony, Sugar Land, Westside</v>
      </c>
      <c r="AA878" s="9" t="str">
        <f>IFERROR(__xludf.DUMMYFUNCTION("""COMPUTED_VALUE"""),"Society of St Vincent de Paul")</f>
        <v>Society of St Vincent de Paul</v>
      </c>
      <c r="AB878" s="9" t="str">
        <f>IFERROR(__xludf.DUMMYFUNCTION("""COMPUTED_VALUE"""),"Westside")</f>
        <v>Westside</v>
      </c>
    </row>
    <row r="879" ht="30.0" customHeight="1">
      <c r="A879" s="17">
        <v>878.0</v>
      </c>
      <c r="B879" s="8" t="str">
        <f>IFERROR(__xludf.DUMMYFUNCTION("""COMPUTED_VALUE"""),"[""77035"", ""77096""]")</f>
        <v>["77035", "77096"]</v>
      </c>
      <c r="C879" s="9" t="str">
        <f>IFERROR(__xludf.DUMMYFUNCTION("""COMPUTED_VALUE"""),"St Thomas More (SVdP D3)")</f>
        <v>St Thomas More (SVdP D3)</v>
      </c>
      <c r="D879" s="9" t="str">
        <f>IFERROR(__xludf.DUMMYFUNCTION("""COMPUTED_VALUE"""),"10330 Hillcroft Street")</f>
        <v>10330 Hillcroft Street</v>
      </c>
      <c r="E879" s="9"/>
      <c r="F879" s="9" t="str">
        <f>IFERROR(__xludf.DUMMYFUNCTION("""COMPUTED_VALUE"""),"Houston")</f>
        <v>Houston</v>
      </c>
      <c r="G879" s="9" t="str">
        <f>IFERROR(__xludf.DUMMYFUNCTION("""COMPUTED_VALUE"""),"TX")</f>
        <v>TX</v>
      </c>
      <c r="H879" s="9" t="str">
        <f>IFERROR(__xludf.DUMMYFUNCTION("""COMPUTED_VALUE"""),"77096")</f>
        <v>77096</v>
      </c>
      <c r="I879" s="9" t="str">
        <f>IFERROR(__xludf.DUMMYFUNCTION("""COMPUTED_VALUE"""),"713-980-3113")</f>
        <v>713-980-3113</v>
      </c>
      <c r="J879" s="9" t="str">
        <f>IFERROR(__xludf.DUMMYFUNCTION("""COMPUTED_VALUE"""),"29.6686092, -95.4948836")</f>
        <v>29.6686092, -95.4948836</v>
      </c>
      <c r="K879" s="9" t="str">
        <f>IFERROR(__xludf.DUMMYFUNCTION("""COMPUTED_VALUE"""),"{""regular"":[{""days"":[""Tu""],""open"":""10:00"",""close"":""14:00""}]}")</f>
        <v>{"regular":[{"days":["Tu"],"open":"10:00","close":"14:00"}]}</v>
      </c>
      <c r="L879" s="9"/>
      <c r="M879" s="10">
        <f>IFERROR(__xludf.DUMMYFUNCTION("""COMPUTED_VALUE"""),11.0)</f>
        <v>11</v>
      </c>
      <c r="N879" s="10" t="str">
        <f>IFERROR(__xludf.DUMMYFUNCTION("""COMPUTED_VALUE"""),"Rent")</f>
        <v>Rent</v>
      </c>
      <c r="O879" s="10">
        <f>IFERROR(__xludf.DUMMYFUNCTION("""COMPUTED_VALUE"""),1.0)</f>
        <v>1</v>
      </c>
      <c r="P879" s="10" t="str">
        <f>IFERROR(__xludf.DUMMYFUNCTION("""COMPUTED_VALUE"""),"ACTIVE")</f>
        <v>ACTIVE</v>
      </c>
      <c r="Q879" s="11">
        <f>IFERROR(__xludf.DUMMYFUNCTION("""COMPUTED_VALUE"""),45637.0)</f>
        <v>45637</v>
      </c>
      <c r="R879" s="9"/>
      <c r="S879" s="9"/>
      <c r="T879" s="12" t="b">
        <f>IFERROR(__xludf.DUMMYFUNCTION("""COMPUTED_VALUE"""),FALSE)</f>
        <v>0</v>
      </c>
      <c r="U879" s="12" t="b">
        <f>IFERROR(__xludf.DUMMYFUNCTION("""COMPUTED_VALUE"""),FALSE)</f>
        <v>0</v>
      </c>
      <c r="V879" s="13" t="str">
        <f>IFERROR(__xludf.DUMMYFUNCTION("""COMPUTED_VALUE"""),"https://www.stmhouston.org/st-vincent-de-paul-society")</f>
        <v>https://www.stmhouston.org/st-vincent-de-paul-society</v>
      </c>
      <c r="W879" s="14" t="str">
        <f>IFERROR(__xludf.DUMMYFUNCTION("""COMPUTED_VALUE"""),"https://maps.google.com/?q=St%20Thomas%20More%20(SVdP%20D3)%2010330%20Hillcroft%20St%20Houston%20TX%2077096")</f>
        <v>https://maps.google.com/?q=St%20Thomas%20More%20(SVdP%20D3)%2010330%20Hillcroft%20St%20Houston%20TX%2077096</v>
      </c>
      <c r="X879" s="10"/>
      <c r="Y879" s="9" t="str">
        <f>IFERROR(__xludf.DUMMYFUNCTION("""COMPUTED_VALUE"""),"Houston")</f>
        <v>Houston</v>
      </c>
      <c r="Z879" s="9" t="str">
        <f>IFERROR(__xludf.DUMMYFUNCTION("""COMPUTED_VALUE"""),"Brays Oaks, Meyerland, Westbury, Willow Meadows")</f>
        <v>Brays Oaks, Meyerland, Westbury, Willow Meadows</v>
      </c>
      <c r="AA879" s="9" t="str">
        <f>IFERROR(__xludf.DUMMYFUNCTION("""COMPUTED_VALUE"""),"Society of St Vincent de Paul")</f>
        <v>Society of St Vincent de Paul</v>
      </c>
      <c r="AB879" s="9" t="str">
        <f>IFERROR(__xludf.DUMMYFUNCTION("""COMPUTED_VALUE"""),"Meyerland")</f>
        <v>Meyerland</v>
      </c>
    </row>
    <row r="880" ht="30.0" customHeight="1">
      <c r="A880" s="17">
        <v>879.0</v>
      </c>
      <c r="B880" s="8" t="str">
        <f>IFERROR(__xludf.DUMMYFUNCTION("""COMPUTED_VALUE"""),"[""77035"", ""77096""]")</f>
        <v>["77035", "77096"]</v>
      </c>
      <c r="C880" s="9" t="str">
        <f>IFERROR(__xludf.DUMMYFUNCTION("""COMPUTED_VALUE"""),"St Thomas More (SVdP D3)")</f>
        <v>St Thomas More (SVdP D3)</v>
      </c>
      <c r="D880" s="9" t="str">
        <f>IFERROR(__xludf.DUMMYFUNCTION("""COMPUTED_VALUE"""),"10330 Hillcroft Street")</f>
        <v>10330 Hillcroft Street</v>
      </c>
      <c r="E880" s="9"/>
      <c r="F880" s="9" t="str">
        <f>IFERROR(__xludf.DUMMYFUNCTION("""COMPUTED_VALUE"""),"Houston")</f>
        <v>Houston</v>
      </c>
      <c r="G880" s="9" t="str">
        <f>IFERROR(__xludf.DUMMYFUNCTION("""COMPUTED_VALUE"""),"TX")</f>
        <v>TX</v>
      </c>
      <c r="H880" s="9" t="str">
        <f>IFERROR(__xludf.DUMMYFUNCTION("""COMPUTED_VALUE"""),"77096")</f>
        <v>77096</v>
      </c>
      <c r="I880" s="9" t="str">
        <f>IFERROR(__xludf.DUMMYFUNCTION("""COMPUTED_VALUE"""),"713-980-3113")</f>
        <v>713-980-3113</v>
      </c>
      <c r="J880" s="9" t="str">
        <f>IFERROR(__xludf.DUMMYFUNCTION("""COMPUTED_VALUE"""),"29.6686092, -95.4948836")</f>
        <v>29.6686092, -95.4948836</v>
      </c>
      <c r="K880" s="9" t="str">
        <f>IFERROR(__xludf.DUMMYFUNCTION("""COMPUTED_VALUE"""),"{""regular"":[{""days"":[""Tu""],""open"":""10:00"",""close"":""14:00""}]}")</f>
        <v>{"regular":[{"days":["Tu"],"open":"10:00","close":"14:00"}]}</v>
      </c>
      <c r="L880" s="9"/>
      <c r="M880" s="10">
        <f>IFERROR(__xludf.DUMMYFUNCTION("""COMPUTED_VALUE"""),12.0)</f>
        <v>12</v>
      </c>
      <c r="N880" s="10" t="str">
        <f>IFERROR(__xludf.DUMMYFUNCTION("""COMPUTED_VALUE"""),"Utilities")</f>
        <v>Utilities</v>
      </c>
      <c r="O880" s="10">
        <f>IFERROR(__xludf.DUMMYFUNCTION("""COMPUTED_VALUE"""),1.0)</f>
        <v>1</v>
      </c>
      <c r="P880" s="10" t="str">
        <f>IFERROR(__xludf.DUMMYFUNCTION("""COMPUTED_VALUE"""),"ACTIVE")</f>
        <v>ACTIVE</v>
      </c>
      <c r="Q880" s="11">
        <f>IFERROR(__xludf.DUMMYFUNCTION("""COMPUTED_VALUE"""),45637.0)</f>
        <v>45637</v>
      </c>
      <c r="R880" s="9"/>
      <c r="S880" s="9"/>
      <c r="T880" s="12" t="b">
        <f>IFERROR(__xludf.DUMMYFUNCTION("""COMPUTED_VALUE"""),FALSE)</f>
        <v>0</v>
      </c>
      <c r="U880" s="12" t="b">
        <f>IFERROR(__xludf.DUMMYFUNCTION("""COMPUTED_VALUE"""),FALSE)</f>
        <v>0</v>
      </c>
      <c r="V880" s="13" t="str">
        <f>IFERROR(__xludf.DUMMYFUNCTION("""COMPUTED_VALUE"""),"https://www.stmhouston.org/st-vincent-de-paul-society")</f>
        <v>https://www.stmhouston.org/st-vincent-de-paul-society</v>
      </c>
      <c r="W880" s="14" t="str">
        <f>IFERROR(__xludf.DUMMYFUNCTION("""COMPUTED_VALUE"""),"https://maps.google.com/?q=St%20Thomas%20More%20(SVdP%20D3)%2010330%20Hillcroft%20St%20Houston%20TX%2077096")</f>
        <v>https://maps.google.com/?q=St%20Thomas%20More%20(SVdP%20D3)%2010330%20Hillcroft%20St%20Houston%20TX%2077096</v>
      </c>
      <c r="X880" s="10"/>
      <c r="Y880" s="9" t="str">
        <f>IFERROR(__xludf.DUMMYFUNCTION("""COMPUTED_VALUE"""),"Houston")</f>
        <v>Houston</v>
      </c>
      <c r="Z880" s="9" t="str">
        <f>IFERROR(__xludf.DUMMYFUNCTION("""COMPUTED_VALUE"""),"Brays Oaks, Meyerland, Westbury, Willow Meadows")</f>
        <v>Brays Oaks, Meyerland, Westbury, Willow Meadows</v>
      </c>
      <c r="AA880" s="9" t="str">
        <f>IFERROR(__xludf.DUMMYFUNCTION("""COMPUTED_VALUE"""),"Society of St Vincent de Paul")</f>
        <v>Society of St Vincent de Paul</v>
      </c>
      <c r="AB880" s="9" t="str">
        <f>IFERROR(__xludf.DUMMYFUNCTION("""COMPUTED_VALUE"""),"Meyerland")</f>
        <v>Meyerland</v>
      </c>
    </row>
    <row r="881" ht="30.0" customHeight="1">
      <c r="A881" s="17">
        <v>880.0</v>
      </c>
      <c r="B881" s="8" t="str">
        <f>IFERROR(__xludf.DUMMYFUNCTION("""COMPUTED_VALUE"""),"[""77035"", ""77096""]")</f>
        <v>["77035", "77096"]</v>
      </c>
      <c r="C881" s="9" t="str">
        <f>IFERROR(__xludf.DUMMYFUNCTION("""COMPUTED_VALUE"""),"St Thomas More (SVdP D3)")</f>
        <v>St Thomas More (SVdP D3)</v>
      </c>
      <c r="D881" s="9" t="str">
        <f>IFERROR(__xludf.DUMMYFUNCTION("""COMPUTED_VALUE"""),"10330 Hillcroft Street")</f>
        <v>10330 Hillcroft Street</v>
      </c>
      <c r="E881" s="9"/>
      <c r="F881" s="9" t="str">
        <f>IFERROR(__xludf.DUMMYFUNCTION("""COMPUTED_VALUE"""),"Houston")</f>
        <v>Houston</v>
      </c>
      <c r="G881" s="9" t="str">
        <f>IFERROR(__xludf.DUMMYFUNCTION("""COMPUTED_VALUE"""),"TX")</f>
        <v>TX</v>
      </c>
      <c r="H881" s="9" t="str">
        <f>IFERROR(__xludf.DUMMYFUNCTION("""COMPUTED_VALUE"""),"77096")</f>
        <v>77096</v>
      </c>
      <c r="I881" s="9" t="str">
        <f>IFERROR(__xludf.DUMMYFUNCTION("""COMPUTED_VALUE"""),"713-980-3113")</f>
        <v>713-980-3113</v>
      </c>
      <c r="J881" s="9" t="str">
        <f>IFERROR(__xludf.DUMMYFUNCTION("""COMPUTED_VALUE"""),"29.6686092, -95.4948836")</f>
        <v>29.6686092, -95.4948836</v>
      </c>
      <c r="K881" s="9" t="str">
        <f>IFERROR(__xludf.DUMMYFUNCTION("""COMPUTED_VALUE"""),"{""regular"":[{""days"":[""Tu""],""open"":""10:00"",""close"":""14:00""}]}")</f>
        <v>{"regular":[{"days":["Tu"],"open":"10:00","close":"14:00"}]}</v>
      </c>
      <c r="L881" s="9"/>
      <c r="M881" s="10">
        <f>IFERROR(__xludf.DUMMYFUNCTION("""COMPUTED_VALUE"""),13.0)</f>
        <v>13</v>
      </c>
      <c r="N881" s="10" t="str">
        <f>IFERROR(__xludf.DUMMYFUNCTION("""COMPUTED_VALUE"""),"Food")</f>
        <v>Food</v>
      </c>
      <c r="O881" s="10">
        <f>IFERROR(__xludf.DUMMYFUNCTION("""COMPUTED_VALUE"""),1.0)</f>
        <v>1</v>
      </c>
      <c r="P881" s="10" t="str">
        <f>IFERROR(__xludf.DUMMYFUNCTION("""COMPUTED_VALUE"""),"ACTIVE")</f>
        <v>ACTIVE</v>
      </c>
      <c r="Q881" s="11">
        <f>IFERROR(__xludf.DUMMYFUNCTION("""COMPUTED_VALUE"""),45637.0)</f>
        <v>45637</v>
      </c>
      <c r="R881" s="9"/>
      <c r="S881" s="9"/>
      <c r="T881" s="12" t="b">
        <f>IFERROR(__xludf.DUMMYFUNCTION("""COMPUTED_VALUE"""),FALSE)</f>
        <v>0</v>
      </c>
      <c r="U881" s="12" t="b">
        <f>IFERROR(__xludf.DUMMYFUNCTION("""COMPUTED_VALUE"""),FALSE)</f>
        <v>0</v>
      </c>
      <c r="V881" s="13" t="str">
        <f>IFERROR(__xludf.DUMMYFUNCTION("""COMPUTED_VALUE"""),"https://www.stmhouston.org/st-vincent-de-paul-society")</f>
        <v>https://www.stmhouston.org/st-vincent-de-paul-society</v>
      </c>
      <c r="W881" s="14" t="str">
        <f>IFERROR(__xludf.DUMMYFUNCTION("""COMPUTED_VALUE"""),"https://maps.google.com/?q=St%20Thomas%20More%20(SVdP%20D3)%2010330%20Hillcroft%20St%20Houston%20TX%2077096")</f>
        <v>https://maps.google.com/?q=St%20Thomas%20More%20(SVdP%20D3)%2010330%20Hillcroft%20St%20Houston%20TX%2077096</v>
      </c>
      <c r="X881" s="10"/>
      <c r="Y881" s="9" t="str">
        <f>IFERROR(__xludf.DUMMYFUNCTION("""COMPUTED_VALUE"""),"Houston")</f>
        <v>Houston</v>
      </c>
      <c r="Z881" s="9" t="str">
        <f>IFERROR(__xludf.DUMMYFUNCTION("""COMPUTED_VALUE"""),"Brays Oaks, Meyerland, Westbury, Willow Meadows")</f>
        <v>Brays Oaks, Meyerland, Westbury, Willow Meadows</v>
      </c>
      <c r="AA881" s="9" t="str">
        <f>IFERROR(__xludf.DUMMYFUNCTION("""COMPUTED_VALUE"""),"Society of St Vincent de Paul")</f>
        <v>Society of St Vincent de Paul</v>
      </c>
      <c r="AB881" s="9" t="str">
        <f>IFERROR(__xludf.DUMMYFUNCTION("""COMPUTED_VALUE"""),"Meyerland")</f>
        <v>Meyerland</v>
      </c>
    </row>
    <row r="882" ht="30.0" customHeight="1">
      <c r="A882" s="17">
        <v>881.0</v>
      </c>
      <c r="B882" s="8" t="str">
        <f>IFERROR(__xludf.DUMMYFUNCTION("""COMPUTED_VALUE"""),"[""77079""]")</f>
        <v>["77079"]</v>
      </c>
      <c r="C882" s="9" t="str">
        <f>IFERROR(__xludf.DUMMYFUNCTION("""COMPUTED_VALUE"""),"St Thomas Presbyterian Church")</f>
        <v>St Thomas Presbyterian Church</v>
      </c>
      <c r="D882" s="9" t="str">
        <f>IFERROR(__xludf.DUMMYFUNCTION("""COMPUTED_VALUE"""),"14100 Memorial Drive")</f>
        <v>14100 Memorial Drive</v>
      </c>
      <c r="E882" s="9"/>
      <c r="F882" s="9" t="str">
        <f>IFERROR(__xludf.DUMMYFUNCTION("""COMPUTED_VALUE"""),"Houston")</f>
        <v>Houston</v>
      </c>
      <c r="G882" s="9" t="str">
        <f>IFERROR(__xludf.DUMMYFUNCTION("""COMPUTED_VALUE"""),"TX")</f>
        <v>TX</v>
      </c>
      <c r="H882" s="9" t="str">
        <f>IFERROR(__xludf.DUMMYFUNCTION("""COMPUTED_VALUE"""),"77079")</f>
        <v>77079</v>
      </c>
      <c r="I882" s="9" t="str">
        <f>IFERROR(__xludf.DUMMYFUNCTION("""COMPUTED_VALUE"""),"281-497-4846")</f>
        <v>281-497-4846</v>
      </c>
      <c r="J882" s="9" t="str">
        <f>IFERROR(__xludf.DUMMYFUNCTION("""COMPUTED_VALUE"""),"29.771107683939725, -95.59288132294776")</f>
        <v>29.771107683939725, -95.59288132294776</v>
      </c>
      <c r="K882" s="9" t="str">
        <f>IFERROR(__xludf.DUMMYFUNCTION("""COMPUTED_VALUE"""),"{""regular"":[{""days"":[""Mo"",""Tu"",""We"",""Th""],""open"":""09:00"",""close"":""12:00""}]}")</f>
        <v>{"regular":[{"days":["Mo","Tu","We","Th"],"open":"09:00","close":"12:00"}]}</v>
      </c>
      <c r="L882" s="9"/>
      <c r="M882" s="10">
        <f>IFERROR(__xludf.DUMMYFUNCTION("""COMPUTED_VALUE"""),13.0)</f>
        <v>13</v>
      </c>
      <c r="N882" s="10" t="str">
        <f>IFERROR(__xludf.DUMMYFUNCTION("""COMPUTED_VALUE"""),"Food")</f>
        <v>Food</v>
      </c>
      <c r="O882" s="10">
        <f>IFERROR(__xludf.DUMMYFUNCTION("""COMPUTED_VALUE"""),1.0)</f>
        <v>1</v>
      </c>
      <c r="P882" s="10" t="str">
        <f>IFERROR(__xludf.DUMMYFUNCTION("""COMPUTED_VALUE"""),"ACTIVE")</f>
        <v>ACTIVE</v>
      </c>
      <c r="Q882" s="11">
        <f>IFERROR(__xludf.DUMMYFUNCTION("""COMPUTED_VALUE"""),45884.0)</f>
        <v>45884</v>
      </c>
      <c r="R882" s="9" t="str">
        <f>IFERROR(__xludf.DUMMYFUNCTION("""COMPUTED_VALUE"""),"Verified online")</f>
        <v>Verified online</v>
      </c>
      <c r="S882" s="9"/>
      <c r="T882" s="12" t="b">
        <f>IFERROR(__xludf.DUMMYFUNCTION("""COMPUTED_VALUE"""),FALSE)</f>
        <v>0</v>
      </c>
      <c r="U882" s="12" t="b">
        <f>IFERROR(__xludf.DUMMYFUNCTION("""COMPUTED_VALUE"""),FALSE)</f>
        <v>0</v>
      </c>
      <c r="V882" s="13" t="str">
        <f>IFERROR(__xludf.DUMMYFUNCTION("""COMPUTED_VALUE"""),"https://www.stthomaspc.org/outreach")</f>
        <v>https://www.stthomaspc.org/outreach</v>
      </c>
      <c r="W882" s="14" t="str">
        <f>IFERROR(__xludf.DUMMYFUNCTION("""COMPUTED_VALUE"""),"https://www.google.com/maps/place/St.+Thomas+Presbyterian+Church+PC(USA)/@29.7708702,-95.5954455,17z/data=!3m1!4b1!4m6!3m5!1s0x8640db64ccd8cb7b:0xe9a4caf95decff57!8m2!3d29.7708656!4d-95.5928706!16s%2Fg%2F1wk4dfnk?entry=ttu&amp;g_ep=EgoyMDI1MDgxMy4wIKXMDSoASAF"&amp;"QAw%3D%3D")</f>
        <v>https://www.google.com/maps/place/St.+Thomas+Presbyterian+Church+PC(USA)/@29.7708702,-95.5954455,17z/data=!3m1!4b1!4m6!3m5!1s0x8640db64ccd8cb7b:0xe9a4caf95decff57!8m2!3d29.7708656!4d-95.5928706!16s%2Fg%2F1wk4dfnk?entry=ttu&amp;g_ep=EgoyMDI1MDgxMy4wIKXMDSoASAFQAw%3D%3D</v>
      </c>
      <c r="X882" s="10"/>
      <c r="Y882" s="9" t="str">
        <f>IFERROR(__xludf.DUMMYFUNCTION("""COMPUTED_VALUE"""),"Houston")</f>
        <v>Houston</v>
      </c>
      <c r="Z882" s="9" t="str">
        <f>IFERROR(__xludf.DUMMYFUNCTION("""COMPUTED_VALUE"""),"Fleetwood, Memorial")</f>
        <v>Fleetwood, Memorial</v>
      </c>
      <c r="AA882" s="9" t="str">
        <f>IFERROR(__xludf.DUMMYFUNCTION("""COMPUTED_VALUE"""),"St Thomas Presbyterian Church")</f>
        <v>St Thomas Presbyterian Church</v>
      </c>
      <c r="AB882" s="9" t="str">
        <f>IFERROR(__xludf.DUMMYFUNCTION("""COMPUTED_VALUE"""),"Memorial")</f>
        <v>Memorial</v>
      </c>
    </row>
    <row r="883" ht="30.0" customHeight="1">
      <c r="A883" s="17">
        <v>882.0</v>
      </c>
      <c r="B883" s="8" t="str">
        <f>IFERROR(__xludf.DUMMYFUNCTION("""COMPUTED_VALUE"""),"[""77320"", ""77375"", ""77377"", ""77378""]")</f>
        <v>["77320", "77375", "77377", "77378"]</v>
      </c>
      <c r="C883" s="9" t="str">
        <f>IFERROR(__xludf.DUMMYFUNCTION("""COMPUTED_VALUE"""),"St Thomas the Apostle (SVdP D6) Huntsville")</f>
        <v>St Thomas the Apostle (SVdP D6) Huntsville</v>
      </c>
      <c r="D883" s="9" t="str">
        <f>IFERROR(__xludf.DUMMYFUNCTION("""COMPUTED_VALUE"""),"13223 16th Street")</f>
        <v>13223 16th Street</v>
      </c>
      <c r="E883" s="9"/>
      <c r="F883" s="9" t="str">
        <f>IFERROR(__xludf.DUMMYFUNCTION("""COMPUTED_VALUE"""),"Huntsville")</f>
        <v>Huntsville</v>
      </c>
      <c r="G883" s="9" t="str">
        <f>IFERROR(__xludf.DUMMYFUNCTION("""COMPUTED_VALUE"""),"TX")</f>
        <v>TX</v>
      </c>
      <c r="H883" s="9" t="str">
        <f>IFERROR(__xludf.DUMMYFUNCTION("""COMPUTED_VALUE"""),"77340")</f>
        <v>77340</v>
      </c>
      <c r="I883" s="9" t="str">
        <f>IFERROR(__xludf.DUMMYFUNCTION("""COMPUTED_VALUE"""),"936-463-8464")</f>
        <v>936-463-8464</v>
      </c>
      <c r="J883" s="9" t="str">
        <f>IFERROR(__xludf.DUMMYFUNCTION("""COMPUTED_VALUE"""),"30.717610254071875, -95.55359065130237")</f>
        <v>30.717610254071875, -95.55359065130237</v>
      </c>
      <c r="K883" s="9" t="str">
        <f>IFERROR(__xludf.DUMMYFUNCTION("""COMPUTED_VALUE"""),"{""regular"":[{""days"":[""Tu"",""Th""],""open"":""10:00"",""close"":""14:00""}]}")</f>
        <v>{"regular":[{"days":["Tu","Th"],"open":"10:00","close":"14:00"}]}</v>
      </c>
      <c r="L883" s="9"/>
      <c r="M883" s="10">
        <f>IFERROR(__xludf.DUMMYFUNCTION("""COMPUTED_VALUE"""),11.0)</f>
        <v>11</v>
      </c>
      <c r="N883" s="10" t="str">
        <f>IFERROR(__xludf.DUMMYFUNCTION("""COMPUTED_VALUE"""),"Rent")</f>
        <v>Rent</v>
      </c>
      <c r="O883" s="10">
        <f>IFERROR(__xludf.DUMMYFUNCTION("""COMPUTED_VALUE"""),1.0)</f>
        <v>1</v>
      </c>
      <c r="P883" s="10" t="str">
        <f>IFERROR(__xludf.DUMMYFUNCTION("""COMPUTED_VALUE"""),"ACTIVE")</f>
        <v>ACTIVE</v>
      </c>
      <c r="Q883" s="11"/>
      <c r="R883" s="9"/>
      <c r="S883" s="9"/>
      <c r="T883" s="12" t="b">
        <f>IFERROR(__xludf.DUMMYFUNCTION("""COMPUTED_VALUE"""),FALSE)</f>
        <v>0</v>
      </c>
      <c r="U883" s="12" t="b">
        <f>IFERROR(__xludf.DUMMYFUNCTION("""COMPUTED_VALUE"""),FALSE)</f>
        <v>0</v>
      </c>
      <c r="V883" s="13" t="str">
        <f>IFERROR(__xludf.DUMMYFUNCTION("""COMPUTED_VALUE"""),"https://saintthomashuntsville.org/st-vincent-depaul-society")</f>
        <v>https://saintthomashuntsville.org/st-vincent-depaul-society</v>
      </c>
      <c r="W883" s="14" t="str">
        <f>IFERROR(__xludf.DUMMYFUNCTION("""COMPUTED_VALUE"""),"https://maps.google.com/?q=St%20Thomas%20the%20Apostle%20%20(SVdP%20D6)%20Huntsville%2013223%2016th%20St%20Huntsville%20TX%2077340")</f>
        <v>https://maps.google.com/?q=St%20Thomas%20the%20Apostle%20%20(SVdP%20D6)%20Huntsville%2013223%2016th%20St%20Huntsville%20TX%2077340</v>
      </c>
      <c r="X883" s="10"/>
      <c r="Y883" s="9" t="str">
        <f>IFERROR(__xludf.DUMMYFUNCTION("""COMPUTED_VALUE"""),"Huntsville")</f>
        <v>Huntsville</v>
      </c>
      <c r="Z883" s="9" t="str">
        <f>IFERROR(__xludf.DUMMYFUNCTION("""COMPUTED_VALUE"""),"Huntsville, Phelps")</f>
        <v>Huntsville, Phelps</v>
      </c>
      <c r="AA883" s="9" t="str">
        <f>IFERROR(__xludf.DUMMYFUNCTION("""COMPUTED_VALUE"""),"Society of St Vincent de Paul")</f>
        <v>Society of St Vincent de Paul</v>
      </c>
      <c r="AB883" s="9" t="str">
        <f>IFERROR(__xludf.DUMMYFUNCTION("""COMPUTED_VALUE"""),"Huntsville")</f>
        <v>Huntsville</v>
      </c>
    </row>
    <row r="884" ht="30.0" customHeight="1">
      <c r="A884" s="17">
        <v>883.0</v>
      </c>
      <c r="B884" s="8" t="str">
        <f>IFERROR(__xludf.DUMMYFUNCTION("""COMPUTED_VALUE"""),"[""77320"", ""77375"", ""77377"", ""77378""]")</f>
        <v>["77320", "77375", "77377", "77378"]</v>
      </c>
      <c r="C884" s="9" t="str">
        <f>IFERROR(__xludf.DUMMYFUNCTION("""COMPUTED_VALUE"""),"St Thomas the Apostle (SVdP D6) Huntsville")</f>
        <v>St Thomas the Apostle (SVdP D6) Huntsville</v>
      </c>
      <c r="D884" s="9" t="str">
        <f>IFERROR(__xludf.DUMMYFUNCTION("""COMPUTED_VALUE"""),"13223 16th Street")</f>
        <v>13223 16th Street</v>
      </c>
      <c r="E884" s="9"/>
      <c r="F884" s="9" t="str">
        <f>IFERROR(__xludf.DUMMYFUNCTION("""COMPUTED_VALUE"""),"Huntsville")</f>
        <v>Huntsville</v>
      </c>
      <c r="G884" s="9" t="str">
        <f>IFERROR(__xludf.DUMMYFUNCTION("""COMPUTED_VALUE"""),"TX")</f>
        <v>TX</v>
      </c>
      <c r="H884" s="9" t="str">
        <f>IFERROR(__xludf.DUMMYFUNCTION("""COMPUTED_VALUE"""),"77340")</f>
        <v>77340</v>
      </c>
      <c r="I884" s="9" t="str">
        <f>IFERROR(__xludf.DUMMYFUNCTION("""COMPUTED_VALUE"""),"936-463-8464")</f>
        <v>936-463-8464</v>
      </c>
      <c r="J884" s="9" t="str">
        <f>IFERROR(__xludf.DUMMYFUNCTION("""COMPUTED_VALUE"""),"30.717610254071875, -95.55359065130237")</f>
        <v>30.717610254071875, -95.55359065130237</v>
      </c>
      <c r="K884" s="9" t="str">
        <f>IFERROR(__xludf.DUMMYFUNCTION("""COMPUTED_VALUE"""),"{""regular"":[{""days"":[""Tu"",""Th""],""open"":""10:00"",""close"":""14:00""}]}")</f>
        <v>{"regular":[{"days":["Tu","Th"],"open":"10:00","close":"14:00"}]}</v>
      </c>
      <c r="L884" s="9"/>
      <c r="M884" s="10">
        <f>IFERROR(__xludf.DUMMYFUNCTION("""COMPUTED_VALUE"""),13.0)</f>
        <v>13</v>
      </c>
      <c r="N884" s="10" t="str">
        <f>IFERROR(__xludf.DUMMYFUNCTION("""COMPUTED_VALUE"""),"Food")</f>
        <v>Food</v>
      </c>
      <c r="O884" s="10">
        <f>IFERROR(__xludf.DUMMYFUNCTION("""COMPUTED_VALUE"""),1.0)</f>
        <v>1</v>
      </c>
      <c r="P884" s="10" t="str">
        <f>IFERROR(__xludf.DUMMYFUNCTION("""COMPUTED_VALUE"""),"ACTIVE")</f>
        <v>ACTIVE</v>
      </c>
      <c r="Q884" s="11"/>
      <c r="R884" s="9"/>
      <c r="S884" s="9"/>
      <c r="T884" s="12" t="b">
        <f>IFERROR(__xludf.DUMMYFUNCTION("""COMPUTED_VALUE"""),FALSE)</f>
        <v>0</v>
      </c>
      <c r="U884" s="12" t="b">
        <f>IFERROR(__xludf.DUMMYFUNCTION("""COMPUTED_VALUE"""),FALSE)</f>
        <v>0</v>
      </c>
      <c r="V884" s="13" t="str">
        <f>IFERROR(__xludf.DUMMYFUNCTION("""COMPUTED_VALUE"""),"https://saintthomashuntsville.org/st-vincent-depaul-society")</f>
        <v>https://saintthomashuntsville.org/st-vincent-depaul-society</v>
      </c>
      <c r="W884" s="14" t="str">
        <f>IFERROR(__xludf.DUMMYFUNCTION("""COMPUTED_VALUE"""),"https://maps.google.com/?q=St%20Thomas%20the%20Apostle%20%20(SVdP%20D6)%20Huntsville%2013223%2016th%20St%20Huntsville%20TX%2077340")</f>
        <v>https://maps.google.com/?q=St%20Thomas%20the%20Apostle%20%20(SVdP%20D6)%20Huntsville%2013223%2016th%20St%20Huntsville%20TX%2077340</v>
      </c>
      <c r="X884" s="10"/>
      <c r="Y884" s="9" t="str">
        <f>IFERROR(__xludf.DUMMYFUNCTION("""COMPUTED_VALUE"""),"Huntsville")</f>
        <v>Huntsville</v>
      </c>
      <c r="Z884" s="9" t="str">
        <f>IFERROR(__xludf.DUMMYFUNCTION("""COMPUTED_VALUE"""),"Huntsville, Phelps")</f>
        <v>Huntsville, Phelps</v>
      </c>
      <c r="AA884" s="9" t="str">
        <f>IFERROR(__xludf.DUMMYFUNCTION("""COMPUTED_VALUE"""),"Society of St Vincent de Paul")</f>
        <v>Society of St Vincent de Paul</v>
      </c>
      <c r="AB884" s="9" t="str">
        <f>IFERROR(__xludf.DUMMYFUNCTION("""COMPUTED_VALUE"""),"Huntsville")</f>
        <v>Huntsville</v>
      </c>
    </row>
    <row r="885" ht="30.0" customHeight="1">
      <c r="A885" s="17">
        <v>884.0</v>
      </c>
      <c r="B885" s="8" t="str">
        <f>IFERROR(__xludf.DUMMYFUNCTION("""COMPUTED_VALUE"""),"[""77005"", ""77025"", ""77030"", ""77045"", ""77081"", ""77401""]")</f>
        <v>["77005", "77025", "77030", "77045", "77081", "77401"]</v>
      </c>
      <c r="C885" s="9" t="str">
        <f>IFERROR(__xludf.DUMMYFUNCTION("""COMPUTED_VALUE"""),"St Vincent de Paul (SVdP D3)")</f>
        <v>St Vincent de Paul (SVdP D3)</v>
      </c>
      <c r="D885" s="9" t="str">
        <f>IFERROR(__xludf.DUMMYFUNCTION("""COMPUTED_VALUE"""),"6800 Buffalo Speedway")</f>
        <v>6800 Buffalo Speedway</v>
      </c>
      <c r="E885" s="9"/>
      <c r="F885" s="9" t="str">
        <f>IFERROR(__xludf.DUMMYFUNCTION("""COMPUTED_VALUE"""),"Houston")</f>
        <v>Houston</v>
      </c>
      <c r="G885" s="9" t="str">
        <f>IFERROR(__xludf.DUMMYFUNCTION("""COMPUTED_VALUE"""),"TX")</f>
        <v>TX</v>
      </c>
      <c r="H885" s="9" t="str">
        <f>IFERROR(__xludf.DUMMYFUNCTION("""COMPUTED_VALUE"""),"77025")</f>
        <v>77025</v>
      </c>
      <c r="I885" s="9" t="str">
        <f>IFERROR(__xludf.DUMMYFUNCTION("""COMPUTED_VALUE"""),"713-664-5350")</f>
        <v>713-664-5350</v>
      </c>
      <c r="J885" s="9" t="str">
        <f>IFERROR(__xludf.DUMMYFUNCTION("""COMPUTED_VALUE"""),"29.705969, -95.427541")</f>
        <v>29.705969, -95.427541</v>
      </c>
      <c r="K885" s="9" t="str">
        <f>IFERROR(__xludf.DUMMYFUNCTION("""COMPUTED_VALUE"""),"{""regular"":[{""days"":[""Mo"",""Tu"",""We"",""Th"",""Fr"",""Sa"",""Su""],""open"":""00:00"",""close"":""23:59""}]}")</f>
        <v>{"regular":[{"days":["Mo","Tu","We","Th","Fr","Sa","Su"],"open":"00:00","close":"23:59"}]}</v>
      </c>
      <c r="L885" s="9" t="str">
        <f>IFERROR(__xludf.DUMMYFUNCTION("""COMPUTED_VALUE"""),"Leave message.  Calls returned 8 a.m. to 4 p.m.")</f>
        <v>Leave message.  Calls returned 8 a.m. to 4 p.m.</v>
      </c>
      <c r="M885" s="10">
        <f>IFERROR(__xludf.DUMMYFUNCTION("""COMPUTED_VALUE"""),11.0)</f>
        <v>11</v>
      </c>
      <c r="N885" s="10" t="str">
        <f>IFERROR(__xludf.DUMMYFUNCTION("""COMPUTED_VALUE"""),"Rent")</f>
        <v>Rent</v>
      </c>
      <c r="O885" s="10">
        <f>IFERROR(__xludf.DUMMYFUNCTION("""COMPUTED_VALUE"""),1.0)</f>
        <v>1</v>
      </c>
      <c r="P885" s="10" t="str">
        <f>IFERROR(__xludf.DUMMYFUNCTION("""COMPUTED_VALUE"""),"ACTIVE")</f>
        <v>ACTIVE</v>
      </c>
      <c r="Q885" s="11">
        <f>IFERROR(__xludf.DUMMYFUNCTION("""COMPUTED_VALUE"""),45652.0)</f>
        <v>45652</v>
      </c>
      <c r="R885" s="9"/>
      <c r="S885" s="9" t="str">
        <f>IFERROR(__xludf.DUMMYFUNCTION("""COMPUTED_VALUE"""),"Initial assessment over phone.
Pertinent documents collected via email.
Home (preferred) or virtual visit to finalize approval.
")</f>
        <v>Initial assessment over phone.
Pertinent documents collected via email.
Home (preferred) or virtual visit to finalize approval.
</v>
      </c>
      <c r="T885" s="12" t="b">
        <f>IFERROR(__xludf.DUMMYFUNCTION("""COMPUTED_VALUE"""),FALSE)</f>
        <v>0</v>
      </c>
      <c r="U885" s="12" t="b">
        <f>IFERROR(__xludf.DUMMYFUNCTION("""COMPUTED_VALUE"""),FALSE)</f>
        <v>0</v>
      </c>
      <c r="V885" s="13" t="str">
        <f>IFERROR(__xludf.DUMMYFUNCTION("""COMPUTED_VALUE"""),"https://www.svdp77025.org/resources/assistance-organizations")</f>
        <v>https://www.svdp77025.org/resources/assistance-organizations</v>
      </c>
      <c r="W885" s="14" t="str">
        <f>IFERROR(__xludf.DUMMYFUNCTION("""COMPUTED_VALUE"""),"https://maps.google.com/?q=St%20Vincent%20de%20Paul%20(SVdP%20D3)%206800%20Buffalo%20Speedway%20Houston%20TX%2077025")</f>
        <v>https://maps.google.com/?q=St%20Vincent%20de%20Paul%20(SVdP%20D3)%206800%20Buffalo%20Speedway%20Houston%20TX%2077025</v>
      </c>
      <c r="X885" s="10" t="str">
        <f>IFERROR(__xludf.DUMMYFUNCTION("""COMPUTED_VALUE"""),"svdp70225@gmail.com")</f>
        <v>svdp70225@gmail.com</v>
      </c>
      <c r="Y885" s="9" t="str">
        <f>IFERROR(__xludf.DUMMYFUNCTION("""COMPUTED_VALUE"""),"Houston")</f>
        <v>Houston</v>
      </c>
      <c r="Z885" s="9" t="str">
        <f>IFERROR(__xludf.DUMMYFUNCTION("""COMPUTED_VALUE"""),"Braeswood, Braeswood Place, Knollwood Village")</f>
        <v>Braeswood, Braeswood Place, Knollwood Village</v>
      </c>
      <c r="AA885" s="9" t="str">
        <f>IFERROR(__xludf.DUMMYFUNCTION("""COMPUTED_VALUE"""),"Society of St Vincent de Paul")</f>
        <v>Society of St Vincent de Paul</v>
      </c>
      <c r="AB885" s="9" t="str">
        <f>IFERROR(__xludf.DUMMYFUNCTION("""COMPUTED_VALUE"""),"Braeswood")</f>
        <v>Braeswood</v>
      </c>
    </row>
    <row r="886" ht="30.0" customHeight="1">
      <c r="A886" s="17">
        <v>885.0</v>
      </c>
      <c r="B886" s="8" t="str">
        <f>IFERROR(__xludf.DUMMYFUNCTION("""COMPUTED_VALUE"""),"[""77005"", ""77025"", ""77030"", ""77045"", ""77081"", ""77401""]")</f>
        <v>["77005", "77025", "77030", "77045", "77081", "77401"]</v>
      </c>
      <c r="C886" s="9" t="str">
        <f>IFERROR(__xludf.DUMMYFUNCTION("""COMPUTED_VALUE"""),"St Vincent de Paul (SVdP D3)")</f>
        <v>St Vincent de Paul (SVdP D3)</v>
      </c>
      <c r="D886" s="9" t="str">
        <f>IFERROR(__xludf.DUMMYFUNCTION("""COMPUTED_VALUE"""),"6800 Buffalo Speedway")</f>
        <v>6800 Buffalo Speedway</v>
      </c>
      <c r="E886" s="9"/>
      <c r="F886" s="9" t="str">
        <f>IFERROR(__xludf.DUMMYFUNCTION("""COMPUTED_VALUE"""),"Houston")</f>
        <v>Houston</v>
      </c>
      <c r="G886" s="9" t="str">
        <f>IFERROR(__xludf.DUMMYFUNCTION("""COMPUTED_VALUE"""),"TX")</f>
        <v>TX</v>
      </c>
      <c r="H886" s="9" t="str">
        <f>IFERROR(__xludf.DUMMYFUNCTION("""COMPUTED_VALUE"""),"77025")</f>
        <v>77025</v>
      </c>
      <c r="I886" s="9" t="str">
        <f>IFERROR(__xludf.DUMMYFUNCTION("""COMPUTED_VALUE"""),"713-664-5350")</f>
        <v>713-664-5350</v>
      </c>
      <c r="J886" s="9" t="str">
        <f>IFERROR(__xludf.DUMMYFUNCTION("""COMPUTED_VALUE"""),"29.705969, -95.427541")</f>
        <v>29.705969, -95.427541</v>
      </c>
      <c r="K886" s="9" t="str">
        <f>IFERROR(__xludf.DUMMYFUNCTION("""COMPUTED_VALUE"""),"{""regular"":[{""days"":[""Mo"",""Tu"",""We"",""Th"",""Fr"",""Sa"",""Su""],""open"":""00:00"",""close"":""23:59""}]}")</f>
        <v>{"regular":[{"days":["Mo","Tu","We","Th","Fr","Sa","Su"],"open":"00:00","close":"23:59"}]}</v>
      </c>
      <c r="L886" s="9" t="str">
        <f>IFERROR(__xludf.DUMMYFUNCTION("""COMPUTED_VALUE"""),"Leave message.  Calls returned 8 a.m. to 4 p.m.")</f>
        <v>Leave message.  Calls returned 8 a.m. to 4 p.m.</v>
      </c>
      <c r="M886" s="10">
        <f>IFERROR(__xludf.DUMMYFUNCTION("""COMPUTED_VALUE"""),12.0)</f>
        <v>12</v>
      </c>
      <c r="N886" s="10" t="str">
        <f>IFERROR(__xludf.DUMMYFUNCTION("""COMPUTED_VALUE"""),"Utilities")</f>
        <v>Utilities</v>
      </c>
      <c r="O886" s="10">
        <f>IFERROR(__xludf.DUMMYFUNCTION("""COMPUTED_VALUE"""),1.0)</f>
        <v>1</v>
      </c>
      <c r="P886" s="10" t="str">
        <f>IFERROR(__xludf.DUMMYFUNCTION("""COMPUTED_VALUE"""),"ACTIVE")</f>
        <v>ACTIVE</v>
      </c>
      <c r="Q886" s="11">
        <f>IFERROR(__xludf.DUMMYFUNCTION("""COMPUTED_VALUE"""),45652.0)</f>
        <v>45652</v>
      </c>
      <c r="R886" s="9"/>
      <c r="S886" s="9" t="str">
        <f>IFERROR(__xludf.DUMMYFUNCTION("""COMPUTED_VALUE"""),"Initial assessment over phone.
Pertinent documents collected via email.
Home (preferred) or virtual visit to finalize approval.")</f>
        <v>Initial assessment over phone.
Pertinent documents collected via email.
Home (preferred) or virtual visit to finalize approval.</v>
      </c>
      <c r="T886" s="12" t="b">
        <f>IFERROR(__xludf.DUMMYFUNCTION("""COMPUTED_VALUE"""),FALSE)</f>
        <v>0</v>
      </c>
      <c r="U886" s="12" t="b">
        <f>IFERROR(__xludf.DUMMYFUNCTION("""COMPUTED_VALUE"""),FALSE)</f>
        <v>0</v>
      </c>
      <c r="V886" s="13" t="str">
        <f>IFERROR(__xludf.DUMMYFUNCTION("""COMPUTED_VALUE"""),"https://www.svdp77025.org/resources/assistance-organizations")</f>
        <v>https://www.svdp77025.org/resources/assistance-organizations</v>
      </c>
      <c r="W886" s="14" t="str">
        <f>IFERROR(__xludf.DUMMYFUNCTION("""COMPUTED_VALUE"""),"https://maps.google.com/?q=St%20Vincent%20de%20Paul%20(SVdP%20D3)%206800%20Buffalo%20Speedway%20Houston%20TX%2077025")</f>
        <v>https://maps.google.com/?q=St%20Vincent%20de%20Paul%20(SVdP%20D3)%206800%20Buffalo%20Speedway%20Houston%20TX%2077025</v>
      </c>
      <c r="X886" s="10" t="str">
        <f>IFERROR(__xludf.DUMMYFUNCTION("""COMPUTED_VALUE"""),"svdp70225@gmail.com")</f>
        <v>svdp70225@gmail.com</v>
      </c>
      <c r="Y886" s="9" t="str">
        <f>IFERROR(__xludf.DUMMYFUNCTION("""COMPUTED_VALUE"""),"Houston")</f>
        <v>Houston</v>
      </c>
      <c r="Z886" s="9" t="str">
        <f>IFERROR(__xludf.DUMMYFUNCTION("""COMPUTED_VALUE"""),"Braeswood, Braeswood Place, Knollwood Village")</f>
        <v>Braeswood, Braeswood Place, Knollwood Village</v>
      </c>
      <c r="AA886" s="9" t="str">
        <f>IFERROR(__xludf.DUMMYFUNCTION("""COMPUTED_VALUE"""),"Society of St Vincent de Paul")</f>
        <v>Society of St Vincent de Paul</v>
      </c>
      <c r="AB886" s="9" t="str">
        <f>IFERROR(__xludf.DUMMYFUNCTION("""COMPUTED_VALUE"""),"Braeswood")</f>
        <v>Braeswood</v>
      </c>
    </row>
    <row r="887" ht="30.0" customHeight="1">
      <c r="A887" s="17">
        <v>886.0</v>
      </c>
      <c r="B887" s="8" t="str">
        <f>IFERROR(__xludf.DUMMYFUNCTION("""COMPUTED_VALUE"""),"[""77005"", ""77025"", ""77030"", ""77045"", ""77081"", ""77401""]")</f>
        <v>["77005", "77025", "77030", "77045", "77081", "77401"]</v>
      </c>
      <c r="C887" s="9" t="str">
        <f>IFERROR(__xludf.DUMMYFUNCTION("""COMPUTED_VALUE"""),"St Vincent de Paul (SVdP D3)")</f>
        <v>St Vincent de Paul (SVdP D3)</v>
      </c>
      <c r="D887" s="9" t="str">
        <f>IFERROR(__xludf.DUMMYFUNCTION("""COMPUTED_VALUE"""),"6800 Buffalo Speedway")</f>
        <v>6800 Buffalo Speedway</v>
      </c>
      <c r="E887" s="9"/>
      <c r="F887" s="9" t="str">
        <f>IFERROR(__xludf.DUMMYFUNCTION("""COMPUTED_VALUE"""),"Houston")</f>
        <v>Houston</v>
      </c>
      <c r="G887" s="9" t="str">
        <f>IFERROR(__xludf.DUMMYFUNCTION("""COMPUTED_VALUE"""),"TX")</f>
        <v>TX</v>
      </c>
      <c r="H887" s="9" t="str">
        <f>IFERROR(__xludf.DUMMYFUNCTION("""COMPUTED_VALUE"""),"77025")</f>
        <v>77025</v>
      </c>
      <c r="I887" s="9" t="str">
        <f>IFERROR(__xludf.DUMMYFUNCTION("""COMPUTED_VALUE"""),"713-664-5350")</f>
        <v>713-664-5350</v>
      </c>
      <c r="J887" s="9" t="str">
        <f>IFERROR(__xludf.DUMMYFUNCTION("""COMPUTED_VALUE"""),"29.705969, -95.427541")</f>
        <v>29.705969, -95.427541</v>
      </c>
      <c r="K887" s="9" t="str">
        <f>IFERROR(__xludf.DUMMYFUNCTION("""COMPUTED_VALUE"""),"{""regular"":[{""days"":[""Mo"",""Tu"",""We"",""Th"",""Fr"",""Sa"",""Su""],""open"":""00:00"",""close"":""23:59""}]}")</f>
        <v>{"regular":[{"days":["Mo","Tu","We","Th","Fr","Sa","Su"],"open":"00:00","close":"23:59"}]}</v>
      </c>
      <c r="L887" s="9" t="str">
        <f>IFERROR(__xludf.DUMMYFUNCTION("""COMPUTED_VALUE"""),"Leave message.  Calls returned 8 a.m. to 4 p.m.")</f>
        <v>Leave message.  Calls returned 8 a.m. to 4 p.m.</v>
      </c>
      <c r="M887" s="10">
        <f>IFERROR(__xludf.DUMMYFUNCTION("""COMPUTED_VALUE"""),36.0)</f>
        <v>36</v>
      </c>
      <c r="N887" s="10" t="str">
        <f>IFERROR(__xludf.DUMMYFUNCTION("""COMPUTED_VALUE"""),"Medical - Bill Payment")</f>
        <v>Medical - Bill Payment</v>
      </c>
      <c r="O887" s="10">
        <f>IFERROR(__xludf.DUMMYFUNCTION("""COMPUTED_VALUE"""),1.0)</f>
        <v>1</v>
      </c>
      <c r="P887" s="10" t="str">
        <f>IFERROR(__xludf.DUMMYFUNCTION("""COMPUTED_VALUE"""),"ACTIVE")</f>
        <v>ACTIVE</v>
      </c>
      <c r="Q887" s="11">
        <f>IFERROR(__xludf.DUMMYFUNCTION("""COMPUTED_VALUE"""),45652.0)</f>
        <v>45652</v>
      </c>
      <c r="R887" s="9"/>
      <c r="S887" s="9" t="str">
        <f>IFERROR(__xludf.DUMMYFUNCTION("""COMPUTED_VALUE"""),"Initial assessment over phone.
Pertinent documents collected via email.
Home (preferred) or virtual visit to finalize approval.")</f>
        <v>Initial assessment over phone.
Pertinent documents collected via email.
Home (preferred) or virtual visit to finalize approval.</v>
      </c>
      <c r="T887" s="12" t="b">
        <f>IFERROR(__xludf.DUMMYFUNCTION("""COMPUTED_VALUE"""),FALSE)</f>
        <v>0</v>
      </c>
      <c r="U887" s="12" t="b">
        <f>IFERROR(__xludf.DUMMYFUNCTION("""COMPUTED_VALUE"""),FALSE)</f>
        <v>0</v>
      </c>
      <c r="V887" s="13" t="str">
        <f>IFERROR(__xludf.DUMMYFUNCTION("""COMPUTED_VALUE"""),"https://www.svdp77025.org/resources/assistance-organizations")</f>
        <v>https://www.svdp77025.org/resources/assistance-organizations</v>
      </c>
      <c r="W887" s="14" t="str">
        <f>IFERROR(__xludf.DUMMYFUNCTION("""COMPUTED_VALUE"""),"https://maps.google.com/?q=St%20Vincent%20de%20Paul%20(SVdP%20D3)%206800%20Buffalo%20Speedway%20Houston%20TX%2077025")</f>
        <v>https://maps.google.com/?q=St%20Vincent%20de%20Paul%20(SVdP%20D3)%206800%20Buffalo%20Speedway%20Houston%20TX%2077025</v>
      </c>
      <c r="X887" s="10" t="str">
        <f>IFERROR(__xludf.DUMMYFUNCTION("""COMPUTED_VALUE"""),"svdp70225@gmail.com")</f>
        <v>svdp70225@gmail.com</v>
      </c>
      <c r="Y887" s="9" t="str">
        <f>IFERROR(__xludf.DUMMYFUNCTION("""COMPUTED_VALUE"""),"Houston")</f>
        <v>Houston</v>
      </c>
      <c r="Z887" s="9" t="str">
        <f>IFERROR(__xludf.DUMMYFUNCTION("""COMPUTED_VALUE"""),"Braeswood, Braeswood Place, Knollwood Village")</f>
        <v>Braeswood, Braeswood Place, Knollwood Village</v>
      </c>
      <c r="AA887" s="9" t="str">
        <f>IFERROR(__xludf.DUMMYFUNCTION("""COMPUTED_VALUE"""),"Society of St Vincent de Paul")</f>
        <v>Society of St Vincent de Paul</v>
      </c>
      <c r="AB887" s="9" t="str">
        <f>IFERROR(__xludf.DUMMYFUNCTION("""COMPUTED_VALUE"""),"Braeswood")</f>
        <v>Braeswood</v>
      </c>
    </row>
    <row r="888" ht="30.0" customHeight="1">
      <c r="A888" s="17">
        <v>887.0</v>
      </c>
      <c r="B888" s="8" t="str">
        <f>IFERROR(__xludf.DUMMYFUNCTION("""COMPUTED_VALUE"""),"[""77005"", ""77025"", ""77030"", ""77045"", ""77081"", ""77401""]")</f>
        <v>["77005", "77025", "77030", "77045", "77081", "77401"]</v>
      </c>
      <c r="C888" s="9" t="str">
        <f>IFERROR(__xludf.DUMMYFUNCTION("""COMPUTED_VALUE"""),"St Vincent de Paul (SVdP D3)")</f>
        <v>St Vincent de Paul (SVdP D3)</v>
      </c>
      <c r="D888" s="9" t="str">
        <f>IFERROR(__xludf.DUMMYFUNCTION("""COMPUTED_VALUE"""),"6800 Buffalo Speedway")</f>
        <v>6800 Buffalo Speedway</v>
      </c>
      <c r="E888" s="9"/>
      <c r="F888" s="9" t="str">
        <f>IFERROR(__xludf.DUMMYFUNCTION("""COMPUTED_VALUE"""),"Houston")</f>
        <v>Houston</v>
      </c>
      <c r="G888" s="9" t="str">
        <f>IFERROR(__xludf.DUMMYFUNCTION("""COMPUTED_VALUE"""),"TX")</f>
        <v>TX</v>
      </c>
      <c r="H888" s="9" t="str">
        <f>IFERROR(__xludf.DUMMYFUNCTION("""COMPUTED_VALUE"""),"77025")</f>
        <v>77025</v>
      </c>
      <c r="I888" s="9" t="str">
        <f>IFERROR(__xludf.DUMMYFUNCTION("""COMPUTED_VALUE"""),"713-664-5350")</f>
        <v>713-664-5350</v>
      </c>
      <c r="J888" s="9" t="str">
        <f>IFERROR(__xludf.DUMMYFUNCTION("""COMPUTED_VALUE"""),"29.705969, -95.427541")</f>
        <v>29.705969, -95.427541</v>
      </c>
      <c r="K888" s="9" t="str">
        <f>IFERROR(__xludf.DUMMYFUNCTION("""COMPUTED_VALUE"""),"{""regular"":[{""days"":[""Mo"",""Tu"",""We"",""Th"",""Fr"",""Sa"",""Su""],""open"":""00:00"",""close"":""23:59""}]}")</f>
        <v>{"regular":[{"days":["Mo","Tu","We","Th","Fr","Sa","Su"],"open":"00:00","close":"23:59"}]}</v>
      </c>
      <c r="L888" s="9" t="str">
        <f>IFERROR(__xludf.DUMMYFUNCTION("""COMPUTED_VALUE"""),"Leave message.  Calls returned 8 a.m. to 4 p.m.")</f>
        <v>Leave message.  Calls returned 8 a.m. to 4 p.m.</v>
      </c>
      <c r="M888" s="10">
        <f>IFERROR(__xludf.DUMMYFUNCTION("""COMPUTED_VALUE"""),53.0)</f>
        <v>53</v>
      </c>
      <c r="N888" s="10" t="str">
        <f>IFERROR(__xludf.DUMMYFUNCTION("""COMPUTED_VALUE"""),"Transportation")</f>
        <v>Transportation</v>
      </c>
      <c r="O888" s="10">
        <f>IFERROR(__xludf.DUMMYFUNCTION("""COMPUTED_VALUE"""),1.0)</f>
        <v>1</v>
      </c>
      <c r="P888" s="10" t="str">
        <f>IFERROR(__xludf.DUMMYFUNCTION("""COMPUTED_VALUE"""),"ACTIVE")</f>
        <v>ACTIVE</v>
      </c>
      <c r="Q888" s="11">
        <f>IFERROR(__xludf.DUMMYFUNCTION("""COMPUTED_VALUE"""),45652.0)</f>
        <v>45652</v>
      </c>
      <c r="R888" s="9"/>
      <c r="S888" s="9" t="str">
        <f>IFERROR(__xludf.DUMMYFUNCTION("""COMPUTED_VALUE"""),"Initial assessment over phone.
Pertinent documents collected via email.
Home (preferred) or virtual visit to finalize approval.")</f>
        <v>Initial assessment over phone.
Pertinent documents collected via email.
Home (preferred) or virtual visit to finalize approval.</v>
      </c>
      <c r="T888" s="12" t="b">
        <f>IFERROR(__xludf.DUMMYFUNCTION("""COMPUTED_VALUE"""),FALSE)</f>
        <v>0</v>
      </c>
      <c r="U888" s="12" t="b">
        <f>IFERROR(__xludf.DUMMYFUNCTION("""COMPUTED_VALUE"""),FALSE)</f>
        <v>0</v>
      </c>
      <c r="V888" s="13" t="str">
        <f>IFERROR(__xludf.DUMMYFUNCTION("""COMPUTED_VALUE"""),"https://www.svdp77025.org/resources/assistance-organizations")</f>
        <v>https://www.svdp77025.org/resources/assistance-organizations</v>
      </c>
      <c r="W888" s="14" t="str">
        <f>IFERROR(__xludf.DUMMYFUNCTION("""COMPUTED_VALUE"""),"https://maps.google.com/?q=St%20Vincent%20de%20Paul%20(SVdP%20D3)%206800%20Buffalo%20Speedway%20Houston%20TX%2077025")</f>
        <v>https://maps.google.com/?q=St%20Vincent%20de%20Paul%20(SVdP%20D3)%206800%20Buffalo%20Speedway%20Houston%20TX%2077025</v>
      </c>
      <c r="X888" s="10" t="str">
        <f>IFERROR(__xludf.DUMMYFUNCTION("""COMPUTED_VALUE"""),"svdp70225@gmail.com")</f>
        <v>svdp70225@gmail.com</v>
      </c>
      <c r="Y888" s="9" t="str">
        <f>IFERROR(__xludf.DUMMYFUNCTION("""COMPUTED_VALUE"""),"Houston")</f>
        <v>Houston</v>
      </c>
      <c r="Z888" s="9" t="str">
        <f>IFERROR(__xludf.DUMMYFUNCTION("""COMPUTED_VALUE"""),"Braeswood, Braeswood Place, Knollwood Village")</f>
        <v>Braeswood, Braeswood Place, Knollwood Village</v>
      </c>
      <c r="AA888" s="9" t="str">
        <f>IFERROR(__xludf.DUMMYFUNCTION("""COMPUTED_VALUE"""),"Society of St Vincent de Paul")</f>
        <v>Society of St Vincent de Paul</v>
      </c>
      <c r="AB888" s="9" t="str">
        <f>IFERROR(__xludf.DUMMYFUNCTION("""COMPUTED_VALUE"""),"Braeswood")</f>
        <v>Braeswood</v>
      </c>
    </row>
    <row r="889" ht="30.0" customHeight="1">
      <c r="A889" s="17">
        <v>888.0</v>
      </c>
      <c r="B889" s="8" t="str">
        <f>IFERROR(__xludf.DUMMYFUNCTION("""COMPUTED_VALUE"""),"[""77510"", ""77517"", ""77518"", ""77548"", ""77549"", ""77550"", ""77551"", ""77552"", ""77553"", ""77554"", ""77555"", ""77563"", ""77565"", ""77568"", ""77573"", ""77590"", ""77591""]")</f>
        <v>["77510", "77517", "77518", "77548", "77549", "77550", "77551", "77552", "77553", "77554", "77555", "77563", "77565", "77568", "77573", "77590", "77591"]</v>
      </c>
      <c r="C889" s="9" t="str">
        <f>IFERROR(__xludf.DUMMYFUNCTION("""COMPUTED_VALUE"""),"St Vincent's House")</f>
        <v>St Vincent's House</v>
      </c>
      <c r="D889" s="9" t="str">
        <f>IFERROR(__xludf.DUMMYFUNCTION("""COMPUTED_VALUE"""),"2817 Post Office Street")</f>
        <v>2817 Post Office Street</v>
      </c>
      <c r="E889" s="9"/>
      <c r="F889" s="9" t="str">
        <f>IFERROR(__xludf.DUMMYFUNCTION("""COMPUTED_VALUE"""),"Galveston")</f>
        <v>Galveston</v>
      </c>
      <c r="G889" s="9" t="str">
        <f>IFERROR(__xludf.DUMMYFUNCTION("""COMPUTED_VALUE"""),"TX")</f>
        <v>TX</v>
      </c>
      <c r="H889" s="9" t="str">
        <f>IFERROR(__xludf.DUMMYFUNCTION("""COMPUTED_VALUE"""),"77550")</f>
        <v>77550</v>
      </c>
      <c r="I889" s="9" t="str">
        <f>IFERROR(__xludf.DUMMYFUNCTION("""COMPUTED_VALUE"""),"409-763-8521")</f>
        <v>409-763-8521</v>
      </c>
      <c r="J889" s="9" t="str">
        <f>IFERROR(__xludf.DUMMYFUNCTION("""COMPUTED_VALUE"""),"29.30294666375706, -94.79959910942264")</f>
        <v>29.30294666375706, -94.79959910942264</v>
      </c>
      <c r="K889" s="9" t="str">
        <f>IFERROR(__xludf.DUMMYFUNCTION("""COMPUTED_VALUE"""),"{""regular"":[{""days"":[""Mo"",""Tu"",""We"",""Th""],""open"":""08:00"",""close"":""16:30""},{""days"":[""Fr""],""open"":""08:00"",""close"":""15:00""}]}")</f>
        <v>{"regular":[{"days":["Mo","Tu","We","Th"],"open":"08:00","close":"16:30"},{"days":["Fr"],"open":"08:00","close":"15:00"}]}</v>
      </c>
      <c r="L889" s="9" t="str">
        <f>IFERROR(__xludf.DUMMYFUNCTION("""COMPUTED_VALUE"""),"Apply online")</f>
        <v>Apply online</v>
      </c>
      <c r="M889" s="10">
        <f>IFERROR(__xludf.DUMMYFUNCTION("""COMPUTED_VALUE"""),11.0)</f>
        <v>11</v>
      </c>
      <c r="N889" s="10" t="str">
        <f>IFERROR(__xludf.DUMMYFUNCTION("""COMPUTED_VALUE"""),"Rent")</f>
        <v>Rent</v>
      </c>
      <c r="O889" s="10">
        <f>IFERROR(__xludf.DUMMYFUNCTION("""COMPUTED_VALUE"""),1.0)</f>
        <v>1</v>
      </c>
      <c r="P889" s="10" t="str">
        <f>IFERROR(__xludf.DUMMYFUNCTION("""COMPUTED_VALUE"""),"ACTIVE")</f>
        <v>ACTIVE</v>
      </c>
      <c r="Q889" s="11">
        <f>IFERROR(__xludf.DUMMYFUNCTION("""COMPUTED_VALUE"""),45853.0)</f>
        <v>45853</v>
      </c>
      <c r="R889" s="9" t="str">
        <f>IFERROR(__xludf.DUMMYFUNCTION("""COMPUTED_VALUE"""),"Verified online")</f>
        <v>Verified online</v>
      </c>
      <c r="S889" s="9" t="str">
        <f>IFERROR(__xludf.DUMMYFUNCTION("""COMPUTED_VALUE"""),"Complete online application.  No walk-ins.
Once reviewed they will contact via email to schedule an appointment.")</f>
        <v>Complete online application.  No walk-ins.
Once reviewed they will contact via email to schedule an appointment.</v>
      </c>
      <c r="T889" s="12" t="b">
        <f>IFERROR(__xludf.DUMMYFUNCTION("""COMPUTED_VALUE"""),FALSE)</f>
        <v>0</v>
      </c>
      <c r="U889" s="12" t="b">
        <f>IFERROR(__xludf.DUMMYFUNCTION("""COMPUTED_VALUE"""),FALSE)</f>
        <v>0</v>
      </c>
      <c r="V889" s="13" t="str">
        <f>IFERROR(__xludf.DUMMYFUNCTION("""COMPUTED_VALUE"""),"https://www.stvhope.org/")</f>
        <v>https://www.stvhope.org/</v>
      </c>
      <c r="W889"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89" s="10"/>
      <c r="Y889" s="9" t="str">
        <f>IFERROR(__xludf.DUMMYFUNCTION("""COMPUTED_VALUE"""),"Galveston")</f>
        <v>Galveston</v>
      </c>
      <c r="Z889" s="9" t="str">
        <f>IFERROR(__xludf.DUMMYFUNCTION("""COMPUTED_VALUE"""),"Galveston")</f>
        <v>Galveston</v>
      </c>
      <c r="AA889" s="9" t="str">
        <f>IFERROR(__xludf.DUMMYFUNCTION("""COMPUTED_VALUE"""),"St Vincent's House")</f>
        <v>St Vincent's House</v>
      </c>
      <c r="AB889" s="9" t="str">
        <f>IFERROR(__xludf.DUMMYFUNCTION("""COMPUTED_VALUE"""),"Galveston")</f>
        <v>Galveston</v>
      </c>
    </row>
    <row r="890" ht="30.0" customHeight="1">
      <c r="A890" s="17">
        <v>889.0</v>
      </c>
      <c r="B890" s="8" t="str">
        <f>IFERROR(__xludf.DUMMYFUNCTION("""COMPUTED_VALUE"""),"[""77510"", ""77517"", ""77518"", ""77548"", ""77549"", ""77550"", ""77551"", ""77552"", ""77553"", ""77554"", ""77555"", ""77563"", ""77565"", ""77568"", ""77573"", ""77590"", ""77591""]")</f>
        <v>["77510", "77517", "77518", "77548", "77549", "77550", "77551", "77552", "77553", "77554", "77555", "77563", "77565", "77568", "77573", "77590", "77591"]</v>
      </c>
      <c r="C890" s="9" t="str">
        <f>IFERROR(__xludf.DUMMYFUNCTION("""COMPUTED_VALUE"""),"St Vincent's House")</f>
        <v>St Vincent's House</v>
      </c>
      <c r="D890" s="9" t="str">
        <f>IFERROR(__xludf.DUMMYFUNCTION("""COMPUTED_VALUE"""),"2817 Post Office Street")</f>
        <v>2817 Post Office Street</v>
      </c>
      <c r="E890" s="9"/>
      <c r="F890" s="9" t="str">
        <f>IFERROR(__xludf.DUMMYFUNCTION("""COMPUTED_VALUE"""),"Galveston")</f>
        <v>Galveston</v>
      </c>
      <c r="G890" s="9" t="str">
        <f>IFERROR(__xludf.DUMMYFUNCTION("""COMPUTED_VALUE"""),"TX")</f>
        <v>TX</v>
      </c>
      <c r="H890" s="9" t="str">
        <f>IFERROR(__xludf.DUMMYFUNCTION("""COMPUTED_VALUE"""),"77550")</f>
        <v>77550</v>
      </c>
      <c r="I890" s="9" t="str">
        <f>IFERROR(__xludf.DUMMYFUNCTION("""COMPUTED_VALUE"""),"409-763-8521")</f>
        <v>409-763-8521</v>
      </c>
      <c r="J890" s="9" t="str">
        <f>IFERROR(__xludf.DUMMYFUNCTION("""COMPUTED_VALUE"""),"29.30294666375706, -94.79959910942264")</f>
        <v>29.30294666375706, -94.79959910942264</v>
      </c>
      <c r="K890" s="9" t="str">
        <f>IFERROR(__xludf.DUMMYFUNCTION("""COMPUTED_VALUE"""),"{""regular"":[{""days"":[""Mo"",""Tu"",""We"",""Th""],""open"":""08:00"",""close"":""16:30""},{""days"":[""Fr""],""open"":""08:00"",""close"":""15:00""}]}")</f>
        <v>{"regular":[{"days":["Mo","Tu","We","Th"],"open":"08:00","close":"16:30"},{"days":["Fr"],"open":"08:00","close":"15:00"}]}</v>
      </c>
      <c r="L890" s="9" t="str">
        <f>IFERROR(__xludf.DUMMYFUNCTION("""COMPUTED_VALUE"""),"Apply online")</f>
        <v>Apply online</v>
      </c>
      <c r="M890" s="10">
        <f>IFERROR(__xludf.DUMMYFUNCTION("""COMPUTED_VALUE"""),12.0)</f>
        <v>12</v>
      </c>
      <c r="N890" s="10" t="str">
        <f>IFERROR(__xludf.DUMMYFUNCTION("""COMPUTED_VALUE"""),"Utilities")</f>
        <v>Utilities</v>
      </c>
      <c r="O890" s="10">
        <f>IFERROR(__xludf.DUMMYFUNCTION("""COMPUTED_VALUE"""),1.0)</f>
        <v>1</v>
      </c>
      <c r="P890" s="10" t="str">
        <f>IFERROR(__xludf.DUMMYFUNCTION("""COMPUTED_VALUE"""),"ACTIVE")</f>
        <v>ACTIVE</v>
      </c>
      <c r="Q890" s="11">
        <f>IFERROR(__xludf.DUMMYFUNCTION("""COMPUTED_VALUE"""),45853.0)</f>
        <v>45853</v>
      </c>
      <c r="R890" s="9" t="str">
        <f>IFERROR(__xludf.DUMMYFUNCTION("""COMPUTED_VALUE"""),"Verified online")</f>
        <v>Verified online</v>
      </c>
      <c r="S890" s="9" t="str">
        <f>IFERROR(__xludf.DUMMYFUNCTION("""COMPUTED_VALUE"""),"Complete online application.  No walk-ins.
Once reviewed they will contact via email to schedule an appointment.")</f>
        <v>Complete online application.  No walk-ins.
Once reviewed they will contact via email to schedule an appointment.</v>
      </c>
      <c r="T890" s="12" t="b">
        <f>IFERROR(__xludf.DUMMYFUNCTION("""COMPUTED_VALUE"""),FALSE)</f>
        <v>0</v>
      </c>
      <c r="U890" s="12" t="b">
        <f>IFERROR(__xludf.DUMMYFUNCTION("""COMPUTED_VALUE"""),FALSE)</f>
        <v>0</v>
      </c>
      <c r="V890" s="13" t="str">
        <f>IFERROR(__xludf.DUMMYFUNCTION("""COMPUTED_VALUE"""),"https://www.stvhope.org/")</f>
        <v>https://www.stvhope.org/</v>
      </c>
      <c r="W890"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0" s="10"/>
      <c r="Y890" s="9" t="str">
        <f>IFERROR(__xludf.DUMMYFUNCTION("""COMPUTED_VALUE"""),"Galveston")</f>
        <v>Galveston</v>
      </c>
      <c r="Z890" s="9" t="str">
        <f>IFERROR(__xludf.DUMMYFUNCTION("""COMPUTED_VALUE"""),"Galveston")</f>
        <v>Galveston</v>
      </c>
      <c r="AA890" s="9" t="str">
        <f>IFERROR(__xludf.DUMMYFUNCTION("""COMPUTED_VALUE"""),"St Vincent's House")</f>
        <v>St Vincent's House</v>
      </c>
      <c r="AB890" s="9" t="str">
        <f>IFERROR(__xludf.DUMMYFUNCTION("""COMPUTED_VALUE"""),"Galveston")</f>
        <v>Galveston</v>
      </c>
    </row>
    <row r="891" ht="30.0" customHeight="1">
      <c r="A891" s="17">
        <v>890.0</v>
      </c>
      <c r="B891" s="8" t="str">
        <f>IFERROR(__xludf.DUMMYFUNCTION("""COMPUTED_VALUE"""),"[""77510"", ""77517"", ""77518"", ""77548"", ""77549"", ""77550"", ""77551"", ""77552"", ""77553"", ""77554"", ""77555"", ""77563"", ""77565"", ""77568"", ""77573"", ""77590"", ""77591""]")</f>
        <v>["77510", "77517", "77518", "77548", "77549", "77550", "77551", "77552", "77553", "77554", "77555", "77563", "77565", "77568", "77573", "77590", "77591"]</v>
      </c>
      <c r="C891" s="9" t="str">
        <f>IFERROR(__xludf.DUMMYFUNCTION("""COMPUTED_VALUE"""),"St Vincent's House")</f>
        <v>St Vincent's House</v>
      </c>
      <c r="D891" s="9" t="str">
        <f>IFERROR(__xludf.DUMMYFUNCTION("""COMPUTED_VALUE"""),"2817 Post Office Street")</f>
        <v>2817 Post Office Street</v>
      </c>
      <c r="E891" s="9"/>
      <c r="F891" s="9" t="str">
        <f>IFERROR(__xludf.DUMMYFUNCTION("""COMPUTED_VALUE"""),"Galveston")</f>
        <v>Galveston</v>
      </c>
      <c r="G891" s="9" t="str">
        <f>IFERROR(__xludf.DUMMYFUNCTION("""COMPUTED_VALUE"""),"TX")</f>
        <v>TX</v>
      </c>
      <c r="H891" s="9" t="str">
        <f>IFERROR(__xludf.DUMMYFUNCTION("""COMPUTED_VALUE"""),"77550")</f>
        <v>77550</v>
      </c>
      <c r="I891" s="9" t="str">
        <f>IFERROR(__xludf.DUMMYFUNCTION("""COMPUTED_VALUE"""),"409-763-8521")</f>
        <v>409-763-8521</v>
      </c>
      <c r="J891" s="9" t="str">
        <f>IFERROR(__xludf.DUMMYFUNCTION("""COMPUTED_VALUE"""),"29.30294666375706, -94.79959910942264")</f>
        <v>29.30294666375706, -94.79959910942264</v>
      </c>
      <c r="K891" s="9" t="str">
        <f>IFERROR(__xludf.DUMMYFUNCTION("""COMPUTED_VALUE"""),"{""regular"":[{""days"":[""Mo"",""Tu"",""We"",""Th"",""Fr""],""open"":""09:00"",""close"":""13:00""}]}")</f>
        <v>{"regular":[{"days":["Mo","Tu","We","Th","Fr"],"open":"09:00","close":"13:00"}]}</v>
      </c>
      <c r="L891" s="9"/>
      <c r="M891" s="10">
        <f>IFERROR(__xludf.DUMMYFUNCTION("""COMPUTED_VALUE"""),13.0)</f>
        <v>13</v>
      </c>
      <c r="N891" s="10" t="str">
        <f>IFERROR(__xludf.DUMMYFUNCTION("""COMPUTED_VALUE"""),"Food")</f>
        <v>Food</v>
      </c>
      <c r="O891" s="10">
        <f>IFERROR(__xludf.DUMMYFUNCTION("""COMPUTED_VALUE"""),1.0)</f>
        <v>1</v>
      </c>
      <c r="P891" s="10" t="str">
        <f>IFERROR(__xludf.DUMMYFUNCTION("""COMPUTED_VALUE"""),"ACTIVE")</f>
        <v>ACTIVE</v>
      </c>
      <c r="Q891" s="11">
        <f>IFERROR(__xludf.DUMMYFUNCTION("""COMPUTED_VALUE"""),45853.0)</f>
        <v>45853</v>
      </c>
      <c r="R891" s="9" t="str">
        <f>IFERROR(__xludf.DUMMYFUNCTION("""COMPUTED_VALUE"""),"Verified online")</f>
        <v>Verified online</v>
      </c>
      <c r="S891" s="9" t="str">
        <f>IFERROR(__xludf.DUMMYFUNCTION("""COMPUTED_VALUE"""),"Can come in person.  First time visitors need to complete a form.
Groceries and diapers weekly and hygiene products when available.
No ID required for Food Pantry.
Can sign up for homebound grocery delivery.")</f>
        <v>Can come in person.  First time visitors need to complete a form.
Groceries and diapers weekly and hygiene products when available.
No ID required for Food Pantry.
Can sign up for homebound grocery delivery.</v>
      </c>
      <c r="T891" s="12" t="b">
        <f>IFERROR(__xludf.DUMMYFUNCTION("""COMPUTED_VALUE"""),FALSE)</f>
        <v>0</v>
      </c>
      <c r="U891" s="12" t="b">
        <f>IFERROR(__xludf.DUMMYFUNCTION("""COMPUTED_VALUE"""),FALSE)</f>
        <v>0</v>
      </c>
      <c r="V891" s="13" t="str">
        <f>IFERROR(__xludf.DUMMYFUNCTION("""COMPUTED_VALUE"""),"https://www.stvhope.org/")</f>
        <v>https://www.stvhope.org/</v>
      </c>
      <c r="W891"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1" s="10"/>
      <c r="Y891" s="9" t="str">
        <f>IFERROR(__xludf.DUMMYFUNCTION("""COMPUTED_VALUE"""),"Galveston")</f>
        <v>Galveston</v>
      </c>
      <c r="Z891" s="9" t="str">
        <f>IFERROR(__xludf.DUMMYFUNCTION("""COMPUTED_VALUE"""),"Galveston")</f>
        <v>Galveston</v>
      </c>
      <c r="AA891" s="9" t="str">
        <f>IFERROR(__xludf.DUMMYFUNCTION("""COMPUTED_VALUE"""),"St Vincent's House")</f>
        <v>St Vincent's House</v>
      </c>
      <c r="AB891" s="9" t="str">
        <f>IFERROR(__xludf.DUMMYFUNCTION("""COMPUTED_VALUE"""),"Galveston")</f>
        <v>Galveston</v>
      </c>
    </row>
    <row r="892" ht="30.0" customHeight="1">
      <c r="A892" s="17">
        <v>891.0</v>
      </c>
      <c r="B892" s="8" t="str">
        <f>IFERROR(__xludf.DUMMYFUNCTION("""COMPUTED_VALUE"""),"[""77510"", ""77517"", ""77518"", ""77548"", ""77549"", ""77550"", ""77551"", ""77552"", ""77553"", ""77554"", ""77555"", ""77563"", ""77565"", ""77568"", ""77573"", ""77590"", ""77591""]")</f>
        <v>["77510", "77517", "77518", "77548", "77549", "77550", "77551", "77552", "77553", "77554", "77555", "77563", "77565", "77568", "77573", "77590", "77591"]</v>
      </c>
      <c r="C892" s="9" t="str">
        <f>IFERROR(__xludf.DUMMYFUNCTION("""COMPUTED_VALUE"""),"St Vincent's House")</f>
        <v>St Vincent's House</v>
      </c>
      <c r="D892" s="9" t="str">
        <f>IFERROR(__xludf.DUMMYFUNCTION("""COMPUTED_VALUE"""),"2817 Post Office Street")</f>
        <v>2817 Post Office Street</v>
      </c>
      <c r="E892" s="9"/>
      <c r="F892" s="9" t="str">
        <f>IFERROR(__xludf.DUMMYFUNCTION("""COMPUTED_VALUE"""),"Galveston")</f>
        <v>Galveston</v>
      </c>
      <c r="G892" s="9" t="str">
        <f>IFERROR(__xludf.DUMMYFUNCTION("""COMPUTED_VALUE"""),"TX")</f>
        <v>TX</v>
      </c>
      <c r="H892" s="9" t="str">
        <f>IFERROR(__xludf.DUMMYFUNCTION("""COMPUTED_VALUE"""),"77550")</f>
        <v>77550</v>
      </c>
      <c r="I892" s="9" t="str">
        <f>IFERROR(__xludf.DUMMYFUNCTION("""COMPUTED_VALUE"""),"409-765-2242")</f>
        <v>409-765-2242</v>
      </c>
      <c r="J892" s="9" t="str">
        <f>IFERROR(__xludf.DUMMYFUNCTION("""COMPUTED_VALUE"""),"29.30294666375706, -94.79959910942264")</f>
        <v>29.30294666375706, -94.79959910942264</v>
      </c>
      <c r="K892" s="9" t="str">
        <f>IFERROR(__xludf.DUMMYFUNCTION("""COMPUTED_VALUE"""),"{""regular"":[{""days"":[""Mo"",""Tu"",""We"",""Th"",""Fr""],""open"":""08:00"",""close"":""16:00""},{""days"":[""Tu"",""Th""],""open"":""16:30"",""close"":""19:00""},{""days"":[""Sa""],""open"":""09:00"",""close"":""13:00""}]}")</f>
        <v>{"regular":[{"days":["Mo","Tu","We","Th","Fr"],"open":"08:00","close":"16:00"},{"days":["Tu","Th"],"open":"16:30","close":"19:00"},{"days":["Sa"],"open":"09:00","close":"13:00"}]}</v>
      </c>
      <c r="L892" s="9" t="str">
        <f>IFERROR(__xludf.DUMMYFUNCTION("""COMPUTED_VALUE"""),"Appointment required")</f>
        <v>Appointment required</v>
      </c>
      <c r="M892" s="10">
        <f>IFERROR(__xludf.DUMMYFUNCTION("""COMPUTED_VALUE"""),31.0)</f>
        <v>31</v>
      </c>
      <c r="N892" s="10" t="str">
        <f>IFERROR(__xludf.DUMMYFUNCTION("""COMPUTED_VALUE"""),"Medical - Primary Care")</f>
        <v>Medical - Primary Care</v>
      </c>
      <c r="O892" s="10">
        <f>IFERROR(__xludf.DUMMYFUNCTION("""COMPUTED_VALUE"""),1.0)</f>
        <v>1</v>
      </c>
      <c r="P892" s="10" t="str">
        <f>IFERROR(__xludf.DUMMYFUNCTION("""COMPUTED_VALUE"""),"ACTIVE")</f>
        <v>ACTIVE</v>
      </c>
      <c r="Q892" s="11">
        <f>IFERROR(__xludf.DUMMYFUNCTION("""COMPUTED_VALUE"""),46049.0)</f>
        <v>46049</v>
      </c>
      <c r="R892" s="9" t="str">
        <f>IFERROR(__xludf.DUMMYFUNCTION("""COMPUTED_VALUE"""),"Verified online")</f>
        <v>Verified online</v>
      </c>
      <c r="S892" s="9" t="str">
        <f>IFERROR(__xludf.DUMMYFUNCTION("""COMPUTED_VALUE"""),"Nurse Practitioner day clinic and UTMB student directed clinic on Tuesday and Thursday evening and Saturday.
Call to make an appointment.
Treatment for acute and chronic health needs
Physical, occupational and speech therapy.  Physician referral required."&amp;"
Vision testing with referrals to local optometrists.  Needs based financial assistance for glasses available.
Dental extractions and simple dental issues on Saturdays.
Mental health services.")</f>
        <v>Nurse Practitioner day clinic and UTMB student directed clinic on Tuesday and Thursday evening and Saturday.
Call to make an appointment.
Treatment for acute and chronic health needs
Physical, occupational and speech therapy.  Physician referral required.
Vision testing with referrals to local optometrists.  Needs based financial assistance for glasses available.
Dental extractions and simple dental issues on Saturdays.
Mental health services.</v>
      </c>
      <c r="T892" s="12" t="b">
        <f>IFERROR(__xludf.DUMMYFUNCTION("""COMPUTED_VALUE"""),FALSE)</f>
        <v>0</v>
      </c>
      <c r="U892" s="12" t="b">
        <f>IFERROR(__xludf.DUMMYFUNCTION("""COMPUTED_VALUE"""),FALSE)</f>
        <v>0</v>
      </c>
      <c r="V892" s="13" t="str">
        <f>IFERROR(__xludf.DUMMYFUNCTION("""COMPUTED_VALUE"""),"https://www.stvhope.org/clinical-services")</f>
        <v>https://www.stvhope.org/clinical-services</v>
      </c>
      <c r="W892"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2" s="10"/>
      <c r="Y892" s="9" t="str">
        <f>IFERROR(__xludf.DUMMYFUNCTION("""COMPUTED_VALUE"""),"Galveston")</f>
        <v>Galveston</v>
      </c>
      <c r="Z892" s="9" t="str">
        <f>IFERROR(__xludf.DUMMYFUNCTION("""COMPUTED_VALUE"""),"Galveston")</f>
        <v>Galveston</v>
      </c>
      <c r="AA892" s="9" t="str">
        <f>IFERROR(__xludf.DUMMYFUNCTION("""COMPUTED_VALUE"""),"St Vincent's House")</f>
        <v>St Vincent's House</v>
      </c>
      <c r="AB892" s="9" t="str">
        <f>IFERROR(__xludf.DUMMYFUNCTION("""COMPUTED_VALUE"""),"Galveston")</f>
        <v>Galveston</v>
      </c>
    </row>
    <row r="893" ht="30.0" customHeight="1">
      <c r="A893" s="17">
        <v>892.0</v>
      </c>
      <c r="B893" s="8" t="str">
        <f>IFERROR(__xludf.DUMMYFUNCTION("""COMPUTED_VALUE"""),"[""77510"", ""77517"", ""77518"", ""77548"", ""77549"", ""77550"", ""77551"", ""77552"", ""77553"", ""77554"", ""77555"", ""77563"", ""77565"", ""77568"", ""77573"", ""77590"", ""77591""]")</f>
        <v>["77510", "77517", "77518", "77548", "77549", "77550", "77551", "77552", "77553", "77554", "77555", "77563", "77565", "77568", "77573", "77590", "77591"]</v>
      </c>
      <c r="C893" s="9" t="str">
        <f>IFERROR(__xludf.DUMMYFUNCTION("""COMPUTED_VALUE"""),"St Vincent's House")</f>
        <v>St Vincent's House</v>
      </c>
      <c r="D893" s="9" t="str">
        <f>IFERROR(__xludf.DUMMYFUNCTION("""COMPUTED_VALUE"""),"2817 Post Office Street")</f>
        <v>2817 Post Office Street</v>
      </c>
      <c r="E893" s="9"/>
      <c r="F893" s="9" t="str">
        <f>IFERROR(__xludf.DUMMYFUNCTION("""COMPUTED_VALUE"""),"Galveston")</f>
        <v>Galveston</v>
      </c>
      <c r="G893" s="9" t="str">
        <f>IFERROR(__xludf.DUMMYFUNCTION("""COMPUTED_VALUE"""),"TX")</f>
        <v>TX</v>
      </c>
      <c r="H893" s="9" t="str">
        <f>IFERROR(__xludf.DUMMYFUNCTION("""COMPUTED_VALUE"""),"77550")</f>
        <v>77550</v>
      </c>
      <c r="I893" s="9" t="str">
        <f>IFERROR(__xludf.DUMMYFUNCTION("""COMPUTED_VALUE"""),"409-765-2242")</f>
        <v>409-765-2242</v>
      </c>
      <c r="J893" s="9" t="str">
        <f>IFERROR(__xludf.DUMMYFUNCTION("""COMPUTED_VALUE"""),"29.30294666375706, -94.79959910942264")</f>
        <v>29.30294666375706, -94.79959910942264</v>
      </c>
      <c r="K893" s="9" t="str">
        <f>IFERROR(__xludf.DUMMYFUNCTION("""COMPUTED_VALUE"""),"{""regular"":[{""days"":[""Mo"",""Tu"",""We"",""Th"",""Fr""],""open"":""08:00"",""close"":""16:00""},{""days"":[""Tu"",""Th""],""open"":""16:30"",""close"":""19:00""},{""days"":[""Sa""],""open"":""09:00"",""close"":""13:00""}]}")</f>
        <v>{"regular":[{"days":["Mo","Tu","We","Th","Fr"],"open":"08:00","close":"16:00"},{"days":["Tu","Th"],"open":"16:30","close":"19:00"},{"days":["Sa"],"open":"09:00","close":"13:00"}]}</v>
      </c>
      <c r="L893" s="9" t="str">
        <f>IFERROR(__xludf.DUMMYFUNCTION("""COMPUTED_VALUE"""),"Appointment required")</f>
        <v>Appointment required</v>
      </c>
      <c r="M893" s="10">
        <f>IFERROR(__xludf.DUMMYFUNCTION("""COMPUTED_VALUE"""),32.0)</f>
        <v>32</v>
      </c>
      <c r="N893" s="10" t="str">
        <f>IFERROR(__xludf.DUMMYFUNCTION("""COMPUTED_VALUE"""),"Medical - Dental &amp; Vision")</f>
        <v>Medical - Dental &amp; Vision</v>
      </c>
      <c r="O893" s="10">
        <f>IFERROR(__xludf.DUMMYFUNCTION("""COMPUTED_VALUE"""),1.0)</f>
        <v>1</v>
      </c>
      <c r="P893" s="10" t="str">
        <f>IFERROR(__xludf.DUMMYFUNCTION("""COMPUTED_VALUE"""),"ACTIVE")</f>
        <v>ACTIVE</v>
      </c>
      <c r="Q893" s="11">
        <f>IFERROR(__xludf.DUMMYFUNCTION("""COMPUTED_VALUE"""),46049.0)</f>
        <v>46049</v>
      </c>
      <c r="R893" s="9" t="str">
        <f>IFERROR(__xludf.DUMMYFUNCTION("""COMPUTED_VALUE"""),"Verified online")</f>
        <v>Verified online</v>
      </c>
      <c r="S893" s="9" t="str">
        <f>IFERROR(__xludf.DUMMYFUNCTION("""COMPUTED_VALUE"""),"Dental
Services are free but limited to extractions, treatment of mouth sores and other simple dental issues")</f>
        <v>Dental
Services are free but limited to extractions, treatment of mouth sores and other simple dental issues</v>
      </c>
      <c r="T893" s="12" t="b">
        <f>IFERROR(__xludf.DUMMYFUNCTION("""COMPUTED_VALUE"""),TRUE)</f>
        <v>1</v>
      </c>
      <c r="U893" s="12" t="b">
        <f>IFERROR(__xludf.DUMMYFUNCTION("""COMPUTED_VALUE"""),FALSE)</f>
        <v>0</v>
      </c>
      <c r="V893" s="13" t="str">
        <f>IFERROR(__xludf.DUMMYFUNCTION("""COMPUTED_VALUE"""),"https://www.stvhope.org/clinical-services")</f>
        <v>https://www.stvhope.org/clinical-services</v>
      </c>
      <c r="W893"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3" s="10"/>
      <c r="Y893" s="9" t="str">
        <f>IFERROR(__xludf.DUMMYFUNCTION("""COMPUTED_VALUE"""),"Galveston")</f>
        <v>Galveston</v>
      </c>
      <c r="Z893" s="9" t="str">
        <f>IFERROR(__xludf.DUMMYFUNCTION("""COMPUTED_VALUE"""),"Galveston")</f>
        <v>Galveston</v>
      </c>
      <c r="AA893" s="9" t="str">
        <f>IFERROR(__xludf.DUMMYFUNCTION("""COMPUTED_VALUE"""),"St Vincent's House")</f>
        <v>St Vincent's House</v>
      </c>
      <c r="AB893" s="9" t="str">
        <f>IFERROR(__xludf.DUMMYFUNCTION("""COMPUTED_VALUE"""),"Galveston")</f>
        <v>Galveston</v>
      </c>
    </row>
    <row r="894" ht="30.0" customHeight="1">
      <c r="A894" s="17">
        <v>893.0</v>
      </c>
      <c r="B894" s="8" t="str">
        <f>IFERROR(__xludf.DUMMYFUNCTION("""COMPUTED_VALUE"""),"[""77510"", ""77517"", ""77518"", ""77548"", ""77549"", ""77550"", ""77551"", ""77552"", ""77553"", ""77554"", ""77555"", ""77563"", ""77565"", ""77568"", ""77573"", ""77590"", ""77591""]")</f>
        <v>["77510", "77517", "77518", "77548", "77549", "77550", "77551", "77552", "77553", "77554", "77555", "77563", "77565", "77568", "77573", "77590", "77591"]</v>
      </c>
      <c r="C894" s="9" t="str">
        <f>IFERROR(__xludf.DUMMYFUNCTION("""COMPUTED_VALUE"""),"St Vincent's House")</f>
        <v>St Vincent's House</v>
      </c>
      <c r="D894" s="9" t="str">
        <f>IFERROR(__xludf.DUMMYFUNCTION("""COMPUTED_VALUE"""),"2817 Post Office Street")</f>
        <v>2817 Post Office Street</v>
      </c>
      <c r="E894" s="9"/>
      <c r="F894" s="9" t="str">
        <f>IFERROR(__xludf.DUMMYFUNCTION("""COMPUTED_VALUE"""),"Galveston")</f>
        <v>Galveston</v>
      </c>
      <c r="G894" s="9" t="str">
        <f>IFERROR(__xludf.DUMMYFUNCTION("""COMPUTED_VALUE"""),"TX")</f>
        <v>TX</v>
      </c>
      <c r="H894" s="9" t="str">
        <f>IFERROR(__xludf.DUMMYFUNCTION("""COMPUTED_VALUE"""),"77550")</f>
        <v>77550</v>
      </c>
      <c r="I894" s="9" t="str">
        <f>IFERROR(__xludf.DUMMYFUNCTION("""COMPUTED_VALUE"""),"409-765-2242")</f>
        <v>409-765-2242</v>
      </c>
      <c r="J894" s="9" t="str">
        <f>IFERROR(__xludf.DUMMYFUNCTION("""COMPUTED_VALUE"""),"29.30294666375706, -94.79959910942264")</f>
        <v>29.30294666375706, -94.79959910942264</v>
      </c>
      <c r="K894" s="9" t="str">
        <f>IFERROR(__xludf.DUMMYFUNCTION("""COMPUTED_VALUE"""),"{""regular"":[{""days"":[""Mo"",""Tu"",""We"",""Th"",""Fr""],""open"":""08:00"",""close"":""16:00""},{""days"":[""Tu"",""Th""],""open"":""16:30"",""close"":""19:00""},{""days"":[""Sa""],""open"":""09:00"",""close"":""13:00""}]}")</f>
        <v>{"regular":[{"days":["Mo","Tu","We","Th","Fr"],"open":"08:00","close":"16:00"},{"days":["Tu","Th"],"open":"16:30","close":"19:00"},{"days":["Sa"],"open":"09:00","close":"13:00"}]}</v>
      </c>
      <c r="L894" s="9" t="str">
        <f>IFERROR(__xludf.DUMMYFUNCTION("""COMPUTED_VALUE"""),"Appointment required")</f>
        <v>Appointment required</v>
      </c>
      <c r="M894" s="10">
        <f>IFERROR(__xludf.DUMMYFUNCTION("""COMPUTED_VALUE"""),32.0)</f>
        <v>32</v>
      </c>
      <c r="N894" s="10" t="str">
        <f>IFERROR(__xludf.DUMMYFUNCTION("""COMPUTED_VALUE"""),"Medical - Dental &amp; Vision")</f>
        <v>Medical - Dental &amp; Vision</v>
      </c>
      <c r="O894" s="10">
        <f>IFERROR(__xludf.DUMMYFUNCTION("""COMPUTED_VALUE"""),1.0)</f>
        <v>1</v>
      </c>
      <c r="P894" s="10" t="str">
        <f>IFERROR(__xludf.DUMMYFUNCTION("""COMPUTED_VALUE"""),"ACTIVE")</f>
        <v>ACTIVE</v>
      </c>
      <c r="Q894" s="11">
        <f>IFERROR(__xludf.DUMMYFUNCTION("""COMPUTED_VALUE"""),46049.0)</f>
        <v>46049</v>
      </c>
      <c r="R894" s="9" t="str">
        <f>IFERROR(__xludf.DUMMYFUNCTION("""COMPUTED_VALUE"""),"Verified online")</f>
        <v>Verified online</v>
      </c>
      <c r="S894" s="9" t="str">
        <f>IFERROR(__xludf.DUMMYFUNCTION("""COMPUTED_VALUE"""),"Vision
Free vision tests with referrals to local optometrists with financial assistance for eyeglasses.")</f>
        <v>Vision
Free vision tests with referrals to local optometrists with financial assistance for eyeglasses.</v>
      </c>
      <c r="T894" s="12" t="b">
        <f>IFERROR(__xludf.DUMMYFUNCTION("""COMPUTED_VALUE"""),TRUE)</f>
        <v>1</v>
      </c>
      <c r="U894" s="12" t="b">
        <f>IFERROR(__xludf.DUMMYFUNCTION("""COMPUTED_VALUE"""),FALSE)</f>
        <v>0</v>
      </c>
      <c r="V894" s="13" t="str">
        <f>IFERROR(__xludf.DUMMYFUNCTION("""COMPUTED_VALUE"""),"https://www.stvhope.org/clinical-services")</f>
        <v>https://www.stvhope.org/clinical-services</v>
      </c>
      <c r="W894"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4" s="10"/>
      <c r="Y894" s="9" t="str">
        <f>IFERROR(__xludf.DUMMYFUNCTION("""COMPUTED_VALUE"""),"Galveston")</f>
        <v>Galveston</v>
      </c>
      <c r="Z894" s="9" t="str">
        <f>IFERROR(__xludf.DUMMYFUNCTION("""COMPUTED_VALUE"""),"Galveston")</f>
        <v>Galveston</v>
      </c>
      <c r="AA894" s="9" t="str">
        <f>IFERROR(__xludf.DUMMYFUNCTION("""COMPUTED_VALUE"""),"St Vincent's House")</f>
        <v>St Vincent's House</v>
      </c>
      <c r="AB894" s="9" t="str">
        <f>IFERROR(__xludf.DUMMYFUNCTION("""COMPUTED_VALUE"""),"Galveston")</f>
        <v>Galveston</v>
      </c>
    </row>
    <row r="895" ht="30.0" customHeight="1">
      <c r="A895" s="17">
        <v>894.0</v>
      </c>
      <c r="B895" s="8" t="str">
        <f>IFERROR(__xludf.DUMMYFUNCTION("""COMPUTED_VALUE"""),"[""77510"", ""77517"", ""77518"", ""77548"", ""77549"", ""77550"", ""77551"", ""77552"", ""77553"", ""77554"", ""77555"", ""77563"", ""77565"", ""77568"", ""77573"", ""77590"", ""77591""]")</f>
        <v>["77510", "77517", "77518", "77548", "77549", "77550", "77551", "77552", "77553", "77554", "77555", "77563", "77565", "77568", "77573", "77590", "77591"]</v>
      </c>
      <c r="C895" s="9" t="str">
        <f>IFERROR(__xludf.DUMMYFUNCTION("""COMPUTED_VALUE"""),"St Vincent's House")</f>
        <v>St Vincent's House</v>
      </c>
      <c r="D895" s="9" t="str">
        <f>IFERROR(__xludf.DUMMYFUNCTION("""COMPUTED_VALUE"""),"2817 Post Office Street")</f>
        <v>2817 Post Office Street</v>
      </c>
      <c r="E895" s="9"/>
      <c r="F895" s="9" t="str">
        <f>IFERROR(__xludf.DUMMYFUNCTION("""COMPUTED_VALUE"""),"Galveston")</f>
        <v>Galveston</v>
      </c>
      <c r="G895" s="9" t="str">
        <f>IFERROR(__xludf.DUMMYFUNCTION("""COMPUTED_VALUE"""),"TX")</f>
        <v>TX</v>
      </c>
      <c r="H895" s="9" t="str">
        <f>IFERROR(__xludf.DUMMYFUNCTION("""COMPUTED_VALUE"""),"77550")</f>
        <v>77550</v>
      </c>
      <c r="I895" s="9" t="str">
        <f>IFERROR(__xludf.DUMMYFUNCTION("""COMPUTED_VALUE"""),"409-765-2242")</f>
        <v>409-765-2242</v>
      </c>
      <c r="J895" s="9" t="str">
        <f>IFERROR(__xludf.DUMMYFUNCTION("""COMPUTED_VALUE"""),"29.30294666375706, -94.79959910942264")</f>
        <v>29.30294666375706, -94.79959910942264</v>
      </c>
      <c r="K895" s="9" t="str">
        <f>IFERROR(__xludf.DUMMYFUNCTION("""COMPUTED_VALUE"""),"{""regular"":[{""days"":[""Mo"",""Tu"",""We"",""Th"",""Fr""],""open"":""08:00"",""close"":""16:00""},{""days"":[""Tu"",""Th""],""open"":""16:30"",""close"":""19:00""},{""days"":[""Sa""],""open"":""09:00"",""close"":""13:00""}]}")</f>
        <v>{"regular":[{"days":["Mo","Tu","We","Th","Fr"],"open":"08:00","close":"16:00"},{"days":["Tu","Th"],"open":"16:30","close":"19:00"},{"days":["Sa"],"open":"09:00","close":"13:00"}]}</v>
      </c>
      <c r="L895" s="9" t="str">
        <f>IFERROR(__xludf.DUMMYFUNCTION("""COMPUTED_VALUE"""),"Appointment required")</f>
        <v>Appointment required</v>
      </c>
      <c r="M895" s="10">
        <f>IFERROR(__xludf.DUMMYFUNCTION("""COMPUTED_VALUE"""),33.0)</f>
        <v>33</v>
      </c>
      <c r="N895" s="10" t="str">
        <f>IFERROR(__xludf.DUMMYFUNCTION("""COMPUTED_VALUE"""),"Medical - Behavioral Health")</f>
        <v>Medical - Behavioral Health</v>
      </c>
      <c r="O895" s="10">
        <f>IFERROR(__xludf.DUMMYFUNCTION("""COMPUTED_VALUE"""),1.0)</f>
        <v>1</v>
      </c>
      <c r="P895" s="10" t="str">
        <f>IFERROR(__xludf.DUMMYFUNCTION("""COMPUTED_VALUE"""),"ACTIVE")</f>
        <v>ACTIVE</v>
      </c>
      <c r="Q895" s="11">
        <f>IFERROR(__xludf.DUMMYFUNCTION("""COMPUTED_VALUE"""),46049.0)</f>
        <v>46049</v>
      </c>
      <c r="R895" s="9" t="str">
        <f>IFERROR(__xludf.DUMMYFUNCTION("""COMPUTED_VALUE"""),"Verified online")</f>
        <v>Verified online</v>
      </c>
      <c r="S895" s="9" t="str">
        <f>IFERROR(__xludf.DUMMYFUNCTION("""COMPUTED_VALUE"""),"Through a partnership with Family service Center of Galveston County, provides mental health services six days a week.
Individual and family counseling available.")</f>
        <v>Through a partnership with Family service Center of Galveston County, provides mental health services six days a week.
Individual and family counseling available.</v>
      </c>
      <c r="T895" s="12" t="b">
        <f>IFERROR(__xludf.DUMMYFUNCTION("""COMPUTED_VALUE"""),FALSE)</f>
        <v>0</v>
      </c>
      <c r="U895" s="12" t="b">
        <f>IFERROR(__xludf.DUMMYFUNCTION("""COMPUTED_VALUE"""),FALSE)</f>
        <v>0</v>
      </c>
      <c r="V895" s="13" t="str">
        <f>IFERROR(__xludf.DUMMYFUNCTION("""COMPUTED_VALUE"""),"https://www.stvhope.org/clinical-services")</f>
        <v>https://www.stvhope.org/clinical-services</v>
      </c>
      <c r="W895"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5" s="10"/>
      <c r="Y895" s="9" t="str">
        <f>IFERROR(__xludf.DUMMYFUNCTION("""COMPUTED_VALUE"""),"Galveston")</f>
        <v>Galveston</v>
      </c>
      <c r="Z895" s="9" t="str">
        <f>IFERROR(__xludf.DUMMYFUNCTION("""COMPUTED_VALUE"""),"Galveston")</f>
        <v>Galveston</v>
      </c>
      <c r="AA895" s="9" t="str">
        <f>IFERROR(__xludf.DUMMYFUNCTION("""COMPUTED_VALUE"""),"St Vincent's House")</f>
        <v>St Vincent's House</v>
      </c>
      <c r="AB895" s="9" t="str">
        <f>IFERROR(__xludf.DUMMYFUNCTION("""COMPUTED_VALUE"""),"Galveston")</f>
        <v>Galveston</v>
      </c>
    </row>
    <row r="896" ht="30.0" customHeight="1">
      <c r="A896" s="17">
        <v>895.0</v>
      </c>
      <c r="B896" s="8" t="str">
        <f>IFERROR(__xludf.DUMMYFUNCTION("""COMPUTED_VALUE"""),"[""77510"", ""77517"", ""77518"", ""77548"", ""77549"", ""77550"", ""77551"", ""77552"", ""77553"", ""77554"", ""77555"", ""77563"", ""77565"", ""77568"", ""77573"", ""77590"", ""77591""]")</f>
        <v>["77510", "77517", "77518", "77548", "77549", "77550", "77551", "77552", "77553", "77554", "77555", "77563", "77565", "77568", "77573", "77590", "77591"]</v>
      </c>
      <c r="C896" s="9" t="str">
        <f>IFERROR(__xludf.DUMMYFUNCTION("""COMPUTED_VALUE"""),"St Vincent's House")</f>
        <v>St Vincent's House</v>
      </c>
      <c r="D896" s="9" t="str">
        <f>IFERROR(__xludf.DUMMYFUNCTION("""COMPUTED_VALUE"""),"2817 Post Office Street")</f>
        <v>2817 Post Office Street</v>
      </c>
      <c r="E896" s="9"/>
      <c r="F896" s="9" t="str">
        <f>IFERROR(__xludf.DUMMYFUNCTION("""COMPUTED_VALUE"""),"Galveston")</f>
        <v>Galveston</v>
      </c>
      <c r="G896" s="9" t="str">
        <f>IFERROR(__xludf.DUMMYFUNCTION("""COMPUTED_VALUE"""),"TX")</f>
        <v>TX</v>
      </c>
      <c r="H896" s="9" t="str">
        <f>IFERROR(__xludf.DUMMYFUNCTION("""COMPUTED_VALUE"""),"77550")</f>
        <v>77550</v>
      </c>
      <c r="I896" s="9" t="str">
        <f>IFERROR(__xludf.DUMMYFUNCTION("""COMPUTED_VALUE"""),"409-763-8521")</f>
        <v>409-763-8521</v>
      </c>
      <c r="J896" s="9" t="str">
        <f>IFERROR(__xludf.DUMMYFUNCTION("""COMPUTED_VALUE"""),"29.30294666375706, -94.79959910942264")</f>
        <v>29.30294666375706, -94.79959910942264</v>
      </c>
      <c r="K896" s="9" t="str">
        <f>IFERROR(__xludf.DUMMYFUNCTION("""COMPUTED_VALUE"""),"{""regular"":[{""days"":[""Mo"",""Tu"",""We"",""Th""],""open"":""08:30"",""close"":""15:30""},{""days"":[""Fr""],""open"":""08:30"",""close"":""14:00""}]}")</f>
        <v>{"regular":[{"days":["Mo","Tu","We","Th"],"open":"08:30","close":"15:30"},{"days":["Fr"],"open":"08:30","close":"14:00"}]}</v>
      </c>
      <c r="L896" s="9" t="str">
        <f>IFERROR(__xludf.DUMMYFUNCTION("""COMPUTED_VALUE"""),"Appointment required")</f>
        <v>Appointment required</v>
      </c>
      <c r="M896" s="10">
        <f>IFERROR(__xludf.DUMMYFUNCTION("""COMPUTED_VALUE"""),53.0)</f>
        <v>53</v>
      </c>
      <c r="N896" s="10" t="str">
        <f>IFERROR(__xludf.DUMMYFUNCTION("""COMPUTED_VALUE"""),"Transportation")</f>
        <v>Transportation</v>
      </c>
      <c r="O896" s="10">
        <f>IFERROR(__xludf.DUMMYFUNCTION("""COMPUTED_VALUE"""),1.0)</f>
        <v>1</v>
      </c>
      <c r="P896" s="10" t="str">
        <f>IFERROR(__xludf.DUMMYFUNCTION("""COMPUTED_VALUE"""),"ACTIVE")</f>
        <v>ACTIVE</v>
      </c>
      <c r="Q896" s="11">
        <f>IFERROR(__xludf.DUMMYFUNCTION("""COMPUTED_VALUE"""),45853.0)</f>
        <v>45853</v>
      </c>
      <c r="R896" s="9" t="str">
        <f>IFERROR(__xludf.DUMMYFUNCTION("""COMPUTED_VALUE"""),"Verified online")</f>
        <v>Verified online</v>
      </c>
      <c r="S896" s="9" t="str">
        <f>IFERROR(__xludf.DUMMYFUNCTION("""COMPUTED_VALUE"""),"Appointments can be made upto two weeks beforehand and at least one day before.")</f>
        <v>Appointments can be made upto two weeks beforehand and at least one day before.</v>
      </c>
      <c r="T896" s="12" t="b">
        <f>IFERROR(__xludf.DUMMYFUNCTION("""COMPUTED_VALUE"""),FALSE)</f>
        <v>0</v>
      </c>
      <c r="U896" s="12" t="b">
        <f>IFERROR(__xludf.DUMMYFUNCTION("""COMPUTED_VALUE"""),FALSE)</f>
        <v>0</v>
      </c>
      <c r="V896" s="13" t="str">
        <f>IFERROR(__xludf.DUMMYFUNCTION("""COMPUTED_VALUE"""),"https://www.stvhope.org/")</f>
        <v>https://www.stvhope.org/</v>
      </c>
      <c r="W896" s="14" t="str">
        <f>IFERROR(__xludf.DUMMYFUNCTION("""COMPUTED_VALUE"""),"https://www.google.com/maps/place/St+Vincent's+House/@29.3025725,-94.8045237,16z/data=!4m14!1m7!3m6!1s0x863f9e6e063d29b1:0x32fc5fa428c5544c!2sSt+Vincent's+House!8m2!3d29.3025726!4d-94.7996474!16s%2Fg%2F1tn0651g!3m5!1s0x863f9e6e063d29b1:0x32fc5fa428c5544c!"&amp;"8m2!3d29.3025726!4d-94.7996474!16s%2Fg%2F1tn0651g?entry=ttu&amp;g_ep=EgoyMDI1MDcwOS4wIKXMDSoASAFQAw%3D%3D")</f>
        <v>https://www.google.com/maps/place/St+Vincent's+House/@29.3025725,-94.8045237,16z/data=!4m14!1m7!3m6!1s0x863f9e6e063d29b1:0x32fc5fa428c5544c!2sSt+Vincent's+House!8m2!3d29.3025726!4d-94.7996474!16s%2Fg%2F1tn0651g!3m5!1s0x863f9e6e063d29b1:0x32fc5fa428c5544c!8m2!3d29.3025726!4d-94.7996474!16s%2Fg%2F1tn0651g?entry=ttu&amp;g_ep=EgoyMDI1MDcwOS4wIKXMDSoASAFQAw%3D%3D</v>
      </c>
      <c r="X896" s="10"/>
      <c r="Y896" s="9" t="str">
        <f>IFERROR(__xludf.DUMMYFUNCTION("""COMPUTED_VALUE"""),"Galveston")</f>
        <v>Galveston</v>
      </c>
      <c r="Z896" s="9" t="str">
        <f>IFERROR(__xludf.DUMMYFUNCTION("""COMPUTED_VALUE"""),"Galveston")</f>
        <v>Galveston</v>
      </c>
      <c r="AA896" s="9" t="str">
        <f>IFERROR(__xludf.DUMMYFUNCTION("""COMPUTED_VALUE"""),"St Vincent's House")</f>
        <v>St Vincent's House</v>
      </c>
      <c r="AB896" s="9" t="str">
        <f>IFERROR(__xludf.DUMMYFUNCTION("""COMPUTED_VALUE"""),"Galveston")</f>
        <v>Galveston</v>
      </c>
    </row>
    <row r="897" ht="30.0" customHeight="1">
      <c r="A897" s="17">
        <v>896.0</v>
      </c>
      <c r="B897" s="8" t="str">
        <f>IFERROR(__xludf.DUMMYFUNCTION("""COMPUTED_VALUE"""),"[""99999""]")</f>
        <v>["99999"]</v>
      </c>
      <c r="C897" s="9" t="str">
        <f>IFERROR(__xludf.DUMMYFUNCTION("""COMPUTED_VALUE"""),"Star of Hope - Cornerstone Community")</f>
        <v>Star of Hope - Cornerstone Community</v>
      </c>
      <c r="D897" s="9" t="str">
        <f>IFERROR(__xludf.DUMMYFUNCTION("""COMPUTED_VALUE"""),"2575 Reed Road")</f>
        <v>2575 Reed Road</v>
      </c>
      <c r="E897" s="9"/>
      <c r="F897" s="9" t="str">
        <f>IFERROR(__xludf.DUMMYFUNCTION("""COMPUTED_VALUE"""),"Houston")</f>
        <v>Houston</v>
      </c>
      <c r="G897" s="9" t="str">
        <f>IFERROR(__xludf.DUMMYFUNCTION("""COMPUTED_VALUE"""),"TX")</f>
        <v>TX</v>
      </c>
      <c r="H897" s="9" t="str">
        <f>IFERROR(__xludf.DUMMYFUNCTION("""COMPUTED_VALUE"""),"77051")</f>
        <v>77051</v>
      </c>
      <c r="I897" s="9" t="str">
        <f>IFERROR(__xludf.DUMMYFUNCTION("""COMPUTED_VALUE"""),"713-222-2220")</f>
        <v>713-222-2220</v>
      </c>
      <c r="J897" s="9" t="str">
        <f>IFERROR(__xludf.DUMMYFUNCTION("""COMPUTED_VALUE"""),"29.6577333333333, -95.3900846666667")</f>
        <v>29.6577333333333, -95.3900846666667</v>
      </c>
      <c r="K897" s="9" t="str">
        <f>IFERROR(__xludf.DUMMYFUNCTION("""COMPUTED_VALUE"""),"{""regular"":[{""days"":[""Mo"",""Tu"",""We"",""Th"",""Fr""],""open"":""08:00"",""close"":""15:30""}]}")</f>
        <v>{"regular":[{"days":["Mo","Tu","We","Th","Fr"],"open":"08:00","close":"15:30"}]}</v>
      </c>
      <c r="L897" s="9" t="str">
        <f>IFERROR(__xludf.DUMMYFUNCTION("""COMPUTED_VALUE"""),"Intake hours")</f>
        <v>Intake hours</v>
      </c>
      <c r="M897" s="10">
        <f>IFERROR(__xludf.DUMMYFUNCTION("""COMPUTED_VALUE"""),21.0)</f>
        <v>21</v>
      </c>
      <c r="N897" s="10" t="str">
        <f>IFERROR(__xludf.DUMMYFUNCTION("""COMPUTED_VALUE"""),"Homeless - Shelters")</f>
        <v>Homeless - Shelters</v>
      </c>
      <c r="O897" s="10">
        <f>IFERROR(__xludf.DUMMYFUNCTION("""COMPUTED_VALUE"""),1.0)</f>
        <v>1</v>
      </c>
      <c r="P897" s="10" t="str">
        <f>IFERROR(__xludf.DUMMYFUNCTION("""COMPUTED_VALUE"""),"ACTIVE")</f>
        <v>ACTIVE</v>
      </c>
      <c r="Q897" s="11">
        <f>IFERROR(__xludf.DUMMYFUNCTION("""COMPUTED_VALUE"""),45941.0)</f>
        <v>45941</v>
      </c>
      <c r="R897" s="9" t="str">
        <f>IFERROR(__xludf.DUMMYFUNCTION("""COMPUTED_VALUE"""),"Verified online")</f>
        <v>Verified online</v>
      </c>
      <c r="S897" s="9" t="str">
        <f>IFERROR(__xludf.DUMMYFUNCTION("""COMPUTED_VALUE"""),"Coalition for the Homeless (CFTH) Partner/Rapid Rehousing
For Women &amp; Families (Men w/Children)
Three meals a day
Clothing")</f>
        <v>Coalition for the Homeless (CFTH) Partner/Rapid Rehousing
For Women &amp; Families (Men w/Children)
Three meals a day
Clothing</v>
      </c>
      <c r="T897" s="12" t="b">
        <f>IFERROR(__xludf.DUMMYFUNCTION("""COMPUTED_VALUE"""),FALSE)</f>
        <v>0</v>
      </c>
      <c r="U897" s="12" t="b">
        <f>IFERROR(__xludf.DUMMYFUNCTION("""COMPUTED_VALUE"""),FALSE)</f>
        <v>0</v>
      </c>
      <c r="V897" s="13" t="str">
        <f>IFERROR(__xludf.DUMMYFUNCTION("""COMPUTED_VALUE"""),"https://www.sohmission.org/our-services/women-and-family-development-center/")</f>
        <v>https://www.sohmission.org/our-services/women-and-family-development-center/</v>
      </c>
      <c r="W897" s="14" t="str">
        <f>IFERROR(__xludf.DUMMYFUNCTION("""COMPUTED_VALUE"""),"https://www.google.com/maps/place/Star+of+Hope+Mission+-+Women+and+Family+Development+Center+at+Star+of+Hope's+Cornerstone+Community/@29.6599078,-95.3952442,17z/data=!3m1!4b1!4m6!3m5!1s0x8640954af49fda95:0xb9b94beff6bf60c2!8m2!3d29.6599032!4d-95.3926693!1"&amp;"6s%2Fg%2F11gbfnplcv?entry=ttu&amp;g_ep=EgoyMDI1MDUxMy4xIKXMDSoASAFQAw%3D%3D")</f>
        <v>https://www.google.com/maps/place/Star+of+Hope+Mission+-+Women+and+Family+Development+Center+at+Star+of+Hope's+Cornerstone+Community/@29.6599078,-95.3952442,17z/data=!3m1!4b1!4m6!3m5!1s0x8640954af49fda95:0xb9b94beff6bf60c2!8m2!3d29.6599032!4d-95.3926693!16s%2Fg%2F11gbfnplcv?entry=ttu&amp;g_ep=EgoyMDI1MDUxMy4xIKXMDSoASAFQAw%3D%3D</v>
      </c>
      <c r="X897" s="10"/>
      <c r="Y897" s="9" t="str">
        <f>IFERROR(__xludf.DUMMYFUNCTION("""COMPUTED_VALUE"""),"Houston")</f>
        <v>Houston</v>
      </c>
      <c r="Z897" s="9" t="str">
        <f>IFERROR(__xludf.DUMMYFUNCTION("""COMPUTED_VALUE"""),"Central Southwest, South Park, South Side, Sunnyside")</f>
        <v>Central Southwest, South Park, South Side, Sunnyside</v>
      </c>
      <c r="AA897" s="9" t="str">
        <f>IFERROR(__xludf.DUMMYFUNCTION("""COMPUTED_VALUE"""),"Star of Hope Mission")</f>
        <v>Star of Hope Mission</v>
      </c>
      <c r="AB897" s="9" t="str">
        <f>IFERROR(__xludf.DUMMYFUNCTION("""COMPUTED_VALUE"""),"Central Southwest")</f>
        <v>Central Southwest</v>
      </c>
    </row>
    <row r="898" ht="30.0" customHeight="1">
      <c r="A898" s="17">
        <v>897.0</v>
      </c>
      <c r="B898" s="8" t="str">
        <f>IFERROR(__xludf.DUMMYFUNCTION("""COMPUTED_VALUE"""),"[""99999""]")</f>
        <v>["99999"]</v>
      </c>
      <c r="C898" s="9" t="str">
        <f>IFERROR(__xludf.DUMMYFUNCTION("""COMPUTED_VALUE"""),"Star of Hope - Cornerstone Community")</f>
        <v>Star of Hope - Cornerstone Community</v>
      </c>
      <c r="D898" s="9" t="str">
        <f>IFERROR(__xludf.DUMMYFUNCTION("""COMPUTED_VALUE"""),"2575 Reed Road")</f>
        <v>2575 Reed Road</v>
      </c>
      <c r="E898" s="9"/>
      <c r="F898" s="9" t="str">
        <f>IFERROR(__xludf.DUMMYFUNCTION("""COMPUTED_VALUE"""),"Houston")</f>
        <v>Houston</v>
      </c>
      <c r="G898" s="9" t="str">
        <f>IFERROR(__xludf.DUMMYFUNCTION("""COMPUTED_VALUE"""),"TX")</f>
        <v>TX</v>
      </c>
      <c r="H898" s="9" t="str">
        <f>IFERROR(__xludf.DUMMYFUNCTION("""COMPUTED_VALUE"""),"77051")</f>
        <v>77051</v>
      </c>
      <c r="I898" s="9" t="str">
        <f>IFERROR(__xludf.DUMMYFUNCTION("""COMPUTED_VALUE"""),"713-748-0700")</f>
        <v>713-748-0700</v>
      </c>
      <c r="J898" s="9" t="str">
        <f>IFERROR(__xludf.DUMMYFUNCTION("""COMPUTED_VALUE"""),"29.6577333333333, -95.3900846666667")</f>
        <v>29.6577333333333, -95.3900846666667</v>
      </c>
      <c r="K898" s="9" t="str">
        <f>IFERROR(__xludf.DUMMYFUNCTION("""COMPUTED_VALUE"""),"{""regular"":[{""days"":[""Mo"",""Tu"",""We"",""Th"",""Fr""],""open"":""09:00"",""close"":""16:00""}]}")</f>
        <v>{"regular":[{"days":["Mo","Tu","We","Th","Fr"],"open":"09:00","close":"16:00"}]}</v>
      </c>
      <c r="L898" s="9"/>
      <c r="M898" s="10">
        <f>IFERROR(__xludf.DUMMYFUNCTION("""COMPUTED_VALUE"""),52.0)</f>
        <v>52</v>
      </c>
      <c r="N898" s="10" t="str">
        <f>IFERROR(__xludf.DUMMYFUNCTION("""COMPUTED_VALUE"""),"Jobs")</f>
        <v>Jobs</v>
      </c>
      <c r="O898" s="10">
        <f>IFERROR(__xludf.DUMMYFUNCTION("""COMPUTED_VALUE"""),1.0)</f>
        <v>1</v>
      </c>
      <c r="P898" s="10" t="str">
        <f>IFERROR(__xludf.DUMMYFUNCTION("""COMPUTED_VALUE"""),"ACTIVE")</f>
        <v>ACTIVE</v>
      </c>
      <c r="Q898" s="11">
        <f>IFERROR(__xludf.DUMMYFUNCTION("""COMPUTED_VALUE"""),45795.0)</f>
        <v>45795</v>
      </c>
      <c r="R898" s="9" t="str">
        <f>IFERROR(__xludf.DUMMYFUNCTION("""COMPUTED_VALUE"""),"Verified online")</f>
        <v>Verified online</v>
      </c>
      <c r="S898" s="9" t="str">
        <f>IFERROR(__xludf.DUMMYFUNCTION("""COMPUTED_VALUE"""),"Help with resume, skills assessment and training and job search and retention.")</f>
        <v>Help with resume, skills assessment and training and job search and retention.</v>
      </c>
      <c r="T898" s="12" t="b">
        <f>IFERROR(__xludf.DUMMYFUNCTION("""COMPUTED_VALUE"""),FALSE)</f>
        <v>0</v>
      </c>
      <c r="U898" s="12" t="b">
        <f>IFERROR(__xludf.DUMMYFUNCTION("""COMPUTED_VALUE"""),FALSE)</f>
        <v>0</v>
      </c>
      <c r="V898" s="13" t="str">
        <f>IFERROR(__xludf.DUMMYFUNCTION("""COMPUTED_VALUE"""),"https://www.sohmission.org/our-services/workforce-development/")</f>
        <v>https://www.sohmission.org/our-services/workforce-development/</v>
      </c>
      <c r="W898" s="14" t="str">
        <f>IFERROR(__xludf.DUMMYFUNCTION("""COMPUTED_VALUE"""),"https://www.google.com/maps/place/Star+of+Hope+Mission+-+Administrative+Office/@29.6594925,-95.4119155,15z/data=!4m10!1m2!2m1!1sstar+of+hope+houston!3m6!1s0x8640bfebbd9297df:0x6c5c2ae84b1daf58!8m2!3d29.6594925!4d-95.3928611!15sChRzdGFyIG9mIGhvcGUgaG91c3Rv"&amp;"biIDiAEBkgEQY29ycG9yYXRlX29mZmljZaoBXgoNL2cvMTFma3l5OThsYxABKhAiDHN0YXIgb2YgaG9wZSgAMh8QASIbhWTWxbdxc1Wnv8siLEPBCKczxGbvZrbyr2YtMhgQAiIUc3RhciBvZiBob3BlIGhvdXN0b27gAQA!16s%2Fg%2F1td7zgj0?entry=ttu&amp;g_ep=EgoyMDI1MDUxMy4xIKXMDSoASAFQAw%3D%3D")</f>
        <v>https://www.google.com/maps/place/Star+of+Hope+Mission+-+Administrative+Office/@29.6594925,-95.4119155,15z/data=!4m10!1m2!2m1!1sstar+of+hope+houston!3m6!1s0x8640bfebbd9297df:0x6c5c2ae84b1daf58!8m2!3d29.6594925!4d-95.3928611!15sChRzdGFyIG9mIGhvcGUgaG91c3RvbiIDiAEBkgEQY29ycG9yYXRlX29mZmljZaoBXgoNL2cvMTFma3l5OThsYxABKhAiDHN0YXIgb2YgaG9wZSgAMh8QASIbhWTWxbdxc1Wnv8siLEPBCKczxGbvZrbyr2YtMhgQAiIUc3RhciBvZiBob3BlIGhvdXN0b27gAQA!16s%2Fg%2F1td7zgj0?entry=ttu&amp;g_ep=EgoyMDI1MDUxMy4xIKXMDSoASAFQAw%3D%3D</v>
      </c>
      <c r="X898" s="10"/>
      <c r="Y898" s="9" t="str">
        <f>IFERROR(__xludf.DUMMYFUNCTION("""COMPUTED_VALUE"""),"Houston")</f>
        <v>Houston</v>
      </c>
      <c r="Z898" s="9" t="str">
        <f>IFERROR(__xludf.DUMMYFUNCTION("""COMPUTED_VALUE"""),"Central Southwest, South Park, South Side, Sunnyside")</f>
        <v>Central Southwest, South Park, South Side, Sunnyside</v>
      </c>
      <c r="AA898" s="9" t="str">
        <f>IFERROR(__xludf.DUMMYFUNCTION("""COMPUTED_VALUE"""),"Star of Hope Mission")</f>
        <v>Star of Hope Mission</v>
      </c>
      <c r="AB898" s="9" t="str">
        <f>IFERROR(__xludf.DUMMYFUNCTION("""COMPUTED_VALUE"""),"Central Southwest")</f>
        <v>Central Southwest</v>
      </c>
    </row>
    <row r="899" ht="30.0" customHeight="1">
      <c r="A899" s="17">
        <v>898.0</v>
      </c>
      <c r="B899" s="8" t="str">
        <f>IFERROR(__xludf.DUMMYFUNCTION("""COMPUTED_VALUE"""),"[""99999""]")</f>
        <v>["99999"]</v>
      </c>
      <c r="C899" s="9" t="str">
        <f>IFERROR(__xludf.DUMMYFUNCTION("""COMPUTED_VALUE"""),"Star of Hope - Doris and Carloss Morris")</f>
        <v>Star of Hope - Doris and Carloss Morris</v>
      </c>
      <c r="D899" s="9" t="str">
        <f>IFERROR(__xludf.DUMMYFUNCTION("""COMPUTED_VALUE"""),"1811 Ruiz Street")</f>
        <v>1811 Ruiz Street</v>
      </c>
      <c r="E899" s="9"/>
      <c r="F899" s="9" t="str">
        <f>IFERROR(__xludf.DUMMYFUNCTION("""COMPUTED_VALUE"""),"Houston")</f>
        <v>Houston</v>
      </c>
      <c r="G899" s="9" t="str">
        <f>IFERROR(__xludf.DUMMYFUNCTION("""COMPUTED_VALUE"""),"TX")</f>
        <v>TX</v>
      </c>
      <c r="H899" s="9" t="str">
        <f>IFERROR(__xludf.DUMMYFUNCTION("""COMPUTED_VALUE"""),"77002")</f>
        <v>77002</v>
      </c>
      <c r="I899" s="9" t="str">
        <f>IFERROR(__xludf.DUMMYFUNCTION("""COMPUTED_VALUE"""),"713-226-5414")</f>
        <v>713-226-5414</v>
      </c>
      <c r="J899" s="9" t="str">
        <f>IFERROR(__xludf.DUMMYFUNCTION("""COMPUTED_VALUE"""),"29.7603252222222, -95.3518332222222")</f>
        <v>29.7603252222222, -95.3518332222222</v>
      </c>
      <c r="K899" s="9" t="str">
        <f>IFERROR(__xludf.DUMMYFUNCTION("""COMPUTED_VALUE"""),"{""regular"":[{""days"":[""Mo"",""Tu"",""We"",""Th"",""Fr""],""open"":""08:00"",""close"":""14:00""}]}")</f>
        <v>{"regular":[{"days":["Mo","Tu","We","Th","Fr"],"open":"08:00","close":"14:00"}]}</v>
      </c>
      <c r="L899" s="9" t="str">
        <f>IFERROR(__xludf.DUMMYFUNCTION("""COMPUTED_VALUE"""),"Intake hours")</f>
        <v>Intake hours</v>
      </c>
      <c r="M899" s="10">
        <f>IFERROR(__xludf.DUMMYFUNCTION("""COMPUTED_VALUE"""),21.0)</f>
        <v>21</v>
      </c>
      <c r="N899" s="10" t="str">
        <f>IFERROR(__xludf.DUMMYFUNCTION("""COMPUTED_VALUE"""),"Homeless - Shelters")</f>
        <v>Homeless - Shelters</v>
      </c>
      <c r="O899" s="10">
        <f>IFERROR(__xludf.DUMMYFUNCTION("""COMPUTED_VALUE"""),1.0)</f>
        <v>1</v>
      </c>
      <c r="P899" s="10" t="str">
        <f>IFERROR(__xludf.DUMMYFUNCTION("""COMPUTED_VALUE"""),"ACTIVE")</f>
        <v>ACTIVE</v>
      </c>
      <c r="Q899" s="11">
        <f>IFERROR(__xludf.DUMMYFUNCTION("""COMPUTED_VALUE"""),45941.0)</f>
        <v>45941</v>
      </c>
      <c r="R899" s="9" t="str">
        <f>IFERROR(__xludf.DUMMYFUNCTION("""COMPUTED_VALUE"""),"Verified online")</f>
        <v>Verified online</v>
      </c>
      <c r="S899" s="9" t="str">
        <f>IFERROR(__xludf.DUMMYFUNCTION("""COMPUTED_VALUE"""),"Coalition for the Homeless (CFTH) Partner/Rapid Rehousing
Men's Shelter
Food, clothing and shelter")</f>
        <v>Coalition for the Homeless (CFTH) Partner/Rapid Rehousing
Men's Shelter
Food, clothing and shelter</v>
      </c>
      <c r="T899" s="12" t="b">
        <f>IFERROR(__xludf.DUMMYFUNCTION("""COMPUTED_VALUE"""),FALSE)</f>
        <v>0</v>
      </c>
      <c r="U899" s="12" t="b">
        <f>IFERROR(__xludf.DUMMYFUNCTION("""COMPUTED_VALUE"""),FALSE)</f>
        <v>0</v>
      </c>
      <c r="V899" s="13" t="str">
        <f>IFERROR(__xludf.DUMMYFUNCTION("""COMPUTED_VALUE"""),"https://www.sohmission.org/how-we-help/for-men/")</f>
        <v>https://www.sohmission.org/how-we-help/for-men/</v>
      </c>
      <c r="W899" s="14" t="str">
        <f>IFERROR(__xludf.DUMMYFUNCTION("""COMPUTED_VALUE"""),"https://www.google.com/maps/place/Star+Of+Hope+-+Doris+and+Carloss+Morris+Men%E2%80%99s+Development+Center+-+Soup+Kitchen/@29.7605691,-95.354099,17z/data=!3m1!4b1!4m6!3m5!1s0x8640bed80d365773:0xc39e811b3babe46d!8m2!3d29.7605645!4d-95.3515241!16s%2Fg%2F11q"&amp;"3_jmzgn?entry=ttu&amp;g_ep=EgoyMDI1MDUxMy4xIKXMDSoASAFQAw%3D%3D")</f>
        <v>https://www.google.com/maps/place/Star+Of+Hope+-+Doris+and+Carloss+Morris+Men%E2%80%99s+Development+Center+-+Soup+Kitchen/@29.7605691,-95.354099,17z/data=!3m1!4b1!4m6!3m5!1s0x8640bed80d365773:0xc39e811b3babe46d!8m2!3d29.7605645!4d-95.3515241!16s%2Fg%2F11q3_jmzgn?entry=ttu&amp;g_ep=EgoyMDI1MDUxMy4xIKXMDSoASAFQAw%3D%3D</v>
      </c>
      <c r="X899" s="10"/>
      <c r="Y899" s="9" t="str">
        <f>IFERROR(__xludf.DUMMYFUNCTION("""COMPUTED_VALUE"""),"Houston")</f>
        <v>Houston</v>
      </c>
      <c r="Z899"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899" s="9" t="str">
        <f>IFERROR(__xludf.DUMMYFUNCTION("""COMPUTED_VALUE"""),"Star of Hope Mission")</f>
        <v>Star of Hope Mission</v>
      </c>
      <c r="AB899" s="9" t="str">
        <f>IFERROR(__xludf.DUMMYFUNCTION("""COMPUTED_VALUE"""),"Downtown Houston")</f>
        <v>Downtown Houston</v>
      </c>
    </row>
    <row r="900" ht="30.0" customHeight="1">
      <c r="A900" s="17">
        <v>899.0</v>
      </c>
      <c r="B900" s="8" t="str">
        <f>IFERROR(__xludf.DUMMYFUNCTION("""COMPUTED_VALUE"""),"[""77380"", ""77381"", ""77382"", ""77384"", ""77385"", ""77386""]")</f>
        <v>["77380", "77381", "77382", "77384", "77385", "77386"]</v>
      </c>
      <c r="C900" s="9" t="str">
        <f>IFERROR(__xludf.DUMMYFUNCTION("""COMPUTED_VALUE"""),"Sts Simon &amp; Jude (SVdP D6) The Woodlands")</f>
        <v>Sts Simon &amp; Jude (SVdP D6) The Woodlands</v>
      </c>
      <c r="D900" s="9" t="str">
        <f>IFERROR(__xludf.DUMMYFUNCTION("""COMPUTED_VALUE"""),"26777 Glen Loch Drive")</f>
        <v>26777 Glen Loch Drive</v>
      </c>
      <c r="E900" s="9"/>
      <c r="F900" s="9" t="str">
        <f>IFERROR(__xludf.DUMMYFUNCTION("""COMPUTED_VALUE"""),"The Woodlands")</f>
        <v>The Woodlands</v>
      </c>
      <c r="G900" s="9" t="str">
        <f>IFERROR(__xludf.DUMMYFUNCTION("""COMPUTED_VALUE"""),"TX")</f>
        <v>TX</v>
      </c>
      <c r="H900" s="9" t="str">
        <f>IFERROR(__xludf.DUMMYFUNCTION("""COMPUTED_VALUE"""),"77381")</f>
        <v>77381</v>
      </c>
      <c r="I900" s="9" t="str">
        <f>IFERROR(__xludf.DUMMYFUNCTION("""COMPUTED_VALUE"""),"281-292-6002")</f>
        <v>281-292-6002</v>
      </c>
      <c r="J900" s="9" t="str">
        <f>IFERROR(__xludf.DUMMYFUNCTION("""COMPUTED_VALUE"""),"30.1502312814918, -95.490474753929")</f>
        <v>30.1502312814918, -95.490474753929</v>
      </c>
      <c r="K900" s="9" t="str">
        <f>IFERROR(__xludf.DUMMYFUNCTION("""COMPUTED_VALUE"""),"{""regular"":[{""days"":[""Mo"",""Tu"",""We""],""open"":""08:00"",""close"":""17:00""},{""days"":[""Th""],""open"":""08:00"",""close"":""12:00""}]}")</f>
        <v>{"regular":[{"days":["Mo","Tu","We"],"open":"08:00","close":"17:00"},{"days":["Th"],"open":"08:00","close":"12:00"}]}</v>
      </c>
      <c r="L900" s="9"/>
      <c r="M900" s="10">
        <f>IFERROR(__xludf.DUMMYFUNCTION("""COMPUTED_VALUE"""),11.0)</f>
        <v>11</v>
      </c>
      <c r="N900" s="10" t="str">
        <f>IFERROR(__xludf.DUMMYFUNCTION("""COMPUTED_VALUE"""),"Rent")</f>
        <v>Rent</v>
      </c>
      <c r="O900" s="10">
        <f>IFERROR(__xludf.DUMMYFUNCTION("""COMPUTED_VALUE"""),1.0)</f>
        <v>1</v>
      </c>
      <c r="P900" s="10" t="str">
        <f>IFERROR(__xludf.DUMMYFUNCTION("""COMPUTED_VALUE"""),"ACTIVE")</f>
        <v>ACTIVE</v>
      </c>
      <c r="Q900" s="11"/>
      <c r="R900" s="9"/>
      <c r="S900" s="9"/>
      <c r="T900" s="12" t="b">
        <f>IFERROR(__xludf.DUMMYFUNCTION("""COMPUTED_VALUE"""),FALSE)</f>
        <v>0</v>
      </c>
      <c r="U900" s="12" t="b">
        <f>IFERROR(__xludf.DUMMYFUNCTION("""COMPUTED_VALUE"""),FALSE)</f>
        <v>0</v>
      </c>
      <c r="V900" s="13" t="str">
        <f>IFERROR(__xludf.DUMMYFUNCTION("""COMPUTED_VALUE"""),"https://www.ssjwoodlands.com/")</f>
        <v>https://www.ssjwoodlands.com/</v>
      </c>
      <c r="W900" s="14" t="str">
        <f>IFERROR(__xludf.DUMMYFUNCTION("""COMPUTED_VALUE"""),"https://maps.google.com/?q=Sts%20Simon%20%26%20Jude%20%20(SVdP%20D6)%20The%20Woodlands%2026777%20Glen%20Loch%20Dr%20The%20Woodlands%20TX%2077381")</f>
        <v>https://maps.google.com/?q=Sts%20Simon%20%26%20Jude%20%20(SVdP%20D6)%20The%20Woodlands%2026777%20Glen%20Loch%20Dr%20The%20Woodlands%20TX%2077381</v>
      </c>
      <c r="X900" s="10"/>
      <c r="Y900" s="9" t="str">
        <f>IFERROR(__xludf.DUMMYFUNCTION("""COMPUTED_VALUE"""),"The Woodlands")</f>
        <v>The Woodlands</v>
      </c>
      <c r="Z900" s="9" t="str">
        <f>IFERROR(__xludf.DUMMYFUNCTION("""COMPUTED_VALUE"""),"The Woodlands (Cochran's Crossing, Indian Springs)")</f>
        <v>The Woodlands (Cochran's Crossing, Indian Springs)</v>
      </c>
      <c r="AA900" s="9" t="str">
        <f>IFERROR(__xludf.DUMMYFUNCTION("""COMPUTED_VALUE"""),"Society of St Vincent de Paul")</f>
        <v>Society of St Vincent de Paul</v>
      </c>
      <c r="AB900" s="9" t="str">
        <f>IFERROR(__xludf.DUMMYFUNCTION("""COMPUTED_VALUE"""),"The Woodlands (Cochran's Crossing, Indian Springs)")</f>
        <v>The Woodlands (Cochran's Crossing, Indian Springs)</v>
      </c>
    </row>
    <row r="901" ht="30.0" customHeight="1">
      <c r="A901" s="17">
        <v>900.0</v>
      </c>
      <c r="B901" s="8" t="str">
        <f>IFERROR(__xludf.DUMMYFUNCTION("""COMPUTED_VALUE"""),"[""77380"", ""77381"", ""77382"", ""77384"", ""77385"", ""77386""]")</f>
        <v>["77380", "77381", "77382", "77384", "77385", "77386"]</v>
      </c>
      <c r="C901" s="9" t="str">
        <f>IFERROR(__xludf.DUMMYFUNCTION("""COMPUTED_VALUE"""),"Sts Simon &amp; Jude (SVdP D6) The Woodlands")</f>
        <v>Sts Simon &amp; Jude (SVdP D6) The Woodlands</v>
      </c>
      <c r="D901" s="9" t="str">
        <f>IFERROR(__xludf.DUMMYFUNCTION("""COMPUTED_VALUE"""),"26777 Glen Loch Drive")</f>
        <v>26777 Glen Loch Drive</v>
      </c>
      <c r="E901" s="9"/>
      <c r="F901" s="9" t="str">
        <f>IFERROR(__xludf.DUMMYFUNCTION("""COMPUTED_VALUE"""),"The Woodlands")</f>
        <v>The Woodlands</v>
      </c>
      <c r="G901" s="9" t="str">
        <f>IFERROR(__xludf.DUMMYFUNCTION("""COMPUTED_VALUE"""),"TX")</f>
        <v>TX</v>
      </c>
      <c r="H901" s="9" t="str">
        <f>IFERROR(__xludf.DUMMYFUNCTION("""COMPUTED_VALUE"""),"77381")</f>
        <v>77381</v>
      </c>
      <c r="I901" s="9" t="str">
        <f>IFERROR(__xludf.DUMMYFUNCTION("""COMPUTED_VALUE"""),"281-292-6002")</f>
        <v>281-292-6002</v>
      </c>
      <c r="J901" s="9" t="str">
        <f>IFERROR(__xludf.DUMMYFUNCTION("""COMPUTED_VALUE"""),"30.1502312814918, -95.490474753929")</f>
        <v>30.1502312814918, -95.490474753929</v>
      </c>
      <c r="K901" s="9" t="str">
        <f>IFERROR(__xludf.DUMMYFUNCTION("""COMPUTED_VALUE"""),"{""regular"":[{""days"":[""Mo"",""Tu"",""We""],""open"":""08:00"",""close"":""17:00""},{""days"":[""Th""],""open"":""08:00"",""close"":""12:00""}]}")</f>
        <v>{"regular":[{"days":["Mo","Tu","We"],"open":"08:00","close":"17:00"},{"days":["Th"],"open":"08:00","close":"12:00"}]}</v>
      </c>
      <c r="L901" s="9"/>
      <c r="M901" s="10">
        <f>IFERROR(__xludf.DUMMYFUNCTION("""COMPUTED_VALUE"""),12.0)</f>
        <v>12</v>
      </c>
      <c r="N901" s="10" t="str">
        <f>IFERROR(__xludf.DUMMYFUNCTION("""COMPUTED_VALUE"""),"Utilities")</f>
        <v>Utilities</v>
      </c>
      <c r="O901" s="10">
        <f>IFERROR(__xludf.DUMMYFUNCTION("""COMPUTED_VALUE"""),1.0)</f>
        <v>1</v>
      </c>
      <c r="P901" s="10" t="str">
        <f>IFERROR(__xludf.DUMMYFUNCTION("""COMPUTED_VALUE"""),"ACTIVE")</f>
        <v>ACTIVE</v>
      </c>
      <c r="Q901" s="11"/>
      <c r="R901" s="9"/>
      <c r="S901" s="9"/>
      <c r="T901" s="12" t="b">
        <f>IFERROR(__xludf.DUMMYFUNCTION("""COMPUTED_VALUE"""),FALSE)</f>
        <v>0</v>
      </c>
      <c r="U901" s="12" t="b">
        <f>IFERROR(__xludf.DUMMYFUNCTION("""COMPUTED_VALUE"""),FALSE)</f>
        <v>0</v>
      </c>
      <c r="V901" s="13" t="str">
        <f>IFERROR(__xludf.DUMMYFUNCTION("""COMPUTED_VALUE"""),"https://www.ssjwoodlands.com/")</f>
        <v>https://www.ssjwoodlands.com/</v>
      </c>
      <c r="W901" s="14" t="str">
        <f>IFERROR(__xludf.DUMMYFUNCTION("""COMPUTED_VALUE"""),"https://maps.google.com/?q=Sts%20Simon%20%26%20Jude%20%20(SVdP%20D6)%20The%20Woodlands%2026777%20Glen%20Loch%20Dr%20The%20Woodlands%20TX%2077381")</f>
        <v>https://maps.google.com/?q=Sts%20Simon%20%26%20Jude%20%20(SVdP%20D6)%20The%20Woodlands%2026777%20Glen%20Loch%20Dr%20The%20Woodlands%20TX%2077381</v>
      </c>
      <c r="X901" s="10"/>
      <c r="Y901" s="9" t="str">
        <f>IFERROR(__xludf.DUMMYFUNCTION("""COMPUTED_VALUE"""),"The Woodlands")</f>
        <v>The Woodlands</v>
      </c>
      <c r="Z901" s="9" t="str">
        <f>IFERROR(__xludf.DUMMYFUNCTION("""COMPUTED_VALUE"""),"The Woodlands (Cochran's Crossing, Indian Springs)")</f>
        <v>The Woodlands (Cochran's Crossing, Indian Springs)</v>
      </c>
      <c r="AA901" s="9" t="str">
        <f>IFERROR(__xludf.DUMMYFUNCTION("""COMPUTED_VALUE"""),"Society of St Vincent de Paul")</f>
        <v>Society of St Vincent de Paul</v>
      </c>
      <c r="AB901" s="9" t="str">
        <f>IFERROR(__xludf.DUMMYFUNCTION("""COMPUTED_VALUE"""),"The Woodlands (Cochran's Crossing, Indian Springs)")</f>
        <v>The Woodlands (Cochran's Crossing, Indian Springs)</v>
      </c>
    </row>
    <row r="902" ht="30.0" customHeight="1">
      <c r="A902" s="17">
        <v>901.0</v>
      </c>
      <c r="B902" s="8" t="str">
        <f>IFERROR(__xludf.DUMMYFUNCTION("""COMPUTED_VALUE"""),"[""77380"", ""77381"", ""77382"", ""77384"", ""77385"", ""77386""]")</f>
        <v>["77380", "77381", "77382", "77384", "77385", "77386"]</v>
      </c>
      <c r="C902" s="9" t="str">
        <f>IFERROR(__xludf.DUMMYFUNCTION("""COMPUTED_VALUE"""),"Sts Simon &amp; Jude (SVdP D6) The Woodlands")</f>
        <v>Sts Simon &amp; Jude (SVdP D6) The Woodlands</v>
      </c>
      <c r="D902" s="9" t="str">
        <f>IFERROR(__xludf.DUMMYFUNCTION("""COMPUTED_VALUE"""),"26777 Glen Loch Drive")</f>
        <v>26777 Glen Loch Drive</v>
      </c>
      <c r="E902" s="9"/>
      <c r="F902" s="9" t="str">
        <f>IFERROR(__xludf.DUMMYFUNCTION("""COMPUTED_VALUE"""),"The Woodlands")</f>
        <v>The Woodlands</v>
      </c>
      <c r="G902" s="9" t="str">
        <f>IFERROR(__xludf.DUMMYFUNCTION("""COMPUTED_VALUE"""),"TX")</f>
        <v>TX</v>
      </c>
      <c r="H902" s="9" t="str">
        <f>IFERROR(__xludf.DUMMYFUNCTION("""COMPUTED_VALUE"""),"77381")</f>
        <v>77381</v>
      </c>
      <c r="I902" s="9" t="str">
        <f>IFERROR(__xludf.DUMMYFUNCTION("""COMPUTED_VALUE"""),"281-292-6002")</f>
        <v>281-292-6002</v>
      </c>
      <c r="J902" s="9" t="str">
        <f>IFERROR(__xludf.DUMMYFUNCTION("""COMPUTED_VALUE"""),"30.1502312814918, -95.490474753929")</f>
        <v>30.1502312814918, -95.490474753929</v>
      </c>
      <c r="K902" s="9" t="str">
        <f>IFERROR(__xludf.DUMMYFUNCTION("""COMPUTED_VALUE"""),"{""regular"":[{""days"":[""Mo"",""Tu"",""We""],""open"":""08:00"",""close"":""17:00""},{""days"":[""Th""],""open"":""08:00"",""close"":""12:00""}]}")</f>
        <v>{"regular":[{"days":["Mo","Tu","We"],"open":"08:00","close":"17:00"},{"days":["Th"],"open":"08:00","close":"12:00"}]}</v>
      </c>
      <c r="L902" s="9"/>
      <c r="M902" s="10">
        <f>IFERROR(__xludf.DUMMYFUNCTION("""COMPUTED_VALUE"""),13.0)</f>
        <v>13</v>
      </c>
      <c r="N902" s="10" t="str">
        <f>IFERROR(__xludf.DUMMYFUNCTION("""COMPUTED_VALUE"""),"Food")</f>
        <v>Food</v>
      </c>
      <c r="O902" s="10">
        <f>IFERROR(__xludf.DUMMYFUNCTION("""COMPUTED_VALUE"""),1.0)</f>
        <v>1</v>
      </c>
      <c r="P902" s="10" t="str">
        <f>IFERROR(__xludf.DUMMYFUNCTION("""COMPUTED_VALUE"""),"ACTIVE")</f>
        <v>ACTIVE</v>
      </c>
      <c r="Q902" s="11"/>
      <c r="R902" s="9"/>
      <c r="S902" s="9"/>
      <c r="T902" s="12" t="b">
        <f>IFERROR(__xludf.DUMMYFUNCTION("""COMPUTED_VALUE"""),FALSE)</f>
        <v>0</v>
      </c>
      <c r="U902" s="12" t="b">
        <f>IFERROR(__xludf.DUMMYFUNCTION("""COMPUTED_VALUE"""),FALSE)</f>
        <v>0</v>
      </c>
      <c r="V902" s="13" t="str">
        <f>IFERROR(__xludf.DUMMYFUNCTION("""COMPUTED_VALUE"""),"https://www.ssjwoodlands.com/")</f>
        <v>https://www.ssjwoodlands.com/</v>
      </c>
      <c r="W902" s="14" t="str">
        <f>IFERROR(__xludf.DUMMYFUNCTION("""COMPUTED_VALUE"""),"https://maps.google.com/?q=Sts%20Simon%20%26%20Jude%20%20(SVdP%20D6)%20The%20Woodlands%2026777%20Glen%20Loch%20Dr%20The%20Woodlands%20TX%2077381")</f>
        <v>https://maps.google.com/?q=Sts%20Simon%20%26%20Jude%20%20(SVdP%20D6)%20The%20Woodlands%2026777%20Glen%20Loch%20Dr%20The%20Woodlands%20TX%2077381</v>
      </c>
      <c r="X902" s="10"/>
      <c r="Y902" s="9" t="str">
        <f>IFERROR(__xludf.DUMMYFUNCTION("""COMPUTED_VALUE"""),"The Woodlands")</f>
        <v>The Woodlands</v>
      </c>
      <c r="Z902" s="9" t="str">
        <f>IFERROR(__xludf.DUMMYFUNCTION("""COMPUTED_VALUE"""),"The Woodlands (Cochran's Crossing, Indian Springs)")</f>
        <v>The Woodlands (Cochran's Crossing, Indian Springs)</v>
      </c>
      <c r="AA902" s="9" t="str">
        <f>IFERROR(__xludf.DUMMYFUNCTION("""COMPUTED_VALUE"""),"Society of St Vincent de Paul")</f>
        <v>Society of St Vincent de Paul</v>
      </c>
      <c r="AB902" s="9" t="str">
        <f>IFERROR(__xludf.DUMMYFUNCTION("""COMPUTED_VALUE"""),"The Woodlands (Cochran's Crossing, Indian Springs)")</f>
        <v>The Woodlands (Cochran's Crossing, Indian Springs)</v>
      </c>
    </row>
    <row r="903" ht="30.0" customHeight="1">
      <c r="A903" s="17">
        <v>902.0</v>
      </c>
      <c r="B903"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03" s="9" t="str">
        <f>IFERROR(__xludf.DUMMYFUNCTION("""COMPUTED_VALUE"""),"Sunnyside Health and Multi-Service Center")</f>
        <v>Sunnyside Health and Multi-Service Center</v>
      </c>
      <c r="D903" s="9" t="str">
        <f>IFERROR(__xludf.DUMMYFUNCTION("""COMPUTED_VALUE"""),"4410 Reed Road")</f>
        <v>4410 Reed Road</v>
      </c>
      <c r="E903" s="9"/>
      <c r="F903" s="9" t="str">
        <f>IFERROR(__xludf.DUMMYFUNCTION("""COMPUTED_VALUE"""),"Houston")</f>
        <v>Houston</v>
      </c>
      <c r="G903" s="9" t="str">
        <f>IFERROR(__xludf.DUMMYFUNCTION("""COMPUTED_VALUE"""),"TX")</f>
        <v>TX</v>
      </c>
      <c r="H903" s="9" t="str">
        <f>IFERROR(__xludf.DUMMYFUNCTION("""COMPUTED_VALUE"""),"77051")</f>
        <v>77051</v>
      </c>
      <c r="I903" s="9" t="str">
        <f>IFERROR(__xludf.DUMMYFUNCTION("""COMPUTED_VALUE"""),"832-395-0206")</f>
        <v>832-395-0206</v>
      </c>
      <c r="J903" s="9" t="str">
        <f>IFERROR(__xludf.DUMMYFUNCTION("""COMPUTED_VALUE"""),"29.657842375864146, -95.36080375257794")</f>
        <v>29.657842375864146, -95.36080375257794</v>
      </c>
      <c r="K903" s="9" t="str">
        <f>IFERROR(__xludf.DUMMYFUNCTION("""COMPUTED_VALUE"""),"{""regular"":[{""days"":[""Mo""],""open"":""08:30"",""close"":""18:00""},{""days"":[""Tu"",""Th"",""Fr""],""open"":""07:30"",""close"":""17:00""},{""days"":[""We""],""open"":""07:30"",""close"":""12:00""}]}")</f>
        <v>{"regular":[{"days":["Mo"],"open":"08:30","close":"18:00"},{"days":["Tu","Th","Fr"],"open":"07:30","close":"17:00"},{"days":["We"],"open":"07:30","close":"12:00"}]}</v>
      </c>
      <c r="L903" s="9"/>
      <c r="M903" s="10">
        <f>IFERROR(__xludf.DUMMYFUNCTION("""COMPUTED_VALUE"""),31.0)</f>
        <v>31</v>
      </c>
      <c r="N903" s="10" t="str">
        <f>IFERROR(__xludf.DUMMYFUNCTION("""COMPUTED_VALUE"""),"Medical - Primary Care")</f>
        <v>Medical - Primary Care</v>
      </c>
      <c r="O903" s="10">
        <f>IFERROR(__xludf.DUMMYFUNCTION("""COMPUTED_VALUE"""),1.0)</f>
        <v>1</v>
      </c>
      <c r="P903" s="10" t="str">
        <f>IFERROR(__xludf.DUMMYFUNCTION("""COMPUTED_VALUE"""),"ACTIVE")</f>
        <v>ACTIVE</v>
      </c>
      <c r="Q903" s="11">
        <f>IFERROR(__xludf.DUMMYFUNCTION("""COMPUTED_VALUE"""),46057.0)</f>
        <v>46057</v>
      </c>
      <c r="R903" s="9" t="str">
        <f>IFERROR(__xludf.DUMMYFUNCTION("""COMPUTED_VALUE"""),"Verified online")</f>
        <v>Verified online</v>
      </c>
      <c r="S903" s="9" t="str">
        <f>IFERROR(__xludf.DUMMYFUNCTION("""COMPUTED_VALUE"""),"PrEP and nPEP is by appointment only (Call:  832-395-9800).
Family planning
STD services
Tuberculosis is by appointment only (Call:  832-395-9800).
Immunization services by appointment only (Call:  832-393-5427)")</f>
        <v>PrEP and nPEP is by appointment only (Call:  832-395-9800).
Family planning
STD services
Tuberculosis is by appointment only (Call:  832-395-9800).
Immunization services by appointment only (Call:  832-393-5427)</v>
      </c>
      <c r="T903" s="12" t="b">
        <f>IFERROR(__xludf.DUMMYFUNCTION("""COMPUTED_VALUE"""),FALSE)</f>
        <v>0</v>
      </c>
      <c r="U903" s="12" t="b">
        <f>IFERROR(__xludf.DUMMYFUNCTION("""COMPUTED_VALUE"""),FALSE)</f>
        <v>0</v>
      </c>
      <c r="V903" s="13" t="str">
        <f>IFERROR(__xludf.DUMMYFUNCTION("""COMPUTED_VALUE"""),"https://www.houstonhealth.org/services/multi-service-centers/sunnyside-multi-service-center")</f>
        <v>https://www.houstonhealth.org/services/multi-service-centers/sunnyside-multi-service-center</v>
      </c>
      <c r="W903" s="14" t="str">
        <f>IFERROR(__xludf.DUMMYFUNCTION("""COMPUTED_VALUE"""),"https://www.google.com/maps/place/Sunnyside+Health+and+Multi-Service+Center/@29.6577165,-95.3634323,17z/data=!3m1!4b1!4m6!3m5!1s0x864095bcff003253:0x601727849f44c3c6!8m2!3d29.6577119!4d-95.3608574!16s%2Fg%2F1v4ptcnf?entry=ttu&amp;g_ep=EgoyMDI2MDIwMS4wIKXMDSoK"&amp;"LDEwMDc5MjA2OUgBUAM%3D")</f>
        <v>https://www.google.com/maps/place/Sunnyside+Health+and+Multi-Service+Center/@29.6577165,-95.3634323,17z/data=!3m1!4b1!4m6!3m5!1s0x864095bcff003253:0x601727849f44c3c6!8m2!3d29.6577119!4d-95.3608574!16s%2Fg%2F1v4ptcnf?entry=ttu&amp;g_ep=EgoyMDI2MDIwMS4wIKXMDSoKLDEwMDc5MjA2OUgBUAM%3D</v>
      </c>
      <c r="X903" s="10"/>
      <c r="Y903" s="9" t="str">
        <f>IFERROR(__xludf.DUMMYFUNCTION("""COMPUTED_VALUE"""),"Houston")</f>
        <v>Houston</v>
      </c>
      <c r="Z903" s="9" t="str">
        <f>IFERROR(__xludf.DUMMYFUNCTION("""COMPUTED_VALUE"""),"Central Southwest, South Park, South Side, Sunnyside")</f>
        <v>Central Southwest, South Park, South Side, Sunnyside</v>
      </c>
      <c r="AA903" s="9" t="str">
        <f>IFERROR(__xludf.DUMMYFUNCTION("""COMPUTED_VALUE"""),"City of Houston")</f>
        <v>City of Houston</v>
      </c>
      <c r="AB903" s="9" t="str">
        <f>IFERROR(__xludf.DUMMYFUNCTION("""COMPUTED_VALUE"""),"Sunnyside")</f>
        <v>Sunnyside</v>
      </c>
    </row>
    <row r="904" ht="30.0" customHeight="1">
      <c r="A904" s="17">
        <v>903.0</v>
      </c>
      <c r="B904"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04" s="9" t="str">
        <f>IFERROR(__xludf.DUMMYFUNCTION("""COMPUTED_VALUE"""),"Sunnyside Health and Multi-Service Center")</f>
        <v>Sunnyside Health and Multi-Service Center</v>
      </c>
      <c r="D904" s="9" t="str">
        <f>IFERROR(__xludf.DUMMYFUNCTION("""COMPUTED_VALUE"""),"4410 Reed Road")</f>
        <v>4410 Reed Road</v>
      </c>
      <c r="E904" s="9"/>
      <c r="F904" s="9" t="str">
        <f>IFERROR(__xludf.DUMMYFUNCTION("""COMPUTED_VALUE"""),"Houston")</f>
        <v>Houston</v>
      </c>
      <c r="G904" s="9" t="str">
        <f>IFERROR(__xludf.DUMMYFUNCTION("""COMPUTED_VALUE"""),"TX")</f>
        <v>TX</v>
      </c>
      <c r="H904" s="9" t="str">
        <f>IFERROR(__xludf.DUMMYFUNCTION("""COMPUTED_VALUE"""),"77051")</f>
        <v>77051</v>
      </c>
      <c r="I904" s="9" t="str">
        <f>IFERROR(__xludf.DUMMYFUNCTION("""COMPUTED_VALUE"""),"832-395-0206")</f>
        <v>832-395-0206</v>
      </c>
      <c r="J904" s="9" t="str">
        <f>IFERROR(__xludf.DUMMYFUNCTION("""COMPUTED_VALUE"""),"29.657842375864146, -95.36080375257794")</f>
        <v>29.657842375864146, -95.36080375257794</v>
      </c>
      <c r="K904" s="9" t="str">
        <f>IFERROR(__xludf.DUMMYFUNCTION("""COMPUTED_VALUE"""),"{""regular"":[{""days"":[""Mo""],""open"":""08:00"",""close"":""17:00""},{""days"":[""Tu"",""We"",""Th"",""Fr""],""open"":""07:00"",""close"":""16:00""}]}")</f>
        <v>{"regular":[{"days":["Mo"],"open":"08:00","close":"17:00"},{"days":["Tu","We","Th","Fr"],"open":"07:00","close":"16:00"}]}</v>
      </c>
      <c r="L904" s="9" t="str">
        <f>IFERROR(__xludf.DUMMYFUNCTION("""COMPUTED_VALUE"""),"Appointment only")</f>
        <v>Appointment only</v>
      </c>
      <c r="M904" s="10">
        <f>IFERROR(__xludf.DUMMYFUNCTION("""COMPUTED_VALUE"""),32.0)</f>
        <v>32</v>
      </c>
      <c r="N904" s="10" t="str">
        <f>IFERROR(__xludf.DUMMYFUNCTION("""COMPUTED_VALUE"""),"Medical - Dental &amp; Vision")</f>
        <v>Medical - Dental &amp; Vision</v>
      </c>
      <c r="O904" s="10">
        <f>IFERROR(__xludf.DUMMYFUNCTION("""COMPUTED_VALUE"""),1.0)</f>
        <v>1</v>
      </c>
      <c r="P904" s="10" t="str">
        <f>IFERROR(__xludf.DUMMYFUNCTION("""COMPUTED_VALUE"""),"ACTIVE")</f>
        <v>ACTIVE</v>
      </c>
      <c r="Q904" s="11">
        <f>IFERROR(__xludf.DUMMYFUNCTION("""COMPUTED_VALUE"""),46057.0)</f>
        <v>46057</v>
      </c>
      <c r="R904" s="9" t="str">
        <f>IFERROR(__xludf.DUMMYFUNCTION("""COMPUTED_VALUE"""),"Verified online")</f>
        <v>Verified online</v>
      </c>
      <c r="S904" s="9" t="str">
        <f>IFERROR(__xludf.DUMMYFUNCTION("""COMPUTED_VALUE"""),"Dental
Preventative and restorative services for adults and children.
Medicaid:  6 months through 21 years old
Chip Card:  1 year through 18 years old
Title V:  6 months through 21 years and do not have dental insurance.  Pregnant women during pregnancy a"&amp;"nd through 90 days after delivery.")</f>
        <v>Dental
Preventative and restorative services for adults and children.
Medicaid:  6 months through 21 years old
Chip Card:  1 year through 18 years old
Title V:  6 months through 21 years and do not have dental insurance.  Pregnant women during pregnancy and through 90 days after delivery.</v>
      </c>
      <c r="T904" s="12" t="b">
        <f>IFERROR(__xludf.DUMMYFUNCTION("""COMPUTED_VALUE"""),TRUE)</f>
        <v>1</v>
      </c>
      <c r="U904" s="12" t="b">
        <f>IFERROR(__xludf.DUMMYFUNCTION("""COMPUTED_VALUE"""),FALSE)</f>
        <v>0</v>
      </c>
      <c r="V904" s="13" t="str">
        <f>IFERROR(__xludf.DUMMYFUNCTION("""COMPUTED_VALUE"""),"https://www.houstonhealth.org/services/multi-service-centers/sunnyside-multi-service-center")</f>
        <v>https://www.houstonhealth.org/services/multi-service-centers/sunnyside-multi-service-center</v>
      </c>
      <c r="W904" s="14" t="str">
        <f>IFERROR(__xludf.DUMMYFUNCTION("""COMPUTED_VALUE"""),"https://www.google.com/maps/place/Sunnyside+Health+and+Multi-Service+Center/@29.6577165,-95.3634323,17z/data=!3m1!4b1!4m6!3m5!1s0x864095bcff003253:0x601727849f44c3c6!8m2!3d29.6577119!4d-95.3608574!16s%2Fg%2F1v4ptcnf?entry=ttu&amp;g_ep=EgoyMDI2MDIwMS4wIKXMDSoK"&amp;"LDEwMDc5MjA2OUgBUAM%3D")</f>
        <v>https://www.google.com/maps/place/Sunnyside+Health+and+Multi-Service+Center/@29.6577165,-95.3634323,17z/data=!3m1!4b1!4m6!3m5!1s0x864095bcff003253:0x601727849f44c3c6!8m2!3d29.6577119!4d-95.3608574!16s%2Fg%2F1v4ptcnf?entry=ttu&amp;g_ep=EgoyMDI2MDIwMS4wIKXMDSoKLDEwMDc5MjA2OUgBUAM%3D</v>
      </c>
      <c r="X904" s="10"/>
      <c r="Y904" s="9" t="str">
        <f>IFERROR(__xludf.DUMMYFUNCTION("""COMPUTED_VALUE"""),"Houston")</f>
        <v>Houston</v>
      </c>
      <c r="Z904" s="9" t="str">
        <f>IFERROR(__xludf.DUMMYFUNCTION("""COMPUTED_VALUE"""),"Central Southwest, South Park, South Side, Sunnyside")</f>
        <v>Central Southwest, South Park, South Side, Sunnyside</v>
      </c>
      <c r="AA904" s="9" t="str">
        <f>IFERROR(__xludf.DUMMYFUNCTION("""COMPUTED_VALUE"""),"City of Houston")</f>
        <v>City of Houston</v>
      </c>
      <c r="AB904" s="9" t="str">
        <f>IFERROR(__xludf.DUMMYFUNCTION("""COMPUTED_VALUE"""),"Sunnyside")</f>
        <v>Sunnyside</v>
      </c>
    </row>
    <row r="905" ht="30.0" customHeight="1">
      <c r="A905" s="17">
        <v>904.0</v>
      </c>
      <c r="B90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05" s="9" t="str">
        <f>IFERROR(__xludf.DUMMYFUNCTION("""COMPUTED_VALUE"""),"Sunnyside Health and Multi-Service Center")</f>
        <v>Sunnyside Health and Multi-Service Center</v>
      </c>
      <c r="D905" s="9" t="str">
        <f>IFERROR(__xludf.DUMMYFUNCTION("""COMPUTED_VALUE"""),"4410 Reed Road")</f>
        <v>4410 Reed Road</v>
      </c>
      <c r="E905" s="9"/>
      <c r="F905" s="9" t="str">
        <f>IFERROR(__xludf.DUMMYFUNCTION("""COMPUTED_VALUE"""),"Houston")</f>
        <v>Houston</v>
      </c>
      <c r="G905" s="9" t="str">
        <f>IFERROR(__xludf.DUMMYFUNCTION("""COMPUTED_VALUE"""),"TX")</f>
        <v>TX</v>
      </c>
      <c r="H905" s="9" t="str">
        <f>IFERROR(__xludf.DUMMYFUNCTION("""COMPUTED_VALUE"""),"77051")</f>
        <v>77051</v>
      </c>
      <c r="I905" s="9" t="str">
        <f>IFERROR(__xludf.DUMMYFUNCTION("""COMPUTED_VALUE"""),"832-395-0027")</f>
        <v>832-395-0027</v>
      </c>
      <c r="J905" s="9" t="str">
        <f>IFERROR(__xludf.DUMMYFUNCTION("""COMPUTED_VALUE"""),"29.657842375864146, -95.36080375257794")</f>
        <v>29.657842375864146, -95.36080375257794</v>
      </c>
      <c r="K905" s="9" t="str">
        <f>IFERROR(__xludf.DUMMYFUNCTION("""COMPUTED_VALUE"""),"{""regular"":[{""days"":[""Mo"",""Tu"",""We"",""Th"",""Fr""],""open"":""08:30"",""close"":""17:30""}]}")</f>
        <v>{"regular":[{"days":["Mo","Tu","We","Th","Fr"],"open":"08:30","close":"17:30"}]}</v>
      </c>
      <c r="L905" s="9"/>
      <c r="M905" s="10">
        <f>IFERROR(__xludf.DUMMYFUNCTION("""COMPUTED_VALUE"""),35.0)</f>
        <v>35</v>
      </c>
      <c r="N905" s="10" t="str">
        <f>IFERROR(__xludf.DUMMYFUNCTION("""COMPUTED_VALUE"""),"Medical - Program Enrollment")</f>
        <v>Medical - Program Enrollment</v>
      </c>
      <c r="O905" s="10">
        <f>IFERROR(__xludf.DUMMYFUNCTION("""COMPUTED_VALUE"""),1.0)</f>
        <v>1</v>
      </c>
      <c r="P905" s="10" t="str">
        <f>IFERROR(__xludf.DUMMYFUNCTION("""COMPUTED_VALUE"""),"ACTIVE")</f>
        <v>ACTIVE</v>
      </c>
      <c r="Q905" s="11">
        <f>IFERROR(__xludf.DUMMYFUNCTION("""COMPUTED_VALUE"""),46057.0)</f>
        <v>46057</v>
      </c>
      <c r="R905" s="9" t="str">
        <f>IFERROR(__xludf.DUMMYFUNCTION("""COMPUTED_VALUE"""),"Verified online")</f>
        <v>Verified online</v>
      </c>
      <c r="S905" s="9" t="str">
        <f>IFERROR(__xludf.DUMMYFUNCTION("""COMPUTED_VALUE"""),"Help applying for health and other benefits")</f>
        <v>Help applying for health and other benefits</v>
      </c>
      <c r="T905" s="12" t="b">
        <f>IFERROR(__xludf.DUMMYFUNCTION("""COMPUTED_VALUE"""),FALSE)</f>
        <v>0</v>
      </c>
      <c r="U905" s="12" t="b">
        <f>IFERROR(__xludf.DUMMYFUNCTION("""COMPUTED_VALUE"""),FALSE)</f>
        <v>0</v>
      </c>
      <c r="V905" s="13" t="str">
        <f>IFERROR(__xludf.DUMMYFUNCTION("""COMPUTED_VALUE"""),"https://www.houstonhealth.org/services/multi-service-centers/sunnyside-multi-service-center")</f>
        <v>https://www.houstonhealth.org/services/multi-service-centers/sunnyside-multi-service-center</v>
      </c>
      <c r="W905" s="14" t="str">
        <f>IFERROR(__xludf.DUMMYFUNCTION("""COMPUTED_VALUE"""),"https://www.google.com/maps/place/Sunnyside+Health+and+Multi-Service+Center/@29.6577165,-95.3634323,17z/data=!3m1!4b1!4m6!3m5!1s0x864095bcff003253:0x601727849f44c3c6!8m2!3d29.6577119!4d-95.3608574!16s%2Fg%2F1v4ptcnf?entry=ttu&amp;g_ep=EgoyMDI2MDIwMS4wIKXMDSoK"&amp;"LDEwMDc5MjA2OUgBUAM%3D")</f>
        <v>https://www.google.com/maps/place/Sunnyside+Health+and+Multi-Service+Center/@29.6577165,-95.3634323,17z/data=!3m1!4b1!4m6!3m5!1s0x864095bcff003253:0x601727849f44c3c6!8m2!3d29.6577119!4d-95.3608574!16s%2Fg%2F1v4ptcnf?entry=ttu&amp;g_ep=EgoyMDI2MDIwMS4wIKXMDSoKLDEwMDc5MjA2OUgBUAM%3D</v>
      </c>
      <c r="X905" s="10"/>
      <c r="Y905" s="9" t="str">
        <f>IFERROR(__xludf.DUMMYFUNCTION("""COMPUTED_VALUE"""),"Houston")</f>
        <v>Houston</v>
      </c>
      <c r="Z905" s="9" t="str">
        <f>IFERROR(__xludf.DUMMYFUNCTION("""COMPUTED_VALUE"""),"Central Southwest, South Park, South Side, Sunnyside")</f>
        <v>Central Southwest, South Park, South Side, Sunnyside</v>
      </c>
      <c r="AA905" s="9" t="str">
        <f>IFERROR(__xludf.DUMMYFUNCTION("""COMPUTED_VALUE"""),"City of Houston")</f>
        <v>City of Houston</v>
      </c>
      <c r="AB905" s="9" t="str">
        <f>IFERROR(__xludf.DUMMYFUNCTION("""COMPUTED_VALUE"""),"Sunnyside")</f>
        <v>Sunnyside</v>
      </c>
    </row>
    <row r="906" ht="30.0" customHeight="1">
      <c r="A906" s="17">
        <v>905.0</v>
      </c>
      <c r="B906"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06" s="9" t="str">
        <f>IFERROR(__xludf.DUMMYFUNCTION("""COMPUTED_VALUE"""),"Sunnyside Health and Multi-Service Center")</f>
        <v>Sunnyside Health and Multi-Service Center</v>
      </c>
      <c r="D906" s="9" t="str">
        <f>IFERROR(__xludf.DUMMYFUNCTION("""COMPUTED_VALUE"""),"4410 Reed Road")</f>
        <v>4410 Reed Road</v>
      </c>
      <c r="E906" s="9"/>
      <c r="F906" s="9" t="str">
        <f>IFERROR(__xludf.DUMMYFUNCTION("""COMPUTED_VALUE"""),"Houston")</f>
        <v>Houston</v>
      </c>
      <c r="G906" s="9" t="str">
        <f>IFERROR(__xludf.DUMMYFUNCTION("""COMPUTED_VALUE"""),"TX")</f>
        <v>TX</v>
      </c>
      <c r="H906" s="9" t="str">
        <f>IFERROR(__xludf.DUMMYFUNCTION("""COMPUTED_VALUE"""),"77051")</f>
        <v>77051</v>
      </c>
      <c r="I906" s="9" t="str">
        <f>IFERROR(__xludf.DUMMYFUNCTION("""COMPUTED_VALUE"""),"832-393-5427")</f>
        <v>832-393-5427</v>
      </c>
      <c r="J906" s="9" t="str">
        <f>IFERROR(__xludf.DUMMYFUNCTION("""COMPUTED_VALUE"""),"29.657842375864146, -95.36080375257794")</f>
        <v>29.657842375864146, -95.36080375257794</v>
      </c>
      <c r="K906" s="9"/>
      <c r="L906" s="9"/>
      <c r="M906" s="10">
        <f>IFERROR(__xludf.DUMMYFUNCTION("""COMPUTED_VALUE"""),44.0)</f>
        <v>44</v>
      </c>
      <c r="N906" s="10" t="str">
        <f>IFERROR(__xludf.DUMMYFUNCTION("""COMPUTED_VALUE"""),"Mother &amp; Child")</f>
        <v>Mother &amp; Child</v>
      </c>
      <c r="O906" s="10">
        <f>IFERROR(__xludf.DUMMYFUNCTION("""COMPUTED_VALUE"""),1.0)</f>
        <v>1</v>
      </c>
      <c r="P906" s="10" t="str">
        <f>IFERROR(__xludf.DUMMYFUNCTION("""COMPUTED_VALUE"""),"ACTIVE")</f>
        <v>ACTIVE</v>
      </c>
      <c r="Q906" s="11">
        <f>IFERROR(__xludf.DUMMYFUNCTION("""COMPUTED_VALUE"""),46057.0)</f>
        <v>46057</v>
      </c>
      <c r="R906" s="9" t="str">
        <f>IFERROR(__xludf.DUMMYFUNCTION("""COMPUTED_VALUE"""),"Verified online")</f>
        <v>Verified online</v>
      </c>
      <c r="S906" s="9" t="str">
        <f>IFERROR(__xludf.DUMMYFUNCTION("""COMPUTED_VALUE"""),"Women, Infants and Children (WIC)
Supplemental nutrition program providing health care referrals, nutrition education and nutritious foods to pregnant, breastfeeding and postpartum women and children under five who have nutrition health-related problems.")</f>
        <v>Women, Infants and Children (WIC)
Supplemental nutrition program providing health care referrals, nutrition education and nutritious foods to pregnant, breastfeeding and postpartum women and children under five who have nutrition health-related problems.</v>
      </c>
      <c r="T906" s="12" t="b">
        <f>IFERROR(__xludf.DUMMYFUNCTION("""COMPUTED_VALUE"""),FALSE)</f>
        <v>0</v>
      </c>
      <c r="U906" s="12" t="b">
        <f>IFERROR(__xludf.DUMMYFUNCTION("""COMPUTED_VALUE"""),FALSE)</f>
        <v>0</v>
      </c>
      <c r="V906" s="13" t="str">
        <f>IFERROR(__xludf.DUMMYFUNCTION("""COMPUTED_VALUE"""),"https://www.houstonhealth.org/services/multi-service-centers/sunnyside-multi-service-center")</f>
        <v>https://www.houstonhealth.org/services/multi-service-centers/sunnyside-multi-service-center</v>
      </c>
      <c r="W906" s="14" t="str">
        <f>IFERROR(__xludf.DUMMYFUNCTION("""COMPUTED_VALUE"""),"https://www.google.com/maps/place/Sunnyside+Health+and+Multi-Service+Center/@29.6577165,-95.3634323,17z/data=!3m1!4b1!4m6!3m5!1s0x864095bcff003253:0x601727849f44c3c6!8m2!3d29.6577119!4d-95.3608574!16s%2Fg%2F1v4ptcnf?entry=ttu&amp;g_ep=EgoyMDI2MDIwMS4wIKXMDSoK"&amp;"LDEwMDc5MjA2OUgBUAM%3D")</f>
        <v>https://www.google.com/maps/place/Sunnyside+Health+and+Multi-Service+Center/@29.6577165,-95.3634323,17z/data=!3m1!4b1!4m6!3m5!1s0x864095bcff003253:0x601727849f44c3c6!8m2!3d29.6577119!4d-95.3608574!16s%2Fg%2F1v4ptcnf?entry=ttu&amp;g_ep=EgoyMDI2MDIwMS4wIKXMDSoKLDEwMDc5MjA2OUgBUAM%3D</v>
      </c>
      <c r="X906" s="10"/>
      <c r="Y906" s="9" t="str">
        <f>IFERROR(__xludf.DUMMYFUNCTION("""COMPUTED_VALUE"""),"Houston")</f>
        <v>Houston</v>
      </c>
      <c r="Z906" s="9" t="str">
        <f>IFERROR(__xludf.DUMMYFUNCTION("""COMPUTED_VALUE"""),"Central Southwest, South Park, South Side, Sunnyside")</f>
        <v>Central Southwest, South Park, South Side, Sunnyside</v>
      </c>
      <c r="AA906" s="9" t="str">
        <f>IFERROR(__xludf.DUMMYFUNCTION("""COMPUTED_VALUE"""),"City of Houston")</f>
        <v>City of Houston</v>
      </c>
      <c r="AB906" s="9" t="str">
        <f>IFERROR(__xludf.DUMMYFUNCTION("""COMPUTED_VALUE"""),"Sunnyside")</f>
        <v>Sunnyside</v>
      </c>
    </row>
    <row r="907" ht="30.0" customHeight="1">
      <c r="A907" s="17">
        <v>906.0</v>
      </c>
      <c r="B90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07" s="9" t="str">
        <f>IFERROR(__xludf.DUMMYFUNCTION("""COMPUTED_VALUE"""),"Sunnyside Health and Multi-Service Center")</f>
        <v>Sunnyside Health and Multi-Service Center</v>
      </c>
      <c r="D907" s="9" t="str">
        <f>IFERROR(__xludf.DUMMYFUNCTION("""COMPUTED_VALUE"""),"4410 Reed Road")</f>
        <v>4410 Reed Road</v>
      </c>
      <c r="E907" s="9"/>
      <c r="F907" s="9" t="str">
        <f>IFERROR(__xludf.DUMMYFUNCTION("""COMPUTED_VALUE"""),"Houston")</f>
        <v>Houston</v>
      </c>
      <c r="G907" s="9" t="str">
        <f>IFERROR(__xludf.DUMMYFUNCTION("""COMPUTED_VALUE"""),"TX")</f>
        <v>TX</v>
      </c>
      <c r="H907" s="9" t="str">
        <f>IFERROR(__xludf.DUMMYFUNCTION("""COMPUTED_VALUE"""),"77051")</f>
        <v>77051</v>
      </c>
      <c r="I907" s="9" t="str">
        <f>IFERROR(__xludf.DUMMYFUNCTION("""COMPUTED_VALUE"""),"832-395-0016")</f>
        <v>832-395-0016</v>
      </c>
      <c r="J907" s="9" t="str">
        <f>IFERROR(__xludf.DUMMYFUNCTION("""COMPUTED_VALUE"""),"29.657842375864146, -95.36080375257794")</f>
        <v>29.657842375864146, -95.36080375257794</v>
      </c>
      <c r="K907" s="9" t="str">
        <f>IFERROR(__xludf.DUMMYFUNCTION("""COMPUTED_VALUE"""),"{""regular"":[{""days"":[""Mo"",""Tu"",""We"",""Th"",""Fr""],""open"":""09:00"",""close"":""13:00""}]}")</f>
        <v>{"regular":[{"days":["Mo","Tu","We","Th","Fr"],"open":"09:00","close":"13:00"}]}</v>
      </c>
      <c r="L907" s="9"/>
      <c r="M907" s="10">
        <f>IFERROR(__xludf.DUMMYFUNCTION("""COMPUTED_VALUE"""),61.0)</f>
        <v>61</v>
      </c>
      <c r="N907" s="10" t="str">
        <f>IFERROR(__xludf.DUMMYFUNCTION("""COMPUTED_VALUE"""),"Seniors")</f>
        <v>Seniors</v>
      </c>
      <c r="O907" s="10">
        <f>IFERROR(__xludf.DUMMYFUNCTION("""COMPUTED_VALUE"""),1.0)</f>
        <v>1</v>
      </c>
      <c r="P907" s="10" t="str">
        <f>IFERROR(__xludf.DUMMYFUNCTION("""COMPUTED_VALUE"""),"ACTIVE")</f>
        <v>ACTIVE</v>
      </c>
      <c r="Q907" s="11">
        <f>IFERROR(__xludf.DUMMYFUNCTION("""COMPUTED_VALUE"""),46057.0)</f>
        <v>46057</v>
      </c>
      <c r="R907" s="9" t="str">
        <f>IFERROR(__xludf.DUMMYFUNCTION("""COMPUTED_VALUE"""),"Verified online")</f>
        <v>Verified online</v>
      </c>
      <c r="S907" s="9" t="str">
        <f>IFERROR(__xludf.DUMMYFUNCTION("""COMPUTED_VALUE"""),"Meals
Onsite for seniors older than 60 years.  
Includes social services, exercises, nutrition, education and other programming.
Have to pre-register for daily warm lunch.")</f>
        <v>Meals
Onsite for seniors older than 60 years.  
Includes social services, exercises, nutrition, education and other programming.
Have to pre-register for daily warm lunch.</v>
      </c>
      <c r="T907" s="12" t="b">
        <f>IFERROR(__xludf.DUMMYFUNCTION("""COMPUTED_VALUE"""),FALSE)</f>
        <v>0</v>
      </c>
      <c r="U907" s="12" t="b">
        <f>IFERROR(__xludf.DUMMYFUNCTION("""COMPUTED_VALUE"""),FALSE)</f>
        <v>0</v>
      </c>
      <c r="V907" s="13" t="str">
        <f>IFERROR(__xludf.DUMMYFUNCTION("""COMPUTED_VALUE"""),"https://www.houstonhealth.org/services/multi-service-centers/sunnyside-multi-service-center")</f>
        <v>https://www.houstonhealth.org/services/multi-service-centers/sunnyside-multi-service-center</v>
      </c>
      <c r="W907" s="14" t="str">
        <f>IFERROR(__xludf.DUMMYFUNCTION("""COMPUTED_VALUE"""),"https://www.google.com/maps/place/Sunnyside+Health+and+Multi-Service+Center/@29.6577165,-95.3634323,17z/data=!3m1!4b1!4m6!3m5!1s0x864095bcff003253:0x601727849f44c3c6!8m2!3d29.6577119!4d-95.3608574!16s%2Fg%2F1v4ptcnf?entry=ttu&amp;g_ep=EgoyMDI2MDIwMS4wIKXMDSoK"&amp;"LDEwMDc5MjA2OUgBUAM%3D")</f>
        <v>https://www.google.com/maps/place/Sunnyside+Health+and+Multi-Service+Center/@29.6577165,-95.3634323,17z/data=!3m1!4b1!4m6!3m5!1s0x864095bcff003253:0x601727849f44c3c6!8m2!3d29.6577119!4d-95.3608574!16s%2Fg%2F1v4ptcnf?entry=ttu&amp;g_ep=EgoyMDI2MDIwMS4wIKXMDSoKLDEwMDc5MjA2OUgBUAM%3D</v>
      </c>
      <c r="X907" s="10"/>
      <c r="Y907" s="9" t="str">
        <f>IFERROR(__xludf.DUMMYFUNCTION("""COMPUTED_VALUE"""),"Houston")</f>
        <v>Houston</v>
      </c>
      <c r="Z907" s="9" t="str">
        <f>IFERROR(__xludf.DUMMYFUNCTION("""COMPUTED_VALUE"""),"Central Southwest, South Park, South Side, Sunnyside")</f>
        <v>Central Southwest, South Park, South Side, Sunnyside</v>
      </c>
      <c r="AA907" s="9" t="str">
        <f>IFERROR(__xludf.DUMMYFUNCTION("""COMPUTED_VALUE"""),"City of Houston")</f>
        <v>City of Houston</v>
      </c>
      <c r="AB907" s="9" t="str">
        <f>IFERROR(__xludf.DUMMYFUNCTION("""COMPUTED_VALUE"""),"Sunnyside")</f>
        <v>Sunnyside</v>
      </c>
    </row>
    <row r="908" ht="30.0" customHeight="1">
      <c r="A908" s="17">
        <v>907.0</v>
      </c>
      <c r="B908" s="8" t="str">
        <f>IFERROR(__xludf.DUMMYFUNCTION("""COMPUTED_VALUE"""),"[""99999""]")</f>
        <v>["99999"]</v>
      </c>
      <c r="C908" s="9" t="str">
        <f>IFERROR(__xludf.DUMMYFUNCTION("""COMPUTED_VALUE"""),"Tahirih Justice Center")</f>
        <v>Tahirih Justice Center</v>
      </c>
      <c r="D908" s="9" t="str">
        <f>IFERROR(__xludf.DUMMYFUNCTION("""COMPUTED_VALUE"""),"1717 Saint James Place")</f>
        <v>1717 Saint James Place</v>
      </c>
      <c r="E908" s="9" t="str">
        <f>IFERROR(__xludf.DUMMYFUNCTION("""COMPUTED_VALUE"""),"Suite 450")</f>
        <v>Suite 450</v>
      </c>
      <c r="F908" s="9" t="str">
        <f>IFERROR(__xludf.DUMMYFUNCTION("""COMPUTED_VALUE"""),"Houston")</f>
        <v>Houston</v>
      </c>
      <c r="G908" s="9" t="str">
        <f>IFERROR(__xludf.DUMMYFUNCTION("""COMPUTED_VALUE"""),"TX")</f>
        <v>TX</v>
      </c>
      <c r="H908" s="9" t="str">
        <f>IFERROR(__xludf.DUMMYFUNCTION("""COMPUTED_VALUE"""),"77056")</f>
        <v>77056</v>
      </c>
      <c r="I908" s="9" t="str">
        <f>IFERROR(__xludf.DUMMYFUNCTION("""COMPUTED_VALUE"""),"866-575-0071")</f>
        <v>866-575-0071</v>
      </c>
      <c r="J908" s="9" t="str">
        <f>IFERROR(__xludf.DUMMYFUNCTION("""COMPUTED_VALUE"""),"29.7494887960791, -95.4726673421318")</f>
        <v>29.7494887960791, -95.4726673421318</v>
      </c>
      <c r="K908" s="9" t="str">
        <f>IFERROR(__xludf.DUMMYFUNCTION("""COMPUTED_VALUE"""),"{""regular"":[{""days"":[""Mo"",""Tu"",""We"",""Th"",""Fr""],""open"":null,""close"":null}]}")</f>
        <v>{"regular":[{"days":["Mo","Tu","We","Th","Fr"],"open":null,"close":null}]}</v>
      </c>
      <c r="L908" s="9"/>
      <c r="M908" s="10">
        <f>IFERROR(__xludf.DUMMYFUNCTION("""COMPUTED_VALUE"""),55.0)</f>
        <v>55</v>
      </c>
      <c r="N908" s="10" t="str">
        <f>IFERROR(__xludf.DUMMYFUNCTION("""COMPUTED_VALUE"""),"Immigration")</f>
        <v>Immigration</v>
      </c>
      <c r="O908" s="10">
        <f>IFERROR(__xludf.DUMMYFUNCTION("""COMPUTED_VALUE"""),1.0)</f>
        <v>1</v>
      </c>
      <c r="P908" s="10" t="str">
        <f>IFERROR(__xludf.DUMMYFUNCTION("""COMPUTED_VALUE"""),"ACTIVE")</f>
        <v>ACTIVE</v>
      </c>
      <c r="Q908" s="11">
        <f>IFERROR(__xludf.DUMMYFUNCTION("""COMPUTED_VALUE"""),45757.0)</f>
        <v>45757</v>
      </c>
      <c r="R908" s="9"/>
      <c r="S908" s="9"/>
      <c r="T908" s="12" t="b">
        <f>IFERROR(__xludf.DUMMYFUNCTION("""COMPUTED_VALUE"""),FALSE)</f>
        <v>0</v>
      </c>
      <c r="U908" s="12" t="b">
        <f>IFERROR(__xludf.DUMMYFUNCTION("""COMPUTED_VALUE"""),FALSE)</f>
        <v>0</v>
      </c>
      <c r="V908" s="13" t="str">
        <f>IFERROR(__xludf.DUMMYFUNCTION("""COMPUTED_VALUE"""),"https://www.tahirih.org/get-help/")</f>
        <v>https://www.tahirih.org/get-help/</v>
      </c>
      <c r="W908" s="10"/>
      <c r="X908" s="10"/>
      <c r="Y908" s="9" t="str">
        <f>IFERROR(__xludf.DUMMYFUNCTION("""COMPUTED_VALUE"""),"Houston")</f>
        <v>Houston</v>
      </c>
      <c r="Z908" s="9" t="str">
        <f>IFERROR(__xludf.DUMMYFUNCTION("""COMPUTED_VALUE"""),"Galleria, Tanglewood, Uptown, Westside")</f>
        <v>Galleria, Tanglewood, Uptown, Westside</v>
      </c>
      <c r="AA908" s="9" t="str">
        <f>IFERROR(__xludf.DUMMYFUNCTION("""COMPUTED_VALUE"""),"Tahirih Justice Center")</f>
        <v>Tahirih Justice Center</v>
      </c>
      <c r="AB908" s="9" t="str">
        <f>IFERROR(__xludf.DUMMYFUNCTION("""COMPUTED_VALUE"""),"Westside")</f>
        <v>Westside</v>
      </c>
    </row>
    <row r="909" ht="30.0" customHeight="1">
      <c r="A909" s="17">
        <v>908.0</v>
      </c>
      <c r="B909" s="8" t="str">
        <f>IFERROR(__xludf.DUMMYFUNCTION("""COMPUTED_VALUE"""),"[""77011"", ""77012 77013"", ""77016"", ""77020 77023"", ""77026"", ""77028"", ""77029"", ""77078""]")</f>
        <v>["77011", "77012 77013", "77016", "77020 77023", "77026", "77028", "77029", "77078"]</v>
      </c>
      <c r="C909" s="9" t="str">
        <f>IFERROR(__xludf.DUMMYFUNCTION("""COMPUTED_VALUE"""),"Target Hunger")</f>
        <v>Target Hunger</v>
      </c>
      <c r="D909" s="9" t="str">
        <f>IFERROR(__xludf.DUMMYFUNCTION("""COMPUTED_VALUE"""),"1260 Shotwell Street")</f>
        <v>1260 Shotwell Street</v>
      </c>
      <c r="E909" s="9"/>
      <c r="F909" s="9" t="str">
        <f>IFERROR(__xludf.DUMMYFUNCTION("""COMPUTED_VALUE"""),"Houston")</f>
        <v>Houston</v>
      </c>
      <c r="G909" s="9" t="str">
        <f>IFERROR(__xludf.DUMMYFUNCTION("""COMPUTED_VALUE"""),"TX")</f>
        <v>TX</v>
      </c>
      <c r="H909" s="9" t="str">
        <f>IFERROR(__xludf.DUMMYFUNCTION("""COMPUTED_VALUE"""),"77020")</f>
        <v>77020</v>
      </c>
      <c r="I909" s="9" t="str">
        <f>IFERROR(__xludf.DUMMYFUNCTION("""COMPUTED_VALUE"""),"281-300-1914")</f>
        <v>281-300-1914</v>
      </c>
      <c r="J909" s="9" t="str">
        <f>IFERROR(__xludf.DUMMYFUNCTION("""COMPUTED_VALUE"""),"29.76489257374769, -95.31167654620104")</f>
        <v>29.76489257374769, -95.31167654620104</v>
      </c>
      <c r="K909" s="9" t="str">
        <f>IFERROR(__xludf.DUMMYFUNCTION("""COMPUTED_VALUE"""),"{""regular"":[{""days"":[""Th"",""Fr""],""open"":""09:00"",""close"":""11:00""}]}")</f>
        <v>{"regular":[{"days":["Th","Fr"],"open":"09:00","close":"11:00"}]}</v>
      </c>
      <c r="L909" s="9" t="str">
        <f>IFERROR(__xludf.DUMMYFUNCTION("""COMPUTED_VALUE"""),"Verify hours online")</f>
        <v>Verify hours online</v>
      </c>
      <c r="M909" s="10">
        <f>IFERROR(__xludf.DUMMYFUNCTION("""COMPUTED_VALUE"""),13.0)</f>
        <v>13</v>
      </c>
      <c r="N909" s="10" t="str">
        <f>IFERROR(__xludf.DUMMYFUNCTION("""COMPUTED_VALUE"""),"Food")</f>
        <v>Food</v>
      </c>
      <c r="O909" s="10">
        <f>IFERROR(__xludf.DUMMYFUNCTION("""COMPUTED_VALUE"""),1.0)</f>
        <v>1</v>
      </c>
      <c r="P909" s="10" t="str">
        <f>IFERROR(__xludf.DUMMYFUNCTION("""COMPUTED_VALUE"""),"ACTIVE")</f>
        <v>ACTIVE</v>
      </c>
      <c r="Q909" s="11">
        <f>IFERROR(__xludf.DUMMYFUNCTION("""COMPUTED_VALUE"""),45936.0)</f>
        <v>45936</v>
      </c>
      <c r="R909" s="9" t="str">
        <f>IFERROR(__xludf.DUMMYFUNCTION("""COMPUTED_VALUE"""),"Verified online")</f>
        <v>Verified online</v>
      </c>
      <c r="S909" s="9" t="str">
        <f>IFERROR(__xludf.DUMMYFUNCTION("""COMPUTED_VALUE"""),"Monthly groceries for pick-up or delivery for a year.
Check income requirements online anth apply online.
In addition regular food fairs at various locations.  Check website for schedule and locations.")</f>
        <v>Monthly groceries for pick-up or delivery for a year.
Check income requirements online anth apply online.
In addition regular food fairs at various locations.  Check website for schedule and locations.</v>
      </c>
      <c r="T909" s="12" t="b">
        <f>IFERROR(__xludf.DUMMYFUNCTION("""COMPUTED_VALUE"""),FALSE)</f>
        <v>0</v>
      </c>
      <c r="U909" s="12" t="b">
        <f>IFERROR(__xludf.DUMMYFUNCTION("""COMPUTED_VALUE"""),FALSE)</f>
        <v>0</v>
      </c>
      <c r="V909" s="13" t="str">
        <f>IFERROR(__xludf.DUMMYFUNCTION("""COMPUTED_VALUE"""),"https://www.targethunger.org/monthly-groceries/")</f>
        <v>https://www.targethunger.org/monthly-groceries/</v>
      </c>
      <c r="W909" s="14" t="str">
        <f>IFERROR(__xludf.DUMMYFUNCTION("""COMPUTED_VALUE"""),"https://www.google.com/maps/place/Target+Hunger/@29.7645666,-95.3143802,16z/data=!3m1!4b1!4m6!3m5!1s0x8640b92fd90d19f1:0x7b5bcf36f2190529!8m2!3d29.764562!4d-95.3118053!16s%2Fg%2F1tdp9_j5?entry=ttu&amp;g_ep=EgoyMDI1MTAwMS4wIKXMDSoASAFQAw%3D%3D")</f>
        <v>https://www.google.com/maps/place/Target+Hunger/@29.7645666,-95.3143802,16z/data=!3m1!4b1!4m6!3m5!1s0x8640b92fd90d19f1:0x7b5bcf36f2190529!8m2!3d29.764562!4d-95.3118053!16s%2Fg%2F1tdp9_j5?entry=ttu&amp;g_ep=EgoyMDI1MTAwMS4wIKXMDSoASAFQAw%3D%3D</v>
      </c>
      <c r="X909" s="10"/>
      <c r="Y909" s="9" t="str">
        <f>IFERROR(__xludf.DUMMYFUNCTION("""COMPUTED_VALUE"""),"Houston")</f>
        <v>Houston</v>
      </c>
      <c r="Z909" s="9" t="str">
        <f>IFERROR(__xludf.DUMMYFUNCTION("""COMPUTED_VALUE"""),"Denver Harbor / Port Houston, Fifth Ward, Northside")</f>
        <v>Denver Harbor / Port Houston, Fifth Ward, Northside</v>
      </c>
      <c r="AA909" s="9" t="str">
        <f>IFERROR(__xludf.DUMMYFUNCTION("""COMPUTED_VALUE"""),"Target Hunger")</f>
        <v>Target Hunger</v>
      </c>
      <c r="AB909" s="9" t="str">
        <f>IFERROR(__xludf.DUMMYFUNCTION("""COMPUTED_VALUE"""),"Denver Harbor / Port Houston")</f>
        <v>Denver Harbor / Port Houston</v>
      </c>
    </row>
    <row r="910" ht="30.0" customHeight="1">
      <c r="A910" s="17">
        <v>909.0</v>
      </c>
      <c r="B910" s="8" t="str">
        <f>IFERROR(__xludf.DUMMYFUNCTION("""COMPUTED_VALUE"""),"[""77011"", ""77012 77013"", ""77016"", ""77020 77023"", ""77026"", ""77028"", ""77029"", ""77078""]")</f>
        <v>["77011", "77012 77013", "77016", "77020 77023", "77026", "77028", "77029", "77078"]</v>
      </c>
      <c r="C910" s="9" t="str">
        <f>IFERROR(__xludf.DUMMYFUNCTION("""COMPUTED_VALUE"""),"Target Hunger")</f>
        <v>Target Hunger</v>
      </c>
      <c r="D910" s="9" t="str">
        <f>IFERROR(__xludf.DUMMYFUNCTION("""COMPUTED_VALUE"""),"1260 Shotwell Street")</f>
        <v>1260 Shotwell Street</v>
      </c>
      <c r="E910" s="9"/>
      <c r="F910" s="9" t="str">
        <f>IFERROR(__xludf.DUMMYFUNCTION("""COMPUTED_VALUE"""),"Houston")</f>
        <v>Houston</v>
      </c>
      <c r="G910" s="9" t="str">
        <f>IFERROR(__xludf.DUMMYFUNCTION("""COMPUTED_VALUE"""),"TX")</f>
        <v>TX</v>
      </c>
      <c r="H910" s="9" t="str">
        <f>IFERROR(__xludf.DUMMYFUNCTION("""COMPUTED_VALUE"""),"77020")</f>
        <v>77020</v>
      </c>
      <c r="I910" s="9" t="str">
        <f>IFERROR(__xludf.DUMMYFUNCTION("""COMPUTED_VALUE"""),"832-629-4866")</f>
        <v>832-629-4866</v>
      </c>
      <c r="J910" s="9" t="str">
        <f>IFERROR(__xludf.DUMMYFUNCTION("""COMPUTED_VALUE"""),"29.76489257374769, -95.31167654620104")</f>
        <v>29.76489257374769, -95.31167654620104</v>
      </c>
      <c r="K910" s="9" t="str">
        <f>IFERROR(__xludf.DUMMYFUNCTION("""COMPUTED_VALUE"""),"{""regular"":[{""days"":[""Mo"",""Tu"",""We"",""Th""],""open"":""08:30"",""close"":""15:30""}]}")</f>
        <v>{"regular":[{"days":["Mo","Tu","We","Th"],"open":"08:30","close":"15:30"}]}</v>
      </c>
      <c r="L910" s="9"/>
      <c r="M910" s="10">
        <f>IFERROR(__xludf.DUMMYFUNCTION("""COMPUTED_VALUE"""),35.0)</f>
        <v>35</v>
      </c>
      <c r="N910" s="10" t="str">
        <f>IFERROR(__xludf.DUMMYFUNCTION("""COMPUTED_VALUE"""),"Medical - Program Enrollment")</f>
        <v>Medical - Program Enrollment</v>
      </c>
      <c r="O910" s="10">
        <f>IFERROR(__xludf.DUMMYFUNCTION("""COMPUTED_VALUE"""),1.0)</f>
        <v>1</v>
      </c>
      <c r="P910" s="10" t="str">
        <f>IFERROR(__xludf.DUMMYFUNCTION("""COMPUTED_VALUE"""),"ACTIVE")</f>
        <v>ACTIVE</v>
      </c>
      <c r="Q910" s="11">
        <f>IFERROR(__xludf.DUMMYFUNCTION("""COMPUTED_VALUE"""),45936.0)</f>
        <v>45936</v>
      </c>
      <c r="R910" s="9" t="str">
        <f>IFERROR(__xludf.DUMMYFUNCTION("""COMPUTED_VALUE"""),"Verified online")</f>
        <v>Verified online</v>
      </c>
      <c r="S910" s="9" t="str">
        <f>IFERROR(__xludf.DUMMYFUNCTION("""COMPUTED_VALUE"""),"Navigation services.
Information and help applying for various government and community assistance programs, e.g. SNAP, medical insurance, healthcare, home repair, emergency financial assistance, etc.")</f>
        <v>Navigation services.
Information and help applying for various government and community assistance programs, e.g. SNAP, medical insurance, healthcare, home repair, emergency financial assistance, etc.</v>
      </c>
      <c r="T910" s="12" t="b">
        <f>IFERROR(__xludf.DUMMYFUNCTION("""COMPUTED_VALUE"""),FALSE)</f>
        <v>0</v>
      </c>
      <c r="U910" s="12" t="b">
        <f>IFERROR(__xludf.DUMMYFUNCTION("""COMPUTED_VALUE"""),FALSE)</f>
        <v>0</v>
      </c>
      <c r="V910" s="13" t="str">
        <f>IFERROR(__xludf.DUMMYFUNCTION("""COMPUTED_VALUE"""),"https://www.targethunger.org/navigation-services/")</f>
        <v>https://www.targethunger.org/navigation-services/</v>
      </c>
      <c r="W910" s="14" t="str">
        <f>IFERROR(__xludf.DUMMYFUNCTION("""COMPUTED_VALUE"""),"https://www.google.com/maps/place/Target+Hunger/@29.7645666,-95.3143802,16z/data=!3m1!4b1!4m6!3m5!1s0x8640b92fd90d19f1:0x7b5bcf36f2190529!8m2!3d29.764562!4d-95.3118053!16s%2Fg%2F1tdp9_j5?entry=ttu&amp;g_ep=EgoyMDI1MTAwMS4wIKXMDSoASAFQAw%3D%3D")</f>
        <v>https://www.google.com/maps/place/Target+Hunger/@29.7645666,-95.3143802,16z/data=!3m1!4b1!4m6!3m5!1s0x8640b92fd90d19f1:0x7b5bcf36f2190529!8m2!3d29.764562!4d-95.3118053!16s%2Fg%2F1tdp9_j5?entry=ttu&amp;g_ep=EgoyMDI1MTAwMS4wIKXMDSoASAFQAw%3D%3D</v>
      </c>
      <c r="X910" s="10"/>
      <c r="Y910" s="9" t="str">
        <f>IFERROR(__xludf.DUMMYFUNCTION("""COMPUTED_VALUE"""),"Houston")</f>
        <v>Houston</v>
      </c>
      <c r="Z910" s="9" t="str">
        <f>IFERROR(__xludf.DUMMYFUNCTION("""COMPUTED_VALUE"""),"Denver Harbor / Port Houston, Fifth Ward, Northside")</f>
        <v>Denver Harbor / Port Houston, Fifth Ward, Northside</v>
      </c>
      <c r="AA910" s="9" t="str">
        <f>IFERROR(__xludf.DUMMYFUNCTION("""COMPUTED_VALUE"""),"Target Hunger")</f>
        <v>Target Hunger</v>
      </c>
      <c r="AB910" s="9" t="str">
        <f>IFERROR(__xludf.DUMMYFUNCTION("""COMPUTED_VALUE"""),"Denver Harbor / Port Houston")</f>
        <v>Denver Harbor / Port Houston</v>
      </c>
    </row>
    <row r="911" ht="30.0" customHeight="1">
      <c r="A911" s="17">
        <v>910.0</v>
      </c>
      <c r="B911" s="8" t="str">
        <f>IFERROR(__xludf.DUMMYFUNCTION("""COMPUTED_VALUE"""),"[""99999""]")</f>
        <v>["99999"]</v>
      </c>
      <c r="C911" s="9" t="str">
        <f>IFERROR(__xludf.DUMMYFUNCTION("""COMPUTED_VALUE"""),"Texas Defender Service")</f>
        <v>Texas Defender Service</v>
      </c>
      <c r="D911" s="9" t="str">
        <f>IFERROR(__xludf.DUMMYFUNCTION("""COMPUTED_VALUE"""),"1927 Blodgett Street")</f>
        <v>1927 Blodgett Street</v>
      </c>
      <c r="E911" s="9"/>
      <c r="F911" s="9" t="str">
        <f>IFERROR(__xludf.DUMMYFUNCTION("""COMPUTED_VALUE"""),"Houston")</f>
        <v>Houston</v>
      </c>
      <c r="G911" s="9" t="str">
        <f>IFERROR(__xludf.DUMMYFUNCTION("""COMPUTED_VALUE"""),"TX")</f>
        <v>TX</v>
      </c>
      <c r="H911" s="9" t="str">
        <f>IFERROR(__xludf.DUMMYFUNCTION("""COMPUTED_VALUE"""),"77002")</f>
        <v>77002</v>
      </c>
      <c r="I911" s="9" t="str">
        <f>IFERROR(__xludf.DUMMYFUNCTION("""COMPUTED_VALUE"""),"713-222-7788")</f>
        <v>713-222-7788</v>
      </c>
      <c r="J911" s="9" t="str">
        <f>IFERROR(__xludf.DUMMYFUNCTION("""COMPUTED_VALUE"""),"29.727780788955574, -95.37583139639035")</f>
        <v>29.727780788955574, -95.37583139639035</v>
      </c>
      <c r="K911" s="9" t="str">
        <f>IFERROR(__xludf.DUMMYFUNCTION("""COMPUTED_VALUE"""),"{""regular"":[{""days"":[""Mo"",""Tu"",""We"",""Th"",""Fr""],""open"":""09:00"",""close"":""17:00""}]}")</f>
        <v>{"regular":[{"days":["Mo","Tu","We","Th","Fr"],"open":"09:00","close":"17:00"}]}</v>
      </c>
      <c r="L911" s="9"/>
      <c r="M911" s="10">
        <f>IFERROR(__xludf.DUMMYFUNCTION("""COMPUTED_VALUE"""),54.0)</f>
        <v>54</v>
      </c>
      <c r="N911" s="10" t="str">
        <f>IFERROR(__xludf.DUMMYFUNCTION("""COMPUTED_VALUE"""),"Legal")</f>
        <v>Legal</v>
      </c>
      <c r="O911" s="10">
        <f>IFERROR(__xludf.DUMMYFUNCTION("""COMPUTED_VALUE"""),1.0)</f>
        <v>1</v>
      </c>
      <c r="P911" s="10" t="str">
        <f>IFERROR(__xludf.DUMMYFUNCTION("""COMPUTED_VALUE"""),"ACTIVE")</f>
        <v>ACTIVE</v>
      </c>
      <c r="Q911" s="11">
        <f>IFERROR(__xludf.DUMMYFUNCTION("""COMPUTED_VALUE"""),46040.0)</f>
        <v>46040</v>
      </c>
      <c r="R911" s="9" t="str">
        <f>IFERROR(__xludf.DUMMYFUNCTION("""COMPUTED_VALUE"""),"Verified online")</f>
        <v>Verified online</v>
      </c>
      <c r="S911" s="9" t="str">
        <f>IFERROR(__xludf.DUMMYFUNCTION("""COMPUTED_VALUE"""),"Representation of people sentenced to excessive sentences including the death penalty.
Pro bono work consists of matching deserving candidates with pro bono attorneys.")</f>
        <v>Representation of people sentenced to excessive sentences including the death penalty.
Pro bono work consists of matching deserving candidates with pro bono attorneys.</v>
      </c>
      <c r="T911" s="12" t="b">
        <f>IFERROR(__xludf.DUMMYFUNCTION("""COMPUTED_VALUE"""),FALSE)</f>
        <v>0</v>
      </c>
      <c r="U911" s="12" t="b">
        <f>IFERROR(__xludf.DUMMYFUNCTION("""COMPUTED_VALUE"""),FALSE)</f>
        <v>0</v>
      </c>
      <c r="V911" s="13" t="str">
        <f>IFERROR(__xludf.DUMMYFUNCTION("""COMPUTED_VALUE"""),"https://www.texasdefender.org/what-we-do/")</f>
        <v>https://www.texasdefender.org/what-we-do/</v>
      </c>
      <c r="W911" s="14" t="str">
        <f>IFERROR(__xludf.DUMMYFUNCTION("""COMPUTED_VALUE"""),"https://www.google.com/maps/place/1927+Blodgett+St,+Houston,+TX+77004/@29.7274268,-95.3785029,16z/data=!3m1!4b1!4m6!3m5!1s0x8640bf759c02f9f9:0x3b910e3e61beb73e!8m2!3d29.7274268!4d-95.3759226!16s%2Fg%2F11b8v7zcpr?entry=ttu&amp;g_ep=EgoyMDI2MDExMy4wIKXMDSoKLDEw"&amp;"MDc5MjA2OUgBUAM%3D")</f>
        <v>https://www.google.com/maps/place/1927+Blodgett+St,+Houston,+TX+77004/@29.7274268,-95.3785029,16z/data=!3m1!4b1!4m6!3m5!1s0x8640bf759c02f9f9:0x3b910e3e61beb73e!8m2!3d29.7274268!4d-95.3759226!16s%2Fg%2F11b8v7zcpr?entry=ttu&amp;g_ep=EgoyMDI2MDExMy4wIKXMDSoKLDEwMDc5MjA2OUgBUAM%3D</v>
      </c>
      <c r="X911" s="10"/>
      <c r="Y911" s="9" t="str">
        <f>IFERROR(__xludf.DUMMYFUNCTION("""COMPUTED_VALUE"""),"Houston")</f>
        <v>Houston</v>
      </c>
      <c r="Z911"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911" s="9" t="str">
        <f>IFERROR(__xludf.DUMMYFUNCTION("""COMPUTED_VALUE"""),"Texas Defender Service")</f>
        <v>Texas Defender Service</v>
      </c>
      <c r="AB911" s="9" t="str">
        <f>IFERROR(__xludf.DUMMYFUNCTION("""COMPUTED_VALUE"""),"Downtown Houston")</f>
        <v>Downtown Houston</v>
      </c>
    </row>
    <row r="912" ht="30.0" customHeight="1">
      <c r="A912" s="17">
        <v>911.0</v>
      </c>
      <c r="B912" s="8" t="str">
        <f>IFERROR(__xludf.DUMMYFUNCTION("""COMPUTED_VALUE"""),"[""99999""]")</f>
        <v>["99999"]</v>
      </c>
      <c r="C912" s="9" t="str">
        <f>IFERROR(__xludf.DUMMYFUNCTION("""COMPUTED_VALUE"""),"Texas Health &amp; Human Services")</f>
        <v>Texas Health &amp; Human Services</v>
      </c>
      <c r="D912" s="9" t="str">
        <f>IFERROR(__xludf.DUMMYFUNCTION("""COMPUTED_VALUE"""),"3880 North Fwy")</f>
        <v>3880 North Fwy</v>
      </c>
      <c r="E912" s="9"/>
      <c r="F912" s="9" t="str">
        <f>IFERROR(__xludf.DUMMYFUNCTION("""COMPUTED_VALUE"""),"Houston")</f>
        <v>Houston</v>
      </c>
      <c r="G912" s="9" t="str">
        <f>IFERROR(__xludf.DUMMYFUNCTION("""COMPUTED_VALUE"""),"TX")</f>
        <v>TX</v>
      </c>
      <c r="H912" s="9" t="str">
        <f>IFERROR(__xludf.DUMMYFUNCTION("""COMPUTED_VALUE"""),"77022")</f>
        <v>77022</v>
      </c>
      <c r="I912" s="9" t="str">
        <f>IFERROR(__xludf.DUMMYFUNCTION("""COMPUTED_VALUE"""),"713-699-1098")</f>
        <v>713-699-1098</v>
      </c>
      <c r="J912" s="9" t="str">
        <f>IFERROR(__xludf.DUMMYFUNCTION("""COMPUTED_VALUE"""),"29.821225, -95.3782720169492")</f>
        <v>29.821225, -95.3782720169492</v>
      </c>
      <c r="K912" s="9" t="str">
        <f>IFERROR(__xludf.DUMMYFUNCTION("""COMPUTED_VALUE"""),"{""regular"":[{""days"":[""Mo"",""Tu"",""We"",""Th"",""Fr""],""open"":""08:00"",""close"":""17:00""}]}")</f>
        <v>{"regular":[{"days":["Mo","Tu","We","Th","Fr"],"open":"08:00","close":"17:00"}]}</v>
      </c>
      <c r="L912" s="9"/>
      <c r="M912" s="10">
        <f>IFERROR(__xludf.DUMMYFUNCTION("""COMPUTED_VALUE"""),35.0)</f>
        <v>35</v>
      </c>
      <c r="N912" s="10" t="str">
        <f>IFERROR(__xludf.DUMMYFUNCTION("""COMPUTED_VALUE"""),"Medical - Program Enrollment")</f>
        <v>Medical - Program Enrollment</v>
      </c>
      <c r="O912" s="10">
        <f>IFERROR(__xludf.DUMMYFUNCTION("""COMPUTED_VALUE"""),1.0)</f>
        <v>1</v>
      </c>
      <c r="P912" s="10" t="str">
        <f>IFERROR(__xludf.DUMMYFUNCTION("""COMPUTED_VALUE"""),"ACTIVE")</f>
        <v>ACTIVE</v>
      </c>
      <c r="Q912" s="11"/>
      <c r="R912" s="9"/>
      <c r="S912" s="9" t="str">
        <f>IFERROR(__xludf.DUMMYFUNCTION("""COMPUTED_VALUE"""),"Medicaid and Children's Health Insurance Program (CHIP).
US Citizens/Permanent Residents.")</f>
        <v>Medicaid and Children's Health Insurance Program (CHIP).
US Citizens/Permanent Residents.</v>
      </c>
      <c r="T912" s="12" t="b">
        <f>IFERROR(__xludf.DUMMYFUNCTION("""COMPUTED_VALUE"""),FALSE)</f>
        <v>0</v>
      </c>
      <c r="U912" s="12" t="b">
        <f>IFERROR(__xludf.DUMMYFUNCTION("""COMPUTED_VALUE"""),FALSE)</f>
        <v>0</v>
      </c>
      <c r="V912" s="13" t="str">
        <f>IFERROR(__xludf.DUMMYFUNCTION("""COMPUTED_VALUE"""),"https://www.hhs.texas.gov/services/health/medicaid-chip")</f>
        <v>https://www.hhs.texas.gov/services/health/medicaid-chip</v>
      </c>
      <c r="W912" s="14" t="str">
        <f>IFERROR(__xludf.DUMMYFUNCTION("""COMPUTED_VALUE"""),"https://www.google.com/maps/place/3880+North+Fwy,+Houston,+TX+77022/@29.8211947,-95.3767647,18z/data=!4m6!3m5!1s0x8640b86181256a6d:0x49bcc30ecbc43268!8m2!3d29.8211901!4d-95.3780468!16s%2Fg%2F11b8yd7_qp?entry=ttu&amp;g_ep=EgoyMDI1MDcwOS4wIKXMDSoASAFQAw%3D%3D")</f>
        <v>https://www.google.com/maps/place/3880+North+Fwy,+Houston,+TX+77022/@29.8211947,-95.3767647,18z/data=!4m6!3m5!1s0x8640b86181256a6d:0x49bcc30ecbc43268!8m2!3d29.8211901!4d-95.3780468!16s%2Fg%2F11b8yd7_qp?entry=ttu&amp;g_ep=EgoyMDI1MDcwOS4wIKXMDSoASAFQAw%3D%3D</v>
      </c>
      <c r="X912" s="10"/>
      <c r="Y912" s="9" t="str">
        <f>IFERROR(__xludf.DUMMYFUNCTION("""COMPUTED_VALUE"""),"Houston")</f>
        <v>Houston</v>
      </c>
      <c r="Z912" s="9" t="str">
        <f>IFERROR(__xludf.DUMMYFUNCTION("""COMPUTED_VALUE"""),"Independence Heights, Northline, Northside / Northline")</f>
        <v>Independence Heights, Northline, Northside / Northline</v>
      </c>
      <c r="AA912" s="9" t="str">
        <f>IFERROR(__xludf.DUMMYFUNCTION("""COMPUTED_VALUE"""),"Texas Health &amp; Human Services")</f>
        <v>Texas Health &amp; Human Services</v>
      </c>
      <c r="AB912" s="9" t="str">
        <f>IFERROR(__xludf.DUMMYFUNCTION("""COMPUTED_VALUE"""),"Northside / Northline")</f>
        <v>Northside / Northline</v>
      </c>
    </row>
    <row r="913" ht="30.0" customHeight="1">
      <c r="A913" s="17">
        <v>912.0</v>
      </c>
      <c r="B913" s="8" t="str">
        <f>IFERROR(__xludf.DUMMYFUNCTION("""COMPUTED_VALUE"""),"[""99999""]")</f>
        <v>["99999"]</v>
      </c>
      <c r="C913" s="9" t="str">
        <f>IFERROR(__xludf.DUMMYFUNCTION("""COMPUTED_VALUE"""),"Texas Legal Services Center")</f>
        <v>Texas Legal Services Center</v>
      </c>
      <c r="D913" s="9" t="str">
        <f>IFERROR(__xludf.DUMMYFUNCTION("""COMPUTED_VALUE"""),"1302 Preston Street")</f>
        <v>1302 Preston Street</v>
      </c>
      <c r="E913" s="9" t="str">
        <f>IFERROR(__xludf.DUMMYFUNCTION("""COMPUTED_VALUE"""),"2nd Floor")</f>
        <v>2nd Floor</v>
      </c>
      <c r="F913" s="9" t="str">
        <f>IFERROR(__xludf.DUMMYFUNCTION("""COMPUTED_VALUE"""),"Houston")</f>
        <v>Houston</v>
      </c>
      <c r="G913" s="9" t="str">
        <f>IFERROR(__xludf.DUMMYFUNCTION("""COMPUTED_VALUE"""),"TX")</f>
        <v>TX</v>
      </c>
      <c r="H913" s="9" t="str">
        <f>IFERROR(__xludf.DUMMYFUNCTION("""COMPUTED_VALUE"""),"77002")</f>
        <v>77002</v>
      </c>
      <c r="I913" s="9" t="str">
        <f>IFERROR(__xludf.DUMMYFUNCTION("""COMPUTED_VALUE"""),"713-274-0605")</f>
        <v>713-274-0605</v>
      </c>
      <c r="J913" s="9" t="str">
        <f>IFERROR(__xludf.DUMMYFUNCTION("""COMPUTED_VALUE"""),"29.759791768954745, -95.35849473700543")</f>
        <v>29.759791768954745, -95.35849473700543</v>
      </c>
      <c r="K913" s="9" t="str">
        <f>IFERROR(__xludf.DUMMYFUNCTION("""COMPUTED_VALUE"""),"{""regular"":[{""days"":[""Mo"",""Tu"",""We"",""Th"",""Fr""],""open"":""08:00"",""close"":""16:30""}]}")</f>
        <v>{"regular":[{"days":["Mo","Tu","We","Th","Fr"],"open":"08:00","close":"16:30"}]}</v>
      </c>
      <c r="L913" s="9" t="str">
        <f>IFERROR(__xludf.DUMMYFUNCTION("""COMPUTED_VALUE"""),"Walk-in only")</f>
        <v>Walk-in only</v>
      </c>
      <c r="M913" s="10">
        <f>IFERROR(__xludf.DUMMYFUNCTION("""COMPUTED_VALUE"""),54.0)</f>
        <v>54</v>
      </c>
      <c r="N913" s="10" t="str">
        <f>IFERROR(__xludf.DUMMYFUNCTION("""COMPUTED_VALUE"""),"Legal")</f>
        <v>Legal</v>
      </c>
      <c r="O913" s="10">
        <f>IFERROR(__xludf.DUMMYFUNCTION("""COMPUTED_VALUE"""),1.0)</f>
        <v>1</v>
      </c>
      <c r="P913" s="10" t="str">
        <f>IFERROR(__xludf.DUMMYFUNCTION("""COMPUTED_VALUE"""),"ACTIVE")</f>
        <v>ACTIVE</v>
      </c>
      <c r="Q913" s="11">
        <f>IFERROR(__xludf.DUMMYFUNCTION("""COMPUTED_VALUE"""),46023.0)</f>
        <v>46023</v>
      </c>
      <c r="R913" s="9"/>
      <c r="S913" s="9" t="str">
        <f>IFERROR(__xludf.DUMMYFUNCTION("""COMPUTED_VALUE"""),"Kiosk located in Harris County Justice of the Peace Precinct 1, Place 2.
Kiosks are available to attend virtual court hearings, attend telehealth appointments, job interviews or meeting with attorneys.  You can also research common legal issues.  Printers"&amp;" and scanners are available for free.
Legal advice is available for Texans who meet income requirements.")</f>
        <v>Kiosk located in Harris County Justice of the Peace Precinct 1, Place 2.
Kiosks are available to attend virtual court hearings, attend telehealth appointments, job interviews or meeting with attorneys.  You can also research common legal issues.  Printers and scanners are available for free.
Legal advice is available for Texans who meet income requirements.</v>
      </c>
      <c r="T913" s="12" t="b">
        <f>IFERROR(__xludf.DUMMYFUNCTION("""COMPUTED_VALUE"""),FALSE)</f>
        <v>0</v>
      </c>
      <c r="U913" s="12" t="b">
        <f>IFERROR(__xludf.DUMMYFUNCTION("""COMPUTED_VALUE"""),FALSE)</f>
        <v>0</v>
      </c>
      <c r="V913" s="13" t="str">
        <f>IFERROR(__xludf.DUMMYFUNCTION("""COMPUTED_VALUE"""),"https://www.tlsc.org/kiosks")</f>
        <v>https://www.tlsc.org/kiosks</v>
      </c>
      <c r="W913" s="14" t="str">
        <f>IFERROR(__xludf.DUMMYFUNCTION("""COMPUTED_VALUE"""),"https://www.google.com/maps/place/1302+Preston+St,+Houston,+TX+77002/@29.7595822,-95.3610911,17z/data=!3m1!4b1!4m6!3m5!1s0x8640bf25c8077653:0x5b9a93ebe6cc0ec7!8m2!3d29.7595776!4d-95.3585162!16s%2Fg%2F11c23gtcj3?entry=ttu&amp;g_ep=EgoyMDI1MTIwOS4wIKXMDSoKLDEwM"&amp;"Dc5MjA2OUgBUAM%3D")</f>
        <v>https://www.google.com/maps/place/1302+Preston+St,+Houston,+TX+77002/@29.7595822,-95.3610911,17z/data=!3m1!4b1!4m6!3m5!1s0x8640bf25c8077653:0x5b9a93ebe6cc0ec7!8m2!3d29.7595776!4d-95.3585162!16s%2Fg%2F11c23gtcj3?entry=ttu&amp;g_ep=EgoyMDI1MTIwOS4wIKXMDSoKLDEwMDc5MjA2OUgBUAM%3D</v>
      </c>
      <c r="X913" s="10"/>
      <c r="Y913" s="9" t="str">
        <f>IFERROR(__xludf.DUMMYFUNCTION("""COMPUTED_VALUE"""),"Houston")</f>
        <v>Houston</v>
      </c>
      <c r="Z913"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913" s="9" t="str">
        <f>IFERROR(__xludf.DUMMYFUNCTION("""COMPUTED_VALUE"""),"Texas Legal Services Center")</f>
        <v>Texas Legal Services Center</v>
      </c>
      <c r="AB913" s="9" t="str">
        <f>IFERROR(__xludf.DUMMYFUNCTION("""COMPUTED_VALUE"""),"Downtown Houston")</f>
        <v>Downtown Houston</v>
      </c>
    </row>
    <row r="914" ht="30.0" customHeight="1">
      <c r="A914" s="17">
        <v>913.0</v>
      </c>
      <c r="B914" s="8" t="str">
        <f>IFERROR(__xludf.DUMMYFUNCTION("""COMPUTED_VALUE"""),"[""99999""]")</f>
        <v>["99999"]</v>
      </c>
      <c r="C914" s="9" t="str">
        <f>IFERROR(__xludf.DUMMYFUNCTION("""COMPUTED_VALUE"""),"Texas National Guard Family Support Foundation")</f>
        <v>Texas National Guard Family Support Foundation</v>
      </c>
      <c r="D914" s="9" t="str">
        <f>IFERROR(__xludf.DUMMYFUNCTION("""COMPUTED_VALUE"""),"2008 T H Jones Mill Way")</f>
        <v>2008 T H Jones Mill Way</v>
      </c>
      <c r="E914" s="9"/>
      <c r="F914" s="9" t="str">
        <f>IFERROR(__xludf.DUMMYFUNCTION("""COMPUTED_VALUE"""),"Salado")</f>
        <v>Salado</v>
      </c>
      <c r="G914" s="9" t="str">
        <f>IFERROR(__xludf.DUMMYFUNCTION("""COMPUTED_VALUE"""),"TX")</f>
        <v>TX</v>
      </c>
      <c r="H914" s="9" t="str">
        <f>IFERROR(__xludf.DUMMYFUNCTION("""COMPUTED_VALUE"""),"76571")</f>
        <v>76571</v>
      </c>
      <c r="I914" s="9" t="str">
        <f>IFERROR(__xludf.DUMMYFUNCTION("""COMPUTED_VALUE"""),"512-535-0053")</f>
        <v>512-535-0053</v>
      </c>
      <c r="J914" s="9" t="str">
        <f>IFERROR(__xludf.DUMMYFUNCTION("""COMPUTED_VALUE"""),"30.959731558901904, -97.51043082493209")</f>
        <v>30.959731558901904, -97.51043082493209</v>
      </c>
      <c r="K914" s="9" t="str">
        <f>IFERROR(__xludf.DUMMYFUNCTION("""COMPUTED_VALUE"""),"{""regular"":[{""days"":[""Mo"",""Tu"",""We"",""Th"",""Fr""],""open"":""09:00"",""close"":""17:00""}]}")</f>
        <v>{"regular":[{"days":["Mo","Tu","We","Th","Fr"],"open":"09:00","close":"17:00"}]}</v>
      </c>
      <c r="L914" s="9" t="str">
        <f>IFERROR(__xludf.DUMMYFUNCTION("""COMPUTED_VALUE"""),"Apply online")</f>
        <v>Apply online</v>
      </c>
      <c r="M914" s="10">
        <f>IFERROR(__xludf.DUMMYFUNCTION("""COMPUTED_VALUE"""),56.0)</f>
        <v>56</v>
      </c>
      <c r="N914" s="10" t="str">
        <f>IFERROR(__xludf.DUMMYFUNCTION("""COMPUTED_VALUE"""),"Veterans")</f>
        <v>Veterans</v>
      </c>
      <c r="O914" s="10">
        <f>IFERROR(__xludf.DUMMYFUNCTION("""COMPUTED_VALUE"""),1.0)</f>
        <v>1</v>
      </c>
      <c r="P914" s="10" t="str">
        <f>IFERROR(__xludf.DUMMYFUNCTION("""COMPUTED_VALUE"""),"ACTIVE")</f>
        <v>ACTIVE</v>
      </c>
      <c r="Q914" s="11">
        <f>IFERROR(__xludf.DUMMYFUNCTION("""COMPUTED_VALUE"""),46070.0)</f>
        <v>46070</v>
      </c>
      <c r="R914" s="9" t="str">
        <f>IFERROR(__xludf.DUMMYFUNCTION("""COMPUTED_VALUE"""),"Verified online")</f>
        <v>Verified online</v>
      </c>
      <c r="S914" s="9" t="str">
        <f>IFERROR(__xludf.DUMMYFUNCTION("""COMPUTED_VALUE"""),"Emergency financial assistance  for mortgage, rent, utilities, phone, vehicle loan, insurance, etc for Texas Guard members.
While their website states limited to Guard members this program is funded by the Texas Veterans Commission (TVC) and are listed on"&amp;" TVC's website as providing support to veterans.")</f>
        <v>Emergency financial assistance  for mortgage, rent, utilities, phone, vehicle loan, insurance, etc for Texas Guard members.
While their website states limited to Guard members this program is funded by the Texas Veterans Commission (TVC) and are listed on TVC's website as providing support to veterans.</v>
      </c>
      <c r="T914" s="12" t="b">
        <f>IFERROR(__xludf.DUMMYFUNCTION("""COMPUTED_VALUE"""),FALSE)</f>
        <v>0</v>
      </c>
      <c r="U914" s="12" t="b">
        <f>IFERROR(__xludf.DUMMYFUNCTION("""COMPUTED_VALUE"""),FALSE)</f>
        <v>0</v>
      </c>
      <c r="V914" s="13" t="str">
        <f>IFERROR(__xludf.DUMMYFUNCTION("""COMPUTED_VALUE"""),"https://www.txngfsf.org/emergency-assistance")</f>
        <v>https://www.txngfsf.org/emergency-assistance</v>
      </c>
      <c r="W914" s="14" t="str">
        <f>IFERROR(__xludf.DUMMYFUNCTION("""COMPUTED_VALUE"""),"https://www.google.com/maps/place/2008+Th+Jones+Ml+Wy,+Salado,+TX+76571/@30.959497,-97.5129199,17z/data=!3m1!4b1!4m6!3m5!1s0x86453ea43a452dd1:0x8c8aa755ba98b679!8m2!3d30.9594924!4d-97.510345!16s%2Fg%2F11p_82zj3p?entry=ttu&amp;g_ep=EgoyMDI2MDIxMS4wIKXMDSoASAFQ"&amp;"Aw%3D%3D")</f>
        <v>https://www.google.com/maps/place/2008+Th+Jones+Ml+Wy,+Salado,+TX+76571/@30.959497,-97.5129199,17z/data=!3m1!4b1!4m6!3m5!1s0x86453ea43a452dd1:0x8c8aa755ba98b679!8m2!3d30.9594924!4d-97.510345!16s%2Fg%2F11p_82zj3p?entry=ttu&amp;g_ep=EgoyMDI2MDIxMS4wIKXMDSoASAFQAw%3D%3D</v>
      </c>
      <c r="X914" s="10"/>
      <c r="Y914" s="9" t="str">
        <f>IFERROR(__xludf.DUMMYFUNCTION("""COMPUTED_VALUE"""),"Salado")</f>
        <v>Salado</v>
      </c>
      <c r="Z914" s="9" t="str">
        <f>IFERROR(__xludf.DUMMYFUNCTION("""COMPUTED_VALUE"""),"Salado")</f>
        <v>Salado</v>
      </c>
      <c r="AA914" s="9" t="str">
        <f>IFERROR(__xludf.DUMMYFUNCTION("""COMPUTED_VALUE"""),"Texas National Guard Family Support Foundation")</f>
        <v>Texas National Guard Family Support Foundation</v>
      </c>
      <c r="AB914" s="9" t="str">
        <f>IFERROR(__xludf.DUMMYFUNCTION("""COMPUTED_VALUE"""),"Salado")</f>
        <v>Salado</v>
      </c>
    </row>
    <row r="915" ht="30.0" customHeight="1">
      <c r="A915" s="17">
        <v>914.0</v>
      </c>
      <c r="B915" s="8" t="str">
        <f>IFERROR(__xludf.DUMMYFUNCTION("""COMPUTED_VALUE"""),"[""99999""]")</f>
        <v>["99999"]</v>
      </c>
      <c r="C915" s="9" t="str">
        <f>IFERROR(__xludf.DUMMYFUNCTION("""COMPUTED_VALUE"""),"Texas Rio Grande Legal Aid")</f>
        <v>Texas Rio Grande Legal Aid</v>
      </c>
      <c r="D915" s="9" t="str">
        <f>IFERROR(__xludf.DUMMYFUNCTION("""COMPUTED_VALUE"""),"4920 N Interstate Hwy 35")</f>
        <v>4920 N Interstate Hwy 35</v>
      </c>
      <c r="E915" s="9"/>
      <c r="F915" s="9" t="str">
        <f>IFERROR(__xludf.DUMMYFUNCTION("""COMPUTED_VALUE"""),"Austin")</f>
        <v>Austin</v>
      </c>
      <c r="G915" s="9" t="str">
        <f>IFERROR(__xludf.DUMMYFUNCTION("""COMPUTED_VALUE"""),"TX")</f>
        <v>TX</v>
      </c>
      <c r="H915" s="9" t="str">
        <f>IFERROR(__xludf.DUMMYFUNCTION("""COMPUTED_VALUE"""),"78751")</f>
        <v>78751</v>
      </c>
      <c r="I915" s="9" t="str">
        <f>IFERROR(__xludf.DUMMYFUNCTION("""COMPUTED_VALUE"""),"956-996-8752")</f>
        <v>956-996-8752</v>
      </c>
      <c r="J915" s="9" t="str">
        <f>IFERROR(__xludf.DUMMYFUNCTION("""COMPUTED_VALUE"""),"30.371194640927637, -97.69667308114192")</f>
        <v>30.371194640927637, -97.69667308114192</v>
      </c>
      <c r="K915" s="9" t="str">
        <f>IFERROR(__xludf.DUMMYFUNCTION("""COMPUTED_VALUE"""),"{""regular"":[{""days"":[""Mo"",""Tu"",""We"",""Th"",""Fr""],""open"":null,""close"":null}]}")</f>
        <v>{"regular":[{"days":["Mo","Tu","We","Th","Fr"],"open":null,"close":null}]}</v>
      </c>
      <c r="L915" s="9"/>
      <c r="M915" s="10">
        <f>IFERROR(__xludf.DUMMYFUNCTION("""COMPUTED_VALUE"""),55.0)</f>
        <v>55</v>
      </c>
      <c r="N915" s="10" t="str">
        <f>IFERROR(__xludf.DUMMYFUNCTION("""COMPUTED_VALUE"""),"Immigration")</f>
        <v>Immigration</v>
      </c>
      <c r="O915" s="10">
        <f>IFERROR(__xludf.DUMMYFUNCTION("""COMPUTED_VALUE"""),1.0)</f>
        <v>1</v>
      </c>
      <c r="P915" s="10" t="str">
        <f>IFERROR(__xludf.DUMMYFUNCTION("""COMPUTED_VALUE"""),"ACTIVE")</f>
        <v>ACTIVE</v>
      </c>
      <c r="Q915" s="11">
        <f>IFERROR(__xludf.DUMMYFUNCTION("""COMPUTED_VALUE"""),45757.0)</f>
        <v>45757</v>
      </c>
      <c r="R915" s="9"/>
      <c r="S915" s="9" t="str">
        <f>IFERROR(__xludf.DUMMYFUNCTION("""COMPUTED_VALUE"""),"Immigration Preparedness Kit in English only.
Learn how to protect yourself and your family in case of contact with Immigration or Police.
Make a Safety Plan for your family, Sample Special Power of Attorney, List of Essential Documents, etc.")</f>
        <v>Immigration Preparedness Kit in English only.
Learn how to protect yourself and your family in case of contact with Immigration or Police.
Make a Safety Plan for your family, Sample Special Power of Attorney, List of Essential Documents, etc.</v>
      </c>
      <c r="T915" s="12" t="b">
        <f>IFERROR(__xludf.DUMMYFUNCTION("""COMPUTED_VALUE"""),FALSE)</f>
        <v>0</v>
      </c>
      <c r="U915" s="12" t="b">
        <f>IFERROR(__xludf.DUMMYFUNCTION("""COMPUTED_VALUE"""),FALSE)</f>
        <v>0</v>
      </c>
      <c r="V915" s="13" t="str">
        <f>IFERROR(__xludf.DUMMYFUNCTION("""COMPUTED_VALUE"""),"https://www.trla.org/")</f>
        <v>https://www.trla.org/</v>
      </c>
      <c r="W915" s="14" t="str">
        <f>IFERROR(__xludf.DUMMYFUNCTION("""COMPUTED_VALUE"""),"https://www.google.com/maps/place/Texas+RioGrande+Legal+Aid/@29.6941615,-97.3275276,9z/data=!4m10!1m2!2m1!1sTexas+RioGrande+Legal+Aid!3m6!1s0x8644ca0efe7ed18d:0x9b98d86b3e60fe84!8m2!3d30.309061!4d-97.7121734!15sChlUZXhhcyBSaW9HcmFuZGUgTGVnYWwgQWlkIgOIAQGS"&amp;"AQ5sZWdhbF9zZXJ2aWNlc6oBdAoNL2cvMTFiYzV2am4xbQoIL20vMDdiX2wQASoXIhNyaW9ncmFuZGUgbGVnYWwgYWlkKAAyHxABIhvX3X7zDH3i_mTUY0WEH4k-hDYx60Ms1d9BTZcyHRACIhl0ZXhhcyByaW9ncmFuZGUgbGVnYWwgYWlk4AEA!16s%2Fg%2F1tgzbr7d?entry=ttu&amp;g_ep=EgoyMDI1MDcwOS4wIKXMDSoASAFQAw%3D%3D")</f>
        <v>https://www.google.com/maps/place/Texas+RioGrande+Legal+Aid/@29.6941615,-97.3275276,9z/data=!4m10!1m2!2m1!1sTexas+RioGrande+Legal+Aid!3m6!1s0x8644ca0efe7ed18d:0x9b98d86b3e60fe84!8m2!3d30.309061!4d-97.7121734!15sChlUZXhhcyBSaW9HcmFuZGUgTGVnYWwgQWlkIgOIAQGSAQ5sZWdhbF9zZXJ2aWNlc6oBdAoNL2cvMTFiYzV2am4xbQoIL20vMDdiX2wQASoXIhNyaW9ncmFuZGUgbGVnYWwgYWlkKAAyHxABIhvX3X7zDH3i_mTUY0WEH4k-hDYx60Ms1d9BTZcyHRACIhl0ZXhhcyByaW9ncmFuZGUgbGVnYWwgYWlk4AEA!16s%2Fg%2F1tgzbr7d?entry=ttu&amp;g_ep=EgoyMDI1MDcwOS4wIKXMDSoASAFQAw%3D%3D</v>
      </c>
      <c r="X915" s="10"/>
      <c r="Y915" s="9" t="str">
        <f>IFERROR(__xludf.DUMMYFUNCTION("""COMPUTED_VALUE"""),"Austin")</f>
        <v>Austin</v>
      </c>
      <c r="Z915" s="9" t="str">
        <f>IFERROR(__xludf.DUMMYFUNCTION("""COMPUTED_VALUE"""),"Hyde Park")</f>
        <v>Hyde Park</v>
      </c>
      <c r="AA915" s="9" t="str">
        <f>IFERROR(__xludf.DUMMYFUNCTION("""COMPUTED_VALUE"""),"Texas Rio Grande Legal Aid")</f>
        <v>Texas Rio Grande Legal Aid</v>
      </c>
      <c r="AB915" s="9" t="str">
        <f>IFERROR(__xludf.DUMMYFUNCTION("""COMPUTED_VALUE"""),"Hyde Park")</f>
        <v>Hyde Park</v>
      </c>
    </row>
    <row r="916" ht="30.0" customHeight="1">
      <c r="A916" s="17">
        <v>915.0</v>
      </c>
      <c r="B916" s="8" t="str">
        <f>IFERROR(__xludf.DUMMYFUNCTION("""COMPUTED_VALUE"""),"[""99999""]")</f>
        <v>["99999"]</v>
      </c>
      <c r="C916" s="9" t="str">
        <f>IFERROR(__xludf.DUMMYFUNCTION("""COMPUTED_VALUE"""),"Texas Temporary Assistance for Needy Families (TANF)")</f>
        <v>Texas Temporary Assistance for Needy Families (TANF)</v>
      </c>
      <c r="D916" s="9" t="str">
        <f>IFERROR(__xludf.DUMMYFUNCTION("""COMPUTED_VALUE"""),"3880 North Fwy")</f>
        <v>3880 North Fwy</v>
      </c>
      <c r="E916" s="9"/>
      <c r="F916" s="9" t="str">
        <f>IFERROR(__xludf.DUMMYFUNCTION("""COMPUTED_VALUE"""),"Houston")</f>
        <v>Houston</v>
      </c>
      <c r="G916" s="9" t="str">
        <f>IFERROR(__xludf.DUMMYFUNCTION("""COMPUTED_VALUE"""),"TX")</f>
        <v>TX</v>
      </c>
      <c r="H916" s="9" t="str">
        <f>IFERROR(__xludf.DUMMYFUNCTION("""COMPUTED_VALUE"""),"77022")</f>
        <v>77022</v>
      </c>
      <c r="I916" s="9" t="str">
        <f>IFERROR(__xludf.DUMMYFUNCTION("""COMPUTED_VALUE"""),"713-699-1098")</f>
        <v>713-699-1098</v>
      </c>
      <c r="J916" s="9" t="str">
        <f>IFERROR(__xludf.DUMMYFUNCTION("""COMPUTED_VALUE"""),"29.821225, -95.3782720169492")</f>
        <v>29.821225, -95.3782720169492</v>
      </c>
      <c r="K916" s="9" t="str">
        <f>IFERROR(__xludf.DUMMYFUNCTION("""COMPUTED_VALUE"""),"{""regular"":[{""days"":[""Mo"",""Tu"",""We"",""Th"",""Fr""],""open"":""08:00"",""close"":""17:00""}]}")</f>
        <v>{"regular":[{"days":["Mo","Tu","We","Th","Fr"],"open":"08:00","close":"17:00"}]}</v>
      </c>
      <c r="L916" s="9" t="str">
        <f>IFERROR(__xludf.DUMMYFUNCTION("""COMPUTED_VALUE"""),"Apply online")</f>
        <v>Apply online</v>
      </c>
      <c r="M916" s="10">
        <f>IFERROR(__xludf.DUMMYFUNCTION("""COMPUTED_VALUE"""),11.0)</f>
        <v>11</v>
      </c>
      <c r="N916" s="10" t="str">
        <f>IFERROR(__xludf.DUMMYFUNCTION("""COMPUTED_VALUE"""),"Rent")</f>
        <v>Rent</v>
      </c>
      <c r="O916" s="10">
        <f>IFERROR(__xludf.DUMMYFUNCTION("""COMPUTED_VALUE"""),1.0)</f>
        <v>1</v>
      </c>
      <c r="P916" s="10" t="str">
        <f>IFERROR(__xludf.DUMMYFUNCTION("""COMPUTED_VALUE"""),"ACTIVE")</f>
        <v>ACTIVE</v>
      </c>
      <c r="Q916" s="11"/>
      <c r="R916" s="9"/>
      <c r="S916" s="9" t="str">
        <f>IFERROR(__xludf.DUMMYFUNCTION("""COMPUTED_VALUE"""),"Monthly cash payments to help pay for food, clothing, housing, utilities and other basic needs.
Have a child 18 years of age or younger, be pregnant or be 18 or younger and head of household.
Resident of Texas
US Citizens/Permanent Residents.
Unemployed o"&amp;"r underemployed with low or very low income.
")</f>
        <v>Monthly cash payments to help pay for food, clothing, housing, utilities and other basic needs.
Have a child 18 years of age or younger, be pregnant or be 18 or younger and head of household.
Resident of Texas
US Citizens/Permanent Residents.
Unemployed or underemployed with low or very low income.
</v>
      </c>
      <c r="T916" s="12" t="b">
        <f>IFERROR(__xludf.DUMMYFUNCTION("""COMPUTED_VALUE"""),FALSE)</f>
        <v>0</v>
      </c>
      <c r="U916" s="12" t="b">
        <f>IFERROR(__xludf.DUMMYFUNCTION("""COMPUTED_VALUE"""),FALSE)</f>
        <v>0</v>
      </c>
      <c r="V916" s="13" t="str">
        <f>IFERROR(__xludf.DUMMYFUNCTION("""COMPUTED_VALUE"""),"https://www.hhs.texas.gov/services/financial/cash/tanf-cash-help")</f>
        <v>https://www.hhs.texas.gov/services/financial/cash/tanf-cash-help</v>
      </c>
      <c r="W916" s="14" t="str">
        <f>IFERROR(__xludf.DUMMYFUNCTION("""COMPUTED_VALUE"""),"https://www.google.com/maps/place/3880+North+Fwy,+Houston,+TX+77022/@29.8211947,-95.3767647,18z/data=!4m6!3m5!1s0x8640b86181256a6d:0x49bcc30ecbc43268!8m2!3d29.8211901!4d-95.3780468!16s%2Fg%2F11b8yd7_qp?entry=ttu&amp;g_ep=EgoyMDI1MDcwOS4wIKXMDSoASAFQAw%3D%3D")</f>
        <v>https://www.google.com/maps/place/3880+North+Fwy,+Houston,+TX+77022/@29.8211947,-95.3767647,18z/data=!4m6!3m5!1s0x8640b86181256a6d:0x49bcc30ecbc43268!8m2!3d29.8211901!4d-95.3780468!16s%2Fg%2F11b8yd7_qp?entry=ttu&amp;g_ep=EgoyMDI1MDcwOS4wIKXMDSoASAFQAw%3D%3D</v>
      </c>
      <c r="X916" s="10"/>
      <c r="Y916" s="9" t="str">
        <f>IFERROR(__xludf.DUMMYFUNCTION("""COMPUTED_VALUE"""),"Houston")</f>
        <v>Houston</v>
      </c>
      <c r="Z916" s="9" t="str">
        <f>IFERROR(__xludf.DUMMYFUNCTION("""COMPUTED_VALUE"""),"Independence Heights, Northline, Northside / Northline")</f>
        <v>Independence Heights, Northline, Northside / Northline</v>
      </c>
      <c r="AA916" s="9" t="str">
        <f>IFERROR(__xludf.DUMMYFUNCTION("""COMPUTED_VALUE"""),"Texas Temporary Assistance for Needy Families (TANF)")</f>
        <v>Texas Temporary Assistance for Needy Families (TANF)</v>
      </c>
      <c r="AB916" s="9" t="str">
        <f>IFERROR(__xludf.DUMMYFUNCTION("""COMPUTED_VALUE"""),"Northside / Northline")</f>
        <v>Northside / Northline</v>
      </c>
    </row>
    <row r="917" ht="30.0" customHeight="1">
      <c r="A917" s="17">
        <v>916.0</v>
      </c>
      <c r="B917" s="8" t="str">
        <f>IFERROR(__xludf.DUMMYFUNCTION("""COMPUTED_VALUE"""),"[""99999""]")</f>
        <v>["99999"]</v>
      </c>
      <c r="C917" s="9" t="str">
        <f>IFERROR(__xludf.DUMMYFUNCTION("""COMPUTED_VALUE"""),"Texas Veterans Commission")</f>
        <v>Texas Veterans Commission</v>
      </c>
      <c r="D917" s="9" t="str">
        <f>IFERROR(__xludf.DUMMYFUNCTION("""COMPUTED_VALUE"""),"2002 Holcolmbe Blvd")</f>
        <v>2002 Holcolmbe Blvd</v>
      </c>
      <c r="E917" s="9" t="str">
        <f>IFERROR(__xludf.DUMMYFUNCTION("""COMPUTED_VALUE"""),"Suite 2a112")</f>
        <v>Suite 2a112</v>
      </c>
      <c r="F917" s="9" t="str">
        <f>IFERROR(__xludf.DUMMYFUNCTION("""COMPUTED_VALUE"""),"Houston")</f>
        <v>Houston</v>
      </c>
      <c r="G917" s="9" t="str">
        <f>IFERROR(__xludf.DUMMYFUNCTION("""COMPUTED_VALUE"""),"TX")</f>
        <v>TX</v>
      </c>
      <c r="H917" s="9" t="str">
        <f>IFERROR(__xludf.DUMMYFUNCTION("""COMPUTED_VALUE"""),"77030")</f>
        <v>77030</v>
      </c>
      <c r="I917" s="9" t="str">
        <f>IFERROR(__xludf.DUMMYFUNCTION("""COMPUTED_VALUE"""),"800-252-8387")</f>
        <v>800-252-8387</v>
      </c>
      <c r="J917" s="9" t="str">
        <f>IFERROR(__xludf.DUMMYFUNCTION("""COMPUTED_VALUE"""),"29.7035738460518, -95.5514724942076")</f>
        <v>29.7035738460518, -95.5514724942076</v>
      </c>
      <c r="K917" s="9" t="str">
        <f>IFERROR(__xludf.DUMMYFUNCTION("""COMPUTED_VALUE"""),"{""regular"":[{""days"":[""Mo"",""Tu"",""We"",""Th"",""Fr""],""open"":""08:00"",""close"":""17:00""}]}")</f>
        <v>{"regular":[{"days":["Mo","Tu","We","Th","Fr"],"open":"08:00","close":"17:00"}]}</v>
      </c>
      <c r="L917" s="9"/>
      <c r="M917" s="10">
        <f>IFERROR(__xludf.DUMMYFUNCTION("""COMPUTED_VALUE"""),56.0)</f>
        <v>56</v>
      </c>
      <c r="N917" s="10" t="str">
        <f>IFERROR(__xludf.DUMMYFUNCTION("""COMPUTED_VALUE"""),"Veterans")</f>
        <v>Veterans</v>
      </c>
      <c r="O917" s="10">
        <f>IFERROR(__xludf.DUMMYFUNCTION("""COMPUTED_VALUE"""),1.0)</f>
        <v>1</v>
      </c>
      <c r="P917" s="10" t="str">
        <f>IFERROR(__xludf.DUMMYFUNCTION("""COMPUTED_VALUE"""),"ACTIVE")</f>
        <v>ACTIVE</v>
      </c>
      <c r="Q917" s="11">
        <f>IFERROR(__xludf.DUMMYFUNCTION("""COMPUTED_VALUE"""),46066.0)</f>
        <v>46066</v>
      </c>
      <c r="R917" s="9" t="str">
        <f>IFERROR(__xludf.DUMMYFUNCTION("""COMPUTED_VALUE"""),"Verified online")</f>
        <v>Verified online</v>
      </c>
      <c r="S917" s="9" t="str">
        <f>IFERROR(__xludf.DUMMYFUNCTION("""COMPUTED_VALUE"""),"Veterans
State agency that serves as the official advocate for Texas veterans, their families and survivors.
Free services to help access federal and state benefits.
Counseling and assisting in filing disability claims, appeals and pension matters with th"&amp;"e VA.
Assists veterans with employment services, job matching and resume and interview preparation.
Connect to mental health services and training to community providers.
Healthcare advocacy by helping navigate and access to healthcare services.
Guidance "&amp;"and resources for veterans starting or expanding businesses.
Veterans Education.  Administers the Hazelwood Tuition Exemption act.")</f>
        <v>Veterans
State agency that serves as the official advocate for Texas veterans, their families and survivors.
Free services to help access federal and state benefits.
Counseling and assisting in filing disability claims, appeals and pension matters with the VA.
Assists veterans with employment services, job matching and resume and interview preparation.
Connect to mental health services and training to community providers.
Healthcare advocacy by helping navigate and access to healthcare services.
Guidance and resources for veterans starting or expanding businesses.
Veterans Education.  Administers the Hazelwood Tuition Exemption act.</v>
      </c>
      <c r="T917" s="12" t="b">
        <f>IFERROR(__xludf.DUMMYFUNCTION("""COMPUTED_VALUE"""),FALSE)</f>
        <v>0</v>
      </c>
      <c r="U917" s="12" t="b">
        <f>IFERROR(__xludf.DUMMYFUNCTION("""COMPUTED_VALUE"""),FALSE)</f>
        <v>0</v>
      </c>
      <c r="V917" s="13" t="str">
        <f>IFERROR(__xludf.DUMMYFUNCTION("""COMPUTED_VALUE"""),"https://tvc.texas.gov/")</f>
        <v>https://tvc.texas.gov/</v>
      </c>
      <c r="W917" s="14" t="str">
        <f>IFERROR(__xludf.DUMMYFUNCTION("""COMPUTED_VALUE"""),"https://www.google.com/maps/place/Texas+Veterans+Commission/@29.7004162,-95.4649195,13z/data=!4m10!1m2!2m1!1stexas+veterans+commission!3m6!1s0x8640bf8ba20f2c3b:0x7d307163a92b7959!8m2!3d29.7004162!4d-95.3887018!15sChl0ZXhhcyB2ZXRlcmFucyBjb21taXNzaW9uWhsiGX"&amp;"RleGFzIHZldGVyYW5zIGNvbW1pc3Npb26SARt2ZXRlcmFuc19hZmZhaXJzX2RlcGFydG1lbnSaAURDaTlEUVVsUlFVTnZaRU5vZEhsalJqbHZUMnBXWmsxRVduVlNNVXBDWTBWS05XVkhhelZXUjJkM1kyMHhhVk5JWXhBQuABAPoBBAgAEDw!16s%2Fg%2F1tdrfrcr?entry=ttu&amp;g_ep=EgoyMDI2MDIxMS4wIKXMDSoASAFQAw%3D%3D")</f>
        <v>https://www.google.com/maps/place/Texas+Veterans+Commission/@29.7004162,-95.4649195,13z/data=!4m10!1m2!2m1!1stexas+veterans+commission!3m6!1s0x8640bf8ba20f2c3b:0x7d307163a92b7959!8m2!3d29.7004162!4d-95.3887018!15sChl0ZXhhcyB2ZXRlcmFucyBjb21taXNzaW9uWhsiGXRleGFzIHZldGVyYW5zIGNvbW1pc3Npb26SARt2ZXRlcmFuc19hZmZhaXJzX2RlcGFydG1lbnSaAURDaTlEUVVsUlFVTnZaRU5vZEhsalJqbHZUMnBXWmsxRVduVlNNVXBDWTBWS05XVkhhelZXUjJkM1kyMHhhVk5JWXhBQuABAPoBBAgAEDw!16s%2Fg%2F1tdrfrcr?entry=ttu&amp;g_ep=EgoyMDI2MDIxMS4wIKXMDSoASAFQAw%3D%3D</v>
      </c>
      <c r="X917" s="10"/>
      <c r="Y917" s="9" t="str">
        <f>IFERROR(__xludf.DUMMYFUNCTION("""COMPUTED_VALUE"""),"Houston")</f>
        <v>Houston</v>
      </c>
      <c r="Z917" s="9" t="str">
        <f>IFERROR(__xludf.DUMMYFUNCTION("""COMPUTED_VALUE"""),"Central Southwest, Houston Museum District, South Central Houston, Southgate, Texas Medical Center")</f>
        <v>Central Southwest, Houston Museum District, South Central Houston, Southgate, Texas Medical Center</v>
      </c>
      <c r="AA917" s="9" t="str">
        <f>IFERROR(__xludf.DUMMYFUNCTION("""COMPUTED_VALUE"""),"Texas Veterans Commission")</f>
        <v>Texas Veterans Commission</v>
      </c>
      <c r="AB917" s="9" t="str">
        <f>IFERROR(__xludf.DUMMYFUNCTION("""COMPUTED_VALUE"""),"Texas Medical Center")</f>
        <v>Texas Medical Center</v>
      </c>
    </row>
    <row r="918" ht="30.0" customHeight="1">
      <c r="A918" s="17">
        <v>917.0</v>
      </c>
      <c r="B918" s="8" t="str">
        <f>IFERROR(__xludf.DUMMYFUNCTION("""COMPUTED_VALUE"""),"[""99999""]")</f>
        <v>["99999"]</v>
      </c>
      <c r="C918" s="9" t="str">
        <f>IFERROR(__xludf.DUMMYFUNCTION("""COMPUTED_VALUE"""),"The Assistance Fund (TAF)")</f>
        <v>The Assistance Fund (TAF)</v>
      </c>
      <c r="D918" s="9" t="str">
        <f>IFERROR(__xludf.DUMMYFUNCTION("""COMPUTED_VALUE"""),"8427 Southpark Circle")</f>
        <v>8427 Southpark Circle</v>
      </c>
      <c r="E918" s="9" t="str">
        <f>IFERROR(__xludf.DUMMYFUNCTION("""COMPUTED_VALUE"""),"Suite 100")</f>
        <v>Suite 100</v>
      </c>
      <c r="F918" s="9" t="str">
        <f>IFERROR(__xludf.DUMMYFUNCTION("""COMPUTED_VALUE"""),"Orlando")</f>
        <v>Orlando</v>
      </c>
      <c r="G918" s="9" t="str">
        <f>IFERROR(__xludf.DUMMYFUNCTION("""COMPUTED_VALUE"""),"FL")</f>
        <v>FL</v>
      </c>
      <c r="H918" s="9" t="str">
        <f>IFERROR(__xludf.DUMMYFUNCTION("""COMPUTED_VALUE"""),"32819")</f>
        <v>32819</v>
      </c>
      <c r="I918" s="9" t="str">
        <f>IFERROR(__xludf.DUMMYFUNCTION("""COMPUTED_VALUE"""),"855-845-3663")</f>
        <v>855-845-3663</v>
      </c>
      <c r="J918" s="9" t="str">
        <f>IFERROR(__xludf.DUMMYFUNCTION("""COMPUTED_VALUE"""),"28.460029131079196, -81.45542842262518")</f>
        <v>28.460029131079196, -81.45542842262518</v>
      </c>
      <c r="K918" s="9" t="str">
        <f>IFERROR(__xludf.DUMMYFUNCTION("""COMPUTED_VALUE"""),"{""regular"":[{""days"":[""Mo"",""Tu"",""We"",""Th"",""Fr""],""open"":""9:00"",""close"":""17:30""}]}")</f>
        <v>{"regular":[{"days":["Mo","Tu","We","Th","Fr"],"open":"9:00","close":"17:30"}]}</v>
      </c>
      <c r="L918" s="9" t="str">
        <f>IFERROR(__xludf.DUMMYFUNCTION("""COMPUTED_VALUE"""),"Apply online")</f>
        <v>Apply online</v>
      </c>
      <c r="M918" s="10">
        <f>IFERROR(__xludf.DUMMYFUNCTION("""COMPUTED_VALUE"""),36.0)</f>
        <v>36</v>
      </c>
      <c r="N918" s="10" t="str">
        <f>IFERROR(__xludf.DUMMYFUNCTION("""COMPUTED_VALUE"""),"Medical - Bill Payment")</f>
        <v>Medical - Bill Payment</v>
      </c>
      <c r="O918" s="10">
        <f>IFERROR(__xludf.DUMMYFUNCTION("""COMPUTED_VALUE"""),1.0)</f>
        <v>1</v>
      </c>
      <c r="P918" s="10" t="str">
        <f>IFERROR(__xludf.DUMMYFUNCTION("""COMPUTED_VALUE"""),"ACTIVE")</f>
        <v>ACTIVE</v>
      </c>
      <c r="Q918" s="11"/>
      <c r="R918" s="9" t="str">
        <f>IFERROR(__xludf.DUMMYFUNCTION("""COMPUTED_VALUE"""),"Verified online")</f>
        <v>Verified online</v>
      </c>
      <c r="S918" s="9" t="str">
        <f>IFERROR(__xludf.DUMMYFUNCTION("""COMPUTED_VALUE"""),"Provides direct financial assistance with out-of-pocket medical expenses.
Must be a U.S. resident, meet income requirements, be diagnosed with a disease covered by a program, have a prescription for a FDA approved treatment and have health insurance.
Some"&amp;" disease programs are closed and have wait lists.
Check for eligible program and apply online.
A charitable patient assistance foundation.")</f>
        <v>Provides direct financial assistance with out-of-pocket medical expenses.
Must be a U.S. resident, meet income requirements, be diagnosed with a disease covered by a program, have a prescription for a FDA approved treatment and have health insurance.
Some disease programs are closed and have wait lists.
Check for eligible program and apply online.
A charitable patient assistance foundation.</v>
      </c>
      <c r="T918" s="12" t="b">
        <f>IFERROR(__xludf.DUMMYFUNCTION("""COMPUTED_VALUE"""),FALSE)</f>
        <v>0</v>
      </c>
      <c r="U918" s="12" t="b">
        <f>IFERROR(__xludf.DUMMYFUNCTION("""COMPUTED_VALUE"""),FALSE)</f>
        <v>0</v>
      </c>
      <c r="V918" s="13" t="str">
        <f>IFERROR(__xludf.DUMMYFUNCTION("""COMPUTED_VALUE"""),"https://tafcares.org/patients/eligibility/")</f>
        <v>https://tafcares.org/patients/eligibility/</v>
      </c>
      <c r="W918" s="14" t="str">
        <f>IFERROR(__xludf.DUMMYFUNCTION("""COMPUTED_VALUE"""),"https://www.google.com/maps/place/People+Who+Make+A+Difference+Foundation/@28.4598594,-81.4580731,17z/data=!3m2!4b1!5s0x88e77ef17f6df0ff:0xc9b545a2e348cf29!4m6!3m5!1s0x88e77e78e4fa3c8d:0x5e24cac5ad0dbe0e!8m2!3d28.4598594!4d-81.4554928!16s%2Fg%2F11f3wb6p64"&amp;"?entry=ttu&amp;g_ep=EgoyMDI2MDEyMC4wIKXMDSoKLDEwMDc5MjA2OUgBUAM%3D")</f>
        <v>https://www.google.com/maps/place/People+Who+Make+A+Difference+Foundation/@28.4598594,-81.4580731,17z/data=!3m2!4b1!5s0x88e77ef17f6df0ff:0xc9b545a2e348cf29!4m6!3m5!1s0x88e77e78e4fa3c8d:0x5e24cac5ad0dbe0e!8m2!3d28.4598594!4d-81.4554928!16s%2Fg%2F11f3wb6p64?entry=ttu&amp;g_ep=EgoyMDI2MDEyMC4wIKXMDSoKLDEwMDc5MjA2OUgBUAM%3D</v>
      </c>
      <c r="X918" s="10"/>
      <c r="Y918" s="9" t="str">
        <f>IFERROR(__xludf.DUMMYFUNCTION("""COMPUTED_VALUE"""),"Orlando")</f>
        <v>Orlando</v>
      </c>
      <c r="Z918" s="9" t="str">
        <f>IFERROR(__xludf.DUMMYFUNCTION("""COMPUTED_VALUE"""),"Florida Center")</f>
        <v>Florida Center</v>
      </c>
      <c r="AA918" s="9" t="str">
        <f>IFERROR(__xludf.DUMMYFUNCTION("""COMPUTED_VALUE"""),"The Assistance Fund (TAF)")</f>
        <v>The Assistance Fund (TAF)</v>
      </c>
      <c r="AB918" s="9" t="str">
        <f>IFERROR(__xludf.DUMMYFUNCTION("""COMPUTED_VALUE"""),"Florida Center")</f>
        <v>Florida Center</v>
      </c>
    </row>
    <row r="919" ht="30.0" customHeight="1">
      <c r="A919" s="17">
        <v>918.0</v>
      </c>
      <c r="B919" s="8" t="str">
        <f>IFERROR(__xludf.DUMMYFUNCTION("""COMPUTED_VALUE"""),"[""99999""]")</f>
        <v>["99999"]</v>
      </c>
      <c r="C919" s="9" t="str">
        <f>IFERROR(__xludf.DUMMYFUNCTION("""COMPUTED_VALUE"""),"The Ballard House")</f>
        <v>The Ballard House</v>
      </c>
      <c r="D919" s="9" t="str">
        <f>IFERROR(__xludf.DUMMYFUNCTION("""COMPUTED_VALUE"""),"21421 Cinco PArk Road")</f>
        <v>21421 Cinco PArk Road</v>
      </c>
      <c r="E919" s="9"/>
      <c r="F919" s="9" t="str">
        <f>IFERROR(__xludf.DUMMYFUNCTION("""COMPUTED_VALUE"""),"Katy")</f>
        <v>Katy</v>
      </c>
      <c r="G919" s="9" t="str">
        <f>IFERROR(__xludf.DUMMYFUNCTION("""COMPUTED_VALUE"""),"TX")</f>
        <v>TX</v>
      </c>
      <c r="H919" s="9" t="str">
        <f>IFERROR(__xludf.DUMMYFUNCTION("""COMPUTED_VALUE"""),"77450")</f>
        <v>77450</v>
      </c>
      <c r="I919" s="9" t="str">
        <f>IFERROR(__xludf.DUMMYFUNCTION("""COMPUTED_VALUE"""),"281-717-4670")</f>
        <v>281-717-4670</v>
      </c>
      <c r="J919" s="9" t="str">
        <f>IFERROR(__xludf.DUMMYFUNCTION("""COMPUTED_VALUE"""),"29.71398733055449, -95.7434270923656")</f>
        <v>29.71398733055449, -95.7434270923656</v>
      </c>
      <c r="K919" s="9" t="str">
        <f>IFERROR(__xludf.DUMMYFUNCTION("""COMPUTED_VALUE"""),"{""regular"":[{""days"":[""Mo"",""Tu"",""We"",""Th"",""Fr""],""open"":""09:00"",""close"":""16:00""}]}")</f>
        <v>{"regular":[{"days":["Mo","Tu","We","Th","Fr"],"open":"09:00","close":"16:00"}]}</v>
      </c>
      <c r="L919" s="9" t="str">
        <f>IFERROR(__xludf.DUMMYFUNCTION("""COMPUTED_VALUE"""),"Apply online")</f>
        <v>Apply online</v>
      </c>
      <c r="M919" s="10">
        <f>IFERROR(__xludf.DUMMYFUNCTION("""COMPUTED_VALUE"""),37.0)</f>
        <v>37</v>
      </c>
      <c r="N919" s="10" t="str">
        <f>IFERROR(__xludf.DUMMYFUNCTION("""COMPUTED_VALUE"""),"Medical - Housing")</f>
        <v>Medical - Housing</v>
      </c>
      <c r="O919" s="10">
        <f>IFERROR(__xludf.DUMMYFUNCTION("""COMPUTED_VALUE"""),1.0)</f>
        <v>1</v>
      </c>
      <c r="P919" s="10" t="str">
        <f>IFERROR(__xludf.DUMMYFUNCTION("""COMPUTED_VALUE"""),"ACTIVE")</f>
        <v>ACTIVE</v>
      </c>
      <c r="Q919" s="11">
        <f>IFERROR(__xludf.DUMMYFUNCTION("""COMPUTED_VALUE"""),46036.0)</f>
        <v>46036</v>
      </c>
      <c r="R919" s="9" t="str">
        <f>IFERROR(__xludf.DUMMYFUNCTION("""COMPUTED_VALUE"""),"Verified online")</f>
        <v>Verified online</v>
      </c>
      <c r="S919" s="9" t="str">
        <f>IFERROR(__xludf.DUMMYFUNCTION("""COMPUTED_VALUE"""),"Referrals from Houston area medical facility, physician or social worker.
Housing for patients and their caregiver/family when patient is traveling to the Houston area for medical treatment.
Stays of upto 90 days at no cost.")</f>
        <v>Referrals from Houston area medical facility, physician or social worker.
Housing for patients and their caregiver/family when patient is traveling to the Houston area for medical treatment.
Stays of upto 90 days at no cost.</v>
      </c>
      <c r="T919" s="12" t="b">
        <f>IFERROR(__xludf.DUMMYFUNCTION("""COMPUTED_VALUE"""),FALSE)</f>
        <v>0</v>
      </c>
      <c r="U919" s="12" t="b">
        <f>IFERROR(__xludf.DUMMYFUNCTION("""COMPUTED_VALUE"""),FALSE)</f>
        <v>0</v>
      </c>
      <c r="V919" s="13" t="str">
        <f>IFERROR(__xludf.DUMMYFUNCTION("""COMPUTED_VALUE"""),"https://www.theballardhouse.org/application")</f>
        <v>https://www.theballardhouse.org/application</v>
      </c>
      <c r="W919" s="14" t="str">
        <f>IFERROR(__xludf.DUMMYFUNCTION("""COMPUTED_VALUE"""),"https://www.google.com/maps/place/The+Ballard+House/@29.7136892,-95.7460074,17z/data=!3m1!4b1!4m6!3m5!1s0x86412089127e1c87:0x82dacf783bd31977!8m2!3d29.7136892!4d-95.7434271!16s%2Fg%2F1pzy0ynh2?entry=ttu&amp;g_ep=EgoyMDI2MDExMS4wIKXMDSoKLDEwMDc5MjA2OUgBUAM%3D")</f>
        <v>https://www.google.com/maps/place/The+Ballard+House/@29.7136892,-95.7460074,17z/data=!3m1!4b1!4m6!3m5!1s0x86412089127e1c87:0x82dacf783bd31977!8m2!3d29.7136892!4d-95.7434271!16s%2Fg%2F1pzy0ynh2?entry=ttu&amp;g_ep=EgoyMDI2MDExMS4wIKXMDSoKLDEwMDc5MjA2OUgBUAM%3D</v>
      </c>
      <c r="X919" s="10"/>
      <c r="Y919" s="9" t="str">
        <f>IFERROR(__xludf.DUMMYFUNCTION("""COMPUTED_VALUE"""),"Katy")</f>
        <v>Katy</v>
      </c>
      <c r="Z919" s="9" t="str">
        <f>IFERROR(__xludf.DUMMYFUNCTION("""COMPUTED_VALUE"""),"Cinco Ranch East, Katy (South), Nottingham Country")</f>
        <v>Cinco Ranch East, Katy (South), Nottingham Country</v>
      </c>
      <c r="AA919" s="9" t="str">
        <f>IFERROR(__xludf.DUMMYFUNCTION("""COMPUTED_VALUE"""),"The Ballard House")</f>
        <v>The Ballard House</v>
      </c>
      <c r="AB919" s="9" t="str">
        <f>IFERROR(__xludf.DUMMYFUNCTION("""COMPUTED_VALUE"""),"Cinco Ranch East")</f>
        <v>Cinco Ranch East</v>
      </c>
    </row>
    <row r="920" ht="30.0" customHeight="1">
      <c r="A920" s="17">
        <v>919.0</v>
      </c>
      <c r="B920" s="8" t="str">
        <f>IFERROR(__xludf.DUMMYFUNCTION("""COMPUTED_VALUE"""),"[""99999""]")</f>
        <v>["99999"]</v>
      </c>
      <c r="C920" s="9" t="str">
        <f>IFERROR(__xludf.DUMMYFUNCTION("""COMPUTED_VALUE"""),"The Beacon")</f>
        <v>The Beacon</v>
      </c>
      <c r="D920" s="9" t="str">
        <f>IFERROR(__xludf.DUMMYFUNCTION("""COMPUTED_VALUE"""),"1212 Prairie Street")</f>
        <v>1212 Prairie Street</v>
      </c>
      <c r="E920" s="9"/>
      <c r="F920" s="9" t="str">
        <f>IFERROR(__xludf.DUMMYFUNCTION("""COMPUTED_VALUE"""),"Houston")</f>
        <v>Houston</v>
      </c>
      <c r="G920" s="9" t="str">
        <f>IFERROR(__xludf.DUMMYFUNCTION("""COMPUTED_VALUE"""),"TX")</f>
        <v>TX</v>
      </c>
      <c r="H920" s="9" t="str">
        <f>IFERROR(__xludf.DUMMYFUNCTION("""COMPUTED_VALUE"""),"77002")</f>
        <v>77002</v>
      </c>
      <c r="I920" s="9" t="str">
        <f>IFERROR(__xludf.DUMMYFUNCTION("""COMPUTED_VALUE"""),"713-220-9737")</f>
        <v>713-220-9737</v>
      </c>
      <c r="J920" s="9" t="str">
        <f>IFERROR(__xludf.DUMMYFUNCTION("""COMPUTED_VALUE"""),"29.7595176122449, -95.360054755102")</f>
        <v>29.7595176122449, -95.360054755102</v>
      </c>
      <c r="K920" s="9" t="str">
        <f>IFERROR(__xludf.DUMMYFUNCTION("""COMPUTED_VALUE"""),"{""regular"":[{""days"":[""Th"",""Fr"",""Sa"",""Su"",""Mo""],""open"":""07:00"",""close"":null}]}")</f>
        <v>{"regular":[{"days":["Th","Fr","Sa","Su","Mo"],"open":"07:00","close":null}]}</v>
      </c>
      <c r="L920" s="9"/>
      <c r="M920" s="10">
        <f>IFERROR(__xludf.DUMMYFUNCTION("""COMPUTED_VALUE"""),22.0)</f>
        <v>22</v>
      </c>
      <c r="N920" s="10" t="str">
        <f>IFERROR(__xludf.DUMMYFUNCTION("""COMPUTED_VALUE"""),"Homeless - Day Centers")</f>
        <v>Homeless - Day Centers</v>
      </c>
      <c r="O920" s="10">
        <f>IFERROR(__xludf.DUMMYFUNCTION("""COMPUTED_VALUE"""),1.0)</f>
        <v>1</v>
      </c>
      <c r="P920" s="10" t="str">
        <f>IFERROR(__xludf.DUMMYFUNCTION("""COMPUTED_VALUE"""),"ACTIVE")</f>
        <v>ACTIVE</v>
      </c>
      <c r="Q920" s="11"/>
      <c r="R920" s="9"/>
      <c r="S920" s="9" t="str">
        <f>IFERROR(__xludf.DUMMYFUNCTION("""COMPUTED_VALUE"""),"Coalition for the Homeless (CFTH) Partner/Rapid Rehousing
Breakfast &amp; hot lunch
Laundry Service
Device Charging
Access to phones &amp; computers
Legal Services
Transitional Housing
Life skills training")</f>
        <v>Coalition for the Homeless (CFTH) Partner/Rapid Rehousing
Breakfast &amp; hot lunch
Laundry Service
Device Charging
Access to phones &amp; computers
Legal Services
Transitional Housing
Life skills training</v>
      </c>
      <c r="T920" s="12" t="b">
        <f>IFERROR(__xludf.DUMMYFUNCTION("""COMPUTED_VALUE"""),FALSE)</f>
        <v>0</v>
      </c>
      <c r="U920" s="12" t="b">
        <f>IFERROR(__xludf.DUMMYFUNCTION("""COMPUTED_VALUE"""),FALSE)</f>
        <v>0</v>
      </c>
      <c r="V920" s="13" t="str">
        <f>IFERROR(__xludf.DUMMYFUNCTION("""COMPUTED_VALUE"""),"https://www.beaconhomeless.org/whatwedo")</f>
        <v>https://www.beaconhomeless.org/whatwedo</v>
      </c>
      <c r="W920" s="14" t="str">
        <f>IFERROR(__xludf.DUMMYFUNCTION("""COMPUTED_VALUE"""),"https://www.google.com/maps/place/The+Beacon/@29.7591015,-95.362167,17z/data=!3m1!4b1!4m6!3m5!1s0x8640bf25a98b1e6f:0xcd719aaef3e02dd6!8m2!3d29.7590969!4d-95.3595921!16s%2Fg%2F1ptw5_kgd?entry=ttu&amp;g_ep=EgoyMDI1MTIwOS4wIKXMDSoKLDEwMDc5MjA2OUgBUAM%3D")</f>
        <v>https://www.google.com/maps/place/The+Beacon/@29.7591015,-95.362167,17z/data=!3m1!4b1!4m6!3m5!1s0x8640bf25a98b1e6f:0xcd719aaef3e02dd6!8m2!3d29.7590969!4d-95.3595921!16s%2Fg%2F1ptw5_kgd?entry=ttu&amp;g_ep=EgoyMDI1MTIwOS4wIKXMDSoKLDEwMDc5MjA2OUgBUAM%3D</v>
      </c>
      <c r="X920" s="10"/>
      <c r="Y920" s="9" t="str">
        <f>IFERROR(__xludf.DUMMYFUNCTION("""COMPUTED_VALUE"""),"Houston")</f>
        <v>Houston</v>
      </c>
      <c r="Z920"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920" s="9" t="str">
        <f>IFERROR(__xludf.DUMMYFUNCTION("""COMPUTED_VALUE"""),"The Beacon")</f>
        <v>The Beacon</v>
      </c>
      <c r="AB920" s="9" t="str">
        <f>IFERROR(__xludf.DUMMYFUNCTION("""COMPUTED_VALUE"""),"Downtown Houston")</f>
        <v>Downtown Houston</v>
      </c>
    </row>
    <row r="921" ht="30.0" customHeight="1">
      <c r="A921" s="17">
        <v>920.0</v>
      </c>
      <c r="B921" s="8" t="str">
        <f>IFERROR(__xludf.DUMMYFUNCTION("""COMPUTED_VALUE"""),"[""99999""]")</f>
        <v>["99999"]</v>
      </c>
      <c r="C921" s="9" t="str">
        <f>IFERROR(__xludf.DUMMYFUNCTION("""COMPUTED_VALUE"""),"The Beacon")</f>
        <v>The Beacon</v>
      </c>
      <c r="D921" s="9" t="str">
        <f>IFERROR(__xludf.DUMMYFUNCTION("""COMPUTED_VALUE"""),"1212 Prairie Street")</f>
        <v>1212 Prairie Street</v>
      </c>
      <c r="E921" s="9"/>
      <c r="F921" s="9" t="str">
        <f>IFERROR(__xludf.DUMMYFUNCTION("""COMPUTED_VALUE"""),"Houston")</f>
        <v>Houston</v>
      </c>
      <c r="G921" s="9" t="str">
        <f>IFERROR(__xludf.DUMMYFUNCTION("""COMPUTED_VALUE"""),"TX")</f>
        <v>TX</v>
      </c>
      <c r="H921" s="9" t="str">
        <f>IFERROR(__xludf.DUMMYFUNCTION("""COMPUTED_VALUE"""),"77002")</f>
        <v>77002</v>
      </c>
      <c r="I921" s="9" t="str">
        <f>IFERROR(__xludf.DUMMYFUNCTION("""COMPUTED_VALUE"""),"713-220-9737")</f>
        <v>713-220-9737</v>
      </c>
      <c r="J921" s="9" t="str">
        <f>IFERROR(__xludf.DUMMYFUNCTION("""COMPUTED_VALUE"""),"29.7595176122449, -95.360054755102")</f>
        <v>29.7595176122449, -95.360054755102</v>
      </c>
      <c r="K921" s="9" t="str">
        <f>IFERROR(__xludf.DUMMYFUNCTION("""COMPUTED_VALUE"""),"{""regular"":[{""days"":[""Fr""],""open"":""07:00"",""close"":null}]}")</f>
        <v>{"regular":[{"days":["Fr"],"open":"07:00","close":null}]}</v>
      </c>
      <c r="L921" s="9" t="str">
        <f>IFERROR(__xludf.DUMMYFUNCTION("""COMPUTED_VALUE"""),"Sign up at the Beacon Day center on Fridays")</f>
        <v>Sign up at the Beacon Day center on Fridays</v>
      </c>
      <c r="M921" s="10">
        <f>IFERROR(__xludf.DUMMYFUNCTION("""COMPUTED_VALUE"""),54.0)</f>
        <v>54</v>
      </c>
      <c r="N921" s="10" t="str">
        <f>IFERROR(__xludf.DUMMYFUNCTION("""COMPUTED_VALUE"""),"Legal")</f>
        <v>Legal</v>
      </c>
      <c r="O921" s="10">
        <f>IFERROR(__xludf.DUMMYFUNCTION("""COMPUTED_VALUE"""),1.0)</f>
        <v>1</v>
      </c>
      <c r="P921" s="10" t="str">
        <f>IFERROR(__xludf.DUMMYFUNCTION("""COMPUTED_VALUE"""),"ACTIVE")</f>
        <v>ACTIVE</v>
      </c>
      <c r="Q921" s="11">
        <f>IFERROR(__xludf.DUMMYFUNCTION("""COMPUTED_VALUE"""),46023.0)</f>
        <v>46023</v>
      </c>
      <c r="R921" s="9"/>
      <c r="S921" s="9" t="str">
        <f>IFERROR(__xludf.DUMMYFUNCTION("""COMPUTED_VALUE"""),"Legal services provided to the first 25 people to sign up at the Beacon Day Center on Fridays.
Services cover ID restoration, replacement of immigration documents, name change, clearing criminal history, Social Security benefits appeals, certain types of "&amp;"evictions and limited wills and estates.")</f>
        <v>Legal services provided to the first 25 people to sign up at the Beacon Day Center on Fridays.
Services cover ID restoration, replacement of immigration documents, name change, clearing criminal history, Social Security benefits appeals, certain types of evictions and limited wills and estates.</v>
      </c>
      <c r="T921" s="12" t="b">
        <f>IFERROR(__xludf.DUMMYFUNCTION("""COMPUTED_VALUE"""),FALSE)</f>
        <v>0</v>
      </c>
      <c r="U921" s="12" t="b">
        <f>IFERROR(__xludf.DUMMYFUNCTION("""COMPUTED_VALUE"""),FALSE)</f>
        <v>0</v>
      </c>
      <c r="V921" s="13" t="str">
        <f>IFERROR(__xludf.DUMMYFUNCTION("""COMPUTED_VALUE"""),"https://www.beaconhomeless.org/whatwedo")</f>
        <v>https://www.beaconhomeless.org/whatwedo</v>
      </c>
      <c r="W921" s="14" t="str">
        <f>IFERROR(__xludf.DUMMYFUNCTION("""COMPUTED_VALUE"""),"https://www.google.com/maps/place/The+Beacon/@29.7591015,-95.362167,17z/data=!3m1!4b1!4m6!3m5!1s0x8640bf25a98b1e6f:0xcd719aaef3e02dd6!8m2!3d29.7590969!4d-95.3595921!16s%2Fg%2F1ptw5_kgd?entry=ttu&amp;g_ep=EgoyMDI1MTIwOS4wIKXMDSoKLDEwMDc5MjA2OUgBUAM%3D")</f>
        <v>https://www.google.com/maps/place/The+Beacon/@29.7591015,-95.362167,17z/data=!3m1!4b1!4m6!3m5!1s0x8640bf25a98b1e6f:0xcd719aaef3e02dd6!8m2!3d29.7590969!4d-95.3595921!16s%2Fg%2F1ptw5_kgd?entry=ttu&amp;g_ep=EgoyMDI1MTIwOS4wIKXMDSoKLDEwMDc5MjA2OUgBUAM%3D</v>
      </c>
      <c r="X921" s="10"/>
      <c r="Y921" s="9" t="str">
        <f>IFERROR(__xludf.DUMMYFUNCTION("""COMPUTED_VALUE"""),"Houston")</f>
        <v>Houston</v>
      </c>
      <c r="Z921" s="9" t="str">
        <f>IFERROR(__xludf.DUMMYFUNCTION("""COMPUTED_VALUE"""),"Central Business District, Downtown Houston, East Downtown, South Central Houston, Theater District, University Place, Warehouse District")</f>
        <v>Central Business District, Downtown Houston, East Downtown, South Central Houston, Theater District, University Place, Warehouse District</v>
      </c>
      <c r="AA921" s="9" t="str">
        <f>IFERROR(__xludf.DUMMYFUNCTION("""COMPUTED_VALUE"""),"The Beacon")</f>
        <v>The Beacon</v>
      </c>
      <c r="AB921" s="9" t="str">
        <f>IFERROR(__xludf.DUMMYFUNCTION("""COMPUTED_VALUE"""),"Downtown Houston")</f>
        <v>Downtown Houston</v>
      </c>
    </row>
    <row r="922" ht="30.0" customHeight="1">
      <c r="A922" s="17">
        <v>921.0</v>
      </c>
      <c r="B922" s="8" t="str">
        <f>IFERROR(__xludf.DUMMYFUNCTION("""COMPUTED_VALUE"""),"[""99999""]")</f>
        <v>["99999"]</v>
      </c>
      <c r="C922" s="9" t="str">
        <f>IFERROR(__xludf.DUMMYFUNCTION("""COMPUTED_VALUE"""),"The Bridge Over Troubled Waters")</f>
        <v>The Bridge Over Troubled Waters</v>
      </c>
      <c r="D922" s="9" t="str">
        <f>IFERROR(__xludf.DUMMYFUNCTION("""COMPUTED_VALUE"""),"3811 Allen Genoa Road")</f>
        <v>3811 Allen Genoa Road</v>
      </c>
      <c r="E922" s="9"/>
      <c r="F922" s="9" t="str">
        <f>IFERROR(__xludf.DUMMYFUNCTION("""COMPUTED_VALUE"""),"Pasadena")</f>
        <v>Pasadena</v>
      </c>
      <c r="G922" s="9" t="str">
        <f>IFERROR(__xludf.DUMMYFUNCTION("""COMPUTED_VALUE"""),"TX")</f>
        <v>TX</v>
      </c>
      <c r="H922" s="9" t="str">
        <f>IFERROR(__xludf.DUMMYFUNCTION("""COMPUTED_VALUE"""),"77504")</f>
        <v>77504</v>
      </c>
      <c r="I922" s="9" t="str">
        <f>IFERROR(__xludf.DUMMYFUNCTION("""COMPUTED_VALUE"""),"713-473-2801 (24/7), 713-472-0753")</f>
        <v>713-473-2801 (24/7), 713-472-0753</v>
      </c>
      <c r="J922" s="9" t="str">
        <f>IFERROR(__xludf.DUMMYFUNCTION("""COMPUTED_VALUE"""),"29.8154190909091, -94.9994020909091")</f>
        <v>29.8154190909091, -94.9994020909091</v>
      </c>
      <c r="K922" s="9" t="str">
        <f>IFERROR(__xludf.DUMMYFUNCTION("""COMPUTED_VALUE"""),"{""regular"":[{""days"":[""Mo"",""Tu"",""We"",""Th"",""Fr"",""Sa"",""Su""],""open"":""00:00"",""close"":""23:59""}]}")</f>
        <v>{"regular":[{"days":["Mo","Tu","We","Th","Fr","Sa","Su"],"open":"00:00","close":"23:59"}]}</v>
      </c>
      <c r="L922" s="9"/>
      <c r="M922" s="10">
        <f>IFERROR(__xludf.DUMMYFUNCTION("""COMPUTED_VALUE"""),41.0)</f>
        <v>41</v>
      </c>
      <c r="N922" s="10" t="str">
        <f>IFERROR(__xludf.DUMMYFUNCTION("""COMPUTED_VALUE"""),"Domestic Abuse - Shelters")</f>
        <v>Domestic Abuse - Shelters</v>
      </c>
      <c r="O922" s="10">
        <f>IFERROR(__xludf.DUMMYFUNCTION("""COMPUTED_VALUE"""),1.0)</f>
        <v>1</v>
      </c>
      <c r="P922" s="10" t="str">
        <f>IFERROR(__xludf.DUMMYFUNCTION("""COMPUTED_VALUE"""),"ACTIVE")</f>
        <v>ACTIVE</v>
      </c>
      <c r="Q922" s="11"/>
      <c r="R922" s="9"/>
      <c r="S922" s="9" t="str">
        <f>IFERROR(__xludf.DUMMYFUNCTION("""COMPUTED_VALUE"""),"Coalition for the Homeless (CFTH) Partner/Rapid Rehousing
Crisis intervention, safety planning, housing assessments, case management, accompaniments, counseling, parenting classes, financial literacy and life skills.")</f>
        <v>Coalition for the Homeless (CFTH) Partner/Rapid Rehousing
Crisis intervention, safety planning, housing assessments, case management, accompaniments, counseling, parenting classes, financial literacy and life skills.</v>
      </c>
      <c r="T922" s="12" t="b">
        <f>IFERROR(__xludf.DUMMYFUNCTION("""COMPUTED_VALUE"""),FALSE)</f>
        <v>0</v>
      </c>
      <c r="U922" s="12" t="b">
        <f>IFERROR(__xludf.DUMMYFUNCTION("""COMPUTED_VALUE"""),FALSE)</f>
        <v>0</v>
      </c>
      <c r="V922" s="13" t="str">
        <f>IFERROR(__xludf.DUMMYFUNCTION("""COMPUTED_VALUE"""),"https://tbotw.org")</f>
        <v>https://tbotw.org</v>
      </c>
      <c r="W922" s="10"/>
      <c r="X922" s="10"/>
      <c r="Y922" s="9" t="str">
        <f>IFERROR(__xludf.DUMMYFUNCTION("""COMPUTED_VALUE"""),"Pasadena")</f>
        <v>Pasadena</v>
      </c>
      <c r="Z922" s="9" t="str">
        <f>IFERROR(__xludf.DUMMYFUNCTION("""COMPUTED_VALUE"""),"Highland Farms, Pasadena")</f>
        <v>Highland Farms, Pasadena</v>
      </c>
      <c r="AA922" s="9" t="str">
        <f>IFERROR(__xludf.DUMMYFUNCTION("""COMPUTED_VALUE"""),"The Bridge Over Troubled Waters")</f>
        <v>The Bridge Over Troubled Waters</v>
      </c>
      <c r="AB922" s="9" t="str">
        <f>IFERROR(__xludf.DUMMYFUNCTION("""COMPUTED_VALUE"""),"Highland Farms")</f>
        <v>Highland Farms</v>
      </c>
    </row>
    <row r="923" ht="30.0" customHeight="1">
      <c r="A923" s="17">
        <v>922.0</v>
      </c>
      <c r="B923" s="8" t="str">
        <f>IFERROR(__xludf.DUMMYFUNCTION("""COMPUTED_VALUE"""),"[""99999""]")</f>
        <v>["99999"]</v>
      </c>
      <c r="C923" s="9" t="str">
        <f>IFERROR(__xludf.DUMMYFUNCTION("""COMPUTED_VALUE"""),"The Bridge Over Troubled Waters")</f>
        <v>The Bridge Over Troubled Waters</v>
      </c>
      <c r="D923" s="9" t="str">
        <f>IFERROR(__xludf.DUMMYFUNCTION("""COMPUTED_VALUE"""),"8203 John Martin Road")</f>
        <v>8203 John Martin Road</v>
      </c>
      <c r="E923" s="9"/>
      <c r="F923" s="9" t="str">
        <f>IFERROR(__xludf.DUMMYFUNCTION("""COMPUTED_VALUE"""),"Baytown")</f>
        <v>Baytown</v>
      </c>
      <c r="G923" s="9" t="str">
        <f>IFERROR(__xludf.DUMMYFUNCTION("""COMPUTED_VALUE"""),"TX")</f>
        <v>TX</v>
      </c>
      <c r="H923" s="9" t="str">
        <f>IFERROR(__xludf.DUMMYFUNCTION("""COMPUTED_VALUE"""),"77521")</f>
        <v>77521</v>
      </c>
      <c r="I923" s="9" t="str">
        <f>IFERROR(__xludf.DUMMYFUNCTION("""COMPUTED_VALUE"""),"713-473-2801 (24/7), 281-420-5600")</f>
        <v>713-473-2801 (24/7), 281-420-5600</v>
      </c>
      <c r="J923" s="9" t="str">
        <f>IFERROR(__xludf.DUMMYFUNCTION("""COMPUTED_VALUE"""),"29.8154190909091, -94.9994020909091")</f>
        <v>29.8154190909091, -94.9994020909091</v>
      </c>
      <c r="K923" s="9" t="str">
        <f>IFERROR(__xludf.DUMMYFUNCTION("""COMPUTED_VALUE"""),"{""regular"":[{""days"":[""Mo"",""Tu"",""We"",""Th"",""Fr"",""Sa"",""Su""],""open"":""00:00"",""close"":""23:59""}]}")</f>
        <v>{"regular":[{"days":["Mo","Tu","We","Th","Fr","Sa","Su"],"open":"00:00","close":"23:59"}]}</v>
      </c>
      <c r="L923" s="9"/>
      <c r="M923" s="10">
        <f>IFERROR(__xludf.DUMMYFUNCTION("""COMPUTED_VALUE"""),42.0)</f>
        <v>42</v>
      </c>
      <c r="N923" s="10" t="str">
        <f>IFERROR(__xludf.DUMMYFUNCTION("""COMPUTED_VALUE"""),"Domestic Abuse - Other")</f>
        <v>Domestic Abuse - Other</v>
      </c>
      <c r="O923" s="10">
        <f>IFERROR(__xludf.DUMMYFUNCTION("""COMPUTED_VALUE"""),1.0)</f>
        <v>1</v>
      </c>
      <c r="P923" s="10" t="str">
        <f>IFERROR(__xludf.DUMMYFUNCTION("""COMPUTED_VALUE"""),"ACTIVE")</f>
        <v>ACTIVE</v>
      </c>
      <c r="Q923" s="11"/>
      <c r="R923" s="9"/>
      <c r="S923" s="9" t="str">
        <f>IFERROR(__xludf.DUMMYFUNCTION("""COMPUTED_VALUE"""),"Crisis intervention, safety planning, housing assessments, case management, accompaniments, counseling, parenting classes, financial literacy and life skills.")</f>
        <v>Crisis intervention, safety planning, housing assessments, case management, accompaniments, counseling, parenting classes, financial literacy and life skills.</v>
      </c>
      <c r="T923" s="12" t="b">
        <f>IFERROR(__xludf.DUMMYFUNCTION("""COMPUTED_VALUE"""),FALSE)</f>
        <v>0</v>
      </c>
      <c r="U923" s="12" t="b">
        <f>IFERROR(__xludf.DUMMYFUNCTION("""COMPUTED_VALUE"""),FALSE)</f>
        <v>0</v>
      </c>
      <c r="V923" s="13" t="str">
        <f>IFERROR(__xludf.DUMMYFUNCTION("""COMPUTED_VALUE"""),"https://tbotw.org")</f>
        <v>https://tbotw.org</v>
      </c>
      <c r="W923" s="10"/>
      <c r="X923" s="10"/>
      <c r="Y923" s="9" t="str">
        <f>IFERROR(__xludf.DUMMYFUNCTION("""COMPUTED_VALUE"""),"Baytown")</f>
        <v>Baytown</v>
      </c>
      <c r="Z923" s="9" t="str">
        <f>IFERROR(__xludf.DUMMYFUNCTION("""COMPUTED_VALUE"""),"Baytown, Baytown (North), Highland Farms")</f>
        <v>Baytown, Baytown (North), Highland Farms</v>
      </c>
      <c r="AA923" s="9" t="str">
        <f>IFERROR(__xludf.DUMMYFUNCTION("""COMPUTED_VALUE"""),"The Bridge Over Troubled Waters")</f>
        <v>The Bridge Over Troubled Waters</v>
      </c>
      <c r="AB923" s="9" t="str">
        <f>IFERROR(__xludf.DUMMYFUNCTION("""COMPUTED_VALUE"""),"Highland Farms")</f>
        <v>Highland Farms</v>
      </c>
    </row>
    <row r="924" ht="30.0" customHeight="1">
      <c r="A924" s="17">
        <v>923.0</v>
      </c>
      <c r="B924" s="8" t="str">
        <f>IFERROR(__xludf.DUMMYFUNCTION("""COMPUTED_VALUE"""),"[""99999""]")</f>
        <v>["99999"]</v>
      </c>
      <c r="C924" s="9" t="str">
        <f>IFERROR(__xludf.DUMMYFUNCTION("""COMPUTED_VALUE"""),"The Council on Recovery")</f>
        <v>The Council on Recovery</v>
      </c>
      <c r="D924" s="9" t="str">
        <f>IFERROR(__xludf.DUMMYFUNCTION("""COMPUTED_VALUE"""),"303 Jackson Hill Street")</f>
        <v>303 Jackson Hill Street</v>
      </c>
      <c r="E924" s="9"/>
      <c r="F924" s="9" t="str">
        <f>IFERROR(__xludf.DUMMYFUNCTION("""COMPUTED_VALUE"""),"Houston")</f>
        <v>Houston</v>
      </c>
      <c r="G924" s="9" t="str">
        <f>IFERROR(__xludf.DUMMYFUNCTION("""COMPUTED_VALUE"""),"TX")</f>
        <v>TX</v>
      </c>
      <c r="H924" s="9" t="str">
        <f>IFERROR(__xludf.DUMMYFUNCTION("""COMPUTED_VALUE"""),"77007")</f>
        <v>77007</v>
      </c>
      <c r="I924" s="9" t="str">
        <f>IFERROR(__xludf.DUMMYFUNCTION("""COMPUTED_VALUE"""),"713-942-4100")</f>
        <v>713-942-4100</v>
      </c>
      <c r="J924" s="9" t="str">
        <f>IFERROR(__xludf.DUMMYFUNCTION("""COMPUTED_VALUE"""),"29.76392335, -95.4022126787528")</f>
        <v>29.76392335, -95.4022126787528</v>
      </c>
      <c r="K924" s="9" t="str">
        <f>IFERROR(__xludf.DUMMYFUNCTION("""COMPUTED_VALUE"""),"{""regular"":[{""days"":[""Mo"",""Tu"",""We"",""Th"",""Fr""],""open"":null,""close"":null}]}")</f>
        <v>{"regular":[{"days":["Mo","Tu","We","Th","Fr"],"open":null,"close":null}]}</v>
      </c>
      <c r="L924" s="9"/>
      <c r="M924" s="10">
        <f>IFERROR(__xludf.DUMMYFUNCTION("""COMPUTED_VALUE"""),34.0)</f>
        <v>34</v>
      </c>
      <c r="N924" s="10" t="str">
        <f>IFERROR(__xludf.DUMMYFUNCTION("""COMPUTED_VALUE"""),"Medical - Addiction Recovery")</f>
        <v>Medical - Addiction Recovery</v>
      </c>
      <c r="O924" s="10">
        <f>IFERROR(__xludf.DUMMYFUNCTION("""COMPUTED_VALUE"""),1.0)</f>
        <v>1</v>
      </c>
      <c r="P924" s="10" t="str">
        <f>IFERROR(__xludf.DUMMYFUNCTION("""COMPUTED_VALUE"""),"ACTIVE")</f>
        <v>ACTIVE</v>
      </c>
      <c r="Q924" s="11">
        <f>IFERROR(__xludf.DUMMYFUNCTION("""COMPUTED_VALUE"""),45761.0)</f>
        <v>45761</v>
      </c>
      <c r="R924" s="9" t="str">
        <f>IFERROR(__xludf.DUMMYFUNCTION("""COMPUTED_VALUE"""),"SVdP Church Help for Moms Ministry")</f>
        <v>SVdP Church Help for Moms Ministry</v>
      </c>
      <c r="S924" s="9" t="str">
        <f>IFERROR(__xludf.DUMMYFUNCTION("""COMPUTED_VALUE"""),"Substance Abuse Treatment Program
Inpatient and outpatient services for paying customers
Out-patient and counseling services at reduced cost if you have limited means or no insurance.
They claim not to turn anyone away thru the use of state -funded progra"&amp;"ms.")</f>
        <v>Substance Abuse Treatment Program
Inpatient and outpatient services for paying customers
Out-patient and counseling services at reduced cost if you have limited means or no insurance.
They claim not to turn anyone away thru the use of state -funded programs.</v>
      </c>
      <c r="T924" s="12" t="b">
        <f>IFERROR(__xludf.DUMMYFUNCTION("""COMPUTED_VALUE"""),FALSE)</f>
        <v>0</v>
      </c>
      <c r="U924" s="12" t="b">
        <f>IFERROR(__xludf.DUMMYFUNCTION("""COMPUTED_VALUE"""),FALSE)</f>
        <v>0</v>
      </c>
      <c r="V924" s="13" t="str">
        <f>IFERROR(__xludf.DUMMYFUNCTION("""COMPUTED_VALUE"""),"https://www.councilonrecovery.org/")</f>
        <v>https://www.councilonrecovery.org/</v>
      </c>
      <c r="W924" s="14" t="str">
        <f>IFERROR(__xludf.DUMMYFUNCTION("""COMPUTED_VALUE"""),"https://www.google.com/maps/place/The+Council+on+Recovery/@29.7643996,-95.4046838,17z/data=!3m1!4b1!4m6!3m5!1s0x8640c0ae5eed786f:0x35b105cb8afa3268!8m2!3d29.7643996!4d-95.4021089!16s%2Fg%2F1tf3p8kv?entry=ttu&amp;g_ep=EgoyMDI1MDQwOS4wIKXMDSoASAFQAw%3D%3D")</f>
        <v>https://www.google.com/maps/place/The+Council+on+Recovery/@29.7643996,-95.4046838,17z/data=!3m1!4b1!4m6!3m5!1s0x8640c0ae5eed786f:0x35b105cb8afa3268!8m2!3d29.7643996!4d-95.4021089!16s%2Fg%2F1tf3p8kv?entry=ttu&amp;g_ep=EgoyMDI1MDQwOS4wIKXMDSoASAFQAw%3D%3D</v>
      </c>
      <c r="X924" s="10"/>
      <c r="Y924" s="9" t="str">
        <f>IFERROR(__xludf.DUMMYFUNCTION("""COMPUTED_VALUE"""),"Houston")</f>
        <v>Houston</v>
      </c>
      <c r="Z924"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924" s="9" t="str">
        <f>IFERROR(__xludf.DUMMYFUNCTION("""COMPUTED_VALUE"""),"The Council on Recovery")</f>
        <v>The Council on Recovery</v>
      </c>
      <c r="AB924" s="9" t="str">
        <f>IFERROR(__xludf.DUMMYFUNCTION("""COMPUTED_VALUE"""),"Washington Avenue Coalition / Memorial Park")</f>
        <v>Washington Avenue Coalition / Memorial Park</v>
      </c>
    </row>
    <row r="925" ht="30.0" customHeight="1">
      <c r="A925" s="17">
        <v>924.0</v>
      </c>
      <c r="B925" s="8" t="str">
        <f>IFERROR(__xludf.DUMMYFUNCTION("""COMPUTED_VALUE"""),"[""99999""]")</f>
        <v>["99999"]</v>
      </c>
      <c r="C925" s="9" t="str">
        <f>IFERROR(__xludf.DUMMYFUNCTION("""COMPUTED_VALUE"""),"The Houston Alumni and Youth Center (HAY)")</f>
        <v>The Houston Alumni and Youth Center (HAY)</v>
      </c>
      <c r="D925" s="9" t="str">
        <f>IFERROR(__xludf.DUMMYFUNCTION("""COMPUTED_VALUE"""),"3131 Gulf Fwy Frontage Road")</f>
        <v>3131 Gulf Fwy Frontage Road</v>
      </c>
      <c r="E925" s="9"/>
      <c r="F925" s="9" t="str">
        <f>IFERROR(__xludf.DUMMYFUNCTION("""COMPUTED_VALUE"""),"Houston")</f>
        <v>Houston</v>
      </c>
      <c r="G925" s="9" t="str">
        <f>IFERROR(__xludf.DUMMYFUNCTION("""COMPUTED_VALUE"""),"TX")</f>
        <v>TX</v>
      </c>
      <c r="H925" s="9" t="str">
        <f>IFERROR(__xludf.DUMMYFUNCTION("""COMPUTED_VALUE"""),"77003")</f>
        <v>77003</v>
      </c>
      <c r="I925" s="9" t="str">
        <f>IFERROR(__xludf.DUMMYFUNCTION("""COMPUTED_VALUE"""),"832-927-7000")</f>
        <v>832-927-7000</v>
      </c>
      <c r="J925" s="9" t="str">
        <f>IFERROR(__xludf.DUMMYFUNCTION("""COMPUTED_VALUE"""),"29.739741443983128, -95.35213125182024")</f>
        <v>29.739741443983128, -95.35213125182024</v>
      </c>
      <c r="K925" s="9" t="str">
        <f>IFERROR(__xludf.DUMMYFUNCTION("""COMPUTED_VALUE"""),"{""regular"":[{""days"":[""Mo"",""Tu"",""We"",""Th"",""Fr""],""open"":""08:00"",""close"":""18:00""}]}")</f>
        <v>{"regular":[{"days":["Mo","Tu","We","Th","Fr"],"open":"08:00","close":"18:00"}]}</v>
      </c>
      <c r="L925" s="9"/>
      <c r="M925" s="10">
        <f>IFERROR(__xludf.DUMMYFUNCTION("""COMPUTED_VALUE"""),24.0)</f>
        <v>24</v>
      </c>
      <c r="N925" s="10" t="str">
        <f>IFERROR(__xludf.DUMMYFUNCTION("""COMPUTED_VALUE"""),"Housing")</f>
        <v>Housing</v>
      </c>
      <c r="O925" s="10">
        <f>IFERROR(__xludf.DUMMYFUNCTION("""COMPUTED_VALUE"""),1.0)</f>
        <v>1</v>
      </c>
      <c r="P925" s="10" t="str">
        <f>IFERROR(__xludf.DUMMYFUNCTION("""COMPUTED_VALUE"""),"ACTIVE")</f>
        <v>ACTIVE</v>
      </c>
      <c r="Q925" s="11">
        <f>IFERROR(__xludf.DUMMYFUNCTION("""COMPUTED_VALUE"""),45792.0)</f>
        <v>45792</v>
      </c>
      <c r="R925" s="9" t="str">
        <f>IFERROR(__xludf.DUMMYFUNCTION("""COMPUTED_VALUE"""),"Verified online")</f>
        <v>Verified online</v>
      </c>
      <c r="S925" s="9" t="str">
        <f>IFERROR(__xludf.DUMMYFUNCTION("""COMPUTED_VALUE"""),"Provide youth leaving foster care with a safe and rent-free place to live.  In return they do chores, attend life skill/job training, secondary or post-secondary education, etc. under the supervision of staff.")</f>
        <v>Provide youth leaving foster care with a safe and rent-free place to live.  In return they do chores, attend life skill/job training, secondary or post-secondary education, etc. under the supervision of staff.</v>
      </c>
      <c r="T925" s="12" t="b">
        <f>IFERROR(__xludf.DUMMYFUNCTION("""COMPUTED_VALUE"""),FALSE)</f>
        <v>0</v>
      </c>
      <c r="U925" s="12" t="b">
        <f>IFERROR(__xludf.DUMMYFUNCTION("""COMPUTED_VALUE"""),FALSE)</f>
        <v>0</v>
      </c>
      <c r="V925" s="13" t="str">
        <f>IFERROR(__xludf.DUMMYFUNCTION("""COMPUTED_VALUE"""),"https://www.haycenter.org/")</f>
        <v>https://www.haycenter.org/</v>
      </c>
      <c r="W925" s="14" t="str">
        <f>IFERROR(__xludf.DUMMYFUNCTION("""COMPUTED_VALUE"""),"https://www.google.com/maps/place/The+HAY+Center/@29.7395132,-95.3546847,16z/data=!3m1!4b1!4m6!3m5!1s0x8640bf007b5b1ef1:0x267fda7572e7beb0!8m2!3d29.7395086!4d-95.3521098!16s%2Fg%2F11x68ys328?entry=ttu&amp;g_ep=EgoyMDI1MDUxMS4wIKXMDSoASAFQAw%3D%3D")</f>
        <v>https://www.google.com/maps/place/The+HAY+Center/@29.7395132,-95.3546847,16z/data=!3m1!4b1!4m6!3m5!1s0x8640bf007b5b1ef1:0x267fda7572e7beb0!8m2!3d29.7395086!4d-95.3521098!16s%2Fg%2F11x68ys328?entry=ttu&amp;g_ep=EgoyMDI1MDUxMS4wIKXMDSoASAFQAw%3D%3D</v>
      </c>
      <c r="X925" s="10"/>
      <c r="Y925" s="9" t="str">
        <f>IFERROR(__xludf.DUMMYFUNCTION("""COMPUTED_VALUE"""),"Houston")</f>
        <v>Houston</v>
      </c>
      <c r="Z925" s="9" t="str">
        <f>IFERROR(__xludf.DUMMYFUNCTION("""COMPUTED_VALUE"""),"East Downtown, Downtown Houston, Second Ward, South Central Houston, South Side")</f>
        <v>East Downtown, Downtown Houston, Second Ward, South Central Houston, South Side</v>
      </c>
      <c r="AA925" s="9" t="str">
        <f>IFERROR(__xludf.DUMMYFUNCTION("""COMPUTED_VALUE"""),"The Houston Alumni and Youth Center (HAY)")</f>
        <v>The Houston Alumni and Youth Center (HAY)</v>
      </c>
      <c r="AB925" s="9" t="str">
        <f>IFERROR(__xludf.DUMMYFUNCTION("""COMPUTED_VALUE"""),"East Downtown")</f>
        <v>East Downtown</v>
      </c>
    </row>
    <row r="926" ht="30.0" customHeight="1">
      <c r="A926" s="17">
        <v>925.0</v>
      </c>
      <c r="B926" s="8" t="str">
        <f>IFERROR(__xludf.DUMMYFUNCTION("""COMPUTED_VALUE"""),"[""99999""]")</f>
        <v>["99999"]</v>
      </c>
      <c r="C926" s="9" t="str">
        <f>IFERROR(__xludf.DUMMYFUNCTION("""COMPUTED_VALUE"""),"The Lamp Project")</f>
        <v>The Lamp Project</v>
      </c>
      <c r="D926" s="9"/>
      <c r="E926" s="9"/>
      <c r="F926" s="9"/>
      <c r="G926" s="9"/>
      <c r="H926" s="9" t="str">
        <f>IFERROR(__xludf.DUMMYFUNCTION("""COMPUTED_VALUE"""),"77030")</f>
        <v>77030</v>
      </c>
      <c r="I926" s="9" t="str">
        <f>IFERROR(__xludf.DUMMYFUNCTION("""COMPUTED_VALUE"""),"832-617-2953")</f>
        <v>832-617-2953</v>
      </c>
      <c r="J926" s="9" t="str">
        <f>IFERROR(__xludf.DUMMYFUNCTION("""COMPUTED_VALUE"""),"29.706787, -95.401748")</f>
        <v>29.706787, -95.401748</v>
      </c>
      <c r="K926" s="9" t="str">
        <f>IFERROR(__xludf.DUMMYFUNCTION("""COMPUTED_VALUE"""),"{""regular"":[{""days"":[""Mo"",""Tu"",""We"",""Th"",""Fr""],""open"":""09:00"",""close"":""17:00""}]}")</f>
        <v>{"regular":[{"days":["Mo","Tu","We","Th","Fr"],"open":"09:00","close":"17:00"}]}</v>
      </c>
      <c r="L926" s="9"/>
      <c r="M926" s="10">
        <f>IFERROR(__xludf.DUMMYFUNCTION("""COMPUTED_VALUE"""),11.0)</f>
        <v>11</v>
      </c>
      <c r="N926" s="10" t="str">
        <f>IFERROR(__xludf.DUMMYFUNCTION("""COMPUTED_VALUE"""),"Rent")</f>
        <v>Rent</v>
      </c>
      <c r="O926" s="10">
        <f>IFERROR(__xludf.DUMMYFUNCTION("""COMPUTED_VALUE"""),3.0)</f>
        <v>3</v>
      </c>
      <c r="P926" s="10" t="str">
        <f>IFERROR(__xludf.DUMMYFUNCTION("""COMPUTED_VALUE"""),"INACTIVE")</f>
        <v>INACTIVE</v>
      </c>
      <c r="Q926" s="11">
        <f>IFERROR(__xludf.DUMMYFUNCTION("""COMPUTED_VALUE"""),46058.0)</f>
        <v>46058</v>
      </c>
      <c r="R926" s="9" t="str">
        <f>IFERROR(__xludf.DUMMYFUNCTION("""COMPUTED_VALUE"""),"Verified over email")</f>
        <v>Verified over email</v>
      </c>
      <c r="S926" s="9"/>
      <c r="T926" s="12" t="b">
        <f>IFERROR(__xludf.DUMMYFUNCTION("""COMPUTED_VALUE"""),FALSE)</f>
        <v>0</v>
      </c>
      <c r="U926" s="12" t="b">
        <f>IFERROR(__xludf.DUMMYFUNCTION("""COMPUTED_VALUE"""),FALSE)</f>
        <v>0</v>
      </c>
      <c r="V926" s="13" t="str">
        <f>IFERROR(__xludf.DUMMYFUNCTION("""COMPUTED_VALUE"""),"https://thelampproject.org/")</f>
        <v>https://thelampproject.org/</v>
      </c>
      <c r="W926" s="10"/>
      <c r="X926" s="10"/>
      <c r="Y926" s="9" t="str">
        <f>IFERROR(__xludf.DUMMYFUNCTION("""COMPUTED_VALUE"""),"Houston")</f>
        <v>Houston</v>
      </c>
      <c r="Z926" s="9" t="str">
        <f>IFERROR(__xludf.DUMMYFUNCTION("""COMPUTED_VALUE"""),"Central Southwest, Houston Museum District, South Central Houston, Southgate, Texas Medical Center")</f>
        <v>Central Southwest, Houston Museum District, South Central Houston, Southgate, Texas Medical Center</v>
      </c>
      <c r="AA926" s="9" t="str">
        <f>IFERROR(__xludf.DUMMYFUNCTION("""COMPUTED_VALUE"""),"The Lamp Project")</f>
        <v>The Lamp Project</v>
      </c>
      <c r="AB926" s="9"/>
    </row>
    <row r="927" ht="30.0" customHeight="1">
      <c r="A927" s="17">
        <v>926.0</v>
      </c>
      <c r="B927" s="8" t="str">
        <f>IFERROR(__xludf.DUMMYFUNCTION("""COMPUTED_VALUE"""),"[""99999""]")</f>
        <v>["99999"]</v>
      </c>
      <c r="C927" s="9" t="str">
        <f>IFERROR(__xludf.DUMMYFUNCTION("""COMPUTED_VALUE"""),"The Lamp Project")</f>
        <v>The Lamp Project</v>
      </c>
      <c r="D927" s="9"/>
      <c r="E927" s="9"/>
      <c r="F927" s="9"/>
      <c r="G927" s="9"/>
      <c r="H927" s="9" t="str">
        <f>IFERROR(__xludf.DUMMYFUNCTION("""COMPUTED_VALUE"""),"77030")</f>
        <v>77030</v>
      </c>
      <c r="I927" s="9" t="str">
        <f>IFERROR(__xludf.DUMMYFUNCTION("""COMPUTED_VALUE"""),"832-617-2953")</f>
        <v>832-617-2953</v>
      </c>
      <c r="J927" s="9" t="str">
        <f>IFERROR(__xludf.DUMMYFUNCTION("""COMPUTED_VALUE"""),"29.706787, -95.401748")</f>
        <v>29.706787, -95.401748</v>
      </c>
      <c r="K927" s="9" t="str">
        <f>IFERROR(__xludf.DUMMYFUNCTION("""COMPUTED_VALUE"""),"{""regular"":[{""days"":[""Mo"",""Tu"",""We"",""Th"",""Fr""],""open"":""09:00"",""close"":""17:00""}]}")</f>
        <v>{"regular":[{"days":["Mo","Tu","We","Th","Fr"],"open":"09:00","close":"17:00"}]}</v>
      </c>
      <c r="L927" s="9"/>
      <c r="M927" s="10">
        <f>IFERROR(__xludf.DUMMYFUNCTION("""COMPUTED_VALUE"""),12.0)</f>
        <v>12</v>
      </c>
      <c r="N927" s="10" t="str">
        <f>IFERROR(__xludf.DUMMYFUNCTION("""COMPUTED_VALUE"""),"Utilities")</f>
        <v>Utilities</v>
      </c>
      <c r="O927" s="10">
        <f>IFERROR(__xludf.DUMMYFUNCTION("""COMPUTED_VALUE"""),3.0)</f>
        <v>3</v>
      </c>
      <c r="P927" s="10" t="str">
        <f>IFERROR(__xludf.DUMMYFUNCTION("""COMPUTED_VALUE"""),"INACTIVE")</f>
        <v>INACTIVE</v>
      </c>
      <c r="Q927" s="11">
        <f>IFERROR(__xludf.DUMMYFUNCTION("""COMPUTED_VALUE"""),46058.0)</f>
        <v>46058</v>
      </c>
      <c r="R927" s="9" t="str">
        <f>IFERROR(__xludf.DUMMYFUNCTION("""COMPUTED_VALUE"""),"Verified over email")</f>
        <v>Verified over email</v>
      </c>
      <c r="S927" s="9"/>
      <c r="T927" s="12" t="b">
        <f>IFERROR(__xludf.DUMMYFUNCTION("""COMPUTED_VALUE"""),FALSE)</f>
        <v>0</v>
      </c>
      <c r="U927" s="12" t="b">
        <f>IFERROR(__xludf.DUMMYFUNCTION("""COMPUTED_VALUE"""),FALSE)</f>
        <v>0</v>
      </c>
      <c r="V927" s="13" t="str">
        <f>IFERROR(__xludf.DUMMYFUNCTION("""COMPUTED_VALUE"""),"https://thelampproject.org/")</f>
        <v>https://thelampproject.org/</v>
      </c>
      <c r="W927" s="10"/>
      <c r="X927" s="10"/>
      <c r="Y927" s="9" t="str">
        <f>IFERROR(__xludf.DUMMYFUNCTION("""COMPUTED_VALUE"""),"Houston")</f>
        <v>Houston</v>
      </c>
      <c r="Z927" s="9" t="str">
        <f>IFERROR(__xludf.DUMMYFUNCTION("""COMPUTED_VALUE"""),"Central Southwest, Houston Museum District, South Central Houston, Southgate, Texas Medical Center")</f>
        <v>Central Southwest, Houston Museum District, South Central Houston, Southgate, Texas Medical Center</v>
      </c>
      <c r="AA927" s="9" t="str">
        <f>IFERROR(__xludf.DUMMYFUNCTION("""COMPUTED_VALUE"""),"The Lamp Project")</f>
        <v>The Lamp Project</v>
      </c>
      <c r="AB927" s="9"/>
    </row>
    <row r="928" ht="30.0" customHeight="1">
      <c r="A928" s="17">
        <v>927.0</v>
      </c>
      <c r="B928" s="8" t="str">
        <f>IFERROR(__xludf.DUMMYFUNCTION("""COMPUTED_VALUE"""),"[""99999""]")</f>
        <v>["99999"]</v>
      </c>
      <c r="C928" s="9" t="str">
        <f>IFERROR(__xludf.DUMMYFUNCTION("""COMPUTED_VALUE"""),"The Lamp Project")</f>
        <v>The Lamp Project</v>
      </c>
      <c r="D928" s="9"/>
      <c r="E928" s="9"/>
      <c r="F928" s="9"/>
      <c r="G928" s="9"/>
      <c r="H928" s="9" t="str">
        <f>IFERROR(__xludf.DUMMYFUNCTION("""COMPUTED_VALUE"""),"77030")</f>
        <v>77030</v>
      </c>
      <c r="I928" s="9" t="str">
        <f>IFERROR(__xludf.DUMMYFUNCTION("""COMPUTED_VALUE"""),"832-617-2953")</f>
        <v>832-617-2953</v>
      </c>
      <c r="J928" s="9" t="str">
        <f>IFERROR(__xludf.DUMMYFUNCTION("""COMPUTED_VALUE"""),"29.706787, -95.401748")</f>
        <v>29.706787, -95.401748</v>
      </c>
      <c r="K928" s="9" t="str">
        <f>IFERROR(__xludf.DUMMYFUNCTION("""COMPUTED_VALUE"""),"{""regular"":[{""days"":[""Mo"",""Tu"",""We"",""Th"",""Fr""],""open"":""09:00"",""close"":""17:00""}]}")</f>
        <v>{"regular":[{"days":["Mo","Tu","We","Th","Fr"],"open":"09:00","close":"17:00"}]}</v>
      </c>
      <c r="L928" s="9"/>
      <c r="M928" s="10">
        <f>IFERROR(__xludf.DUMMYFUNCTION("""COMPUTED_VALUE"""),23.0)</f>
        <v>23</v>
      </c>
      <c r="N928" s="10" t="str">
        <f>IFERROR(__xludf.DUMMYFUNCTION("""COMPUTED_VALUE"""),"Homeless - Other")</f>
        <v>Homeless - Other</v>
      </c>
      <c r="O928" s="10">
        <f>IFERROR(__xludf.DUMMYFUNCTION("""COMPUTED_VALUE"""),1.0)</f>
        <v>1</v>
      </c>
      <c r="P928" s="10" t="str">
        <f>IFERROR(__xludf.DUMMYFUNCTION("""COMPUTED_VALUE"""),"ACTIVE")</f>
        <v>ACTIVE</v>
      </c>
      <c r="Q928" s="11">
        <f>IFERROR(__xludf.DUMMYFUNCTION("""COMPUTED_VALUE"""),46058.0)</f>
        <v>46058</v>
      </c>
      <c r="R928" s="9" t="str">
        <f>IFERROR(__xludf.DUMMYFUNCTION("""COMPUTED_VALUE"""),"Verified over email")</f>
        <v>Verified over email</v>
      </c>
      <c r="S928" s="9" t="str">
        <f>IFERROR(__xludf.DUMMYFUNCTION("""COMPUTED_VALUE"""),"Assistance with groceries, transportation, appointment and daily essentials.
Detox and recovery program referrals and placement.
Support in the transition toward housing and employment.")</f>
        <v>Assistance with groceries, transportation, appointment and daily essentials.
Detox and recovery program referrals and placement.
Support in the transition toward housing and employment.</v>
      </c>
      <c r="T928" s="12" t="b">
        <f>IFERROR(__xludf.DUMMYFUNCTION("""COMPUTED_VALUE"""),FALSE)</f>
        <v>0</v>
      </c>
      <c r="U928" s="12" t="b">
        <f>IFERROR(__xludf.DUMMYFUNCTION("""COMPUTED_VALUE"""),FALSE)</f>
        <v>0</v>
      </c>
      <c r="V928" s="13" t="str">
        <f>IFERROR(__xludf.DUMMYFUNCTION("""COMPUTED_VALUE"""),"https://thelampproject.org/")</f>
        <v>https://thelampproject.org/</v>
      </c>
      <c r="W928" s="10"/>
      <c r="X928" s="10"/>
      <c r="Y928" s="9" t="str">
        <f>IFERROR(__xludf.DUMMYFUNCTION("""COMPUTED_VALUE"""),"Houston")</f>
        <v>Houston</v>
      </c>
      <c r="Z928" s="9" t="str">
        <f>IFERROR(__xludf.DUMMYFUNCTION("""COMPUTED_VALUE"""),"Central Southwest, Houston Museum District, South Central Houston, Southgate, Texas Medical Center")</f>
        <v>Central Southwest, Houston Museum District, South Central Houston, Southgate, Texas Medical Center</v>
      </c>
      <c r="AA928" s="9" t="str">
        <f>IFERROR(__xludf.DUMMYFUNCTION("""COMPUTED_VALUE"""),"The Lamp Project")</f>
        <v>The Lamp Project</v>
      </c>
      <c r="AB928" s="9"/>
    </row>
    <row r="929" ht="30.0" customHeight="1">
      <c r="A929" s="17">
        <v>928.0</v>
      </c>
      <c r="B929" s="8" t="str">
        <f>IFERROR(__xludf.DUMMYFUNCTION("""COMPUTED_VALUE"""),"[""99999""]")</f>
        <v>["99999"]</v>
      </c>
      <c r="C929" s="9" t="str">
        <f>IFERROR(__xludf.DUMMYFUNCTION("""COMPUTED_VALUE"""),"The Lamp Project")</f>
        <v>The Lamp Project</v>
      </c>
      <c r="D929" s="9"/>
      <c r="E929" s="9"/>
      <c r="F929" s="9"/>
      <c r="G929" s="9"/>
      <c r="H929" s="9" t="str">
        <f>IFERROR(__xludf.DUMMYFUNCTION("""COMPUTED_VALUE"""),"77030")</f>
        <v>77030</v>
      </c>
      <c r="I929" s="9" t="str">
        <f>IFERROR(__xludf.DUMMYFUNCTION("""COMPUTED_VALUE"""),"832-617-2953")</f>
        <v>832-617-2953</v>
      </c>
      <c r="J929" s="9" t="str">
        <f>IFERROR(__xludf.DUMMYFUNCTION("""COMPUTED_VALUE"""),"29.706787, -95.401748")</f>
        <v>29.706787, -95.401748</v>
      </c>
      <c r="K929" s="9" t="str">
        <f>IFERROR(__xludf.DUMMYFUNCTION("""COMPUTED_VALUE"""),"{""regular"":[{""days"":[""Mo"",""Tu"",""We"",""Th"",""Fr""],""open"":""09:00"",""close"":""17:00""}]}")</f>
        <v>{"regular":[{"days":["Mo","Tu","We","Th","Fr"],"open":"09:00","close":"17:00"}]}</v>
      </c>
      <c r="L929" s="9"/>
      <c r="M929" s="10">
        <f>IFERROR(__xludf.DUMMYFUNCTION("""COMPUTED_VALUE"""),35.0)</f>
        <v>35</v>
      </c>
      <c r="N929" s="10" t="str">
        <f>IFERROR(__xludf.DUMMYFUNCTION("""COMPUTED_VALUE"""),"Medical - Program Enrollment")</f>
        <v>Medical - Program Enrollment</v>
      </c>
      <c r="O929" s="10">
        <f>IFERROR(__xludf.DUMMYFUNCTION("""COMPUTED_VALUE"""),1.0)</f>
        <v>1</v>
      </c>
      <c r="P929" s="10" t="str">
        <f>IFERROR(__xludf.DUMMYFUNCTION("""COMPUTED_VALUE"""),"ACTIVE")</f>
        <v>ACTIVE</v>
      </c>
      <c r="Q929" s="11">
        <f>IFERROR(__xludf.DUMMYFUNCTION("""COMPUTED_VALUE"""),46058.0)</f>
        <v>46058</v>
      </c>
      <c r="R929" s="9" t="str">
        <f>IFERROR(__xludf.DUMMYFUNCTION("""COMPUTED_VALUE"""),"Verified over email")</f>
        <v>Verified over email</v>
      </c>
      <c r="S929" s="9" t="str">
        <f>IFERROR(__xludf.DUMMYFUNCTION("""COMPUTED_VALUE"""),"Help securing identification and vital documents.
Guidance with SSI/SSDI, healthcare and insurance support")</f>
        <v>Help securing identification and vital documents.
Guidance with SSI/SSDI, healthcare and insurance support</v>
      </c>
      <c r="T929" s="12" t="b">
        <f>IFERROR(__xludf.DUMMYFUNCTION("""COMPUTED_VALUE"""),FALSE)</f>
        <v>0</v>
      </c>
      <c r="U929" s="12" t="b">
        <f>IFERROR(__xludf.DUMMYFUNCTION("""COMPUTED_VALUE"""),FALSE)</f>
        <v>0</v>
      </c>
      <c r="V929" s="13" t="str">
        <f>IFERROR(__xludf.DUMMYFUNCTION("""COMPUTED_VALUE"""),"https://thelampproject.org/")</f>
        <v>https://thelampproject.org/</v>
      </c>
      <c r="W929" s="10"/>
      <c r="X929" s="10"/>
      <c r="Y929" s="9" t="str">
        <f>IFERROR(__xludf.DUMMYFUNCTION("""COMPUTED_VALUE"""),"Houston")</f>
        <v>Houston</v>
      </c>
      <c r="Z929" s="9" t="str">
        <f>IFERROR(__xludf.DUMMYFUNCTION("""COMPUTED_VALUE"""),"Central Southwest, Houston Museum District, South Central Houston, Southgate, Texas Medical Center")</f>
        <v>Central Southwest, Houston Museum District, South Central Houston, Southgate, Texas Medical Center</v>
      </c>
      <c r="AA929" s="9" t="str">
        <f>IFERROR(__xludf.DUMMYFUNCTION("""COMPUTED_VALUE"""),"The Lamp Project")</f>
        <v>The Lamp Project</v>
      </c>
      <c r="AB929" s="9"/>
    </row>
    <row r="930" ht="30.0" customHeight="1">
      <c r="A930" s="17">
        <v>929.0</v>
      </c>
      <c r="B930" s="8" t="str">
        <f>IFERROR(__xludf.DUMMYFUNCTION("""COMPUTED_VALUE"""),"[""99999""]")</f>
        <v>["99999"]</v>
      </c>
      <c r="C930" s="9" t="str">
        <f>IFERROR(__xludf.DUMMYFUNCTION("""COMPUTED_VALUE"""),"The Landing")</f>
        <v>The Landing</v>
      </c>
      <c r="D930" s="9" t="str">
        <f>IFERROR(__xludf.DUMMYFUNCTION("""COMPUTED_VALUE"""),"9894 Bissonnet Street")</f>
        <v>9894 Bissonnet Street</v>
      </c>
      <c r="E930" s="9" t="str">
        <f>IFERROR(__xludf.DUMMYFUNCTION("""COMPUTED_VALUE"""),"Suite 605")</f>
        <v>Suite 605</v>
      </c>
      <c r="F930" s="9" t="str">
        <f>IFERROR(__xludf.DUMMYFUNCTION("""COMPUTED_VALUE"""),"Houston")</f>
        <v>Houston</v>
      </c>
      <c r="G930" s="9" t="str">
        <f>IFERROR(__xludf.DUMMYFUNCTION("""COMPUTED_VALUE"""),"TX")</f>
        <v>TX</v>
      </c>
      <c r="H930" s="9" t="str">
        <f>IFERROR(__xludf.DUMMYFUNCTION("""COMPUTED_VALUE"""),"77036")</f>
        <v>77036</v>
      </c>
      <c r="I930" s="9" t="str">
        <f>IFERROR(__xludf.DUMMYFUNCTION("""COMPUTED_VALUE"""),"713-766-1111")</f>
        <v>713-766-1111</v>
      </c>
      <c r="J930" s="9" t="str">
        <f>IFERROR(__xludf.DUMMYFUNCTION("""COMPUTED_VALUE"""),"29.677670112635003, -95.55300855482018")</f>
        <v>29.677670112635003, -95.55300855482018</v>
      </c>
      <c r="K930" s="9" t="str">
        <f>IFERROR(__xludf.DUMMYFUNCTION("""COMPUTED_VALUE"""),"{""regular"":[{""days"":[""Mo"",""Tu"",""We"",""Th"",""Fr""],""open"":""10:00"",""close"":""16:00""}]}")</f>
        <v>{"regular":[{"days":["Mo","Tu","We","Th","Fr"],"open":"10:00","close":"16:00"}]}</v>
      </c>
      <c r="L930" s="9" t="str">
        <f>IFERROR(__xludf.DUMMYFUNCTION("""COMPUTED_VALUE"""),"Drop in center by appointment only.
Complete online referral form")</f>
        <v>Drop in center by appointment only.
Complete online referral form</v>
      </c>
      <c r="M930" s="10">
        <f>IFERROR(__xludf.DUMMYFUNCTION("""COMPUTED_VALUE"""),65.0)</f>
        <v>65</v>
      </c>
      <c r="N930" s="10" t="str">
        <f>IFERROR(__xludf.DUMMYFUNCTION("""COMPUTED_VALUE"""),"Other")</f>
        <v>Other</v>
      </c>
      <c r="O930" s="10">
        <f>IFERROR(__xludf.DUMMYFUNCTION("""COMPUTED_VALUE"""),1.0)</f>
        <v>1</v>
      </c>
      <c r="P930" s="10" t="str">
        <f>IFERROR(__xludf.DUMMYFUNCTION("""COMPUTED_VALUE"""),"ACTIVE")</f>
        <v>ACTIVE</v>
      </c>
      <c r="Q930" s="11">
        <f>IFERROR(__xludf.DUMMYFUNCTION("""COMPUTED_VALUE"""),46058.0)</f>
        <v>46058</v>
      </c>
      <c r="R930" s="9" t="str">
        <f>IFERROR(__xludf.DUMMYFUNCTION("""COMPUTED_VALUE"""),"Matt Ryan referral")</f>
        <v>Matt Ryan referral</v>
      </c>
      <c r="S930" s="9" t="str">
        <f>IFERROR(__xludf.DUMMYFUNCTION("""COMPUTED_VALUE"""),"Human trafficking and sexual exploitation.
Drop in center where survivors can get food and clothing, hygiene products, phone and computer use, counseling  and support.  
24/7 crisis intervention and advocacy when a child is removed from a harmful situatio"&amp;"n and taken to a local hospital.  
Help through the recovery process, providing emotional support and in navigating community programs and services")</f>
        <v>Human trafficking and sexual exploitation.
Drop in center where survivors can get food and clothing, hygiene products, phone and computer use, counseling  and support.  
24/7 crisis intervention and advocacy when a child is removed from a harmful situation and taken to a local hospital.  
Help through the recovery process, providing emotional support and in navigating community programs and services</v>
      </c>
      <c r="T930" s="12" t="b">
        <f>IFERROR(__xludf.DUMMYFUNCTION("""COMPUTED_VALUE"""),FALSE)</f>
        <v>0</v>
      </c>
      <c r="U930" s="12" t="b">
        <f>IFERROR(__xludf.DUMMYFUNCTION("""COMPUTED_VALUE"""),FALSE)</f>
        <v>0</v>
      </c>
      <c r="V930" s="13" t="str">
        <f>IFERROR(__xludf.DUMMYFUNCTION("""COMPUTED_VALUE"""),"https://thelanding.org/our-work/")</f>
        <v>https://thelanding.org/our-work/</v>
      </c>
      <c r="W930" s="14" t="str">
        <f>IFERROR(__xludf.DUMMYFUNCTION("""COMPUTED_VALUE"""),"https://www.google.com/maps/place/The+Landing+Drop-In+Center/@29.6771389,-95.5578151,16z/data=!3m1!4b1!4m6!3m5!1s0x8640c2a8e9e9b749:0xeb138e54bcc8caa9!8m2!3d29.6771343!4d-95.5529442!16s%2Fg%2F11d_yph8l8?entry=ttu&amp;g_ep=EgoyMDI2MDIwMS4wIKXMDSoKLDEwMDc5MjA2O"&amp;"UgBUAM%3D")</f>
        <v>https://www.google.com/maps/place/The+Landing+Drop-In+Center/@29.6771389,-95.5578151,16z/data=!3m1!4b1!4m6!3m5!1s0x8640c2a8e9e9b749:0xeb138e54bcc8caa9!8m2!3d29.6771343!4d-95.5529442!16s%2Fg%2F11d_yph8l8?entry=ttu&amp;g_ep=EgoyMDI2MDIwMS4wIKXMDSoKLDEwMDc5MjA2OUgBUAM%3D</v>
      </c>
      <c r="X930" s="10"/>
      <c r="Y930" s="9" t="str">
        <f>IFERROR(__xludf.DUMMYFUNCTION("""COMPUTED_VALUE"""),"Houston")</f>
        <v>Houston</v>
      </c>
      <c r="Z930" s="9" t="str">
        <f>IFERROR(__xludf.DUMMYFUNCTION("""COMPUTED_VALUE"""),"Chinatown, Sharpstown, Westside")</f>
        <v>Chinatown, Sharpstown, Westside</v>
      </c>
      <c r="AA930" s="9" t="str">
        <f>IFERROR(__xludf.DUMMYFUNCTION("""COMPUTED_VALUE"""),"The Landing")</f>
        <v>The Landing</v>
      </c>
      <c r="AB930" s="9" t="str">
        <f>IFERROR(__xludf.DUMMYFUNCTION("""COMPUTED_VALUE"""),"Westside")</f>
        <v>Westside</v>
      </c>
    </row>
    <row r="931" ht="30.0" customHeight="1">
      <c r="A931" s="17">
        <v>930.0</v>
      </c>
      <c r="B931" s="8" t="str">
        <f>IFERROR(__xludf.DUMMYFUNCTION("""COMPUTED_VALUE"""),"[""99999""]")</f>
        <v>["99999"]</v>
      </c>
      <c r="C931" s="9" t="str">
        <f>IFERROR(__xludf.DUMMYFUNCTION("""COMPUTED_VALUE"""),"The Lighthouse of Houston")</f>
        <v>The Lighthouse of Houston</v>
      </c>
      <c r="D931" s="9" t="str">
        <f>IFERROR(__xludf.DUMMYFUNCTION("""COMPUTED_VALUE"""),"3602 W Dallas Street")</f>
        <v>3602 W Dallas Street</v>
      </c>
      <c r="E931" s="9"/>
      <c r="F931" s="9" t="str">
        <f>IFERROR(__xludf.DUMMYFUNCTION("""COMPUTED_VALUE"""),"Houston")</f>
        <v>Houston</v>
      </c>
      <c r="G931" s="9" t="str">
        <f>IFERROR(__xludf.DUMMYFUNCTION("""COMPUTED_VALUE"""),"TX")</f>
        <v>TX</v>
      </c>
      <c r="H931" s="9" t="str">
        <f>IFERROR(__xludf.DUMMYFUNCTION("""COMPUTED_VALUE"""),"77019")</f>
        <v>77019</v>
      </c>
      <c r="I931" s="9" t="str">
        <f>IFERROR(__xludf.DUMMYFUNCTION("""COMPUTED_VALUE"""),"713-527-9561")</f>
        <v>713-527-9561</v>
      </c>
      <c r="J931" s="9" t="str">
        <f>IFERROR(__xludf.DUMMYFUNCTION("""COMPUTED_VALUE"""),"29.7572435384615, -95.4072356923077")</f>
        <v>29.7572435384615, -95.4072356923077</v>
      </c>
      <c r="K931" s="9" t="str">
        <f>IFERROR(__xludf.DUMMYFUNCTION("""COMPUTED_VALUE"""),"{""regular"":[{""days"":[""Mo"",""Tu"",""We"",""Th"",""Fr""],""open"":""08:00"",""close"":""16:00""}]}")</f>
        <v>{"regular":[{"days":["Mo","Tu","We","Th","Fr"],"open":"08:00","close":"16:00"}]}</v>
      </c>
      <c r="L931" s="9"/>
      <c r="M931" s="10">
        <f>IFERROR(__xludf.DUMMYFUNCTION("""COMPUTED_VALUE"""),24.0)</f>
        <v>24</v>
      </c>
      <c r="N931" s="10" t="str">
        <f>IFERROR(__xludf.DUMMYFUNCTION("""COMPUTED_VALUE"""),"Housing")</f>
        <v>Housing</v>
      </c>
      <c r="O931" s="10">
        <f>IFERROR(__xludf.DUMMYFUNCTION("""COMPUTED_VALUE"""),1.0)</f>
        <v>1</v>
      </c>
      <c r="P931" s="10" t="str">
        <f>IFERROR(__xludf.DUMMYFUNCTION("""COMPUTED_VALUE"""),"ACTIVE")</f>
        <v>ACTIVE</v>
      </c>
      <c r="Q931" s="11">
        <f>IFERROR(__xludf.DUMMYFUNCTION("""COMPUTED_VALUE"""),45791.0)</f>
        <v>45791</v>
      </c>
      <c r="R931" s="9" t="str">
        <f>IFERROR(__xludf.DUMMYFUNCTION("""COMPUTED_VALUE"""),"Verified online")</f>
        <v>Verified online</v>
      </c>
      <c r="S931" s="9" t="str">
        <f>IFERROR(__xludf.DUMMYFUNCTION("""COMPUTED_VALUE"""),"Two locations in SW Houston offer independent living for low income, blind or low vision individuals.
Rent is subsidised and determined by income level.")</f>
        <v>Two locations in SW Houston offer independent living for low income, blind or low vision individuals.
Rent is subsidised and determined by income level.</v>
      </c>
      <c r="T931" s="12" t="b">
        <f>IFERROR(__xludf.DUMMYFUNCTION("""COMPUTED_VALUE"""),FALSE)</f>
        <v>0</v>
      </c>
      <c r="U931" s="12" t="b">
        <f>IFERROR(__xludf.DUMMYFUNCTION("""COMPUTED_VALUE"""),FALSE)</f>
        <v>0</v>
      </c>
      <c r="V931" s="13" t="str">
        <f>IFERROR(__xludf.DUMMYFUNCTION("""COMPUTED_VALUE"""),"https://houstonlighthouse.org/")</f>
        <v>https://houstonlighthouse.org/</v>
      </c>
      <c r="W931" s="14" t="str">
        <f>IFERROR(__xludf.DUMMYFUNCTION("""COMPUTED_VALUE"""),"https://www.google.com/maps/place/The+Lighthouse+of+Houston/@29.7573938,-95.411741,17z/data=!3m1!4b1!4m6!3m5!1s0x8640c0ba55ff04f7:0x2804864348e60b5!8m2!3d29.7573892!4d-95.4068701!16s%2Fg%2F1trxf24y?entry=ttu&amp;g_ep=EgoyMDI1MDUxMS4wIKXMDSoASAFQAw%3D%3D")</f>
        <v>https://www.google.com/maps/place/The+Lighthouse+of+Houston/@29.7573938,-95.411741,17z/data=!3m1!4b1!4m6!3m5!1s0x8640c0ba55ff04f7:0x2804864348e60b5!8m2!3d29.7573892!4d-95.4068701!16s%2Fg%2F1trxf24y?entry=ttu&amp;g_ep=EgoyMDI1MDUxMS4wIKXMDSoASAFQAw%3D%3D</v>
      </c>
      <c r="X931" s="10"/>
      <c r="Y931" s="9" t="str">
        <f>IFERROR(__xludf.DUMMYFUNCTION("""COMPUTED_VALUE"""),"Houston")</f>
        <v>Houston</v>
      </c>
      <c r="Z931" s="9" t="str">
        <f>IFERROR(__xludf.DUMMYFUNCTION("""COMPUTED_VALUE"""),"Fourth Ward, Montrose, River Oaks")</f>
        <v>Fourth Ward, Montrose, River Oaks</v>
      </c>
      <c r="AA931" s="9" t="str">
        <f>IFERROR(__xludf.DUMMYFUNCTION("""COMPUTED_VALUE"""),"The Lighthouse of Houston")</f>
        <v>The Lighthouse of Houston</v>
      </c>
      <c r="AB931" s="9" t="str">
        <f>IFERROR(__xludf.DUMMYFUNCTION("""COMPUTED_VALUE"""),"Montrose")</f>
        <v>Montrose</v>
      </c>
    </row>
    <row r="932" ht="30.0" customHeight="1">
      <c r="A932" s="17">
        <v>931.0</v>
      </c>
      <c r="B932" s="8" t="str">
        <f>IFERROR(__xludf.DUMMYFUNCTION("""COMPUTED_VALUE"""),"[""99999""]")</f>
        <v>["99999"]</v>
      </c>
      <c r="C932" s="9" t="str">
        <f>IFERROR(__xludf.DUMMYFUNCTION("""COMPUTED_VALUE"""),"The Lighthouse of Houston")</f>
        <v>The Lighthouse of Houston</v>
      </c>
      <c r="D932" s="9" t="str">
        <f>IFERROR(__xludf.DUMMYFUNCTION("""COMPUTED_VALUE"""),"3602 W Dallas Street")</f>
        <v>3602 W Dallas Street</v>
      </c>
      <c r="E932" s="9"/>
      <c r="F932" s="9" t="str">
        <f>IFERROR(__xludf.DUMMYFUNCTION("""COMPUTED_VALUE"""),"Houston")</f>
        <v>Houston</v>
      </c>
      <c r="G932" s="9" t="str">
        <f>IFERROR(__xludf.DUMMYFUNCTION("""COMPUTED_VALUE"""),"TX")</f>
        <v>TX</v>
      </c>
      <c r="H932" s="9" t="str">
        <f>IFERROR(__xludf.DUMMYFUNCTION("""COMPUTED_VALUE"""),"77019")</f>
        <v>77019</v>
      </c>
      <c r="I932" s="9" t="str">
        <f>IFERROR(__xludf.DUMMYFUNCTION("""COMPUTED_VALUE"""),"713-527-9561")</f>
        <v>713-527-9561</v>
      </c>
      <c r="J932" s="9" t="str">
        <f>IFERROR(__xludf.DUMMYFUNCTION("""COMPUTED_VALUE"""),"29.7572435384615, -95.4072356923077")</f>
        <v>29.7572435384615, -95.4072356923077</v>
      </c>
      <c r="K932" s="9" t="str">
        <f>IFERROR(__xludf.DUMMYFUNCTION("""COMPUTED_VALUE"""),"{""regular"":[{""days"":[""Mo"",""Tu"",""We"",""Th"",""Fr""],""open"":""08:00"",""close"":""16:00""}]}")</f>
        <v>{"regular":[{"days":["Mo","Tu","We","Th","Fr"],"open":"08:00","close":"16:00"}]}</v>
      </c>
      <c r="L932" s="9"/>
      <c r="M932" s="10">
        <f>IFERROR(__xludf.DUMMYFUNCTION("""COMPUTED_VALUE"""),32.0)</f>
        <v>32</v>
      </c>
      <c r="N932" s="10" t="str">
        <f>IFERROR(__xludf.DUMMYFUNCTION("""COMPUTED_VALUE"""),"Medical - Dental &amp; Vision")</f>
        <v>Medical - Dental &amp; Vision</v>
      </c>
      <c r="O932" s="10">
        <f>IFERROR(__xludf.DUMMYFUNCTION("""COMPUTED_VALUE"""),1.0)</f>
        <v>1</v>
      </c>
      <c r="P932" s="10" t="str">
        <f>IFERROR(__xludf.DUMMYFUNCTION("""COMPUTED_VALUE"""),"ACTIVE")</f>
        <v>ACTIVE</v>
      </c>
      <c r="Q932" s="11">
        <f>IFERROR(__xludf.DUMMYFUNCTION("""COMPUTED_VALUE"""),46048.0)</f>
        <v>46048</v>
      </c>
      <c r="R932" s="9" t="str">
        <f>IFERROR(__xludf.DUMMYFUNCTION("""COMPUTED_VALUE"""),"Verified online")</f>
        <v>Verified online</v>
      </c>
      <c r="S932" s="9" t="str">
        <f>IFERROR(__xludf.DUMMYFUNCTION("""COMPUTED_VALUE"""),"Vision
Health services for blind and low vision individuals, include Low Vision Clinic, Activities of Daily Living (ADL), Orientation &amp; Mobility (O&amp;M) and Behavioral Health.
Help empower low vision and blind individuals to navigate their environment and p"&amp;"erform daily tasks.")</f>
        <v>Vision
Health services for blind and low vision individuals, include Low Vision Clinic, Activities of Daily Living (ADL), Orientation &amp; Mobility (O&amp;M) and Behavioral Health.
Help empower low vision and blind individuals to navigate their environment and perform daily tasks.</v>
      </c>
      <c r="T932" s="12" t="b">
        <f>IFERROR(__xludf.DUMMYFUNCTION("""COMPUTED_VALUE"""),TRUE)</f>
        <v>1</v>
      </c>
      <c r="U932" s="12" t="b">
        <f>IFERROR(__xludf.DUMMYFUNCTION("""COMPUTED_VALUE"""),FALSE)</f>
        <v>0</v>
      </c>
      <c r="V932" s="13" t="str">
        <f>IFERROR(__xludf.DUMMYFUNCTION("""COMPUTED_VALUE"""),"https://houstonlighthouse.org/")</f>
        <v>https://houstonlighthouse.org/</v>
      </c>
      <c r="W932" s="14" t="str">
        <f>IFERROR(__xludf.DUMMYFUNCTION("""COMPUTED_VALUE"""),"https://www.google.com/maps/place/The+Lighthouse+of+Houston/@29.7573938,-95.411741,17z/data=!3m1!4b1!4m6!3m5!1s0x8640c0ba55ff04f7:0x2804864348e60b5!8m2!3d29.7573892!4d-95.4068701!16s%2Fg%2F1trxf24y?entry=ttu&amp;g_ep=EgoyMDI1MDUxMS4wIKXMDSoASAFQAw%3D%3D")</f>
        <v>https://www.google.com/maps/place/The+Lighthouse+of+Houston/@29.7573938,-95.411741,17z/data=!3m1!4b1!4m6!3m5!1s0x8640c0ba55ff04f7:0x2804864348e60b5!8m2!3d29.7573892!4d-95.4068701!16s%2Fg%2F1trxf24y?entry=ttu&amp;g_ep=EgoyMDI1MDUxMS4wIKXMDSoASAFQAw%3D%3D</v>
      </c>
      <c r="X932" s="10"/>
      <c r="Y932" s="9" t="str">
        <f>IFERROR(__xludf.DUMMYFUNCTION("""COMPUTED_VALUE"""),"Houston")</f>
        <v>Houston</v>
      </c>
      <c r="Z932" s="9" t="str">
        <f>IFERROR(__xludf.DUMMYFUNCTION("""COMPUTED_VALUE"""),"Fourth Ward, Montrose, River Oaks")</f>
        <v>Fourth Ward, Montrose, River Oaks</v>
      </c>
      <c r="AA932" s="9" t="str">
        <f>IFERROR(__xludf.DUMMYFUNCTION("""COMPUTED_VALUE"""),"The Lighthouse of Houston")</f>
        <v>The Lighthouse of Houston</v>
      </c>
      <c r="AB932" s="9" t="str">
        <f>IFERROR(__xludf.DUMMYFUNCTION("""COMPUTED_VALUE"""),"Montrose")</f>
        <v>Montrose</v>
      </c>
    </row>
    <row r="933" ht="30.0" customHeight="1">
      <c r="A933" s="17">
        <v>932.0</v>
      </c>
      <c r="B933" s="8" t="str">
        <f>IFERROR(__xludf.DUMMYFUNCTION("""COMPUTED_VALUE"""),"[""99999""]")</f>
        <v>["99999"]</v>
      </c>
      <c r="C933" s="9" t="str">
        <f>IFERROR(__xludf.DUMMYFUNCTION("""COMPUTED_VALUE"""),"The Lighthouse of Houston")</f>
        <v>The Lighthouse of Houston</v>
      </c>
      <c r="D933" s="9" t="str">
        <f>IFERROR(__xludf.DUMMYFUNCTION("""COMPUTED_VALUE"""),"3602 W Dallas Street")</f>
        <v>3602 W Dallas Street</v>
      </c>
      <c r="E933" s="9"/>
      <c r="F933" s="9" t="str">
        <f>IFERROR(__xludf.DUMMYFUNCTION("""COMPUTED_VALUE"""),"Houston")</f>
        <v>Houston</v>
      </c>
      <c r="G933" s="9" t="str">
        <f>IFERROR(__xludf.DUMMYFUNCTION("""COMPUTED_VALUE"""),"TX")</f>
        <v>TX</v>
      </c>
      <c r="H933" s="9" t="str">
        <f>IFERROR(__xludf.DUMMYFUNCTION("""COMPUTED_VALUE"""),"77019")</f>
        <v>77019</v>
      </c>
      <c r="I933" s="9" t="str">
        <f>IFERROR(__xludf.DUMMYFUNCTION("""COMPUTED_VALUE"""),"713-527-9561")</f>
        <v>713-527-9561</v>
      </c>
      <c r="J933" s="9" t="str">
        <f>IFERROR(__xludf.DUMMYFUNCTION("""COMPUTED_VALUE"""),"29.7572435384615, -95.4072356923077")</f>
        <v>29.7572435384615, -95.4072356923077</v>
      </c>
      <c r="K933" s="9" t="str">
        <f>IFERROR(__xludf.DUMMYFUNCTION("""COMPUTED_VALUE"""),"{""regular"":[{""days"":[""Mo"",""Tu"",""We"",""Th"",""Fr""],""open"":""08:00"",""close"":""16:00""}]}")</f>
        <v>{"regular":[{"days":["Mo","Tu","We","Th","Fr"],"open":"08:00","close":"16:00"}]}</v>
      </c>
      <c r="L933" s="9"/>
      <c r="M933" s="10">
        <f>IFERROR(__xludf.DUMMYFUNCTION("""COMPUTED_VALUE"""),52.0)</f>
        <v>52</v>
      </c>
      <c r="N933" s="10" t="str">
        <f>IFERROR(__xludf.DUMMYFUNCTION("""COMPUTED_VALUE"""),"Jobs")</f>
        <v>Jobs</v>
      </c>
      <c r="O933" s="10">
        <f>IFERROR(__xludf.DUMMYFUNCTION("""COMPUTED_VALUE"""),1.0)</f>
        <v>1</v>
      </c>
      <c r="P933" s="10" t="str">
        <f>IFERROR(__xludf.DUMMYFUNCTION("""COMPUTED_VALUE"""),"ACTIVE")</f>
        <v>ACTIVE</v>
      </c>
      <c r="Q933" s="11">
        <f>IFERROR(__xludf.DUMMYFUNCTION("""COMPUTED_VALUE"""),45791.0)</f>
        <v>45791</v>
      </c>
      <c r="R933" s="9" t="str">
        <f>IFERROR(__xludf.DUMMYFUNCTION("""COMPUTED_VALUE"""),"Verified online")</f>
        <v>Verified online</v>
      </c>
      <c r="S933" s="9" t="str">
        <f>IFERROR(__xludf.DUMMYFUNCTION("""COMPUTED_VALUE"""),"Training on assistive technology devices, software and programs.
Employment training for blind and low vision individuals.")</f>
        <v>Training on assistive technology devices, software and programs.
Employment training for blind and low vision individuals.</v>
      </c>
      <c r="T933" s="12" t="b">
        <f>IFERROR(__xludf.DUMMYFUNCTION("""COMPUTED_VALUE"""),FALSE)</f>
        <v>0</v>
      </c>
      <c r="U933" s="12" t="b">
        <f>IFERROR(__xludf.DUMMYFUNCTION("""COMPUTED_VALUE"""),FALSE)</f>
        <v>0</v>
      </c>
      <c r="V933" s="13" t="str">
        <f>IFERROR(__xludf.DUMMYFUNCTION("""COMPUTED_VALUE"""),"https://houstonlighthouse.org/")</f>
        <v>https://houstonlighthouse.org/</v>
      </c>
      <c r="W933" s="14" t="str">
        <f>IFERROR(__xludf.DUMMYFUNCTION("""COMPUTED_VALUE"""),"https://www.google.com/maps/place/The+Lighthouse+of+Houston/@29.7573938,-95.411741,17z/data=!3m1!4b1!4m6!3m5!1s0x8640c0ba55ff04f7:0x2804864348e60b5!8m2!3d29.7573892!4d-95.4068701!16s%2Fg%2F1trxf24y?entry=ttu&amp;g_ep=EgoyMDI1MDUxMS4wIKXMDSoASAFQAw%3D%3D")</f>
        <v>https://www.google.com/maps/place/The+Lighthouse+of+Houston/@29.7573938,-95.411741,17z/data=!3m1!4b1!4m6!3m5!1s0x8640c0ba55ff04f7:0x2804864348e60b5!8m2!3d29.7573892!4d-95.4068701!16s%2Fg%2F1trxf24y?entry=ttu&amp;g_ep=EgoyMDI1MDUxMS4wIKXMDSoASAFQAw%3D%3D</v>
      </c>
      <c r="X933" s="10"/>
      <c r="Y933" s="9" t="str">
        <f>IFERROR(__xludf.DUMMYFUNCTION("""COMPUTED_VALUE"""),"Houston")</f>
        <v>Houston</v>
      </c>
      <c r="Z933" s="9" t="str">
        <f>IFERROR(__xludf.DUMMYFUNCTION("""COMPUTED_VALUE"""),"Fourth Ward, Montrose, River Oaks")</f>
        <v>Fourth Ward, Montrose, River Oaks</v>
      </c>
      <c r="AA933" s="9" t="str">
        <f>IFERROR(__xludf.DUMMYFUNCTION("""COMPUTED_VALUE"""),"The Lighthouse of Houston")</f>
        <v>The Lighthouse of Houston</v>
      </c>
      <c r="AB933" s="9" t="str">
        <f>IFERROR(__xludf.DUMMYFUNCTION("""COMPUTED_VALUE"""),"Montrose")</f>
        <v>Montrose</v>
      </c>
    </row>
    <row r="934" ht="30.0" customHeight="1">
      <c r="A934" s="17">
        <v>933.0</v>
      </c>
      <c r="B934" s="8" t="str">
        <f>IFERROR(__xludf.DUMMYFUNCTION("""COMPUTED_VALUE"""),"[""99999""]")</f>
        <v>["99999"]</v>
      </c>
      <c r="C934" s="9" t="str">
        <f>IFERROR(__xludf.DUMMYFUNCTION("""COMPUTED_VALUE"""),"The Women's Home")</f>
        <v>The Women's Home</v>
      </c>
      <c r="D934" s="9" t="str">
        <f>IFERROR(__xludf.DUMMYFUNCTION("""COMPUTED_VALUE"""),"607 Westheimer Road")</f>
        <v>607 Westheimer Road</v>
      </c>
      <c r="E934" s="9"/>
      <c r="F934" s="9" t="str">
        <f>IFERROR(__xludf.DUMMYFUNCTION("""COMPUTED_VALUE"""),"Houston")</f>
        <v>Houston</v>
      </c>
      <c r="G934" s="9" t="str">
        <f>IFERROR(__xludf.DUMMYFUNCTION("""COMPUTED_VALUE"""),"TX")</f>
        <v>TX</v>
      </c>
      <c r="H934" s="9" t="str">
        <f>IFERROR(__xludf.DUMMYFUNCTION("""COMPUTED_VALUE"""),"77055")</f>
        <v>77055</v>
      </c>
      <c r="I934" s="9" t="str">
        <f>IFERROR(__xludf.DUMMYFUNCTION("""COMPUTED_VALUE"""),"713-328-1976")</f>
        <v>713-328-1976</v>
      </c>
      <c r="J934" s="9" t="str">
        <f>IFERROR(__xludf.DUMMYFUNCTION("""COMPUTED_VALUE"""),"29.744498948871193, -95.3893053382441")</f>
        <v>29.744498948871193, -95.3893053382441</v>
      </c>
      <c r="K934" s="9"/>
      <c r="L934" s="9"/>
      <c r="M934" s="10">
        <f>IFERROR(__xludf.DUMMYFUNCTION("""COMPUTED_VALUE"""),24.0)</f>
        <v>24</v>
      </c>
      <c r="N934" s="10" t="str">
        <f>IFERROR(__xludf.DUMMYFUNCTION("""COMPUTED_VALUE"""),"Housing")</f>
        <v>Housing</v>
      </c>
      <c r="O934" s="10">
        <f>IFERROR(__xludf.DUMMYFUNCTION("""COMPUTED_VALUE"""),1.0)</f>
        <v>1</v>
      </c>
      <c r="P934" s="10" t="str">
        <f>IFERROR(__xludf.DUMMYFUNCTION("""COMPUTED_VALUE"""),"ACTIVE")</f>
        <v>ACTIVE</v>
      </c>
      <c r="Q934" s="11">
        <f>IFERROR(__xludf.DUMMYFUNCTION("""COMPUTED_VALUE"""),45791.0)</f>
        <v>45791</v>
      </c>
      <c r="R934" s="9" t="str">
        <f>IFERROR(__xludf.DUMMYFUNCTION("""COMPUTED_VALUE"""),"Verified online")</f>
        <v>Verified online</v>
      </c>
      <c r="S934" s="9" t="str">
        <f>IFERROR(__xludf.DUMMYFUNCTION("""COMPUTED_VALUE"""),"Several programs and locations - residential treatment and transitional housing, two permanent supportive housing programs and a service center that provides support service to help prevent homelessness.
Locations include Jane Cizik Garden Place, Mabee Wh"&amp;"oleLife Service Center and Adele and Ber Pieper Family Place.  They also have a resale shop called The Cottage Shop.")</f>
        <v>Several programs and locations - residential treatment and transitional housing, two permanent supportive housing programs and a service center that provides support service to help prevent homelessness.
Locations include Jane Cizik Garden Place, Mabee WholeLife Service Center and Adele and Ber Pieper Family Place.  They also have a resale shop called The Cottage Shop.</v>
      </c>
      <c r="T934" s="12" t="b">
        <f>IFERROR(__xludf.DUMMYFUNCTION("""COMPUTED_VALUE"""),FALSE)</f>
        <v>0</v>
      </c>
      <c r="U934" s="12" t="b">
        <f>IFERROR(__xludf.DUMMYFUNCTION("""COMPUTED_VALUE"""),FALSE)</f>
        <v>0</v>
      </c>
      <c r="V934" s="13" t="str">
        <f>IFERROR(__xludf.DUMMYFUNCTION("""COMPUTED_VALUE"""),"https://www.thewomenshome.org/what-we-do/")</f>
        <v>https://www.thewomenshome.org/what-we-do/</v>
      </c>
      <c r="W934" s="14" t="str">
        <f>IFERROR(__xludf.DUMMYFUNCTION("""COMPUTED_VALUE"""),"https://www.google.com/maps/place/Women's+Home/@29.7442602,-95.3918399,17z/data=!3m1!4b1!4m6!3m5!1s0x8640bf6141ce535d:0x8e346ab704245bf5!8m2!3d29.7442556!4d-95.389265!16s%2Fg%2F1tf3p8k0?entry=ttu&amp;g_ep=EgoyMDI1MDUxMS4wIKXMDSoASAFQAw%3D%3D")</f>
        <v>https://www.google.com/maps/place/Women's+Home/@29.7442602,-95.3918399,17z/data=!3m1!4b1!4m6!3m5!1s0x8640bf6141ce535d:0x8e346ab704245bf5!8m2!3d29.7442556!4d-95.389265!16s%2Fg%2F1tf3p8k0?entry=ttu&amp;g_ep=EgoyMDI1MDUxMS4wIKXMDSoASAFQAw%3D%3D</v>
      </c>
      <c r="X934" s="10"/>
      <c r="Y934" s="9" t="str">
        <f>IFERROR(__xludf.DUMMYFUNCTION("""COMPUTED_VALUE"""),"Houston")</f>
        <v>Houston</v>
      </c>
      <c r="Z934" s="9" t="str">
        <f>IFERROR(__xludf.DUMMYFUNCTION("""COMPUTED_VALUE"""),"Hilshire Village, Montrose, Northwest Houston, Spring Branch East, Washington Avenue Coalition / Memorial Park")</f>
        <v>Hilshire Village, Montrose, Northwest Houston, Spring Branch East, Washington Avenue Coalition / Memorial Park</v>
      </c>
      <c r="AA934" s="9" t="str">
        <f>IFERROR(__xludf.DUMMYFUNCTION("""COMPUTED_VALUE"""),"The Women's Home")</f>
        <v>The Women's Home</v>
      </c>
      <c r="AB934" s="9" t="str">
        <f>IFERROR(__xludf.DUMMYFUNCTION("""COMPUTED_VALUE"""),"Montrose")</f>
        <v>Montrose</v>
      </c>
    </row>
    <row r="935" ht="30.0" customHeight="1">
      <c r="A935" s="17">
        <v>934.0</v>
      </c>
      <c r="B935"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35" s="9" t="str">
        <f>IFERROR(__xludf.DUMMYFUNCTION("""COMPUTED_VALUE"""),"Third Ward Multi-Service Center")</f>
        <v>Third Ward Multi-Service Center</v>
      </c>
      <c r="D935" s="9" t="str">
        <f>IFERROR(__xludf.DUMMYFUNCTION("""COMPUTED_VALUE"""),"3611 Ennis Street")</f>
        <v>3611 Ennis Street</v>
      </c>
      <c r="E935" s="9"/>
      <c r="F935" s="9" t="str">
        <f>IFERROR(__xludf.DUMMYFUNCTION("""COMPUTED_VALUE"""),"Houston")</f>
        <v>Houston</v>
      </c>
      <c r="G935" s="9" t="str">
        <f>IFERROR(__xludf.DUMMYFUNCTION("""COMPUTED_VALUE"""),"TX")</f>
        <v>TX</v>
      </c>
      <c r="H935" s="9" t="str">
        <f>IFERROR(__xludf.DUMMYFUNCTION("""COMPUTED_VALUE"""),"77004")</f>
        <v>77004</v>
      </c>
      <c r="I935" s="9" t="str">
        <f>IFERROR(__xludf.DUMMYFUNCTION("""COMPUTED_VALUE"""),"832-369-9293")</f>
        <v>832-369-9293</v>
      </c>
      <c r="J935" s="9" t="str">
        <f>IFERROR(__xludf.DUMMYFUNCTION("""COMPUTED_VALUE"""),"29.728559903949133, -95.3616278804722")</f>
        <v>29.728559903949133, -95.3616278804722</v>
      </c>
      <c r="K935" s="9" t="str">
        <f>IFERROR(__xludf.DUMMYFUNCTION("""COMPUTED_VALUE"""),"{""special"":[{""pattern"":""1st Th"",""open"":""13:00"",""close"":""15:00""}]}")</f>
        <v>{"special":[{"pattern":"1st Th","open":"13:00","close":"15:00"}]}</v>
      </c>
      <c r="L935" s="9"/>
      <c r="M935" s="10">
        <f>IFERROR(__xludf.DUMMYFUNCTION("""COMPUTED_VALUE"""),13.0)</f>
        <v>13</v>
      </c>
      <c r="N935" s="10" t="str">
        <f>IFERROR(__xludf.DUMMYFUNCTION("""COMPUTED_VALUE"""),"Food")</f>
        <v>Food</v>
      </c>
      <c r="O935" s="10">
        <f>IFERROR(__xludf.DUMMYFUNCTION("""COMPUTED_VALUE"""),1.0)</f>
        <v>1</v>
      </c>
      <c r="P935" s="10" t="str">
        <f>IFERROR(__xludf.DUMMYFUNCTION("""COMPUTED_VALUE"""),"ACTIVE")</f>
        <v>ACTIVE</v>
      </c>
      <c r="Q935" s="11">
        <f>IFERROR(__xludf.DUMMYFUNCTION("""COMPUTED_VALUE"""),46057.0)</f>
        <v>46057</v>
      </c>
      <c r="R935" s="9" t="str">
        <f>IFERROR(__xludf.DUMMYFUNCTION("""COMPUTED_VALUE"""),"Verified online")</f>
        <v>Verified online</v>
      </c>
      <c r="S935" s="9" t="str">
        <f>IFERROR(__xludf.DUMMYFUNCTION("""COMPUTED_VALUE"""),"Food Distribution
by the Houston Food Bank for seniors over the age of 60 and families with children under five years.")</f>
        <v>Food Distribution
by the Houston Food Bank for seniors over the age of 60 and families with children under five years.</v>
      </c>
      <c r="T935" s="12" t="b">
        <f>IFERROR(__xludf.DUMMYFUNCTION("""COMPUTED_VALUE"""),FALSE)</f>
        <v>0</v>
      </c>
      <c r="U935" s="12" t="b">
        <f>IFERROR(__xludf.DUMMYFUNCTION("""COMPUTED_VALUE"""),FALSE)</f>
        <v>0</v>
      </c>
      <c r="V935" s="13" t="str">
        <f>IFERROR(__xludf.DUMMYFUNCTION("""COMPUTED_VALUE"""),"https://www.houstonhealth.org/services/multi-service-centers/third-ward-multi-service-center")</f>
        <v>https://www.houstonhealth.org/services/multi-service-centers/third-ward-multi-service-center</v>
      </c>
      <c r="W935" s="14" t="str">
        <f>IFERROR(__xludf.DUMMYFUNCTION("""COMPUTED_VALUE"""),"https://www.google.com/maps/place/Third+Ward+Multi-Service+Center/@29.728313,-95.3641706,17z/data=!3m1!4b1!4m6!3m5!1s0x8640bf07dcc6d557:0xdb0dea1035885c15!8m2!3d29.7283084!4d-95.3615957!16s%2Fg%2F1tdz568q?entry=ttu&amp;g_ep=EgoyMDI2MDIwMS4wIKXMDSoKLDEwMDc5MjA"&amp;"2OUgBUAM%3D")</f>
        <v>https://www.google.com/maps/place/Third+Ward+Multi-Service+Center/@29.728313,-95.3641706,17z/data=!3m1!4b1!4m6!3m5!1s0x8640bf07dcc6d557:0xdb0dea1035885c15!8m2!3d29.7283084!4d-95.3615957!16s%2Fg%2F1tdz568q?entry=ttu&amp;g_ep=EgoyMDI2MDIwMS4wIKXMDSoKLDEwMDc5MjA2OUgBUAM%3D</v>
      </c>
      <c r="X935" s="10"/>
      <c r="Y935" s="9" t="str">
        <f>IFERROR(__xludf.DUMMYFUNCTION("""COMPUTED_VALUE"""),"Houston")</f>
        <v>Houston</v>
      </c>
      <c r="Z935"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935" s="9" t="str">
        <f>IFERROR(__xludf.DUMMYFUNCTION("""COMPUTED_VALUE"""),"City of Houston")</f>
        <v>City of Houston</v>
      </c>
      <c r="AB935" s="9" t="str">
        <f>IFERROR(__xludf.DUMMYFUNCTION("""COMPUTED_VALUE"""),"South Central Houston")</f>
        <v>South Central Houston</v>
      </c>
    </row>
    <row r="936" ht="30.0" customHeight="1">
      <c r="A936" s="17">
        <v>935.0</v>
      </c>
      <c r="B936" s="8" t="str">
        <f>IFERROR(__xludf.DUMMYFUNCTION("""COMPUTED_VALUE"""),"[""77355"", ""77426"", ""77428"", ""77447""]")</f>
        <v>["77355", "77426", "77428", "77447"]</v>
      </c>
      <c r="C936" s="9" t="str">
        <f>IFERROR(__xludf.DUMMYFUNCTION("""COMPUTED_VALUE"""),"Tomball Emergency Asst Ministry")</f>
        <v>Tomball Emergency Asst Ministry</v>
      </c>
      <c r="D936" s="9" t="str">
        <f>IFERROR(__xludf.DUMMYFUNCTION("""COMPUTED_VALUE"""),"300 W Main Street")</f>
        <v>300 W Main Street</v>
      </c>
      <c r="E936" s="9"/>
      <c r="F936" s="9" t="str">
        <f>IFERROR(__xludf.DUMMYFUNCTION("""COMPUTED_VALUE"""),"Tomball")</f>
        <v>Tomball</v>
      </c>
      <c r="G936" s="9" t="str">
        <f>IFERROR(__xludf.DUMMYFUNCTION("""COMPUTED_VALUE"""),"TX")</f>
        <v>TX</v>
      </c>
      <c r="H936" s="9" t="str">
        <f>IFERROR(__xludf.DUMMYFUNCTION("""COMPUTED_VALUE"""),"77375")</f>
        <v>77375</v>
      </c>
      <c r="I936" s="9" t="str">
        <f>IFERROR(__xludf.DUMMYFUNCTION("""COMPUTED_VALUE"""),"281-351-6700")</f>
        <v>281-351-6700</v>
      </c>
      <c r="J936" s="9" t="str">
        <f>IFERROR(__xludf.DUMMYFUNCTION("""COMPUTED_VALUE"""),"30.0973162, -95.6162775")</f>
        <v>30.0973162, -95.6162775</v>
      </c>
      <c r="K936" s="9" t="str">
        <f>IFERROR(__xludf.DUMMYFUNCTION("""COMPUTED_VALUE"""),"{""regular"":[{""days"":[""Tu""],""open"":""10:00"",""close"":""14:00""},{""days"":[""Th""],""open"":""10:00"",""close"":""12:00""}]}")</f>
        <v>{"regular":[{"days":["Tu"],"open":"10:00","close":"14:00"},{"days":["Th"],"open":"10:00","close":"12:00"}]}</v>
      </c>
      <c r="L936" s="9"/>
      <c r="M936" s="10">
        <f>IFERROR(__xludf.DUMMYFUNCTION("""COMPUTED_VALUE"""),11.0)</f>
        <v>11</v>
      </c>
      <c r="N936" s="10" t="str">
        <f>IFERROR(__xludf.DUMMYFUNCTION("""COMPUTED_VALUE"""),"Rent")</f>
        <v>Rent</v>
      </c>
      <c r="O936" s="10">
        <f>IFERROR(__xludf.DUMMYFUNCTION("""COMPUTED_VALUE"""),1.0)</f>
        <v>1</v>
      </c>
      <c r="P936" s="10" t="str">
        <f>IFERROR(__xludf.DUMMYFUNCTION("""COMPUTED_VALUE"""),"ACTIVE")</f>
        <v>ACTIVE</v>
      </c>
      <c r="Q936" s="11"/>
      <c r="R936" s="9"/>
      <c r="S936" s="9" t="str">
        <f>IFERROR(__xludf.DUMMYFUNCTION("""COMPUTED_VALUE"""),"US Citizens/Permanent Residents.
Documentation of address.
Pay statement, utility bill or other documentation of your income and expenses.
Lease agreement and utility bill.
Bring proof if you have applied for social security, workman's comp or unemploymen"&amp;"t.")</f>
        <v>US Citizens/Permanent Residents.
Documentation of address.
Pay statement, utility bill or other documentation of your income and expenses.
Lease agreement and utility bill.
Bring proof if you have applied for social security, workman's comp or unemployment.</v>
      </c>
      <c r="T936" s="12" t="b">
        <f>IFERROR(__xludf.DUMMYFUNCTION("""COMPUTED_VALUE"""),FALSE)</f>
        <v>0</v>
      </c>
      <c r="U936" s="12" t="b">
        <f>IFERROR(__xludf.DUMMYFUNCTION("""COMPUTED_VALUE"""),FALSE)</f>
        <v>0</v>
      </c>
      <c r="V936" s="13" t="str">
        <f>IFERROR(__xludf.DUMMYFUNCTION("""COMPUTED_VALUE"""),"https://teamtomball.com/assistance/")</f>
        <v>https://teamtomball.com/assistance/</v>
      </c>
      <c r="W936" s="14" t="str">
        <f>IFERROR(__xludf.DUMMYFUNCTION("""COMPUTED_VALUE"""),"https://maps.google.com/?q=Tomball%20Emergency%20Asst%20Ministry%20300%20W%20Main%20St%20Tomball%20TX%2077375")</f>
        <v>https://maps.google.com/?q=Tomball%20Emergency%20Asst%20Ministry%20300%20W%20Main%20St%20Tomball%20TX%2077375</v>
      </c>
      <c r="X936" s="10"/>
      <c r="Y936" s="9" t="str">
        <f>IFERROR(__xludf.DUMMYFUNCTION("""COMPUTED_VALUE"""),"Tomball")</f>
        <v>Tomball</v>
      </c>
      <c r="Z936" s="9" t="str">
        <f>IFERROR(__xludf.DUMMYFUNCTION("""COMPUTED_VALUE"""),"Northpointe, Tomball")</f>
        <v>Northpointe, Tomball</v>
      </c>
      <c r="AA936" s="9" t="str">
        <f>IFERROR(__xludf.DUMMYFUNCTION("""COMPUTED_VALUE"""),"Tomball Emergency Asst Ministry")</f>
        <v>Tomball Emergency Asst Ministry</v>
      </c>
      <c r="AB936" s="9" t="str">
        <f>IFERROR(__xludf.DUMMYFUNCTION("""COMPUTED_VALUE"""),"Tomball")</f>
        <v>Tomball</v>
      </c>
    </row>
    <row r="937" ht="30.0" customHeight="1">
      <c r="A937" s="17">
        <v>936.0</v>
      </c>
      <c r="B937" s="8" t="str">
        <f>IFERROR(__xludf.DUMMYFUNCTION("""COMPUTED_VALUE"""),"[""77355"", ""77426"", ""77428"", ""77447""]")</f>
        <v>["77355", "77426", "77428", "77447"]</v>
      </c>
      <c r="C937" s="9" t="str">
        <f>IFERROR(__xludf.DUMMYFUNCTION("""COMPUTED_VALUE"""),"Tomball Emergency Asst Ministry")</f>
        <v>Tomball Emergency Asst Ministry</v>
      </c>
      <c r="D937" s="9" t="str">
        <f>IFERROR(__xludf.DUMMYFUNCTION("""COMPUTED_VALUE"""),"300 W Main Street")</f>
        <v>300 W Main Street</v>
      </c>
      <c r="E937" s="9"/>
      <c r="F937" s="9" t="str">
        <f>IFERROR(__xludf.DUMMYFUNCTION("""COMPUTED_VALUE"""),"Tomball")</f>
        <v>Tomball</v>
      </c>
      <c r="G937" s="9" t="str">
        <f>IFERROR(__xludf.DUMMYFUNCTION("""COMPUTED_VALUE"""),"TX")</f>
        <v>TX</v>
      </c>
      <c r="H937" s="9" t="str">
        <f>IFERROR(__xludf.DUMMYFUNCTION("""COMPUTED_VALUE"""),"77375")</f>
        <v>77375</v>
      </c>
      <c r="I937" s="9" t="str">
        <f>IFERROR(__xludf.DUMMYFUNCTION("""COMPUTED_VALUE"""),"281-351-6700")</f>
        <v>281-351-6700</v>
      </c>
      <c r="J937" s="9" t="str">
        <f>IFERROR(__xludf.DUMMYFUNCTION("""COMPUTED_VALUE"""),"30.0973162, -95.6162775")</f>
        <v>30.0973162, -95.6162775</v>
      </c>
      <c r="K937" s="9" t="str">
        <f>IFERROR(__xludf.DUMMYFUNCTION("""COMPUTED_VALUE"""),"{""regular"":[{""days"":[""Tu""],""open"":""10:00"",""close"":""14:00""},{""days"":[""Th""],""open"":""10:00"",""close"":""12:00""}]}")</f>
        <v>{"regular":[{"days":["Tu"],"open":"10:00","close":"14:00"},{"days":["Th"],"open":"10:00","close":"12:00"}]}</v>
      </c>
      <c r="L937" s="9"/>
      <c r="M937" s="10">
        <f>IFERROR(__xludf.DUMMYFUNCTION("""COMPUTED_VALUE"""),12.0)</f>
        <v>12</v>
      </c>
      <c r="N937" s="10" t="str">
        <f>IFERROR(__xludf.DUMMYFUNCTION("""COMPUTED_VALUE"""),"Utilities")</f>
        <v>Utilities</v>
      </c>
      <c r="O937" s="10">
        <f>IFERROR(__xludf.DUMMYFUNCTION("""COMPUTED_VALUE"""),1.0)</f>
        <v>1</v>
      </c>
      <c r="P937" s="10" t="str">
        <f>IFERROR(__xludf.DUMMYFUNCTION("""COMPUTED_VALUE"""),"ACTIVE")</f>
        <v>ACTIVE</v>
      </c>
      <c r="Q937" s="11"/>
      <c r="R937" s="9"/>
      <c r="S937" s="9" t="str">
        <f>IFERROR(__xludf.DUMMYFUNCTION("""COMPUTED_VALUE"""),"US Citizens/Permanent Residents.
Documentation of address.
Pay statement, utility bill or other documentation of your income and expenses.
Lease agreement and utility bill.
Bring proof if you have applied for social security, workman's comp or unemploymen"&amp;"t.")</f>
        <v>US Citizens/Permanent Residents.
Documentation of address.
Pay statement, utility bill or other documentation of your income and expenses.
Lease agreement and utility bill.
Bring proof if you have applied for social security, workman's comp or unemployment.</v>
      </c>
      <c r="T937" s="12" t="b">
        <f>IFERROR(__xludf.DUMMYFUNCTION("""COMPUTED_VALUE"""),FALSE)</f>
        <v>0</v>
      </c>
      <c r="U937" s="12" t="b">
        <f>IFERROR(__xludf.DUMMYFUNCTION("""COMPUTED_VALUE"""),FALSE)</f>
        <v>0</v>
      </c>
      <c r="V937" s="13" t="str">
        <f>IFERROR(__xludf.DUMMYFUNCTION("""COMPUTED_VALUE"""),"https://teamtomball.com/assistance/")</f>
        <v>https://teamtomball.com/assistance/</v>
      </c>
      <c r="W937" s="14" t="str">
        <f>IFERROR(__xludf.DUMMYFUNCTION("""COMPUTED_VALUE"""),"https://maps.google.com/?q=Tomball%20Emergency%20Asst%20Ministry%20300%20W%20Main%20St%20Tomball%20TX%2077375")</f>
        <v>https://maps.google.com/?q=Tomball%20Emergency%20Asst%20Ministry%20300%20W%20Main%20St%20Tomball%20TX%2077375</v>
      </c>
      <c r="X937" s="10"/>
      <c r="Y937" s="9" t="str">
        <f>IFERROR(__xludf.DUMMYFUNCTION("""COMPUTED_VALUE"""),"Tomball")</f>
        <v>Tomball</v>
      </c>
      <c r="Z937" s="9" t="str">
        <f>IFERROR(__xludf.DUMMYFUNCTION("""COMPUTED_VALUE"""),"Northpointe, Tomball")</f>
        <v>Northpointe, Tomball</v>
      </c>
      <c r="AA937" s="9" t="str">
        <f>IFERROR(__xludf.DUMMYFUNCTION("""COMPUTED_VALUE"""),"Tomball Emergency Asst Ministry")</f>
        <v>Tomball Emergency Asst Ministry</v>
      </c>
      <c r="AB937" s="9" t="str">
        <f>IFERROR(__xludf.DUMMYFUNCTION("""COMPUTED_VALUE"""),"Tomball")</f>
        <v>Tomball</v>
      </c>
    </row>
    <row r="938" ht="30.0" customHeight="1">
      <c r="A938" s="17">
        <v>937.0</v>
      </c>
      <c r="B938" s="8" t="str">
        <f>IFERROR(__xludf.DUMMYFUNCTION("""COMPUTED_VALUE"""),"[""77355"", ""77426"", ""77428"", ""77447""]")</f>
        <v>["77355", "77426", "77428", "77447"]</v>
      </c>
      <c r="C938" s="9" t="str">
        <f>IFERROR(__xludf.DUMMYFUNCTION("""COMPUTED_VALUE"""),"Tomball Emergency Asst Ministry")</f>
        <v>Tomball Emergency Asst Ministry</v>
      </c>
      <c r="D938" s="9" t="str">
        <f>IFERROR(__xludf.DUMMYFUNCTION("""COMPUTED_VALUE"""),"300 W Main Street")</f>
        <v>300 W Main Street</v>
      </c>
      <c r="E938" s="9"/>
      <c r="F938" s="9" t="str">
        <f>IFERROR(__xludf.DUMMYFUNCTION("""COMPUTED_VALUE"""),"Tomball")</f>
        <v>Tomball</v>
      </c>
      <c r="G938" s="9" t="str">
        <f>IFERROR(__xludf.DUMMYFUNCTION("""COMPUTED_VALUE"""),"TX")</f>
        <v>TX</v>
      </c>
      <c r="H938" s="9" t="str">
        <f>IFERROR(__xludf.DUMMYFUNCTION("""COMPUTED_VALUE"""),"77375")</f>
        <v>77375</v>
      </c>
      <c r="I938" s="9" t="str">
        <f>IFERROR(__xludf.DUMMYFUNCTION("""COMPUTED_VALUE"""),"281-351-6700")</f>
        <v>281-351-6700</v>
      </c>
      <c r="J938" s="9" t="str">
        <f>IFERROR(__xludf.DUMMYFUNCTION("""COMPUTED_VALUE"""),"30.0973162, -95.6162775")</f>
        <v>30.0973162, -95.6162775</v>
      </c>
      <c r="K938" s="9" t="str">
        <f>IFERROR(__xludf.DUMMYFUNCTION("""COMPUTED_VALUE"""),"{""regular"":[{""days"":[""Tu""],""open"":""10:00"",""close"":""14:00""},{""days"":[""Th""],""open"":""10:00"",""close"":""12:00""}]}")</f>
        <v>{"regular":[{"days":["Tu"],"open":"10:00","close":"14:00"},{"days":["Th"],"open":"10:00","close":"12:00"}]}</v>
      </c>
      <c r="L938" s="9"/>
      <c r="M938" s="10">
        <f>IFERROR(__xludf.DUMMYFUNCTION("""COMPUTED_VALUE"""),13.0)</f>
        <v>13</v>
      </c>
      <c r="N938" s="10" t="str">
        <f>IFERROR(__xludf.DUMMYFUNCTION("""COMPUTED_VALUE"""),"Food")</f>
        <v>Food</v>
      </c>
      <c r="O938" s="10">
        <f>IFERROR(__xludf.DUMMYFUNCTION("""COMPUTED_VALUE"""),1.0)</f>
        <v>1</v>
      </c>
      <c r="P938" s="10" t="str">
        <f>IFERROR(__xludf.DUMMYFUNCTION("""COMPUTED_VALUE"""),"ACTIVE")</f>
        <v>ACTIVE</v>
      </c>
      <c r="Q938" s="11"/>
      <c r="R938" s="9"/>
      <c r="S938" s="9" t="str">
        <f>IFERROR(__xludf.DUMMYFUNCTION("""COMPUTED_VALUE"""),"Once every three weeks.
Includes toiletries/hygiene kit..
US Citizens/Permanent Residents.
Documentation of address.
Pay statement, utility bill or other documentation of your income and expenses.
Bring proof if you have applied for social security, workm"&amp;"an's comp or unemployment.")</f>
        <v>Once every three weeks.
Includes toiletries/hygiene kit..
US Citizens/Permanent Residents.
Documentation of address.
Pay statement, utility bill or other documentation of your income and expenses.
Bring proof if you have applied for social security, workman's comp or unemployment.</v>
      </c>
      <c r="T938" s="12" t="b">
        <f>IFERROR(__xludf.DUMMYFUNCTION("""COMPUTED_VALUE"""),FALSE)</f>
        <v>0</v>
      </c>
      <c r="U938" s="12" t="b">
        <f>IFERROR(__xludf.DUMMYFUNCTION("""COMPUTED_VALUE"""),FALSE)</f>
        <v>0</v>
      </c>
      <c r="V938" s="13" t="str">
        <f>IFERROR(__xludf.DUMMYFUNCTION("""COMPUTED_VALUE"""),"https://teamtomball.com/assistance/")</f>
        <v>https://teamtomball.com/assistance/</v>
      </c>
      <c r="W938" s="14" t="str">
        <f>IFERROR(__xludf.DUMMYFUNCTION("""COMPUTED_VALUE"""),"https://maps.google.com/?q=Tomball%20Emergency%20Asst%20Ministry%20300%20W%20Main%20St%20Tomball%20TX%2077375")</f>
        <v>https://maps.google.com/?q=Tomball%20Emergency%20Asst%20Ministry%20300%20W%20Main%20St%20Tomball%20TX%2077375</v>
      </c>
      <c r="X938" s="10"/>
      <c r="Y938" s="9" t="str">
        <f>IFERROR(__xludf.DUMMYFUNCTION("""COMPUTED_VALUE"""),"Tomball")</f>
        <v>Tomball</v>
      </c>
      <c r="Z938" s="9" t="str">
        <f>IFERROR(__xludf.DUMMYFUNCTION("""COMPUTED_VALUE"""),"Northpointe, Tomball")</f>
        <v>Northpointe, Tomball</v>
      </c>
      <c r="AA938" s="9" t="str">
        <f>IFERROR(__xludf.DUMMYFUNCTION("""COMPUTED_VALUE"""),"Tomball Emergency Asst Ministry")</f>
        <v>Tomball Emergency Asst Ministry</v>
      </c>
      <c r="AB938" s="9" t="str">
        <f>IFERROR(__xludf.DUMMYFUNCTION("""COMPUTED_VALUE"""),"Tomball")</f>
        <v>Tomball</v>
      </c>
    </row>
    <row r="939" ht="30.0" customHeight="1">
      <c r="A939" s="17">
        <v>938.0</v>
      </c>
      <c r="B939" s="8" t="str">
        <f>IFERROR(__xludf.DUMMYFUNCTION("""COMPUTED_VALUE"""),"[""77355"", ""77426"", ""77428"", ""77447""]")</f>
        <v>["77355", "77426", "77428", "77447"]</v>
      </c>
      <c r="C939" s="9" t="str">
        <f>IFERROR(__xludf.DUMMYFUNCTION("""COMPUTED_VALUE"""),"Tomball Emergency Asst Ministry")</f>
        <v>Tomball Emergency Asst Ministry</v>
      </c>
      <c r="D939" s="9" t="str">
        <f>IFERROR(__xludf.DUMMYFUNCTION("""COMPUTED_VALUE"""),"300 W Main Street")</f>
        <v>300 W Main Street</v>
      </c>
      <c r="E939" s="9"/>
      <c r="F939" s="9" t="str">
        <f>IFERROR(__xludf.DUMMYFUNCTION("""COMPUTED_VALUE"""),"Tomball")</f>
        <v>Tomball</v>
      </c>
      <c r="G939" s="9" t="str">
        <f>IFERROR(__xludf.DUMMYFUNCTION("""COMPUTED_VALUE"""),"TX")</f>
        <v>TX</v>
      </c>
      <c r="H939" s="9" t="str">
        <f>IFERROR(__xludf.DUMMYFUNCTION("""COMPUTED_VALUE"""),"77375")</f>
        <v>77375</v>
      </c>
      <c r="I939" s="9" t="str">
        <f>IFERROR(__xludf.DUMMYFUNCTION("""COMPUTED_VALUE"""),"281-351-6700")</f>
        <v>281-351-6700</v>
      </c>
      <c r="J939" s="9" t="str">
        <f>IFERROR(__xludf.DUMMYFUNCTION("""COMPUTED_VALUE"""),"30.0973162, -95.6162775")</f>
        <v>30.0973162, -95.6162775</v>
      </c>
      <c r="K939" s="9" t="str">
        <f>IFERROR(__xludf.DUMMYFUNCTION("""COMPUTED_VALUE"""),"{""regular"":[{""days"":[""Tu""],""open"":""10:00"",""close"":""14:00""},{""days"":[""Th""],""open"":""10:00"",""close"":""12:00""}]}")</f>
        <v>{"regular":[{"days":["Tu"],"open":"10:00","close":"14:00"},{"days":["Th"],"open":"10:00","close":"12:00"}]}</v>
      </c>
      <c r="L939" s="9"/>
      <c r="M939" s="10">
        <f>IFERROR(__xludf.DUMMYFUNCTION("""COMPUTED_VALUE"""),14.0)</f>
        <v>14</v>
      </c>
      <c r="N939" s="10" t="str">
        <f>IFERROR(__xludf.DUMMYFUNCTION("""COMPUTED_VALUE"""),"Clothing")</f>
        <v>Clothing</v>
      </c>
      <c r="O939" s="10">
        <f>IFERROR(__xludf.DUMMYFUNCTION("""COMPUTED_VALUE"""),1.0)</f>
        <v>1</v>
      </c>
      <c r="P939" s="10" t="str">
        <f>IFERROR(__xludf.DUMMYFUNCTION("""COMPUTED_VALUE"""),"ACTIVE")</f>
        <v>ACTIVE</v>
      </c>
      <c r="Q939" s="11"/>
      <c r="R939" s="9"/>
      <c r="S939" s="9" t="str">
        <f>IFERROR(__xludf.DUMMYFUNCTION("""COMPUTED_VALUE"""),"US Citizens/Permanent Residents.
Documentation of address.
Pay statement, utility bill or other documentation of your income and expenses.
Bring proof if you have applied for social security, workman's comp or unemployment.")</f>
        <v>US Citizens/Permanent Residents.
Documentation of address.
Pay statement, utility bill or other documentation of your income and expenses.
Bring proof if you have applied for social security, workman's comp or unemployment.</v>
      </c>
      <c r="T939" s="12" t="b">
        <f>IFERROR(__xludf.DUMMYFUNCTION("""COMPUTED_VALUE"""),FALSE)</f>
        <v>0</v>
      </c>
      <c r="U939" s="12" t="b">
        <f>IFERROR(__xludf.DUMMYFUNCTION("""COMPUTED_VALUE"""),FALSE)</f>
        <v>0</v>
      </c>
      <c r="V939" s="13" t="str">
        <f>IFERROR(__xludf.DUMMYFUNCTION("""COMPUTED_VALUE"""),"https://teamtomball.com/assistance/")</f>
        <v>https://teamtomball.com/assistance/</v>
      </c>
      <c r="W939" s="14" t="str">
        <f>IFERROR(__xludf.DUMMYFUNCTION("""COMPUTED_VALUE"""),"https://maps.google.com/?q=Tomball%20Emergency%20Asst%20Ministry%20300%20W%20Main%20St%20Tomball%20TX%2077375")</f>
        <v>https://maps.google.com/?q=Tomball%20Emergency%20Asst%20Ministry%20300%20W%20Main%20St%20Tomball%20TX%2077375</v>
      </c>
      <c r="X939" s="10"/>
      <c r="Y939" s="9" t="str">
        <f>IFERROR(__xludf.DUMMYFUNCTION("""COMPUTED_VALUE"""),"Tomball")</f>
        <v>Tomball</v>
      </c>
      <c r="Z939" s="9" t="str">
        <f>IFERROR(__xludf.DUMMYFUNCTION("""COMPUTED_VALUE"""),"Northpointe, Tomball")</f>
        <v>Northpointe, Tomball</v>
      </c>
      <c r="AA939" s="9" t="str">
        <f>IFERROR(__xludf.DUMMYFUNCTION("""COMPUTED_VALUE"""),"Tomball Emergency Asst Ministry")</f>
        <v>Tomball Emergency Asst Ministry</v>
      </c>
      <c r="AB939" s="9" t="str">
        <f>IFERROR(__xludf.DUMMYFUNCTION("""COMPUTED_VALUE"""),"Tomball")</f>
        <v>Tomball</v>
      </c>
    </row>
    <row r="940" ht="30.0" customHeight="1">
      <c r="A940" s="17">
        <v>939.0</v>
      </c>
      <c r="B940" s="8" t="str">
        <f>IFERROR(__xludf.DUMMYFUNCTION("""COMPUTED_VALUE"""),"[""77355"", ""77426"", ""77428"", ""77447""]")</f>
        <v>["77355", "77426", "77428", "77447"]</v>
      </c>
      <c r="C940" s="9" t="str">
        <f>IFERROR(__xludf.DUMMYFUNCTION("""COMPUTED_VALUE"""),"Tomball Emergency Asst Ministry")</f>
        <v>Tomball Emergency Asst Ministry</v>
      </c>
      <c r="D940" s="9" t="str">
        <f>IFERROR(__xludf.DUMMYFUNCTION("""COMPUTED_VALUE"""),"300 W Main Street")</f>
        <v>300 W Main Street</v>
      </c>
      <c r="E940" s="9"/>
      <c r="F940" s="9" t="str">
        <f>IFERROR(__xludf.DUMMYFUNCTION("""COMPUTED_VALUE"""),"Tomball")</f>
        <v>Tomball</v>
      </c>
      <c r="G940" s="9" t="str">
        <f>IFERROR(__xludf.DUMMYFUNCTION("""COMPUTED_VALUE"""),"TX")</f>
        <v>TX</v>
      </c>
      <c r="H940" s="9" t="str">
        <f>IFERROR(__xludf.DUMMYFUNCTION("""COMPUTED_VALUE"""),"77375")</f>
        <v>77375</v>
      </c>
      <c r="I940" s="9" t="str">
        <f>IFERROR(__xludf.DUMMYFUNCTION("""COMPUTED_VALUE"""),"281-351-6700")</f>
        <v>281-351-6700</v>
      </c>
      <c r="J940" s="9" t="str">
        <f>IFERROR(__xludf.DUMMYFUNCTION("""COMPUTED_VALUE"""),"30.0973162, -95.6162775")</f>
        <v>30.0973162, -95.6162775</v>
      </c>
      <c r="K940" s="9" t="str">
        <f>IFERROR(__xludf.DUMMYFUNCTION("""COMPUTED_VALUE"""),"{""regular"":[{""days"":[""Tu""],""open"":""10:00"",""close"":""14:00""},{""days"":[""Th""],""open"":""10:00"",""close"":""12:00""}]}")</f>
        <v>{"regular":[{"days":["Tu"],"open":"10:00","close":"14:00"},{"days":["Th"],"open":"10:00","close":"12:00"}]}</v>
      </c>
      <c r="L940" s="9"/>
      <c r="M940" s="10">
        <f>IFERROR(__xludf.DUMMYFUNCTION("""COMPUTED_VALUE"""),36.0)</f>
        <v>36</v>
      </c>
      <c r="N940" s="10" t="str">
        <f>IFERROR(__xludf.DUMMYFUNCTION("""COMPUTED_VALUE"""),"Medical - Bill Payment")</f>
        <v>Medical - Bill Payment</v>
      </c>
      <c r="O940" s="10">
        <f>IFERROR(__xludf.DUMMYFUNCTION("""COMPUTED_VALUE"""),1.0)</f>
        <v>1</v>
      </c>
      <c r="P940" s="10" t="str">
        <f>IFERROR(__xludf.DUMMYFUNCTION("""COMPUTED_VALUE"""),"ACTIVE")</f>
        <v>ACTIVE</v>
      </c>
      <c r="Q940" s="11"/>
      <c r="R940" s="9"/>
      <c r="S940" s="9" t="str">
        <f>IFERROR(__xludf.DUMMYFUNCTION("""COMPUTED_VALUE"""),"Assistance with medical, dental and vision bills..
US Citizens/Permanent Residents.
Documentation of address.
Pay statement, utility bill or other documentation of your income and expenses.
Bring proof if you have applied for social security, workman's co"&amp;"mp or unemployment.")</f>
        <v>Assistance with medical, dental and vision bills..
US Citizens/Permanent Residents.
Documentation of address.
Pay statement, utility bill or other documentation of your income and expenses.
Bring proof if you have applied for social security, workman's comp or unemployment.</v>
      </c>
      <c r="T940" s="12" t="b">
        <f>IFERROR(__xludf.DUMMYFUNCTION("""COMPUTED_VALUE"""),FALSE)</f>
        <v>0</v>
      </c>
      <c r="U940" s="12" t="b">
        <f>IFERROR(__xludf.DUMMYFUNCTION("""COMPUTED_VALUE"""),FALSE)</f>
        <v>0</v>
      </c>
      <c r="V940" s="13" t="str">
        <f>IFERROR(__xludf.DUMMYFUNCTION("""COMPUTED_VALUE"""),"https://teamtomball.com/assistance/")</f>
        <v>https://teamtomball.com/assistance/</v>
      </c>
      <c r="W940" s="14" t="str">
        <f>IFERROR(__xludf.DUMMYFUNCTION("""COMPUTED_VALUE"""),"https://maps.google.com/?q=Tomball%20Emergency%20Asst%20Ministry%20300%20W%20Main%20St%20Tomball%20TX%2077375")</f>
        <v>https://maps.google.com/?q=Tomball%20Emergency%20Asst%20Ministry%20300%20W%20Main%20St%20Tomball%20TX%2077375</v>
      </c>
      <c r="X940" s="10"/>
      <c r="Y940" s="9" t="str">
        <f>IFERROR(__xludf.DUMMYFUNCTION("""COMPUTED_VALUE"""),"Tomball")</f>
        <v>Tomball</v>
      </c>
      <c r="Z940" s="9" t="str">
        <f>IFERROR(__xludf.DUMMYFUNCTION("""COMPUTED_VALUE"""),"Northpointe, Tomball")</f>
        <v>Northpointe, Tomball</v>
      </c>
      <c r="AA940" s="9" t="str">
        <f>IFERROR(__xludf.DUMMYFUNCTION("""COMPUTED_VALUE"""),"Tomball Emergency Asst Ministry")</f>
        <v>Tomball Emergency Asst Ministry</v>
      </c>
      <c r="AB940" s="9" t="str">
        <f>IFERROR(__xludf.DUMMYFUNCTION("""COMPUTED_VALUE"""),"Tomball")</f>
        <v>Tomball</v>
      </c>
    </row>
    <row r="941" ht="30.0" customHeight="1">
      <c r="A941" s="17">
        <v>940.0</v>
      </c>
      <c r="B941" s="8" t="str">
        <f>IFERROR(__xludf.DUMMYFUNCTION("""COMPUTED_VALUE"""),"[""77355"", ""77426"", ""77428"", ""77447""]")</f>
        <v>["77355", "77426", "77428", "77447"]</v>
      </c>
      <c r="C941" s="9" t="str">
        <f>IFERROR(__xludf.DUMMYFUNCTION("""COMPUTED_VALUE"""),"Tomball Emergency Asst Ministry")</f>
        <v>Tomball Emergency Asst Ministry</v>
      </c>
      <c r="D941" s="9" t="str">
        <f>IFERROR(__xludf.DUMMYFUNCTION("""COMPUTED_VALUE"""),"300 W Main Street")</f>
        <v>300 W Main Street</v>
      </c>
      <c r="E941" s="9"/>
      <c r="F941" s="9" t="str">
        <f>IFERROR(__xludf.DUMMYFUNCTION("""COMPUTED_VALUE"""),"Tomball")</f>
        <v>Tomball</v>
      </c>
      <c r="G941" s="9" t="str">
        <f>IFERROR(__xludf.DUMMYFUNCTION("""COMPUTED_VALUE"""),"TX")</f>
        <v>TX</v>
      </c>
      <c r="H941" s="9" t="str">
        <f>IFERROR(__xludf.DUMMYFUNCTION("""COMPUTED_VALUE"""),"77375")</f>
        <v>77375</v>
      </c>
      <c r="I941" s="9" t="str">
        <f>IFERROR(__xludf.DUMMYFUNCTION("""COMPUTED_VALUE"""),"281-351-6700")</f>
        <v>281-351-6700</v>
      </c>
      <c r="J941" s="9" t="str">
        <f>IFERROR(__xludf.DUMMYFUNCTION("""COMPUTED_VALUE"""),"30.0973162, -95.6162775")</f>
        <v>30.0973162, -95.6162775</v>
      </c>
      <c r="K941" s="9" t="str">
        <f>IFERROR(__xludf.DUMMYFUNCTION("""COMPUTED_VALUE"""),"{""regular"":[{""days"":[""Tu""],""open"":""10:00"",""close"":""14:00""},{""days"":[""Th""],""open"":""10:00"",""close"":""12:00""}]}")</f>
        <v>{"regular":[{"days":["Tu"],"open":"10:00","close":"14:00"},{"days":["Th"],"open":"10:00","close":"12:00"}]}</v>
      </c>
      <c r="L941" s="9"/>
      <c r="M941" s="10">
        <f>IFERROR(__xludf.DUMMYFUNCTION("""COMPUTED_VALUE"""),51.0)</f>
        <v>51</v>
      </c>
      <c r="N941" s="10" t="str">
        <f>IFERROR(__xludf.DUMMYFUNCTION("""COMPUTED_VALUE"""),"Education - Adults")</f>
        <v>Education - Adults</v>
      </c>
      <c r="O941" s="10">
        <f>IFERROR(__xludf.DUMMYFUNCTION("""COMPUTED_VALUE"""),1.0)</f>
        <v>1</v>
      </c>
      <c r="P941" s="10" t="str">
        <f>IFERROR(__xludf.DUMMYFUNCTION("""COMPUTED_VALUE"""),"ACTIVE")</f>
        <v>ACTIVE</v>
      </c>
      <c r="Q941" s="11"/>
      <c r="R941" s="9"/>
      <c r="S941" s="9" t="str">
        <f>IFERROR(__xludf.DUMMYFUNCTION("""COMPUTED_VALUE"""),"Budgeting workshops.
US Citizens/Permanent Residents.
Documentation of address.
Pay statement, utility bill or other documentation of your income and expenses.
Bring proof if you have applied for social security, workman's comp or unemployment.")</f>
        <v>Budgeting workshops.
US Citizens/Permanent Residents.
Documentation of address.
Pay statement, utility bill or other documentation of your income and expenses.
Bring proof if you have applied for social security, workman's comp or unemployment.</v>
      </c>
      <c r="T941" s="12" t="b">
        <f>IFERROR(__xludf.DUMMYFUNCTION("""COMPUTED_VALUE"""),FALSE)</f>
        <v>0</v>
      </c>
      <c r="U941" s="12" t="b">
        <f>IFERROR(__xludf.DUMMYFUNCTION("""COMPUTED_VALUE"""),FALSE)</f>
        <v>0</v>
      </c>
      <c r="V941" s="13" t="str">
        <f>IFERROR(__xludf.DUMMYFUNCTION("""COMPUTED_VALUE"""),"https://teamtomball.com/assistance/")</f>
        <v>https://teamtomball.com/assistance/</v>
      </c>
      <c r="W941" s="14" t="str">
        <f>IFERROR(__xludf.DUMMYFUNCTION("""COMPUTED_VALUE"""),"https://maps.google.com/?q=Tomball%20Emergency%20Asst%20Ministry%20300%20W%20Main%20St%20Tomball%20TX%2077375")</f>
        <v>https://maps.google.com/?q=Tomball%20Emergency%20Asst%20Ministry%20300%20W%20Main%20St%20Tomball%20TX%2077375</v>
      </c>
      <c r="X941" s="10"/>
      <c r="Y941" s="9" t="str">
        <f>IFERROR(__xludf.DUMMYFUNCTION("""COMPUTED_VALUE"""),"Tomball")</f>
        <v>Tomball</v>
      </c>
      <c r="Z941" s="9" t="str">
        <f>IFERROR(__xludf.DUMMYFUNCTION("""COMPUTED_VALUE"""),"Northpointe, Tomball")</f>
        <v>Northpointe, Tomball</v>
      </c>
      <c r="AA941" s="9" t="str">
        <f>IFERROR(__xludf.DUMMYFUNCTION("""COMPUTED_VALUE"""),"Tomball Emergency Asst Ministry")</f>
        <v>Tomball Emergency Asst Ministry</v>
      </c>
      <c r="AB941" s="9" t="str">
        <f>IFERROR(__xludf.DUMMYFUNCTION("""COMPUTED_VALUE"""),"Tomball")</f>
        <v>Tomball</v>
      </c>
    </row>
    <row r="942" ht="30.0" customHeight="1">
      <c r="A942" s="17">
        <v>941.0</v>
      </c>
      <c r="B942" s="8" t="str">
        <f>IFERROR(__xludf.DUMMYFUNCTION("""COMPUTED_VALUE"""),"[""77355"", ""77426"", ""77428"", ""77447""]")</f>
        <v>["77355", "77426", "77428", "77447"]</v>
      </c>
      <c r="C942" s="9" t="str">
        <f>IFERROR(__xludf.DUMMYFUNCTION("""COMPUTED_VALUE"""),"Tomball Emergency Asst Ministry")</f>
        <v>Tomball Emergency Asst Ministry</v>
      </c>
      <c r="D942" s="9" t="str">
        <f>IFERROR(__xludf.DUMMYFUNCTION("""COMPUTED_VALUE"""),"300 W Main Street")</f>
        <v>300 W Main Street</v>
      </c>
      <c r="E942" s="9"/>
      <c r="F942" s="9" t="str">
        <f>IFERROR(__xludf.DUMMYFUNCTION("""COMPUTED_VALUE"""),"Tomball")</f>
        <v>Tomball</v>
      </c>
      <c r="G942" s="9" t="str">
        <f>IFERROR(__xludf.DUMMYFUNCTION("""COMPUTED_VALUE"""),"TX")</f>
        <v>TX</v>
      </c>
      <c r="H942" s="9" t="str">
        <f>IFERROR(__xludf.DUMMYFUNCTION("""COMPUTED_VALUE"""),"77375")</f>
        <v>77375</v>
      </c>
      <c r="I942" s="9" t="str">
        <f>IFERROR(__xludf.DUMMYFUNCTION("""COMPUTED_VALUE"""),"281-351-6700")</f>
        <v>281-351-6700</v>
      </c>
      <c r="J942" s="9" t="str">
        <f>IFERROR(__xludf.DUMMYFUNCTION("""COMPUTED_VALUE"""),"30.0973162, -95.6162775")</f>
        <v>30.0973162, -95.6162775</v>
      </c>
      <c r="K942" s="9" t="str">
        <f>IFERROR(__xludf.DUMMYFUNCTION("""COMPUTED_VALUE"""),"{""regular"":[{""days"":[""Tu""],""open"":""10:00"",""close"":""14:00""},{""days"":[""Th""],""open"":""10:00"",""close"":""12:00""}]}")</f>
        <v>{"regular":[{"days":["Tu"],"open":"10:00","close":"14:00"},{"days":["Th"],"open":"10:00","close":"12:00"}]}</v>
      </c>
      <c r="L942" s="9"/>
      <c r="M942" s="10">
        <f>IFERROR(__xludf.DUMMYFUNCTION("""COMPUTED_VALUE"""),52.0)</f>
        <v>52</v>
      </c>
      <c r="N942" s="10" t="str">
        <f>IFERROR(__xludf.DUMMYFUNCTION("""COMPUTED_VALUE"""),"Jobs")</f>
        <v>Jobs</v>
      </c>
      <c r="O942" s="10">
        <f>IFERROR(__xludf.DUMMYFUNCTION("""COMPUTED_VALUE"""),1.0)</f>
        <v>1</v>
      </c>
      <c r="P942" s="10" t="str">
        <f>IFERROR(__xludf.DUMMYFUNCTION("""COMPUTED_VALUE"""),"ACTIVE")</f>
        <v>ACTIVE</v>
      </c>
      <c r="Q942" s="11"/>
      <c r="R942" s="9"/>
      <c r="S942" s="9" t="str">
        <f>IFERROR(__xludf.DUMMYFUNCTION("""COMPUTED_VALUE"""),"Jobs counseling and resources.
US Citizens/Permanent Residents.
Documentation of address.
Pay statement, utility bill or other documentation of your income and expenses.
Bring proof if you have applied for social security, workman's comp or unemployment.")</f>
        <v>Jobs counseling and resources.
US Citizens/Permanent Residents.
Documentation of address.
Pay statement, utility bill or other documentation of your income and expenses.
Bring proof if you have applied for social security, workman's comp or unemployment.</v>
      </c>
      <c r="T942" s="12" t="b">
        <f>IFERROR(__xludf.DUMMYFUNCTION("""COMPUTED_VALUE"""),FALSE)</f>
        <v>0</v>
      </c>
      <c r="U942" s="12" t="b">
        <f>IFERROR(__xludf.DUMMYFUNCTION("""COMPUTED_VALUE"""),FALSE)</f>
        <v>0</v>
      </c>
      <c r="V942" s="13" t="str">
        <f>IFERROR(__xludf.DUMMYFUNCTION("""COMPUTED_VALUE"""),"https://teamtomball.com/assistance/")</f>
        <v>https://teamtomball.com/assistance/</v>
      </c>
      <c r="W942" s="14" t="str">
        <f>IFERROR(__xludf.DUMMYFUNCTION("""COMPUTED_VALUE"""),"https://maps.google.com/?q=Tomball%20Emergency%20Asst%20Ministry%20300%20W%20Main%20St%20Tomball%20TX%2077375")</f>
        <v>https://maps.google.com/?q=Tomball%20Emergency%20Asst%20Ministry%20300%20W%20Main%20St%20Tomball%20TX%2077375</v>
      </c>
      <c r="X942" s="10"/>
      <c r="Y942" s="9" t="str">
        <f>IFERROR(__xludf.DUMMYFUNCTION("""COMPUTED_VALUE"""),"Tomball")</f>
        <v>Tomball</v>
      </c>
      <c r="Z942" s="9" t="str">
        <f>IFERROR(__xludf.DUMMYFUNCTION("""COMPUTED_VALUE"""),"Northpointe, Tomball")</f>
        <v>Northpointe, Tomball</v>
      </c>
      <c r="AA942" s="9" t="str">
        <f>IFERROR(__xludf.DUMMYFUNCTION("""COMPUTED_VALUE"""),"Tomball Emergency Asst Ministry")</f>
        <v>Tomball Emergency Asst Ministry</v>
      </c>
      <c r="AB942" s="9" t="str">
        <f>IFERROR(__xludf.DUMMYFUNCTION("""COMPUTED_VALUE"""),"Tomball")</f>
        <v>Tomball</v>
      </c>
    </row>
    <row r="943" ht="30.0" customHeight="1">
      <c r="A943" s="17">
        <v>942.0</v>
      </c>
      <c r="B943" s="8" t="str">
        <f>IFERROR(__xludf.DUMMYFUNCTION("""COMPUTED_VALUE"""),"[""77355"", ""77426"", ""77428"", ""77447""]")</f>
        <v>["77355", "77426", "77428", "77447"]</v>
      </c>
      <c r="C943" s="9" t="str">
        <f>IFERROR(__xludf.DUMMYFUNCTION("""COMPUTED_VALUE"""),"Tomball Emergency Asst Ministry")</f>
        <v>Tomball Emergency Asst Ministry</v>
      </c>
      <c r="D943" s="9" t="str">
        <f>IFERROR(__xludf.DUMMYFUNCTION("""COMPUTED_VALUE"""),"300 W Main Street")</f>
        <v>300 W Main Street</v>
      </c>
      <c r="E943" s="9"/>
      <c r="F943" s="9" t="str">
        <f>IFERROR(__xludf.DUMMYFUNCTION("""COMPUTED_VALUE"""),"Tomball")</f>
        <v>Tomball</v>
      </c>
      <c r="G943" s="9" t="str">
        <f>IFERROR(__xludf.DUMMYFUNCTION("""COMPUTED_VALUE"""),"TX")</f>
        <v>TX</v>
      </c>
      <c r="H943" s="9" t="str">
        <f>IFERROR(__xludf.DUMMYFUNCTION("""COMPUTED_VALUE"""),"77375")</f>
        <v>77375</v>
      </c>
      <c r="I943" s="9" t="str">
        <f>IFERROR(__xludf.DUMMYFUNCTION("""COMPUTED_VALUE"""),"281-351-6700")</f>
        <v>281-351-6700</v>
      </c>
      <c r="J943" s="9" t="str">
        <f>IFERROR(__xludf.DUMMYFUNCTION("""COMPUTED_VALUE"""),"30.0973162, -95.6162775")</f>
        <v>30.0973162, -95.6162775</v>
      </c>
      <c r="K943" s="9" t="str">
        <f>IFERROR(__xludf.DUMMYFUNCTION("""COMPUTED_VALUE"""),"{""regular"":[{""days"":[""Tu""],""open"":""10:00"",""close"":""14:00""},{""days"":[""Th""],""open"":""10:00"",""close"":""12:00""}]}")</f>
        <v>{"regular":[{"days":["Tu"],"open":"10:00","close":"14:00"},{"days":["Th"],"open":"10:00","close":"12:00"}]}</v>
      </c>
      <c r="L943" s="9"/>
      <c r="M943" s="10">
        <f>IFERROR(__xludf.DUMMYFUNCTION("""COMPUTED_VALUE"""),64.0)</f>
        <v>64</v>
      </c>
      <c r="N943" s="10" t="str">
        <f>IFERROR(__xludf.DUMMYFUNCTION("""COMPUTED_VALUE"""),"Christmas")</f>
        <v>Christmas</v>
      </c>
      <c r="O943" s="10">
        <f>IFERROR(__xludf.DUMMYFUNCTION("""COMPUTED_VALUE"""),1.0)</f>
        <v>1</v>
      </c>
      <c r="P943" s="10" t="str">
        <f>IFERROR(__xludf.DUMMYFUNCTION("""COMPUTED_VALUE"""),"ACTIVE")</f>
        <v>ACTIVE</v>
      </c>
      <c r="Q943" s="11"/>
      <c r="R943" s="9"/>
      <c r="S943" s="9" t="str">
        <f>IFERROR(__xludf.DUMMYFUNCTION("""COMPUTED_VALUE"""),"Thanksgiving and Christmas programs.
US Citizens/Permanent Residents.
Documentation of address.
")</f>
        <v>Thanksgiving and Christmas programs.
US Citizens/Permanent Residents.
Documentation of address.
</v>
      </c>
      <c r="T943" s="12" t="b">
        <f>IFERROR(__xludf.DUMMYFUNCTION("""COMPUTED_VALUE"""),FALSE)</f>
        <v>0</v>
      </c>
      <c r="U943" s="12" t="b">
        <f>IFERROR(__xludf.DUMMYFUNCTION("""COMPUTED_VALUE"""),FALSE)</f>
        <v>0</v>
      </c>
      <c r="V943" s="13" t="str">
        <f>IFERROR(__xludf.DUMMYFUNCTION("""COMPUTED_VALUE"""),"https://teamtomball.com/assistance/")</f>
        <v>https://teamtomball.com/assistance/</v>
      </c>
      <c r="W943" s="14" t="str">
        <f>IFERROR(__xludf.DUMMYFUNCTION("""COMPUTED_VALUE"""),"https://maps.google.com/?q=Tomball%20Emergency%20Asst%20Ministry%20300%20W%20Main%20St%20Tomball%20TX%2077375")</f>
        <v>https://maps.google.com/?q=Tomball%20Emergency%20Asst%20Ministry%20300%20W%20Main%20St%20Tomball%20TX%2077375</v>
      </c>
      <c r="X943" s="10"/>
      <c r="Y943" s="9" t="str">
        <f>IFERROR(__xludf.DUMMYFUNCTION("""COMPUTED_VALUE"""),"Tomball")</f>
        <v>Tomball</v>
      </c>
      <c r="Z943" s="9" t="str">
        <f>IFERROR(__xludf.DUMMYFUNCTION("""COMPUTED_VALUE"""),"Northpointe, Tomball")</f>
        <v>Northpointe, Tomball</v>
      </c>
      <c r="AA943" s="9" t="str">
        <f>IFERROR(__xludf.DUMMYFUNCTION("""COMPUTED_VALUE"""),"Tomball Emergency Asst Ministry")</f>
        <v>Tomball Emergency Asst Ministry</v>
      </c>
      <c r="AB943" s="9" t="str">
        <f>IFERROR(__xludf.DUMMYFUNCTION("""COMPUTED_VALUE"""),"Tomball")</f>
        <v>Tomball</v>
      </c>
    </row>
    <row r="944" ht="30.0" customHeight="1">
      <c r="A944" s="17">
        <v>943.0</v>
      </c>
      <c r="B944" s="8" t="str">
        <f>IFERROR(__xludf.DUMMYFUNCTION("""COMPUTED_VALUE"""),"[""77355"", ""77426"", ""77428"", ""77447""]")</f>
        <v>["77355", "77426", "77428", "77447"]</v>
      </c>
      <c r="C944" s="9" t="str">
        <f>IFERROR(__xludf.DUMMYFUNCTION("""COMPUTED_VALUE"""),"Tomball Emergency Asst Ministry")</f>
        <v>Tomball Emergency Asst Ministry</v>
      </c>
      <c r="D944" s="9" t="str">
        <f>IFERROR(__xludf.DUMMYFUNCTION("""COMPUTED_VALUE"""),"300 W Main Street")</f>
        <v>300 W Main Street</v>
      </c>
      <c r="E944" s="9"/>
      <c r="F944" s="9" t="str">
        <f>IFERROR(__xludf.DUMMYFUNCTION("""COMPUTED_VALUE"""),"Tomball")</f>
        <v>Tomball</v>
      </c>
      <c r="G944" s="9" t="str">
        <f>IFERROR(__xludf.DUMMYFUNCTION("""COMPUTED_VALUE"""),"TX")</f>
        <v>TX</v>
      </c>
      <c r="H944" s="9" t="str">
        <f>IFERROR(__xludf.DUMMYFUNCTION("""COMPUTED_VALUE"""),"77375")</f>
        <v>77375</v>
      </c>
      <c r="I944" s="9" t="str">
        <f>IFERROR(__xludf.DUMMYFUNCTION("""COMPUTED_VALUE"""),"281-351-6700")</f>
        <v>281-351-6700</v>
      </c>
      <c r="J944" s="9" t="str">
        <f>IFERROR(__xludf.DUMMYFUNCTION("""COMPUTED_VALUE"""),"30.0973162, -95.6162775")</f>
        <v>30.0973162, -95.6162775</v>
      </c>
      <c r="K944" s="9" t="str">
        <f>IFERROR(__xludf.DUMMYFUNCTION("""COMPUTED_VALUE"""),"{""regular"":[{""days"":[""Tu""],""open"":""10:00"",""close"":""14:00""},{""days"":[""Th""],""open"":""10:00"",""close"":""12:00""}]}")</f>
        <v>{"regular":[{"days":["Tu"],"open":"10:00","close":"14:00"},{"days":["Th"],"open":"10:00","close":"12:00"}]}</v>
      </c>
      <c r="L944" s="9"/>
      <c r="M944" s="10">
        <f>IFERROR(__xludf.DUMMYFUNCTION("""COMPUTED_VALUE"""),65.0)</f>
        <v>65</v>
      </c>
      <c r="N944" s="10" t="str">
        <f>IFERROR(__xludf.DUMMYFUNCTION("""COMPUTED_VALUE"""),"Other")</f>
        <v>Other</v>
      </c>
      <c r="O944" s="10">
        <f>IFERROR(__xludf.DUMMYFUNCTION("""COMPUTED_VALUE"""),1.0)</f>
        <v>1</v>
      </c>
      <c r="P944" s="10" t="str">
        <f>IFERROR(__xludf.DUMMYFUNCTION("""COMPUTED_VALUE"""),"ACTIVE")</f>
        <v>ACTIVE</v>
      </c>
      <c r="Q944" s="11"/>
      <c r="R944" s="9"/>
      <c r="S944" s="9" t="str">
        <f>IFERROR(__xludf.DUMMYFUNCTION("""COMPUTED_VALUE"""),"Limited assistance with auto repairs.
US Citizens/Permanent Residents.
Documentation of address.")</f>
        <v>Limited assistance with auto repairs.
US Citizens/Permanent Residents.
Documentation of address.</v>
      </c>
      <c r="T944" s="12" t="b">
        <f>IFERROR(__xludf.DUMMYFUNCTION("""COMPUTED_VALUE"""),FALSE)</f>
        <v>0</v>
      </c>
      <c r="U944" s="12" t="b">
        <f>IFERROR(__xludf.DUMMYFUNCTION("""COMPUTED_VALUE"""),FALSE)</f>
        <v>0</v>
      </c>
      <c r="V944" s="13" t="str">
        <f>IFERROR(__xludf.DUMMYFUNCTION("""COMPUTED_VALUE"""),"https://teamtomball.com/assistance/")</f>
        <v>https://teamtomball.com/assistance/</v>
      </c>
      <c r="W944" s="14" t="str">
        <f>IFERROR(__xludf.DUMMYFUNCTION("""COMPUTED_VALUE"""),"https://maps.google.com/?q=Tomball%20Emergency%20Asst%20Ministry%20300%20W%20Main%20St%20Tomball%20TX%2077375")</f>
        <v>https://maps.google.com/?q=Tomball%20Emergency%20Asst%20Ministry%20300%20W%20Main%20St%20Tomball%20TX%2077375</v>
      </c>
      <c r="X944" s="10"/>
      <c r="Y944" s="9" t="str">
        <f>IFERROR(__xludf.DUMMYFUNCTION("""COMPUTED_VALUE"""),"Tomball")</f>
        <v>Tomball</v>
      </c>
      <c r="Z944" s="9" t="str">
        <f>IFERROR(__xludf.DUMMYFUNCTION("""COMPUTED_VALUE"""),"Northpointe, Tomball")</f>
        <v>Northpointe, Tomball</v>
      </c>
      <c r="AA944" s="9" t="str">
        <f>IFERROR(__xludf.DUMMYFUNCTION("""COMPUTED_VALUE"""),"Tomball Emergency Asst Ministry")</f>
        <v>Tomball Emergency Asst Ministry</v>
      </c>
      <c r="AB944" s="9" t="str">
        <f>IFERROR(__xludf.DUMMYFUNCTION("""COMPUTED_VALUE"""),"Tomball")</f>
        <v>Tomball</v>
      </c>
    </row>
    <row r="945" ht="30.0" customHeight="1">
      <c r="A945" s="17">
        <v>944.0</v>
      </c>
      <c r="B945" s="8" t="str">
        <f>IFERROR(__xludf.DUMMYFUNCTION("""COMPUTED_VALUE"""),"[""77068"", ""77069"", ""77090"", ""77375"", ""77379"", ""77388""]")</f>
        <v>["77068", "77069", "77090", "77375", "77379", "77388"]</v>
      </c>
      <c r="C945" s="9" t="str">
        <f>IFERROR(__xludf.DUMMYFUNCTION("""COMPUTED_VALUE"""),"Trinity Lutheran")</f>
        <v>Trinity Lutheran</v>
      </c>
      <c r="D945" s="9" t="str">
        <f>IFERROR(__xludf.DUMMYFUNCTION("""COMPUTED_VALUE"""),"5201 Spring Cypress Road")</f>
        <v>5201 Spring Cypress Road</v>
      </c>
      <c r="E945" s="9"/>
      <c r="F945" s="9" t="str">
        <f>IFERROR(__xludf.DUMMYFUNCTION("""COMPUTED_VALUE"""),"Spring")</f>
        <v>Spring</v>
      </c>
      <c r="G945" s="9" t="str">
        <f>IFERROR(__xludf.DUMMYFUNCTION("""COMPUTED_VALUE"""),"TX")</f>
        <v>TX</v>
      </c>
      <c r="H945" s="9" t="str">
        <f>IFERROR(__xludf.DUMMYFUNCTION("""COMPUTED_VALUE"""),"77379")</f>
        <v>77379</v>
      </c>
      <c r="I945" s="9" t="str">
        <f>IFERROR(__xludf.DUMMYFUNCTION("""COMPUTED_VALUE"""),"281-290-4922")</f>
        <v>281-290-4922</v>
      </c>
      <c r="J945" s="9" t="str">
        <f>IFERROR(__xludf.DUMMYFUNCTION("""COMPUTED_VALUE"""),"30.04663, -95.499463")</f>
        <v>30.04663, -95.499463</v>
      </c>
      <c r="K945" s="9" t="str">
        <f>IFERROR(__xludf.DUMMYFUNCTION("""COMPUTED_VALUE"""),"{""regular"":[{""days"":[""Mo"",""We""],""open"":""09:00"",""close"":""12:00""}]}")</f>
        <v>{"regular":[{"days":["Mo","We"],"open":"09:00","close":"12:00"}]}</v>
      </c>
      <c r="L945" s="9"/>
      <c r="M945" s="10">
        <f>IFERROR(__xludf.DUMMYFUNCTION("""COMPUTED_VALUE"""),11.0)</f>
        <v>11</v>
      </c>
      <c r="N945" s="10" t="str">
        <f>IFERROR(__xludf.DUMMYFUNCTION("""COMPUTED_VALUE"""),"Rent")</f>
        <v>Rent</v>
      </c>
      <c r="O945" s="10">
        <f>IFERROR(__xludf.DUMMYFUNCTION("""COMPUTED_VALUE"""),1.0)</f>
        <v>1</v>
      </c>
      <c r="P945" s="10" t="str">
        <f>IFERROR(__xludf.DUMMYFUNCTION("""COMPUTED_VALUE"""),"ACTIVE")</f>
        <v>ACTIVE</v>
      </c>
      <c r="Q945" s="11"/>
      <c r="R945" s="9"/>
      <c r="S945" s="9" t="str">
        <f>IFERROR(__xludf.DUMMYFUNCTION("""COMPUTED_VALUE"""),"Assistance request via email: assistance@trinityklein.org.
Must have been a residence for at least four months.
Cannot help if court ordered eviction notice has been issued.
Photo ID.
Proof of income, i.e. one month's pay stub, unemployment, etc.
All awar"&amp;"d letters, i.e. SNAP, TANF, Medicaid, Social Security, HUD, SSI/SSD, VA, etc. for all household members.
Current bank statements.
Lease agreement.
Proof of financial hardship.
Assistance once a year.")</f>
        <v>Assistance request via email: assistance@trinityklein.org.
Must have been a residence for at least four months.
Cannot help if court ordered eviction notice has been issued.
Photo ID.
Proof of income, i.e. one month's pay stub, unemployment, etc.
All award letters, i.e. SNAP, TANF, Medicaid, Social Security, HUD, SSI/SSD, VA, etc. for all household members.
Current bank statements.
Lease agreement.
Proof of financial hardship.
Assistance once a year.</v>
      </c>
      <c r="T945" s="12" t="b">
        <f>IFERROR(__xludf.DUMMYFUNCTION("""COMPUTED_VALUE"""),FALSE)</f>
        <v>0</v>
      </c>
      <c r="U945" s="12" t="b">
        <f>IFERROR(__xludf.DUMMYFUNCTION("""COMPUTED_VALUE"""),FALSE)</f>
        <v>0</v>
      </c>
      <c r="V945" s="13" t="str">
        <f>IFERROR(__xludf.DUMMYFUNCTION("""COMPUTED_VALUE"""),"https://www.trinityklein.org/restoring-hope/")</f>
        <v>https://www.trinityklein.org/restoring-hope/</v>
      </c>
      <c r="W945" s="14" t="str">
        <f>IFERROR(__xludf.DUMMYFUNCTION("""COMPUTED_VALUE"""),"https://maps.google.com/?q=Trinity%20Lutheran%20%20Spring%20TX%2077379")</f>
        <v>https://maps.google.com/?q=Trinity%20Lutheran%20%20Spring%20TX%2077379</v>
      </c>
      <c r="X945" s="10" t="str">
        <f>IFERROR(__xludf.DUMMYFUNCTION("""COMPUTED_VALUE"""),"assistance@trinityklein.org")</f>
        <v>assistance@trinityklein.org</v>
      </c>
      <c r="Y945" s="9" t="str">
        <f>IFERROR(__xludf.DUMMYFUNCTION("""COMPUTED_VALUE"""),"Spring")</f>
        <v>Spring</v>
      </c>
      <c r="Z945" s="9" t="str">
        <f>IFERROR(__xludf.DUMMYFUNCTION("""COMPUTED_VALUE"""),"Farmette Meadows, Gleannloch Farms, Spring, Windrose")</f>
        <v>Farmette Meadows, Gleannloch Farms, Spring, Windrose</v>
      </c>
      <c r="AA945" s="9" t="str">
        <f>IFERROR(__xludf.DUMMYFUNCTION("""COMPUTED_VALUE"""),"Trinity Lutheran")</f>
        <v>Trinity Lutheran</v>
      </c>
      <c r="AB945" s="9" t="str">
        <f>IFERROR(__xludf.DUMMYFUNCTION("""COMPUTED_VALUE"""),"Farmette Meadows")</f>
        <v>Farmette Meadows</v>
      </c>
    </row>
    <row r="946" ht="30.0" customHeight="1">
      <c r="A946" s="17">
        <v>945.0</v>
      </c>
      <c r="B946" s="8" t="str">
        <f>IFERROR(__xludf.DUMMYFUNCTION("""COMPUTED_VALUE"""),"[""77068"", ""77069"", ""77090"", ""77375"", ""77379"", ""77388""]")</f>
        <v>["77068", "77069", "77090", "77375", "77379", "77388"]</v>
      </c>
      <c r="C946" s="9" t="str">
        <f>IFERROR(__xludf.DUMMYFUNCTION("""COMPUTED_VALUE"""),"Trinity Lutheran")</f>
        <v>Trinity Lutheran</v>
      </c>
      <c r="D946" s="9" t="str">
        <f>IFERROR(__xludf.DUMMYFUNCTION("""COMPUTED_VALUE"""),"5201 Spring Cypress Road")</f>
        <v>5201 Spring Cypress Road</v>
      </c>
      <c r="E946" s="9"/>
      <c r="F946" s="9" t="str">
        <f>IFERROR(__xludf.DUMMYFUNCTION("""COMPUTED_VALUE"""),"Spring")</f>
        <v>Spring</v>
      </c>
      <c r="G946" s="9" t="str">
        <f>IFERROR(__xludf.DUMMYFUNCTION("""COMPUTED_VALUE"""),"TX")</f>
        <v>TX</v>
      </c>
      <c r="H946" s="9" t="str">
        <f>IFERROR(__xludf.DUMMYFUNCTION("""COMPUTED_VALUE"""),"77379")</f>
        <v>77379</v>
      </c>
      <c r="I946" s="9" t="str">
        <f>IFERROR(__xludf.DUMMYFUNCTION("""COMPUTED_VALUE"""),"281-290-4922")</f>
        <v>281-290-4922</v>
      </c>
      <c r="J946" s="9" t="str">
        <f>IFERROR(__xludf.DUMMYFUNCTION("""COMPUTED_VALUE"""),"30.04663, -95.499463")</f>
        <v>30.04663, -95.499463</v>
      </c>
      <c r="K946" s="9" t="str">
        <f>IFERROR(__xludf.DUMMYFUNCTION("""COMPUTED_VALUE"""),"{""regular"":[{""days"":[""Mo"",""We""],""open"":""09:00"",""close"":""12:00""}]}")</f>
        <v>{"regular":[{"days":["Mo","We"],"open":"09:00","close":"12:00"}]}</v>
      </c>
      <c r="L946" s="9"/>
      <c r="M946" s="10">
        <f>IFERROR(__xludf.DUMMYFUNCTION("""COMPUTED_VALUE"""),12.0)</f>
        <v>12</v>
      </c>
      <c r="N946" s="10" t="str">
        <f>IFERROR(__xludf.DUMMYFUNCTION("""COMPUTED_VALUE"""),"Utilities")</f>
        <v>Utilities</v>
      </c>
      <c r="O946" s="10">
        <f>IFERROR(__xludf.DUMMYFUNCTION("""COMPUTED_VALUE"""),1.0)</f>
        <v>1</v>
      </c>
      <c r="P946" s="10" t="str">
        <f>IFERROR(__xludf.DUMMYFUNCTION("""COMPUTED_VALUE"""),"ACTIVE")</f>
        <v>ACTIVE</v>
      </c>
      <c r="Q946" s="11"/>
      <c r="R946" s="9"/>
      <c r="S946" s="9" t="str">
        <f>IFERROR(__xludf.DUMMYFUNCTION("""COMPUTED_VALUE"""),"Assistance request via email: assistance@trinityklein.org.
Photo ID.
Cannot help if disconnect notice has been issued unless a payment plan has already been set up
Proof of income, i.e. one month's pay stub, unemployment, etc.
All award letters, i.e. SNAP"&amp;", TANF, Medicaid, Social Security, HUD, SSI/SSD, VA, etc. for all household members.
Current bank statements.
Lease agreement.
Utility bill or disconnection notice.
Assistance once a year.")</f>
        <v>Assistance request via email: assistance@trinityklein.org.
Photo ID.
Cannot help if disconnect notice has been issued unless a payment plan has already been set up
Proof of income, i.e. one month's pay stub, unemployment, etc.
All award letters, i.e. SNAP, TANF, Medicaid, Social Security, HUD, SSI/SSD, VA, etc. for all household members.
Current bank statements.
Lease agreement.
Utility bill or disconnection notice.
Assistance once a year.</v>
      </c>
      <c r="T946" s="12" t="b">
        <f>IFERROR(__xludf.DUMMYFUNCTION("""COMPUTED_VALUE"""),FALSE)</f>
        <v>0</v>
      </c>
      <c r="U946" s="12" t="b">
        <f>IFERROR(__xludf.DUMMYFUNCTION("""COMPUTED_VALUE"""),FALSE)</f>
        <v>0</v>
      </c>
      <c r="V946" s="13" t="str">
        <f>IFERROR(__xludf.DUMMYFUNCTION("""COMPUTED_VALUE"""),"https://www.trinityklein.org/restoring-hope/")</f>
        <v>https://www.trinityklein.org/restoring-hope/</v>
      </c>
      <c r="W946" s="14" t="str">
        <f>IFERROR(__xludf.DUMMYFUNCTION("""COMPUTED_VALUE"""),"https://maps.google.com/?q=Trinity%20Lutheran%20%20Spring%20TX%2077379")</f>
        <v>https://maps.google.com/?q=Trinity%20Lutheran%20%20Spring%20TX%2077379</v>
      </c>
      <c r="X946" s="10" t="str">
        <f>IFERROR(__xludf.DUMMYFUNCTION("""COMPUTED_VALUE"""),"assistance@trinityklein.org")</f>
        <v>assistance@trinityklein.org</v>
      </c>
      <c r="Y946" s="9" t="str">
        <f>IFERROR(__xludf.DUMMYFUNCTION("""COMPUTED_VALUE"""),"Spring")</f>
        <v>Spring</v>
      </c>
      <c r="Z946" s="9" t="str">
        <f>IFERROR(__xludf.DUMMYFUNCTION("""COMPUTED_VALUE"""),"Farmette Meadows, Gleannloch Farms, Spring, Windrose")</f>
        <v>Farmette Meadows, Gleannloch Farms, Spring, Windrose</v>
      </c>
      <c r="AA946" s="9" t="str">
        <f>IFERROR(__xludf.DUMMYFUNCTION("""COMPUTED_VALUE"""),"Trinity Lutheran")</f>
        <v>Trinity Lutheran</v>
      </c>
      <c r="AB946" s="9" t="str">
        <f>IFERROR(__xludf.DUMMYFUNCTION("""COMPUTED_VALUE"""),"Farmette Meadows")</f>
        <v>Farmette Meadows</v>
      </c>
    </row>
    <row r="947" ht="30.0" customHeight="1">
      <c r="A947" s="17">
        <v>946.0</v>
      </c>
      <c r="B947" s="8" t="str">
        <f>IFERROR(__xludf.DUMMYFUNCTION("""COMPUTED_VALUE"""),"[""77068"", ""77069"", ""77090"", ""77375"", ""77379"", ""77388""]")</f>
        <v>["77068", "77069", "77090", "77375", "77379", "77388"]</v>
      </c>
      <c r="C947" s="9" t="str">
        <f>IFERROR(__xludf.DUMMYFUNCTION("""COMPUTED_VALUE"""),"Trinity Lutheran")</f>
        <v>Trinity Lutheran</v>
      </c>
      <c r="D947" s="9" t="str">
        <f>IFERROR(__xludf.DUMMYFUNCTION("""COMPUTED_VALUE"""),"5201 Spring Cypress Road")</f>
        <v>5201 Spring Cypress Road</v>
      </c>
      <c r="E947" s="9"/>
      <c r="F947" s="9" t="str">
        <f>IFERROR(__xludf.DUMMYFUNCTION("""COMPUTED_VALUE"""),"Spring")</f>
        <v>Spring</v>
      </c>
      <c r="G947" s="9" t="str">
        <f>IFERROR(__xludf.DUMMYFUNCTION("""COMPUTED_VALUE"""),"TX")</f>
        <v>TX</v>
      </c>
      <c r="H947" s="9" t="str">
        <f>IFERROR(__xludf.DUMMYFUNCTION("""COMPUTED_VALUE"""),"77379")</f>
        <v>77379</v>
      </c>
      <c r="I947" s="9" t="str">
        <f>IFERROR(__xludf.DUMMYFUNCTION("""COMPUTED_VALUE"""),"281-290-4922")</f>
        <v>281-290-4922</v>
      </c>
      <c r="J947" s="9" t="str">
        <f>IFERROR(__xludf.DUMMYFUNCTION("""COMPUTED_VALUE"""),"30.04663, -95.499463")</f>
        <v>30.04663, -95.499463</v>
      </c>
      <c r="K947" s="9" t="str">
        <f>IFERROR(__xludf.DUMMYFUNCTION("""COMPUTED_VALUE"""),"{""regular"":[{""days"":[""Mo"",""We""],""open"":""09:00"",""close"":""12:00""}]}")</f>
        <v>{"regular":[{"days":["Mo","We"],"open":"09:00","close":"12:00"}]}</v>
      </c>
      <c r="L947" s="9"/>
      <c r="M947" s="10">
        <f>IFERROR(__xludf.DUMMYFUNCTION("""COMPUTED_VALUE"""),13.0)</f>
        <v>13</v>
      </c>
      <c r="N947" s="10" t="str">
        <f>IFERROR(__xludf.DUMMYFUNCTION("""COMPUTED_VALUE"""),"Food")</f>
        <v>Food</v>
      </c>
      <c r="O947" s="10">
        <f>IFERROR(__xludf.DUMMYFUNCTION("""COMPUTED_VALUE"""),1.0)</f>
        <v>1</v>
      </c>
      <c r="P947" s="10" t="str">
        <f>IFERROR(__xludf.DUMMYFUNCTION("""COMPUTED_VALUE"""),"ACTIVE")</f>
        <v>ACTIVE</v>
      </c>
      <c r="Q947" s="11"/>
      <c r="R947" s="9"/>
      <c r="S947" s="9" t="str">
        <f>IFERROR(__xludf.DUMMYFUNCTION("""COMPUTED_VALUE"""),"Schedule appointment online via their website.
Schedule appointment 2 to 3 weeks in advance.
Proof of residence required.
Proof of income.")</f>
        <v>Schedule appointment online via their website.
Schedule appointment 2 to 3 weeks in advance.
Proof of residence required.
Proof of income.</v>
      </c>
      <c r="T947" s="12" t="b">
        <f>IFERROR(__xludf.DUMMYFUNCTION("""COMPUTED_VALUE"""),FALSE)</f>
        <v>0</v>
      </c>
      <c r="U947" s="12" t="b">
        <f>IFERROR(__xludf.DUMMYFUNCTION("""COMPUTED_VALUE"""),FALSE)</f>
        <v>0</v>
      </c>
      <c r="V947" s="13" t="str">
        <f>IFERROR(__xludf.DUMMYFUNCTION("""COMPUTED_VALUE"""),"https://www.trinityklein.org/restoring-hope/")</f>
        <v>https://www.trinityklein.org/restoring-hope/</v>
      </c>
      <c r="W947" s="14" t="str">
        <f>IFERROR(__xludf.DUMMYFUNCTION("""COMPUTED_VALUE"""),"https://maps.google.com/?q=Trinity%20Lutheran%20%20Spring%20TX%2077379")</f>
        <v>https://maps.google.com/?q=Trinity%20Lutheran%20%20Spring%20TX%2077379</v>
      </c>
      <c r="X947" s="10" t="str">
        <f>IFERROR(__xludf.DUMMYFUNCTION("""COMPUTED_VALUE"""),"assistance@trinityklein.org")</f>
        <v>assistance@trinityklein.org</v>
      </c>
      <c r="Y947" s="9" t="str">
        <f>IFERROR(__xludf.DUMMYFUNCTION("""COMPUTED_VALUE"""),"Spring")</f>
        <v>Spring</v>
      </c>
      <c r="Z947" s="9" t="str">
        <f>IFERROR(__xludf.DUMMYFUNCTION("""COMPUTED_VALUE"""),"Farmette Meadows, Gleannloch Farms, Spring, Windrose")</f>
        <v>Farmette Meadows, Gleannloch Farms, Spring, Windrose</v>
      </c>
      <c r="AA947" s="9" t="str">
        <f>IFERROR(__xludf.DUMMYFUNCTION("""COMPUTED_VALUE"""),"Trinity Lutheran")</f>
        <v>Trinity Lutheran</v>
      </c>
      <c r="AB947" s="9" t="str">
        <f>IFERROR(__xludf.DUMMYFUNCTION("""COMPUTED_VALUE"""),"Farmette Meadows")</f>
        <v>Farmette Meadows</v>
      </c>
    </row>
    <row r="948" ht="30.0" customHeight="1">
      <c r="A948" s="17">
        <v>947.0</v>
      </c>
      <c r="B948" s="8" t="str">
        <f>IFERROR(__xludf.DUMMYFUNCTION("""COMPUTED_VALUE"""),"[""99999""]")</f>
        <v>["99999"]</v>
      </c>
      <c r="C948" s="9" t="str">
        <f>IFERROR(__xludf.DUMMYFUNCTION("""COMPUTED_VALUE"""),"UH Health Family Care Center")</f>
        <v>UH Health Family Care Center</v>
      </c>
      <c r="D948" s="9" t="str">
        <f>IFERROR(__xludf.DUMMYFUNCTION("""COMPUTED_VALUE"""),"4349 Martin Luther King Blvd")</f>
        <v>4349 Martin Luther King Blvd</v>
      </c>
      <c r="E948" s="9"/>
      <c r="F948" s="9" t="str">
        <f>IFERROR(__xludf.DUMMYFUNCTION("""COMPUTED_VALUE"""),"Houston")</f>
        <v>Houston</v>
      </c>
      <c r="G948" s="9" t="str">
        <f>IFERROR(__xludf.DUMMYFUNCTION("""COMPUTED_VALUE"""),"TX")</f>
        <v>TX</v>
      </c>
      <c r="H948" s="9" t="str">
        <f>IFERROR(__xludf.DUMMYFUNCTION("""COMPUTED_VALUE"""),"77004")</f>
        <v>77004</v>
      </c>
      <c r="I948" s="9" t="str">
        <f>IFERROR(__xludf.DUMMYFUNCTION("""COMPUTED_VALUE"""),"713-743-9682")</f>
        <v>713-743-9682</v>
      </c>
      <c r="J948" s="9" t="str">
        <f>IFERROR(__xludf.DUMMYFUNCTION("""COMPUTED_VALUE"""),"29.716634, -95.338963")</f>
        <v>29.716634, -95.338963</v>
      </c>
      <c r="K948" s="9" t="str">
        <f>IFERROR(__xludf.DUMMYFUNCTION("""COMPUTED_VALUE"""),"{""regular"":[{""days"":[""Mo"",""Tu"",""We"",""Th"",""Fr""],""open"":""08:00"",""close"":""17:00""}]}")</f>
        <v>{"regular":[{"days":["Mo","Tu","We","Th","Fr"],"open":"08:00","close":"17:00"}]}</v>
      </c>
      <c r="L948" s="9"/>
      <c r="M948" s="10">
        <f>IFERROR(__xludf.DUMMYFUNCTION("""COMPUTED_VALUE"""),31.0)</f>
        <v>31</v>
      </c>
      <c r="N948" s="10" t="str">
        <f>IFERROR(__xludf.DUMMYFUNCTION("""COMPUTED_VALUE"""),"Medical - Primary Care")</f>
        <v>Medical - Primary Care</v>
      </c>
      <c r="O948" s="10">
        <f>IFERROR(__xludf.DUMMYFUNCTION("""COMPUTED_VALUE"""),1.0)</f>
        <v>1</v>
      </c>
      <c r="P948" s="10" t="str">
        <f>IFERROR(__xludf.DUMMYFUNCTION("""COMPUTED_VALUE"""),"ACTIVE")</f>
        <v>ACTIVE</v>
      </c>
      <c r="Q948" s="11">
        <f>IFERROR(__xludf.DUMMYFUNCTION("""COMPUTED_VALUE"""),45835.0)</f>
        <v>45835</v>
      </c>
      <c r="R948" s="9" t="str">
        <f>IFERROR(__xludf.DUMMYFUNCTION("""COMPUTED_VALUE"""),"Verified online")</f>
        <v>Verified online</v>
      </c>
      <c r="S948" s="9" t="str">
        <f>IFERROR(__xludf.DUMMYFUNCTION("""COMPUTED_VALUE"""),"Part of the University of Houston College of Medicine.
Sliding Fee Discount Program based on household income and size.
Proof of identity, address and income required.
Applications completed in person with an Eligibility Specialist.")</f>
        <v>Part of the University of Houston College of Medicine.
Sliding Fee Discount Program based on household income and size.
Proof of identity, address and income required.
Applications completed in person with an Eligibility Specialist.</v>
      </c>
      <c r="T948" s="12" t="b">
        <f>IFERROR(__xludf.DUMMYFUNCTION("""COMPUTED_VALUE"""),FALSE)</f>
        <v>0</v>
      </c>
      <c r="U948" s="12" t="b">
        <f>IFERROR(__xludf.DUMMYFUNCTION("""COMPUTED_VALUE"""),FALSE)</f>
        <v>0</v>
      </c>
      <c r="V948" s="13" t="str">
        <f>IFERROR(__xludf.DUMMYFUNCTION("""COMPUTED_VALUE"""),"https://www.uh.edu/medicine/sites/family-care-center/sliding-fee-eligibility/")</f>
        <v>https://www.uh.edu/medicine/sites/family-care-center/sliding-fee-eligibility/</v>
      </c>
      <c r="W948" s="14" t="str">
        <f>IFERROR(__xludf.DUMMYFUNCTION("""COMPUTED_VALUE"""),"https://www.google.com/maps/place/UH+Health+Family+Care+Center/@29.7168875,-95.3415555,17z/data=!3m1!4b1!4m6!3m5!1s0x8640bf931e325ab3:0x448818b0ba957e16!8m2!3d29.7168875!4d-95.3389752!16s%2Fg%2F11vcsstzgh?entry=ttu&amp;g_ep=EgoyMDI1MDYyNi4wIKXMDSoASAFQAw%3D%3"&amp;"D")</f>
        <v>https://www.google.com/maps/place/UH+Health+Family+Care+Center/@29.7168875,-95.3415555,17z/data=!3m1!4b1!4m6!3m5!1s0x8640bf931e325ab3:0x448818b0ba957e16!8m2!3d29.7168875!4d-95.3389752!16s%2Fg%2F11vcsstzgh?entry=ttu&amp;g_ep=EgoyMDI1MDYyNi4wIKXMDSoASAFQAw%3D%3D</v>
      </c>
      <c r="X948" s="10"/>
      <c r="Y948" s="9" t="str">
        <f>IFERROR(__xludf.DUMMYFUNCTION("""COMPUTED_VALUE"""),"Houston")</f>
        <v>Houston</v>
      </c>
      <c r="Z948"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948" s="9" t="str">
        <f>IFERROR(__xludf.DUMMYFUNCTION("""COMPUTED_VALUE"""),"UH Health Family Care Center")</f>
        <v>UH Health Family Care Center</v>
      </c>
      <c r="AB948" s="9" t="str">
        <f>IFERROR(__xludf.DUMMYFUNCTION("""COMPUTED_VALUE"""),"South Side")</f>
        <v>South Side</v>
      </c>
    </row>
    <row r="949" ht="30.0" customHeight="1">
      <c r="A949" s="17">
        <v>948.0</v>
      </c>
      <c r="B949" s="8" t="str">
        <f>IFERROR(__xludf.DUMMYFUNCTION("""COMPUTED_VALUE"""),"[""99999""]")</f>
        <v>["99999"]</v>
      </c>
      <c r="C949" s="9" t="str">
        <f>IFERROR(__xludf.DUMMYFUNCTION("""COMPUTED_VALUE"""),"United Way of Greater Houston")</f>
        <v>United Way of Greater Houston</v>
      </c>
      <c r="D949" s="9" t="str">
        <f>IFERROR(__xludf.DUMMYFUNCTION("""COMPUTED_VALUE"""),"50 Waugh Drive")</f>
        <v>50 Waugh Drive</v>
      </c>
      <c r="E949" s="9"/>
      <c r="F949" s="9" t="str">
        <f>IFERROR(__xludf.DUMMYFUNCTION("""COMPUTED_VALUE"""),"Houston")</f>
        <v>Houston</v>
      </c>
      <c r="G949" s="9" t="str">
        <f>IFERROR(__xludf.DUMMYFUNCTION("""COMPUTED_VALUE"""),"TX")</f>
        <v>TX</v>
      </c>
      <c r="H949" s="9" t="str">
        <f>IFERROR(__xludf.DUMMYFUNCTION("""COMPUTED_VALUE"""),"77007")</f>
        <v>77007</v>
      </c>
      <c r="I949" s="9" t="str">
        <f>IFERROR(__xludf.DUMMYFUNCTION("""COMPUTED_VALUE"""),"211")</f>
        <v>211</v>
      </c>
      <c r="J949" s="9" t="str">
        <f>IFERROR(__xludf.DUMMYFUNCTION("""COMPUTED_VALUE"""),"29.76710635, -95.3989559202868")</f>
        <v>29.76710635, -95.3989559202868</v>
      </c>
      <c r="K949" s="9" t="str">
        <f>IFERROR(__xludf.DUMMYFUNCTION("""COMPUTED_VALUE"""),"{""regular"":[{""days"":[""Mo"",""Tu"",""We"",""Th"",""Fr"",""Sa"",""Su""],""open"":""00:00"",""close"":""23:59""}]}")</f>
        <v>{"regular":[{"days":["Mo","Tu","We","Th","Fr","Sa","Su"],"open":"00:00","close":"23:59"}]}</v>
      </c>
      <c r="L949" s="9"/>
      <c r="M949" s="10">
        <f>IFERROR(__xludf.DUMMYFUNCTION("""COMPUTED_VALUE"""),65.0)</f>
        <v>65</v>
      </c>
      <c r="N949" s="10" t="str">
        <f>IFERROR(__xludf.DUMMYFUNCTION("""COMPUTED_VALUE"""),"Other")</f>
        <v>Other</v>
      </c>
      <c r="O949" s="10">
        <f>IFERROR(__xludf.DUMMYFUNCTION("""COMPUTED_VALUE"""),1.0)</f>
        <v>1</v>
      </c>
      <c r="P949" s="10" t="str">
        <f>IFERROR(__xludf.DUMMYFUNCTION("""COMPUTED_VALUE"""),"ACTIVE")</f>
        <v>ACTIVE</v>
      </c>
      <c r="Q949" s="11"/>
      <c r="R949" s="9"/>
      <c r="S949" s="9" t="str">
        <f>IFERROR(__xludf.DUMMYFUNCTION("""COMPUTED_VALUE"""),"Online searchable database of available resources.")</f>
        <v>Online searchable database of available resources.</v>
      </c>
      <c r="T949" s="12" t="b">
        <f>IFERROR(__xludf.DUMMYFUNCTION("""COMPUTED_VALUE"""),FALSE)</f>
        <v>0</v>
      </c>
      <c r="U949" s="12" t="b">
        <f>IFERROR(__xludf.DUMMYFUNCTION("""COMPUTED_VALUE"""),FALSE)</f>
        <v>0</v>
      </c>
      <c r="V949" s="13" t="str">
        <f>IFERROR(__xludf.DUMMYFUNCTION("""COMPUTED_VALUE"""),"https://referral.unitedwayhouston.org/")</f>
        <v>https://referral.unitedwayhouston.org/</v>
      </c>
      <c r="W949" s="10"/>
      <c r="X949" s="10"/>
      <c r="Y949" s="9" t="str">
        <f>IFERROR(__xludf.DUMMYFUNCTION("""COMPUTED_VALUE"""),"Houston")</f>
        <v>Houston</v>
      </c>
      <c r="Z949"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949" s="9" t="str">
        <f>IFERROR(__xludf.DUMMYFUNCTION("""COMPUTED_VALUE"""),"United Way of Greater Houston")</f>
        <v>United Way of Greater Houston</v>
      </c>
      <c r="AB949" s="9" t="str">
        <f>IFERROR(__xludf.DUMMYFUNCTION("""COMPUTED_VALUE"""),"Washington Avenue Coalition / Memorial Park")</f>
        <v>Washington Avenue Coalition / Memorial Park</v>
      </c>
    </row>
    <row r="950" ht="30.0" customHeight="1">
      <c r="A950" s="17">
        <v>949.0</v>
      </c>
      <c r="B950" s="8" t="str">
        <f>IFERROR(__xludf.DUMMYFUNCTION("""COMPUTED_VALUE"""),"[""99999""]")</f>
        <v>["99999"]</v>
      </c>
      <c r="C950" s="9" t="str">
        <f>IFERROR(__xludf.DUMMYFUNCTION("""COMPUTED_VALUE"""),"University of Houston Law Center Immigration Clinic")</f>
        <v>University of Houston Law Center Immigration Clinic</v>
      </c>
      <c r="D950" s="9" t="str">
        <f>IFERROR(__xludf.DUMMYFUNCTION("""COMPUTED_VALUE"""),"4170 Martin Luther King Blvd")</f>
        <v>4170 Martin Luther King Blvd</v>
      </c>
      <c r="E950" s="9"/>
      <c r="F950" s="9" t="str">
        <f>IFERROR(__xludf.DUMMYFUNCTION("""COMPUTED_VALUE"""),"Houston")</f>
        <v>Houston</v>
      </c>
      <c r="G950" s="9" t="str">
        <f>IFERROR(__xludf.DUMMYFUNCTION("""COMPUTED_VALUE"""),"TX")</f>
        <v>TX</v>
      </c>
      <c r="H950" s="9" t="str">
        <f>IFERROR(__xludf.DUMMYFUNCTION("""COMPUTED_VALUE"""),"77004")</f>
        <v>77004</v>
      </c>
      <c r="I950" s="9" t="str">
        <f>IFERROR(__xludf.DUMMYFUNCTION("""COMPUTED_VALUE"""),"713-743-2094")</f>
        <v>713-743-2094</v>
      </c>
      <c r="J950" s="9" t="str">
        <f>IFERROR(__xludf.DUMMYFUNCTION("""COMPUTED_VALUE"""),"29.723187, -95.338266")</f>
        <v>29.723187, -95.338266</v>
      </c>
      <c r="K950" s="9" t="str">
        <f>IFERROR(__xludf.DUMMYFUNCTION("""COMPUTED_VALUE"""),"{""regular"":[{""days"":[""Mo"",""Tu"",""We"",""Th"",""Fr""],""open"":null,""close"":null}]}")</f>
        <v>{"regular":[{"days":["Mo","Tu","We","Th","Fr"],"open":null,"close":null}]}</v>
      </c>
      <c r="L950" s="9"/>
      <c r="M950" s="10">
        <f>IFERROR(__xludf.DUMMYFUNCTION("""COMPUTED_VALUE"""),55.0)</f>
        <v>55</v>
      </c>
      <c r="N950" s="10" t="str">
        <f>IFERROR(__xludf.DUMMYFUNCTION("""COMPUTED_VALUE"""),"Immigration")</f>
        <v>Immigration</v>
      </c>
      <c r="O950" s="10">
        <f>IFERROR(__xludf.DUMMYFUNCTION("""COMPUTED_VALUE"""),1.0)</f>
        <v>1</v>
      </c>
      <c r="P950" s="10" t="str">
        <f>IFERROR(__xludf.DUMMYFUNCTION("""COMPUTED_VALUE"""),"ACTIVE")</f>
        <v>ACTIVE</v>
      </c>
      <c r="Q950" s="11">
        <f>IFERROR(__xludf.DUMMYFUNCTION("""COMPUTED_VALUE"""),45757.0)</f>
        <v>45757</v>
      </c>
      <c r="R950" s="9"/>
      <c r="S950" s="9"/>
      <c r="T950" s="12" t="b">
        <f>IFERROR(__xludf.DUMMYFUNCTION("""COMPUTED_VALUE"""),FALSE)</f>
        <v>0</v>
      </c>
      <c r="U950" s="12" t="b">
        <f>IFERROR(__xludf.DUMMYFUNCTION("""COMPUTED_VALUE"""),FALSE)</f>
        <v>0</v>
      </c>
      <c r="V950" s="13" t="str">
        <f>IFERROR(__xludf.DUMMYFUNCTION("""COMPUTED_VALUE"""),"https://www.law.uh.edu/clinic/immi.asp")</f>
        <v>https://www.law.uh.edu/clinic/immi.asp</v>
      </c>
      <c r="W950" s="10"/>
      <c r="X950" s="10"/>
      <c r="Y950" s="9" t="str">
        <f>IFERROR(__xludf.DUMMYFUNCTION("""COMPUTED_VALUE"""),"Houston")</f>
        <v>Houston</v>
      </c>
      <c r="Z950"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950" s="9" t="str">
        <f>IFERROR(__xludf.DUMMYFUNCTION("""COMPUTED_VALUE"""),"University of Houston Law Center Immigration Clinic")</f>
        <v>University of Houston Law Center Immigration Clinic</v>
      </c>
      <c r="AB950" s="9" t="str">
        <f>IFERROR(__xludf.DUMMYFUNCTION("""COMPUTED_VALUE"""),"South Side")</f>
        <v>South Side</v>
      </c>
    </row>
    <row r="951" ht="30.0" customHeight="1">
      <c r="A951" s="17">
        <v>950.0</v>
      </c>
      <c r="B951" s="8" t="str">
        <f>IFERROR(__xludf.DUMMYFUNCTION("""COMPUTED_VALUE"""),"[""99999""]")</f>
        <v>["99999"]</v>
      </c>
      <c r="C951" s="9" t="str">
        <f>IFERROR(__xludf.DUMMYFUNCTION("""COMPUTED_VALUE"""),"USA Cares")</f>
        <v>USA Cares</v>
      </c>
      <c r="D951" s="9" t="str">
        <f>IFERROR(__xludf.DUMMYFUNCTION("""COMPUTED_VALUE"""),"1122 Colorado Street")</f>
        <v>1122 Colorado Street</v>
      </c>
      <c r="E951" s="9" t="str">
        <f>IFERROR(__xludf.DUMMYFUNCTION("""COMPUTED_VALUE"""),"Suite 100")</f>
        <v>Suite 100</v>
      </c>
      <c r="F951" s="9" t="str">
        <f>IFERROR(__xludf.DUMMYFUNCTION("""COMPUTED_VALUE"""),"Austin")</f>
        <v>Austin</v>
      </c>
      <c r="G951" s="9" t="str">
        <f>IFERROR(__xludf.DUMMYFUNCTION("""COMPUTED_VALUE"""),"TX")</f>
        <v>TX</v>
      </c>
      <c r="H951" s="9" t="str">
        <f>IFERROR(__xludf.DUMMYFUNCTION("""COMPUTED_VALUE"""),"78701")</f>
        <v>78701</v>
      </c>
      <c r="I951" s="9" t="str">
        <f>IFERROR(__xludf.DUMMYFUNCTION("""COMPUTED_VALUE"""),"800-773-0387")</f>
        <v>800-773-0387</v>
      </c>
      <c r="J951" s="9" t="str">
        <f>IFERROR(__xludf.DUMMYFUNCTION("""COMPUTED_VALUE"""),"30.274528936710162, -97.74281541684016")</f>
        <v>30.274528936710162, -97.74281541684016</v>
      </c>
      <c r="K951" s="9" t="str">
        <f>IFERROR(__xludf.DUMMYFUNCTION("""COMPUTED_VALUE"""),"{""regular"":[{""days"":[""Mo"",""Tu"",""We"",""Th"",""Fr""],""open"":""09:00"",""close"":""17:00""}]}")</f>
        <v>{"regular":[{"days":["Mo","Tu","We","Th","Fr"],"open":"09:00","close":"17:00"}]}</v>
      </c>
      <c r="L951" s="9" t="str">
        <f>IFERROR(__xludf.DUMMYFUNCTION("""COMPUTED_VALUE"""),"Appointment required")</f>
        <v>Appointment required</v>
      </c>
      <c r="M951" s="10">
        <f>IFERROR(__xludf.DUMMYFUNCTION("""COMPUTED_VALUE"""),56.0)</f>
        <v>56</v>
      </c>
      <c r="N951" s="10" t="str">
        <f>IFERROR(__xludf.DUMMYFUNCTION("""COMPUTED_VALUE"""),"Veterans")</f>
        <v>Veterans</v>
      </c>
      <c r="O951" s="10">
        <f>IFERROR(__xludf.DUMMYFUNCTION("""COMPUTED_VALUE"""),1.0)</f>
        <v>1</v>
      </c>
      <c r="P951" s="10" t="str">
        <f>IFERROR(__xludf.DUMMYFUNCTION("""COMPUTED_VALUE"""),"ACTIVE")</f>
        <v>ACTIVE</v>
      </c>
      <c r="Q951" s="11">
        <f>IFERROR(__xludf.DUMMYFUNCTION("""COMPUTED_VALUE"""),46070.0)</f>
        <v>46070</v>
      </c>
      <c r="R951" s="9" t="str">
        <f>IFERROR(__xludf.DUMMYFUNCTION("""COMPUTED_VALUE"""),"Verified online")</f>
        <v>Verified online</v>
      </c>
      <c r="S951" s="9" t="str">
        <f>IFERROR(__xludf.DUMMYFUNCTION("""COMPUTED_VALUE"""),"Financial assistance for veterans funded by the Texas Veterans Commission (TVC).
Unclear from their website if they provide support in the Houston area but TVC's website states that they do.")</f>
        <v>Financial assistance for veterans funded by the Texas Veterans Commission (TVC).
Unclear from their website if they provide support in the Houston area but TVC's website states that they do.</v>
      </c>
      <c r="T951" s="12" t="b">
        <f>IFERROR(__xludf.DUMMYFUNCTION("""COMPUTED_VALUE"""),FALSE)</f>
        <v>0</v>
      </c>
      <c r="U951" s="12" t="b">
        <f>IFERROR(__xludf.DUMMYFUNCTION("""COMPUTED_VALUE"""),FALSE)</f>
        <v>0</v>
      </c>
      <c r="V951" s="13" t="str">
        <f>IFERROR(__xludf.DUMMYFUNCTION("""COMPUTED_VALUE"""),"https://usacares.org/state-assistance/")</f>
        <v>https://usacares.org/state-assistance/</v>
      </c>
      <c r="W951" s="14" t="str">
        <f>IFERROR(__xludf.DUMMYFUNCTION("""COMPUTED_VALUE"""),"https://www.google.com/maps/place/1122+Colorado+St,+Austin,+TX+78701/@30.274112,-97.7454547,16z/data=!3m1!4b1!4m6!3m5!1s0x8644b50a937e418f:0x2373b644bc39391d!8m2!3d30.2741074!4d-97.7428798!16s%2Fg%2F11bw3x7nbc?entry=ttu&amp;g_ep=EgoyMDI2MDIxMS4wIKXMDSoASAFQAw"&amp;"%3D%3D")</f>
        <v>https://www.google.com/maps/place/1122+Colorado+St,+Austin,+TX+78701/@30.274112,-97.7454547,16z/data=!3m1!4b1!4m6!3m5!1s0x8644b50a937e418f:0x2373b644bc39391d!8m2!3d30.2741074!4d-97.7428798!16s%2Fg%2F11bw3x7nbc?entry=ttu&amp;g_ep=EgoyMDI2MDIxMS4wIKXMDSoASAFQAw%3D%3D</v>
      </c>
      <c r="X951" s="10"/>
      <c r="Y951" s="9" t="str">
        <f>IFERROR(__xludf.DUMMYFUNCTION("""COMPUTED_VALUE"""),"Austin")</f>
        <v>Austin</v>
      </c>
      <c r="Z951" s="9" t="str">
        <f>IFERROR(__xludf.DUMMYFUNCTION("""COMPUTED_VALUE"""),"Downtown Austin")</f>
        <v>Downtown Austin</v>
      </c>
      <c r="AA951" s="9" t="str">
        <f>IFERROR(__xludf.DUMMYFUNCTION("""COMPUTED_VALUE"""),"USA Cares")</f>
        <v>USA Cares</v>
      </c>
      <c r="AB951" s="9" t="str">
        <f>IFERROR(__xludf.DUMMYFUNCTION("""COMPUTED_VALUE"""),"Downtown Austin")</f>
        <v>Downtown Austin</v>
      </c>
    </row>
    <row r="952" ht="30.0" customHeight="1">
      <c r="A952" s="17">
        <v>951.0</v>
      </c>
      <c r="B952" s="8" t="str">
        <f>IFERROR(__xludf.DUMMYFUNCTION("""COMPUTED_VALUE"""),"[""99999""]")</f>
        <v>["99999"]</v>
      </c>
      <c r="C952" s="9" t="str">
        <f>IFERROR(__xludf.DUMMYFUNCTION("""COMPUTED_VALUE"""),"VA Community Resource &amp; Referral Center")</f>
        <v>VA Community Resource &amp; Referral Center</v>
      </c>
      <c r="D952" s="9" t="str">
        <f>IFERROR(__xludf.DUMMYFUNCTION("""COMPUTED_VALUE"""),"1700 Webster Street")</f>
        <v>1700 Webster Street</v>
      </c>
      <c r="E952" s="9"/>
      <c r="F952" s="9" t="str">
        <f>IFERROR(__xludf.DUMMYFUNCTION("""COMPUTED_VALUE"""),"Houston")</f>
        <v>Houston</v>
      </c>
      <c r="G952" s="9" t="str">
        <f>IFERROR(__xludf.DUMMYFUNCTION("""COMPUTED_VALUE"""),"TX")</f>
        <v>TX</v>
      </c>
      <c r="H952" s="9" t="str">
        <f>IFERROR(__xludf.DUMMYFUNCTION("""COMPUTED_VALUE"""),"77003")</f>
        <v>77003</v>
      </c>
      <c r="I952" s="9" t="str">
        <f>IFERROR(__xludf.DUMMYFUNCTION("""COMPUTED_VALUE"""),"877-424-3838")</f>
        <v>877-424-3838</v>
      </c>
      <c r="J952" s="9" t="str">
        <f>IFERROR(__xludf.DUMMYFUNCTION("""COMPUTED_VALUE"""),"29.744171786910705, -95.36579165835442")</f>
        <v>29.744171786910705, -95.36579165835442</v>
      </c>
      <c r="K952" s="9" t="str">
        <f>IFERROR(__xludf.DUMMYFUNCTION("""COMPUTED_VALUE"""),"{""regular"":[{""days"":[""Mo"",""Tu"",""We"",""Th"",""Fr""],""open"":""08:00"",""close"":""15:30""}]}")</f>
        <v>{"regular":[{"days":["Mo","Tu","We","Th","Fr"],"open":"08:00","close":"15:30"}]}</v>
      </c>
      <c r="L952" s="9" t="str">
        <f>IFERROR(__xludf.DUMMYFUNCTION("""COMPUTED_VALUE"""),"Phone staffed 24/7")</f>
        <v>Phone staffed 24/7</v>
      </c>
      <c r="M952" s="10">
        <f>IFERROR(__xludf.DUMMYFUNCTION("""COMPUTED_VALUE"""),22.0)</f>
        <v>22</v>
      </c>
      <c r="N952" s="10" t="str">
        <f>IFERROR(__xludf.DUMMYFUNCTION("""COMPUTED_VALUE"""),"Homeless - Day Centers")</f>
        <v>Homeless - Day Centers</v>
      </c>
      <c r="O952" s="10">
        <f>IFERROR(__xludf.DUMMYFUNCTION("""COMPUTED_VALUE"""),1.0)</f>
        <v>1</v>
      </c>
      <c r="P952" s="10" t="str">
        <f>IFERROR(__xludf.DUMMYFUNCTION("""COMPUTED_VALUE"""),"ACTIVE")</f>
        <v>ACTIVE</v>
      </c>
      <c r="Q952" s="11">
        <f>IFERROR(__xludf.DUMMYFUNCTION("""COMPUTED_VALUE"""),45941.0)</f>
        <v>45941</v>
      </c>
      <c r="R952" s="9"/>
      <c r="S952" s="9" t="str">
        <f>IFERROR(__xludf.DUMMYFUNCTION("""COMPUTED_VALUE"""),"Coalition for the Homeless (CFTH) Partner/Rapid Rehousing
Showers, laundry, minor medical issues and food.
")</f>
        <v>Coalition for the Homeless (CFTH) Partner/Rapid Rehousing
Showers, laundry, minor medical issues and food.
</v>
      </c>
      <c r="T952" s="12" t="b">
        <f>IFERROR(__xludf.DUMMYFUNCTION("""COMPUTED_VALUE"""),FALSE)</f>
        <v>0</v>
      </c>
      <c r="U952" s="12" t="b">
        <f>IFERROR(__xludf.DUMMYFUNCTION("""COMPUTED_VALUE"""),FALSE)</f>
        <v>0</v>
      </c>
      <c r="V952" s="13" t="str">
        <f>IFERROR(__xludf.DUMMYFUNCTION("""COMPUTED_VALUE"""),"https://www.va.gov/houston-health-care/stories/new-resource-center-open-for-houston-veterans/")</f>
        <v>https://www.va.gov/houston-health-care/stories/new-resource-center-open-for-houston-veterans/</v>
      </c>
      <c r="W952" s="14" t="str">
        <f>IFERROR(__xludf.DUMMYFUNCTION("""COMPUTED_VALUE"""),"https://www.google.com/maps/place/1700+Webster/@29.743953,-95.3707484,17z/data=!3m1!4b1!4m6!3m5!1s0x8640bfb987b4bccd:0x76968c0eab680d22!8m2!3d29.7439484!4d-95.3658775!16s%2Fg%2F11rwqwfn6_?entry=ttu&amp;g_ep=EgoyMDI1MTAwOC4wIKXMDSoASAFQAw%3D%3D")</f>
        <v>https://www.google.com/maps/place/1700+Webster/@29.743953,-95.3707484,17z/data=!3m1!4b1!4m6!3m5!1s0x8640bfb987b4bccd:0x76968c0eab680d22!8m2!3d29.7439484!4d-95.3658775!16s%2Fg%2F11rwqwfn6_?entry=ttu&amp;g_ep=EgoyMDI1MTAwOC4wIKXMDSoASAFQAw%3D%3D</v>
      </c>
      <c r="X952" s="10"/>
      <c r="Y952" s="9" t="str">
        <f>IFERROR(__xludf.DUMMYFUNCTION("""COMPUTED_VALUE"""),"Houston")</f>
        <v>Houston</v>
      </c>
      <c r="Z952" s="9" t="str">
        <f>IFERROR(__xludf.DUMMYFUNCTION("""COMPUTED_VALUE"""),"East Downtown, Downtown Houston, Second Ward, South Central Houston, South Side")</f>
        <v>East Downtown, Downtown Houston, Second Ward, South Central Houston, South Side</v>
      </c>
      <c r="AA952" s="9" t="str">
        <f>IFERROR(__xludf.DUMMYFUNCTION("""COMPUTED_VALUE"""),"VA Community Resource &amp; Referral Center")</f>
        <v>VA Community Resource &amp; Referral Center</v>
      </c>
      <c r="AB952" s="9" t="str">
        <f>IFERROR(__xludf.DUMMYFUNCTION("""COMPUTED_VALUE"""),"South Central Houston")</f>
        <v>South Central Houston</v>
      </c>
    </row>
    <row r="953" ht="30.0" customHeight="1">
      <c r="A953" s="17">
        <v>952.0</v>
      </c>
      <c r="B953" s="8" t="str">
        <f>IFERROR(__xludf.DUMMYFUNCTION("""COMPUTED_VALUE"""),"[""77445"", ""77446"", ""77466"", ""77484"", ""77492""]")</f>
        <v>["77445", "77446", "77466", "77484", "77492"]</v>
      </c>
      <c r="C953" s="9" t="str">
        <f>IFERROR(__xludf.DUMMYFUNCTION("""COMPUTED_VALUE"""),"Waller Assistance &amp; Restoration Ministries (WARM)")</f>
        <v>Waller Assistance &amp; Restoration Ministries (WARM)</v>
      </c>
      <c r="D953" s="9" t="str">
        <f>IFERROR(__xludf.DUMMYFUNCTION("""COMPUTED_VALUE"""),"40070 Hwy 290 Business")</f>
        <v>40070 Hwy 290 Business</v>
      </c>
      <c r="E953" s="9"/>
      <c r="F953" s="9" t="str">
        <f>IFERROR(__xludf.DUMMYFUNCTION("""COMPUTED_VALUE"""),"Waller")</f>
        <v>Waller</v>
      </c>
      <c r="G953" s="9" t="str">
        <f>IFERROR(__xludf.DUMMYFUNCTION("""COMPUTED_VALUE"""),"TX")</f>
        <v>TX</v>
      </c>
      <c r="H953" s="9" t="str">
        <f>IFERROR(__xludf.DUMMYFUNCTION("""COMPUTED_VALUE"""),"77484")</f>
        <v>77484</v>
      </c>
      <c r="I953" s="9" t="str">
        <f>IFERROR(__xludf.DUMMYFUNCTION("""COMPUTED_VALUE"""),"836-372-5173")</f>
        <v>836-372-5173</v>
      </c>
      <c r="J953" s="9" t="str">
        <f>IFERROR(__xludf.DUMMYFUNCTION("""COMPUTED_VALUE"""),"30.055501939966447, -95.91690868167721")</f>
        <v>30.055501939966447, -95.91690868167721</v>
      </c>
      <c r="K953" s="9" t="str">
        <f>IFERROR(__xludf.DUMMYFUNCTION("""COMPUTED_VALUE"""),"{""regular"":[{""days"":[""Mo"",""Tu"",""We"",""Th"",""Fr""],""open"":""10:00"",""close"":""16:00""}]}")</f>
        <v>{"regular":[{"days":["Mo","Tu","We","Th","Fr"],"open":"10:00","close":"16:00"}]}</v>
      </c>
      <c r="L953" s="9" t="str">
        <f>IFERROR(__xludf.DUMMYFUNCTION("""COMPUTED_VALUE"""),"Appointment required")</f>
        <v>Appointment required</v>
      </c>
      <c r="M953" s="10">
        <f>IFERROR(__xludf.DUMMYFUNCTION("""COMPUTED_VALUE"""),11.0)</f>
        <v>11</v>
      </c>
      <c r="N953" s="10" t="str">
        <f>IFERROR(__xludf.DUMMYFUNCTION("""COMPUTED_VALUE"""),"Rent")</f>
        <v>Rent</v>
      </c>
      <c r="O953" s="10">
        <f>IFERROR(__xludf.DUMMYFUNCTION("""COMPUTED_VALUE"""),1.0)</f>
        <v>1</v>
      </c>
      <c r="P953" s="10" t="str">
        <f>IFERROR(__xludf.DUMMYFUNCTION("""COMPUTED_VALUE"""),"ACTIVE")</f>
        <v>ACTIVE</v>
      </c>
      <c r="Q953" s="11">
        <f>IFERROR(__xludf.DUMMYFUNCTION("""COMPUTED_VALUE"""),45867.0)</f>
        <v>45867</v>
      </c>
      <c r="R953" s="9" t="str">
        <f>IFERROR(__xludf.DUMMYFUNCTION("""COMPUTED_VALUE"""),"Verified online")</f>
        <v>Verified online</v>
      </c>
      <c r="S953" s="9" t="str">
        <f>IFERROR(__xludf.DUMMYFUNCTION("""COMPUTED_VALUE"""),"Complete online application.  Max assistance $350.
Assistance provided to household once every three years.
Must have had a crisis in the last 60 days.
Household income no greater than 80% of Houston area Median Income.
Check website for documents require"&amp;"ments.")</f>
        <v>Complete online application.  Max assistance $350.
Assistance provided to household once every three years.
Must have had a crisis in the last 60 days.
Household income no greater than 80% of Houston area Median Income.
Check website for documents requirements.</v>
      </c>
      <c r="T953" s="12" t="b">
        <f>IFERROR(__xludf.DUMMYFUNCTION("""COMPUTED_VALUE"""),FALSE)</f>
        <v>0</v>
      </c>
      <c r="U953" s="12" t="b">
        <f>IFERROR(__xludf.DUMMYFUNCTION("""COMPUTED_VALUE"""),FALSE)</f>
        <v>0</v>
      </c>
      <c r="V953" s="13" t="str">
        <f>IFERROR(__xludf.DUMMYFUNCTION("""COMPUTED_VALUE"""),"https://warmwaller.org/financial")</f>
        <v>https://warmwaller.org/financial</v>
      </c>
      <c r="W953" s="14" t="str">
        <f>IFERROR(__xludf.DUMMYFUNCTION("""COMPUTED_VALUE"""),"https://www.google.com/maps/place/Waller+Assistance+and+Restoration+Ministries/@30.0552234,-95.9193817,17z/data=!3m1!4b1!4m6!3m5!1s0x8646cd6ea2864dd7:0xab48b14b384c1ebb!8m2!3d30.0552234!4d-95.9168014!16s%2Fg%2F11c55w1jw9?entry=ttu&amp;g_ep=EgoyMDI1MDcyNy4wIKX"&amp;"MDSoASAFQAw%3D%3D")</f>
        <v>https://www.google.com/maps/place/Waller+Assistance+and+Restoration+Ministries/@30.0552234,-95.9193817,17z/data=!3m1!4b1!4m6!3m5!1s0x8646cd6ea2864dd7:0xab48b14b384c1ebb!8m2!3d30.0552234!4d-95.9168014!16s%2Fg%2F11c55w1jw9?entry=ttu&amp;g_ep=EgoyMDI1MDcyNy4wIKXMDSoASAFQAw%3D%3D</v>
      </c>
      <c r="X953" s="10"/>
      <c r="Y953" s="9" t="str">
        <f>IFERROR(__xludf.DUMMYFUNCTION("""COMPUTED_VALUE"""),"Waller")</f>
        <v>Waller</v>
      </c>
      <c r="Z953" s="9" t="str">
        <f>IFERROR(__xludf.DUMMYFUNCTION("""COMPUTED_VALUE"""),"Waller")</f>
        <v>Waller</v>
      </c>
      <c r="AA953" s="9" t="str">
        <f>IFERROR(__xludf.DUMMYFUNCTION("""COMPUTED_VALUE"""),"Waller Assistance &amp; Restoration Ministries")</f>
        <v>Waller Assistance &amp; Restoration Ministries</v>
      </c>
      <c r="AB953" s="9" t="str">
        <f>IFERROR(__xludf.DUMMYFUNCTION("""COMPUTED_VALUE"""),"Waller")</f>
        <v>Waller</v>
      </c>
    </row>
    <row r="954" ht="30.0" customHeight="1">
      <c r="A954" s="17">
        <v>953.0</v>
      </c>
      <c r="B954" s="8" t="str">
        <f>IFERROR(__xludf.DUMMYFUNCTION("""COMPUTED_VALUE"""),"[""77445"", ""77446"", ""77466"", ""77484"", ""77492""]")</f>
        <v>["77445", "77446", "77466", "77484", "77492"]</v>
      </c>
      <c r="C954" s="9" t="str">
        <f>IFERROR(__xludf.DUMMYFUNCTION("""COMPUTED_VALUE"""),"Waller Assistance &amp; Restoration Ministries (WARM)")</f>
        <v>Waller Assistance &amp; Restoration Ministries (WARM)</v>
      </c>
      <c r="D954" s="9" t="str">
        <f>IFERROR(__xludf.DUMMYFUNCTION("""COMPUTED_VALUE"""),"40070 Hwy 290 Business")</f>
        <v>40070 Hwy 290 Business</v>
      </c>
      <c r="E954" s="9"/>
      <c r="F954" s="9" t="str">
        <f>IFERROR(__xludf.DUMMYFUNCTION("""COMPUTED_VALUE"""),"Waller")</f>
        <v>Waller</v>
      </c>
      <c r="G954" s="9" t="str">
        <f>IFERROR(__xludf.DUMMYFUNCTION("""COMPUTED_VALUE"""),"TX")</f>
        <v>TX</v>
      </c>
      <c r="H954" s="9" t="str">
        <f>IFERROR(__xludf.DUMMYFUNCTION("""COMPUTED_VALUE"""),"77484")</f>
        <v>77484</v>
      </c>
      <c r="I954" s="9" t="str">
        <f>IFERROR(__xludf.DUMMYFUNCTION("""COMPUTED_VALUE"""),"836-372-5173")</f>
        <v>836-372-5173</v>
      </c>
      <c r="J954" s="9" t="str">
        <f>IFERROR(__xludf.DUMMYFUNCTION("""COMPUTED_VALUE"""),"30.055501939966447, -95.91690868167721")</f>
        <v>30.055501939966447, -95.91690868167721</v>
      </c>
      <c r="K954" s="9" t="str">
        <f>IFERROR(__xludf.DUMMYFUNCTION("""COMPUTED_VALUE"""),"{""regular"":[{""days"":[""Mo"",""Tu"",""We"",""Th"",""Fr""],""open"":""10:00"",""close"":""16:00""}]}")</f>
        <v>{"regular":[{"days":["Mo","Tu","We","Th","Fr"],"open":"10:00","close":"16:00"}]}</v>
      </c>
      <c r="L954" s="9" t="str">
        <f>IFERROR(__xludf.DUMMYFUNCTION("""COMPUTED_VALUE"""),"Appointment required")</f>
        <v>Appointment required</v>
      </c>
      <c r="M954" s="10">
        <f>IFERROR(__xludf.DUMMYFUNCTION("""COMPUTED_VALUE"""),12.0)</f>
        <v>12</v>
      </c>
      <c r="N954" s="10" t="str">
        <f>IFERROR(__xludf.DUMMYFUNCTION("""COMPUTED_VALUE"""),"Utilities")</f>
        <v>Utilities</v>
      </c>
      <c r="O954" s="10">
        <f>IFERROR(__xludf.DUMMYFUNCTION("""COMPUTED_VALUE"""),1.0)</f>
        <v>1</v>
      </c>
      <c r="P954" s="10" t="str">
        <f>IFERROR(__xludf.DUMMYFUNCTION("""COMPUTED_VALUE"""),"ACTIVE")</f>
        <v>ACTIVE</v>
      </c>
      <c r="Q954" s="11">
        <f>IFERROR(__xludf.DUMMYFUNCTION("""COMPUTED_VALUE"""),45867.0)</f>
        <v>45867</v>
      </c>
      <c r="R954" s="9" t="str">
        <f>IFERROR(__xludf.DUMMYFUNCTION("""COMPUTED_VALUE"""),"Verified online")</f>
        <v>Verified online</v>
      </c>
      <c r="S954" s="9" t="str">
        <f>IFERROR(__xludf.DUMMYFUNCTION("""COMPUTED_VALUE"""),"Complete online application.  Max assistance $2000.
Assistance provided to household once every three years.
Must have had a crisis in the last 60 days.
Household income no greater than 80% of Houston area Median Income.
Check website for documents requir"&amp;"ements.")</f>
        <v>Complete online application.  Max assistance $2000.
Assistance provided to household once every three years.
Must have had a crisis in the last 60 days.
Household income no greater than 80% of Houston area Median Income.
Check website for documents requirements.</v>
      </c>
      <c r="T954" s="12" t="b">
        <f>IFERROR(__xludf.DUMMYFUNCTION("""COMPUTED_VALUE"""),FALSE)</f>
        <v>0</v>
      </c>
      <c r="U954" s="12" t="b">
        <f>IFERROR(__xludf.DUMMYFUNCTION("""COMPUTED_VALUE"""),FALSE)</f>
        <v>0</v>
      </c>
      <c r="V954" s="13" t="str">
        <f>IFERROR(__xludf.DUMMYFUNCTION("""COMPUTED_VALUE"""),"https://warmwaller.org/financial")</f>
        <v>https://warmwaller.org/financial</v>
      </c>
      <c r="W954" s="14" t="str">
        <f>IFERROR(__xludf.DUMMYFUNCTION("""COMPUTED_VALUE"""),"https://www.google.com/maps/place/Waller+Assistance+and+Restoration+Ministries/@30.0552234,-95.9193817,17z/data=!3m1!4b1!4m6!3m5!1s0x8646cd6ea2864dd7:0xab48b14b384c1ebb!8m2!3d30.0552234!4d-95.9168014!16s%2Fg%2F11c55w1jw9?entry=ttu&amp;g_ep=EgoyMDI1MDcyNy4wIKX"&amp;"MDSoASAFQAw%3D%3D")</f>
        <v>https://www.google.com/maps/place/Waller+Assistance+and+Restoration+Ministries/@30.0552234,-95.9193817,17z/data=!3m1!4b1!4m6!3m5!1s0x8646cd6ea2864dd7:0xab48b14b384c1ebb!8m2!3d30.0552234!4d-95.9168014!16s%2Fg%2F11c55w1jw9?entry=ttu&amp;g_ep=EgoyMDI1MDcyNy4wIKXMDSoASAFQAw%3D%3D</v>
      </c>
      <c r="X954" s="10"/>
      <c r="Y954" s="9" t="str">
        <f>IFERROR(__xludf.DUMMYFUNCTION("""COMPUTED_VALUE"""),"Waller")</f>
        <v>Waller</v>
      </c>
      <c r="Z954" s="9" t="str">
        <f>IFERROR(__xludf.DUMMYFUNCTION("""COMPUTED_VALUE"""),"Waller")</f>
        <v>Waller</v>
      </c>
      <c r="AA954" s="9" t="str">
        <f>IFERROR(__xludf.DUMMYFUNCTION("""COMPUTED_VALUE"""),"Waller Assistance &amp; Restoration Ministries")</f>
        <v>Waller Assistance &amp; Restoration Ministries</v>
      </c>
      <c r="AB954" s="9" t="str">
        <f>IFERROR(__xludf.DUMMYFUNCTION("""COMPUTED_VALUE"""),"Waller")</f>
        <v>Waller</v>
      </c>
    </row>
    <row r="955" ht="30.0" customHeight="1">
      <c r="A955" s="17">
        <v>954.0</v>
      </c>
      <c r="B955" s="8" t="str">
        <f>IFERROR(__xludf.DUMMYFUNCTION("""COMPUTED_VALUE"""),"[""77445"", ""77446"", ""77466"", ""77484"", ""77492""]")</f>
        <v>["77445", "77446", "77466", "77484", "77492"]</v>
      </c>
      <c r="C955" s="9" t="str">
        <f>IFERROR(__xludf.DUMMYFUNCTION("""COMPUTED_VALUE"""),"Waller Assistance &amp; Restoration Ministries (WARM)")</f>
        <v>Waller Assistance &amp; Restoration Ministries (WARM)</v>
      </c>
      <c r="D955" s="9" t="str">
        <f>IFERROR(__xludf.DUMMYFUNCTION("""COMPUTED_VALUE"""),"40070 Hwy 290 Business")</f>
        <v>40070 Hwy 290 Business</v>
      </c>
      <c r="E955" s="9"/>
      <c r="F955" s="9" t="str">
        <f>IFERROR(__xludf.DUMMYFUNCTION("""COMPUTED_VALUE"""),"Waller")</f>
        <v>Waller</v>
      </c>
      <c r="G955" s="9" t="str">
        <f>IFERROR(__xludf.DUMMYFUNCTION("""COMPUTED_VALUE"""),"TX")</f>
        <v>TX</v>
      </c>
      <c r="H955" s="9" t="str">
        <f>IFERROR(__xludf.DUMMYFUNCTION("""COMPUTED_VALUE"""),"77484")</f>
        <v>77484</v>
      </c>
      <c r="I955" s="9" t="str">
        <f>IFERROR(__xludf.DUMMYFUNCTION("""COMPUTED_VALUE"""),"836-372-5173")</f>
        <v>836-372-5173</v>
      </c>
      <c r="J955" s="9" t="str">
        <f>IFERROR(__xludf.DUMMYFUNCTION("""COMPUTED_VALUE"""),"30.055501939966447, -95.91690868167721")</f>
        <v>30.055501939966447, -95.91690868167721</v>
      </c>
      <c r="K955" s="9" t="str">
        <f>IFERROR(__xludf.DUMMYFUNCTION("""COMPUTED_VALUE"""),"{""regular"":[{""days"":[""Tu"",""We"",""Th""],""open"":""10:00"",""close"":""15:00""}]}")</f>
        <v>{"regular":[{"days":["Tu","We","Th"],"open":"10:00","close":"15:00"}]}</v>
      </c>
      <c r="L955" s="9"/>
      <c r="M955" s="10">
        <f>IFERROR(__xludf.DUMMYFUNCTION("""COMPUTED_VALUE"""),13.0)</f>
        <v>13</v>
      </c>
      <c r="N955" s="10" t="str">
        <f>IFERROR(__xludf.DUMMYFUNCTION("""COMPUTED_VALUE"""),"Food")</f>
        <v>Food</v>
      </c>
      <c r="O955" s="10">
        <f>IFERROR(__xludf.DUMMYFUNCTION("""COMPUTED_VALUE"""),1.0)</f>
        <v>1</v>
      </c>
      <c r="P955" s="10" t="str">
        <f>IFERROR(__xludf.DUMMYFUNCTION("""COMPUTED_VALUE"""),"ACTIVE")</f>
        <v>ACTIVE</v>
      </c>
      <c r="Q955" s="11">
        <f>IFERROR(__xludf.DUMMYFUNCTION("""COMPUTED_VALUE"""),45867.0)</f>
        <v>45867</v>
      </c>
      <c r="R955" s="9" t="str">
        <f>IFERROR(__xludf.DUMMYFUNCTION("""COMPUTED_VALUE"""),"Verified online")</f>
        <v>Verified online</v>
      </c>
      <c r="S955" s="9" t="str">
        <f>IFERROR(__xludf.DUMMYFUNCTION("""COMPUTED_VALUE"""),"New clients need to complete an online form and meet with a caseworker.  For initial visit arrive before 2 p.m.
Government issued ID.
Must meet eligibility requirements once a year.
Proof of benefits or income and residence.")</f>
        <v>New clients need to complete an online form and meet with a caseworker.  For initial visit arrive before 2 p.m.
Government issued ID.
Must meet eligibility requirements once a year.
Proof of benefits or income and residence.</v>
      </c>
      <c r="T955" s="12" t="b">
        <f>IFERROR(__xludf.DUMMYFUNCTION("""COMPUTED_VALUE"""),FALSE)</f>
        <v>0</v>
      </c>
      <c r="U955" s="12" t="b">
        <f>IFERROR(__xludf.DUMMYFUNCTION("""COMPUTED_VALUE"""),FALSE)</f>
        <v>0</v>
      </c>
      <c r="V955" s="13" t="str">
        <f>IFERROR(__xludf.DUMMYFUNCTION("""COMPUTED_VALUE"""),"https://warmwaller.org/food-pantry")</f>
        <v>https://warmwaller.org/food-pantry</v>
      </c>
      <c r="W955" s="14" t="str">
        <f>IFERROR(__xludf.DUMMYFUNCTION("""COMPUTED_VALUE"""),"https://www.google.com/maps/place/Waller+Assistance+and+Restoration+Ministries/@30.0552234,-95.9193817,17z/data=!3m1!4b1!4m6!3m5!1s0x8646cd6ea2864dd7:0xab48b14b384c1ebb!8m2!3d30.0552234!4d-95.9168014!16s%2Fg%2F11c55w1jw9?entry=ttu&amp;g_ep=EgoyMDI1MDcyNy4wIKX"&amp;"MDSoASAFQAw%3D%3D")</f>
        <v>https://www.google.com/maps/place/Waller+Assistance+and+Restoration+Ministries/@30.0552234,-95.9193817,17z/data=!3m1!4b1!4m6!3m5!1s0x8646cd6ea2864dd7:0xab48b14b384c1ebb!8m2!3d30.0552234!4d-95.9168014!16s%2Fg%2F11c55w1jw9?entry=ttu&amp;g_ep=EgoyMDI1MDcyNy4wIKXMDSoASAFQAw%3D%3D</v>
      </c>
      <c r="X955" s="10"/>
      <c r="Y955" s="9" t="str">
        <f>IFERROR(__xludf.DUMMYFUNCTION("""COMPUTED_VALUE"""),"Waller")</f>
        <v>Waller</v>
      </c>
      <c r="Z955" s="9" t="str">
        <f>IFERROR(__xludf.DUMMYFUNCTION("""COMPUTED_VALUE"""),"Waller")</f>
        <v>Waller</v>
      </c>
      <c r="AA955" s="9" t="str">
        <f>IFERROR(__xludf.DUMMYFUNCTION("""COMPUTED_VALUE"""),"Waller Assistance &amp; Restoration Ministries")</f>
        <v>Waller Assistance &amp; Restoration Ministries</v>
      </c>
      <c r="AB955" s="9" t="str">
        <f>IFERROR(__xludf.DUMMYFUNCTION("""COMPUTED_VALUE"""),"Waller")</f>
        <v>Waller</v>
      </c>
    </row>
    <row r="956" ht="30.0" customHeight="1">
      <c r="A956" s="17">
        <v>955.0</v>
      </c>
      <c r="B956" s="8" t="str">
        <f>IFERROR(__xludf.DUMMYFUNCTION("""COMPUTED_VALUE"""),"[""77445"", ""77446"", ""77466"", ""77484"", ""77492""]")</f>
        <v>["77445", "77446", "77466", "77484", "77492"]</v>
      </c>
      <c r="C956" s="9" t="str">
        <f>IFERROR(__xludf.DUMMYFUNCTION("""COMPUTED_VALUE"""),"Waller Assistance &amp; Restoration Ministries (WARM)")</f>
        <v>Waller Assistance &amp; Restoration Ministries (WARM)</v>
      </c>
      <c r="D956" s="9" t="str">
        <f>IFERROR(__xludf.DUMMYFUNCTION("""COMPUTED_VALUE"""),"40070 Hwy 290 Business")</f>
        <v>40070 Hwy 290 Business</v>
      </c>
      <c r="E956" s="9"/>
      <c r="F956" s="9" t="str">
        <f>IFERROR(__xludf.DUMMYFUNCTION("""COMPUTED_VALUE"""),"Waller")</f>
        <v>Waller</v>
      </c>
      <c r="G956" s="9" t="str">
        <f>IFERROR(__xludf.DUMMYFUNCTION("""COMPUTED_VALUE"""),"TX")</f>
        <v>TX</v>
      </c>
      <c r="H956" s="9" t="str">
        <f>IFERROR(__xludf.DUMMYFUNCTION("""COMPUTED_VALUE"""),"77484")</f>
        <v>77484</v>
      </c>
      <c r="I956" s="9" t="str">
        <f>IFERROR(__xludf.DUMMYFUNCTION("""COMPUTED_VALUE"""),"836-372-5173")</f>
        <v>836-372-5173</v>
      </c>
      <c r="J956" s="9" t="str">
        <f>IFERROR(__xludf.DUMMYFUNCTION("""COMPUTED_VALUE"""),"30.055501939966447, -95.91690868167721")</f>
        <v>30.055501939966447, -95.91690868167721</v>
      </c>
      <c r="K956" s="9" t="str">
        <f>IFERROR(__xludf.DUMMYFUNCTION("""COMPUTED_VALUE"""),"{""regular"":[{""days"":[""Mo"",""Tu"",""We"",""Th"",""Fr"",""Sa""],""open"":""10:00"",""close"":""16:00""}]}")</f>
        <v>{"regular":[{"days":["Mo","Tu","We","Th","Fr","Sa"],"open":"10:00","close":"16:00"}]}</v>
      </c>
      <c r="L956" s="9"/>
      <c r="M956" s="10">
        <f>IFERROR(__xludf.DUMMYFUNCTION("""COMPUTED_VALUE"""),14.0)</f>
        <v>14</v>
      </c>
      <c r="N956" s="10" t="str">
        <f>IFERROR(__xludf.DUMMYFUNCTION("""COMPUTED_VALUE"""),"Clothing")</f>
        <v>Clothing</v>
      </c>
      <c r="O956" s="10">
        <f>IFERROR(__xludf.DUMMYFUNCTION("""COMPUTED_VALUE"""),1.0)</f>
        <v>1</v>
      </c>
      <c r="P956" s="10" t="str">
        <f>IFERROR(__xludf.DUMMYFUNCTION("""COMPUTED_VALUE"""),"ACTIVE")</f>
        <v>ACTIVE</v>
      </c>
      <c r="Q956" s="11">
        <f>IFERROR(__xludf.DUMMYFUNCTION("""COMPUTED_VALUE"""),45867.0)</f>
        <v>45867</v>
      </c>
      <c r="R956" s="9" t="str">
        <f>IFERROR(__xludf.DUMMYFUNCTION("""COMPUTED_VALUE"""),"Verified online")</f>
        <v>Verified online</v>
      </c>
      <c r="S956" s="9" t="str">
        <f>IFERROR(__xludf.DUMMYFUNCTION("""COMPUTED_VALUE"""),"May provide vouchers that can be used for clothing at their thrift store.")</f>
        <v>May provide vouchers that can be used for clothing at their thrift store.</v>
      </c>
      <c r="T956" s="12" t="b">
        <f>IFERROR(__xludf.DUMMYFUNCTION("""COMPUTED_VALUE"""),FALSE)</f>
        <v>0</v>
      </c>
      <c r="U956" s="12" t="b">
        <f>IFERROR(__xludf.DUMMYFUNCTION("""COMPUTED_VALUE"""),FALSE)</f>
        <v>0</v>
      </c>
      <c r="V956" s="13" t="str">
        <f>IFERROR(__xludf.DUMMYFUNCTION("""COMPUTED_VALUE"""),"https://warmwaller.org/vouchers")</f>
        <v>https://warmwaller.org/vouchers</v>
      </c>
      <c r="W956" s="14" t="str">
        <f>IFERROR(__xludf.DUMMYFUNCTION("""COMPUTED_VALUE"""),"https://www.google.com/maps/place/Waller+Assistance+and+Restoration+Ministries/@30.0552234,-95.9193817,17z/data=!3m1!4b1!4m6!3m5!1s0x8646cd6ea2864dd7:0xab48b14b384c1ebb!8m2!3d30.0552234!4d-95.9168014!16s%2Fg%2F11c55w1jw9?entry=ttu&amp;g_ep=EgoyMDI1MDcyNy4wIKX"&amp;"MDSoASAFQAw%3D%3D")</f>
        <v>https://www.google.com/maps/place/Waller+Assistance+and+Restoration+Ministries/@30.0552234,-95.9193817,17z/data=!3m1!4b1!4m6!3m5!1s0x8646cd6ea2864dd7:0xab48b14b384c1ebb!8m2!3d30.0552234!4d-95.9168014!16s%2Fg%2F11c55w1jw9?entry=ttu&amp;g_ep=EgoyMDI1MDcyNy4wIKXMDSoASAFQAw%3D%3D</v>
      </c>
      <c r="X956" s="10"/>
      <c r="Y956" s="9" t="str">
        <f>IFERROR(__xludf.DUMMYFUNCTION("""COMPUTED_VALUE"""),"Waller")</f>
        <v>Waller</v>
      </c>
      <c r="Z956" s="9" t="str">
        <f>IFERROR(__xludf.DUMMYFUNCTION("""COMPUTED_VALUE"""),"Waller")</f>
        <v>Waller</v>
      </c>
      <c r="AA956" s="9" t="str">
        <f>IFERROR(__xludf.DUMMYFUNCTION("""COMPUTED_VALUE"""),"Waller Assistance &amp; Restoration Ministries")</f>
        <v>Waller Assistance &amp; Restoration Ministries</v>
      </c>
      <c r="AB956" s="9" t="str">
        <f>IFERROR(__xludf.DUMMYFUNCTION("""COMPUTED_VALUE"""),"Waller")</f>
        <v>Waller</v>
      </c>
    </row>
    <row r="957" ht="30.0" customHeight="1">
      <c r="A957" s="17">
        <v>956.0</v>
      </c>
      <c r="B957" s="8" t="str">
        <f>IFERROR(__xludf.DUMMYFUNCTION("""COMPUTED_VALUE"""),"[""77445"", ""77446"", ""77466"", ""77484"", ""77492""]")</f>
        <v>["77445", "77446", "77466", "77484", "77492"]</v>
      </c>
      <c r="C957" s="9" t="str">
        <f>IFERROR(__xludf.DUMMYFUNCTION("""COMPUTED_VALUE"""),"Waller Assistance &amp; Restoration Ministries (WARM)")</f>
        <v>Waller Assistance &amp; Restoration Ministries (WARM)</v>
      </c>
      <c r="D957" s="9" t="str">
        <f>IFERROR(__xludf.DUMMYFUNCTION("""COMPUTED_VALUE"""),"40070 Hwy 290 Business")</f>
        <v>40070 Hwy 290 Business</v>
      </c>
      <c r="E957" s="9"/>
      <c r="F957" s="9" t="str">
        <f>IFERROR(__xludf.DUMMYFUNCTION("""COMPUTED_VALUE"""),"Waller")</f>
        <v>Waller</v>
      </c>
      <c r="G957" s="9" t="str">
        <f>IFERROR(__xludf.DUMMYFUNCTION("""COMPUTED_VALUE"""),"TX")</f>
        <v>TX</v>
      </c>
      <c r="H957" s="9" t="str">
        <f>IFERROR(__xludf.DUMMYFUNCTION("""COMPUTED_VALUE"""),"77484")</f>
        <v>77484</v>
      </c>
      <c r="I957" s="9" t="str">
        <f>IFERROR(__xludf.DUMMYFUNCTION("""COMPUTED_VALUE"""),"836-372-5173")</f>
        <v>836-372-5173</v>
      </c>
      <c r="J957" s="9" t="str">
        <f>IFERROR(__xludf.DUMMYFUNCTION("""COMPUTED_VALUE"""),"30.055501939966447, -95.91690868167721")</f>
        <v>30.055501939966447, -95.91690868167721</v>
      </c>
      <c r="K957" s="9" t="str">
        <f>IFERROR(__xludf.DUMMYFUNCTION("""COMPUTED_VALUE"""),"{""special"":[{""pattern"":""2nd &amp; 4th Mo"",""open"":""10:00"",""close"":""15:00""}]}")</f>
        <v>{"special":[{"pattern":"2nd &amp; 4th Mo","open":"10:00","close":"15:00"}]}</v>
      </c>
      <c r="L957" s="9"/>
      <c r="M957" s="10">
        <f>IFERROR(__xludf.DUMMYFUNCTION("""COMPUTED_VALUE"""),35.0)</f>
        <v>35</v>
      </c>
      <c r="N957" s="10" t="str">
        <f>IFERROR(__xludf.DUMMYFUNCTION("""COMPUTED_VALUE"""),"Medical - Program Enrollment")</f>
        <v>Medical - Program Enrollment</v>
      </c>
      <c r="O957" s="10">
        <f>IFERROR(__xludf.DUMMYFUNCTION("""COMPUTED_VALUE"""),1.0)</f>
        <v>1</v>
      </c>
      <c r="P957" s="10" t="str">
        <f>IFERROR(__xludf.DUMMYFUNCTION("""COMPUTED_VALUE"""),"ACTIVE")</f>
        <v>ACTIVE</v>
      </c>
      <c r="Q957" s="11">
        <f>IFERROR(__xludf.DUMMYFUNCTION("""COMPUTED_VALUE"""),45867.0)</f>
        <v>45867</v>
      </c>
      <c r="R957" s="9" t="str">
        <f>IFERROR(__xludf.DUMMYFUNCTION("""COMPUTED_VALUE"""),"Verified online")</f>
        <v>Verified online</v>
      </c>
      <c r="S957" s="9" t="str">
        <f>IFERROR(__xludf.DUMMYFUNCTION("""COMPUTED_VALUE"""),"Assistance with completing applications for SNAP, TANF, Medicaid, CHIP and other government benefits programs.")</f>
        <v>Assistance with completing applications for SNAP, TANF, Medicaid, CHIP and other government benefits programs.</v>
      </c>
      <c r="T957" s="12" t="b">
        <f>IFERROR(__xludf.DUMMYFUNCTION("""COMPUTED_VALUE"""),FALSE)</f>
        <v>0</v>
      </c>
      <c r="U957" s="12" t="b">
        <f>IFERROR(__xludf.DUMMYFUNCTION("""COMPUTED_VALUE"""),FALSE)</f>
        <v>0</v>
      </c>
      <c r="V957" s="13" t="str">
        <f>IFERROR(__xludf.DUMMYFUNCTION("""COMPUTED_VALUE"""),"https://warmwaller.org/comunity-assistance-program")</f>
        <v>https://warmwaller.org/comunity-assistance-program</v>
      </c>
      <c r="W957" s="14" t="str">
        <f>IFERROR(__xludf.DUMMYFUNCTION("""COMPUTED_VALUE"""),"https://www.google.com/maps/place/Waller+Assistance+and+Restoration+Ministries/@30.0552234,-95.9193817,17z/data=!3m1!4b1!4m6!3m5!1s0x8646cd6ea2864dd7:0xab48b14b384c1ebb!8m2!3d30.0552234!4d-95.9168014!16s%2Fg%2F11c55w1jw9?entry=ttu&amp;g_ep=EgoyMDI1MDcyNy4wIKX"&amp;"MDSoASAFQAw%3D%3D")</f>
        <v>https://www.google.com/maps/place/Waller+Assistance+and+Restoration+Ministries/@30.0552234,-95.9193817,17z/data=!3m1!4b1!4m6!3m5!1s0x8646cd6ea2864dd7:0xab48b14b384c1ebb!8m2!3d30.0552234!4d-95.9168014!16s%2Fg%2F11c55w1jw9?entry=ttu&amp;g_ep=EgoyMDI1MDcyNy4wIKXMDSoASAFQAw%3D%3D</v>
      </c>
      <c r="X957" s="10"/>
      <c r="Y957" s="9" t="str">
        <f>IFERROR(__xludf.DUMMYFUNCTION("""COMPUTED_VALUE"""),"Waller")</f>
        <v>Waller</v>
      </c>
      <c r="Z957" s="9" t="str">
        <f>IFERROR(__xludf.DUMMYFUNCTION("""COMPUTED_VALUE"""),"Waller")</f>
        <v>Waller</v>
      </c>
      <c r="AA957" s="9" t="str">
        <f>IFERROR(__xludf.DUMMYFUNCTION("""COMPUTED_VALUE"""),"Waller Assistance &amp; Restoration Ministries")</f>
        <v>Waller Assistance &amp; Restoration Ministries</v>
      </c>
      <c r="AB957" s="9" t="str">
        <f>IFERROR(__xludf.DUMMYFUNCTION("""COMPUTED_VALUE"""),"Waller")</f>
        <v>Waller</v>
      </c>
    </row>
    <row r="958" ht="30.0" customHeight="1">
      <c r="A958" s="17">
        <v>957.0</v>
      </c>
      <c r="B958" s="8" t="str">
        <f>IFERROR(__xludf.DUMMYFUNCTION("""COMPUTED_VALUE"""),"[""77445"", ""77446"", ""77466"", ""77484"", ""77492""]")</f>
        <v>["77445", "77446", "77466", "77484", "77492"]</v>
      </c>
      <c r="C958" s="9" t="str">
        <f>IFERROR(__xludf.DUMMYFUNCTION("""COMPUTED_VALUE"""),"Waller Assistance &amp; Restoration Ministries (WARM)")</f>
        <v>Waller Assistance &amp; Restoration Ministries (WARM)</v>
      </c>
      <c r="D958" s="9" t="str">
        <f>IFERROR(__xludf.DUMMYFUNCTION("""COMPUTED_VALUE"""),"40070 Hwy 290 Business")</f>
        <v>40070 Hwy 290 Business</v>
      </c>
      <c r="E958" s="9"/>
      <c r="F958" s="9" t="str">
        <f>IFERROR(__xludf.DUMMYFUNCTION("""COMPUTED_VALUE"""),"Waller")</f>
        <v>Waller</v>
      </c>
      <c r="G958" s="9" t="str">
        <f>IFERROR(__xludf.DUMMYFUNCTION("""COMPUTED_VALUE"""),"TX")</f>
        <v>TX</v>
      </c>
      <c r="H958" s="9" t="str">
        <f>IFERROR(__xludf.DUMMYFUNCTION("""COMPUTED_VALUE"""),"77484")</f>
        <v>77484</v>
      </c>
      <c r="I958" s="9" t="str">
        <f>IFERROR(__xludf.DUMMYFUNCTION("""COMPUTED_VALUE"""),"836-372-5173")</f>
        <v>836-372-5173</v>
      </c>
      <c r="J958" s="9" t="str">
        <f>IFERROR(__xludf.DUMMYFUNCTION("""COMPUTED_VALUE"""),"30.055501939966447, -95.91690868167721")</f>
        <v>30.055501939966447, -95.91690868167721</v>
      </c>
      <c r="K958" s="9" t="str">
        <f>IFERROR(__xludf.DUMMYFUNCTION("""COMPUTED_VALUE"""),"{""regular"":[{""days"":[""Mo"",""Tu"",""We"",""Th"",""Fr""],""open"":""10:00"",""close"":""16:00""}]}")</f>
        <v>{"regular":[{"days":["Mo","Tu","We","Th","Fr"],"open":"10:00","close":"16:00"}]}</v>
      </c>
      <c r="L958" s="9" t="str">
        <f>IFERROR(__xludf.DUMMYFUNCTION("""COMPUTED_VALUE"""),"Appointment required")</f>
        <v>Appointment required</v>
      </c>
      <c r="M958" s="10">
        <f>IFERROR(__xludf.DUMMYFUNCTION("""COMPUTED_VALUE"""),36.0)</f>
        <v>36</v>
      </c>
      <c r="N958" s="10" t="str">
        <f>IFERROR(__xludf.DUMMYFUNCTION("""COMPUTED_VALUE"""),"Medical - Bill Payment")</f>
        <v>Medical - Bill Payment</v>
      </c>
      <c r="O958" s="10">
        <f>IFERROR(__xludf.DUMMYFUNCTION("""COMPUTED_VALUE"""),1.0)</f>
        <v>1</v>
      </c>
      <c r="P958" s="10" t="str">
        <f>IFERROR(__xludf.DUMMYFUNCTION("""COMPUTED_VALUE"""),"ACTIVE")</f>
        <v>ACTIVE</v>
      </c>
      <c r="Q958" s="11">
        <f>IFERROR(__xludf.DUMMYFUNCTION("""COMPUTED_VALUE"""),45867.0)</f>
        <v>45867</v>
      </c>
      <c r="R958" s="9" t="str">
        <f>IFERROR(__xludf.DUMMYFUNCTION("""COMPUTED_VALUE"""),"Verified online")</f>
        <v>Verified online</v>
      </c>
      <c r="S958" s="9" t="str">
        <f>IFERROR(__xludf.DUMMYFUNCTION("""COMPUTED_VALUE"""),"Complete online application.  This is financial assistance with medical bills.  Max assistance $50.
Assistance provided to household once every three years.
Must have had a crisis in the last 60 days.
Household income no greater than 80% of Houston area M"&amp;"edian Income.
Check website for documents requirements.")</f>
        <v>Complete online application.  This is financial assistance with medical bills.  Max assistance $50.
Assistance provided to household once every three years.
Must have had a crisis in the last 60 days.
Household income no greater than 80% of Houston area Median Income.
Check website for documents requirements.</v>
      </c>
      <c r="T958" s="12" t="b">
        <f>IFERROR(__xludf.DUMMYFUNCTION("""COMPUTED_VALUE"""),FALSE)</f>
        <v>0</v>
      </c>
      <c r="U958" s="12" t="b">
        <f>IFERROR(__xludf.DUMMYFUNCTION("""COMPUTED_VALUE"""),FALSE)</f>
        <v>0</v>
      </c>
      <c r="V958" s="13" t="str">
        <f>IFERROR(__xludf.DUMMYFUNCTION("""COMPUTED_VALUE"""),"https://warmwaller.org/financial")</f>
        <v>https://warmwaller.org/financial</v>
      </c>
      <c r="W958" s="14" t="str">
        <f>IFERROR(__xludf.DUMMYFUNCTION("""COMPUTED_VALUE"""),"https://www.google.com/maps/place/Waller+Assistance+and+Restoration+Ministries/@30.0552234,-95.9193817,17z/data=!3m1!4b1!4m6!3m5!1s0x8646cd6ea2864dd7:0xab48b14b384c1ebb!8m2!3d30.0552234!4d-95.9168014!16s%2Fg%2F11c55w1jw9?entry=ttu&amp;g_ep=EgoyMDI1MDcyNy4wIKX"&amp;"MDSoASAFQAw%3D%3D")</f>
        <v>https://www.google.com/maps/place/Waller+Assistance+and+Restoration+Ministries/@30.0552234,-95.9193817,17z/data=!3m1!4b1!4m6!3m5!1s0x8646cd6ea2864dd7:0xab48b14b384c1ebb!8m2!3d30.0552234!4d-95.9168014!16s%2Fg%2F11c55w1jw9?entry=ttu&amp;g_ep=EgoyMDI1MDcyNy4wIKXMDSoASAFQAw%3D%3D</v>
      </c>
      <c r="X958" s="10"/>
      <c r="Y958" s="9" t="str">
        <f>IFERROR(__xludf.DUMMYFUNCTION("""COMPUTED_VALUE"""),"Waller")</f>
        <v>Waller</v>
      </c>
      <c r="Z958" s="9" t="str">
        <f>IFERROR(__xludf.DUMMYFUNCTION("""COMPUTED_VALUE"""),"Waller")</f>
        <v>Waller</v>
      </c>
      <c r="AA958" s="9" t="str">
        <f>IFERROR(__xludf.DUMMYFUNCTION("""COMPUTED_VALUE"""),"Waller Assistance &amp; Restoration Ministries")</f>
        <v>Waller Assistance &amp; Restoration Ministries</v>
      </c>
      <c r="AB958" s="9" t="str">
        <f>IFERROR(__xludf.DUMMYFUNCTION("""COMPUTED_VALUE"""),"Waller")</f>
        <v>Waller</v>
      </c>
    </row>
    <row r="959" ht="30.0" customHeight="1">
      <c r="A959" s="17">
        <v>958.0</v>
      </c>
      <c r="B959" s="8" t="str">
        <f>IFERROR(__xludf.DUMMYFUNCTION("""COMPUTED_VALUE"""),"[""99999""]")</f>
        <v>["99999"]</v>
      </c>
      <c r="C959" s="9" t="str">
        <f>IFERROR(__xludf.DUMMYFUNCTION("""COMPUTED_VALUE"""),"Wellsprings Village Inc.")</f>
        <v>Wellsprings Village Inc.</v>
      </c>
      <c r="D959" s="9" t="str">
        <f>IFERROR(__xludf.DUMMYFUNCTION("""COMPUTED_VALUE"""),"P.O. Box 311017")</f>
        <v>P.O. Box 311017</v>
      </c>
      <c r="E959" s="9"/>
      <c r="F959" s="9" t="str">
        <f>IFERROR(__xludf.DUMMYFUNCTION("""COMPUTED_VALUE"""),"Houston")</f>
        <v>Houston</v>
      </c>
      <c r="G959" s="9" t="str">
        <f>IFERROR(__xludf.DUMMYFUNCTION("""COMPUTED_VALUE"""),"TX")</f>
        <v>TX</v>
      </c>
      <c r="H959" s="9" t="str">
        <f>IFERROR(__xludf.DUMMYFUNCTION("""COMPUTED_VALUE"""),"77231")</f>
        <v>77231</v>
      </c>
      <c r="I959" s="9" t="str">
        <f>IFERROR(__xludf.DUMMYFUNCTION("""COMPUTED_VALUE"""),"713-529-6559")</f>
        <v>713-529-6559</v>
      </c>
      <c r="J959" s="9" t="str">
        <f>IFERROR(__xludf.DUMMYFUNCTION("""COMPUTED_VALUE"""),"29.651703111525425, -95.48195578393388")</f>
        <v>29.651703111525425, -95.48195578393388</v>
      </c>
      <c r="K959" s="9" t="str">
        <f>IFERROR(__xludf.DUMMYFUNCTION("""COMPUTED_VALUE"""),"{""regular"":[{""days"":[""Mo"",""Tu"",""We"",""Th"",""Fr""],""open"":""08:00"",""close"":""17:00""}]}")</f>
        <v>{"regular":[{"days":["Mo","Tu","We","Th","Fr"],"open":"08:00","close":"17:00"}]}</v>
      </c>
      <c r="L959" s="9"/>
      <c r="M959" s="10">
        <f>IFERROR(__xludf.DUMMYFUNCTION("""COMPUTED_VALUE"""),24.0)</f>
        <v>24</v>
      </c>
      <c r="N959" s="10" t="str">
        <f>IFERROR(__xludf.DUMMYFUNCTION("""COMPUTED_VALUE"""),"Housing")</f>
        <v>Housing</v>
      </c>
      <c r="O959" s="10">
        <f>IFERROR(__xludf.DUMMYFUNCTION("""COMPUTED_VALUE"""),1.0)</f>
        <v>1</v>
      </c>
      <c r="P959" s="10" t="str">
        <f>IFERROR(__xludf.DUMMYFUNCTION("""COMPUTED_VALUE"""),"ACTIVE")</f>
        <v>ACTIVE</v>
      </c>
      <c r="Q959" s="11">
        <f>IFERROR(__xludf.DUMMYFUNCTION("""COMPUTED_VALUE"""),45761.0)</f>
        <v>45761</v>
      </c>
      <c r="R959" s="9" t="str">
        <f>IFERROR(__xludf.DUMMYFUNCTION("""COMPUTED_VALUE"""),"SVdP Church Help for Moms Ministry")</f>
        <v>SVdP Church Help for Moms Ministry</v>
      </c>
      <c r="S959" s="9" t="str">
        <f>IFERROR(__xludf.DUMMYFUNCTION("""COMPUTED_VALUE"""),"Transitional housing for women between the ages of 25 and 50. Women over the age of 50 are on a case by case basis.
Counseling &amp; Life Skills Education
Transportation Assistance
Case management and employment readiness
Limited food and clothing")</f>
        <v>Transitional housing for women between the ages of 25 and 50. Women over the age of 50 are on a case by case basis.
Counseling &amp; Life Skills Education
Transportation Assistance
Case management and employment readiness
Limited food and clothing</v>
      </c>
      <c r="T959" s="12" t="b">
        <f>IFERROR(__xludf.DUMMYFUNCTION("""COMPUTED_VALUE"""),FALSE)</f>
        <v>0</v>
      </c>
      <c r="U959" s="12" t="b">
        <f>IFERROR(__xludf.DUMMYFUNCTION("""COMPUTED_VALUE"""),FALSE)</f>
        <v>0</v>
      </c>
      <c r="V959" s="13" t="str">
        <f>IFERROR(__xludf.DUMMYFUNCTION("""COMPUTED_VALUE"""),"https://wellspringsvillage.org/")</f>
        <v>https://wellspringsvillage.org/</v>
      </c>
      <c r="W959" s="10"/>
      <c r="X959" s="10"/>
      <c r="Y959" s="9" t="str">
        <f>IFERROR(__xludf.DUMMYFUNCTION("""COMPUTED_VALUE"""),"Houston")</f>
        <v>Houston</v>
      </c>
      <c r="Z959" s="9" t="str">
        <f>IFERROR(__xludf.DUMMYFUNCTION("""COMPUTED_VALUE"""),"P.O. Boxes")</f>
        <v>P.O. Boxes</v>
      </c>
      <c r="AA959" s="9" t="str">
        <f>IFERROR(__xludf.DUMMYFUNCTION("""COMPUTED_VALUE"""),"Wellsprings Village Inc.")</f>
        <v>Wellsprings Village Inc.</v>
      </c>
      <c r="AB959" s="9" t="str">
        <f>IFERROR(__xludf.DUMMYFUNCTION("""COMPUTED_VALUE"""),"Westbury")</f>
        <v>Westbury</v>
      </c>
    </row>
    <row r="960" ht="30.0" customHeight="1">
      <c r="A960" s="17">
        <v>959.0</v>
      </c>
      <c r="B960" s="8" t="str">
        <f>IFERROR(__xludf.DUMMYFUNCTION("""COMPUTED_VALUE"""),"[""99999""]")</f>
        <v>["99999"]</v>
      </c>
      <c r="C960" s="9" t="str">
        <f>IFERROR(__xludf.DUMMYFUNCTION("""COMPUTED_VALUE"""),"Wesley Community Center")</f>
        <v>Wesley Community Center</v>
      </c>
      <c r="D960" s="9" t="str">
        <f>IFERROR(__xludf.DUMMYFUNCTION("""COMPUTED_VALUE"""),"1410 Lee Street")</f>
        <v>1410 Lee Street</v>
      </c>
      <c r="E960" s="9"/>
      <c r="F960" s="9" t="str">
        <f>IFERROR(__xludf.DUMMYFUNCTION("""COMPUTED_VALUE"""),"Houston")</f>
        <v>Houston</v>
      </c>
      <c r="G960" s="9" t="str">
        <f>IFERROR(__xludf.DUMMYFUNCTION("""COMPUTED_VALUE"""),"TX")</f>
        <v>TX</v>
      </c>
      <c r="H960" s="9" t="str">
        <f>IFERROR(__xludf.DUMMYFUNCTION("""COMPUTED_VALUE"""),"77009")</f>
        <v>77009</v>
      </c>
      <c r="I960" s="9" t="str">
        <f>IFERROR(__xludf.DUMMYFUNCTION("""COMPUTED_VALUE"""),"713-236-9008")</f>
        <v>713-236-9008</v>
      </c>
      <c r="J960" s="9" t="str">
        <f>IFERROR(__xludf.DUMMYFUNCTION("""COMPUTED_VALUE"""),"29.7813413061225, -95.3536578979592")</f>
        <v>29.7813413061225, -95.3536578979592</v>
      </c>
      <c r="K960" s="9" t="str">
        <f>IFERROR(__xludf.DUMMYFUNCTION("""COMPUTED_VALUE"""),"{""regular"":[{""days"":[""Mo"",""Tu"",""We"",""Th"",""Fr""],""open"":""08:00"",""close"":""12:00""}]}")</f>
        <v>{"regular":[{"days":["Mo","Tu","We","Th","Fr"],"open":"08:00","close":"12:00"}]}</v>
      </c>
      <c r="L960" s="9"/>
      <c r="M960" s="10">
        <f>IFERROR(__xludf.DUMMYFUNCTION("""COMPUTED_VALUE"""),11.0)</f>
        <v>11</v>
      </c>
      <c r="N960" s="10" t="str">
        <f>IFERROR(__xludf.DUMMYFUNCTION("""COMPUTED_VALUE"""),"Rent")</f>
        <v>Rent</v>
      </c>
      <c r="O960" s="10">
        <f>IFERROR(__xludf.DUMMYFUNCTION("""COMPUTED_VALUE"""),3.0)</f>
        <v>3</v>
      </c>
      <c r="P960" s="10" t="str">
        <f>IFERROR(__xludf.DUMMYFUNCTION("""COMPUTED_VALUE"""),"INACTIVE")</f>
        <v>INACTIVE</v>
      </c>
      <c r="Q960" s="11">
        <f>IFERROR(__xludf.DUMMYFUNCTION("""COMPUTED_VALUE"""),46086.0)</f>
        <v>46086</v>
      </c>
      <c r="R960" s="9" t="str">
        <f>IFERROR(__xludf.DUMMYFUNCTION("""COMPUTED_VALUE"""),"Verified online - no funding")</f>
        <v>Verified online - no funding</v>
      </c>
      <c r="S960" s="9" t="str">
        <f>IFERROR(__xludf.DUMMYFUNCTION("""COMPUTED_VALUE"""),"Call to make appointment.
Clients must meet with employment, financial and income Support Coaches.
Valid ID.
Proof of residence.
Social Security Card.
Lease agreement and vacate notice.
SNAP Award Letter.")</f>
        <v>Call to make appointment.
Clients must meet with employment, financial and income Support Coaches.
Valid ID.
Proof of residence.
Social Security Card.
Lease agreement and vacate notice.
SNAP Award Letter.</v>
      </c>
      <c r="T960" s="12" t="b">
        <f>IFERROR(__xludf.DUMMYFUNCTION("""COMPUTED_VALUE"""),FALSE)</f>
        <v>0</v>
      </c>
      <c r="U960" s="12" t="b">
        <f>IFERROR(__xludf.DUMMYFUNCTION("""COMPUTED_VALUE"""),FALSE)</f>
        <v>0</v>
      </c>
      <c r="V960" s="13" t="str">
        <f>IFERROR(__xludf.DUMMYFUNCTION("""COMPUTED_VALUE"""),"https://wesleyhousehouston.org/adult-family-services/")</f>
        <v>https://wesleyhousehouston.org/adult-family-services/</v>
      </c>
      <c r="W960" s="14" t="str">
        <f>IFERROR(__xludf.DUMMYFUNCTION("""COMPUTED_VALUE"""),"https://maps.google.com/?q=Wesley%20Community%20Center%201410%20Lee%20St%20Houston%20TX%2077009")</f>
        <v>https://maps.google.com/?q=Wesley%20Community%20Center%201410%20Lee%20St%20Houston%20TX%2077009</v>
      </c>
      <c r="X960" s="10"/>
      <c r="Y960" s="9" t="str">
        <f>IFERROR(__xludf.DUMMYFUNCTION("""COMPUTED_VALUE"""),"Houston")</f>
        <v>Houston</v>
      </c>
      <c r="Z960" s="9" t="str">
        <f>IFERROR(__xludf.DUMMYFUNCTION("""COMPUTED_VALUE"""),"Lindale Park, Near Northside, Northside, Woodland Heights")</f>
        <v>Lindale Park, Near Northside, Northside, Woodland Heights</v>
      </c>
      <c r="AA960" s="9" t="str">
        <f>IFERROR(__xludf.DUMMYFUNCTION("""COMPUTED_VALUE"""),"Wesley Community Center")</f>
        <v>Wesley Community Center</v>
      </c>
      <c r="AB960" s="9" t="str">
        <f>IFERROR(__xludf.DUMMYFUNCTION("""COMPUTED_VALUE"""),"Northside")</f>
        <v>Northside</v>
      </c>
    </row>
    <row r="961" ht="30.0" customHeight="1">
      <c r="A961" s="17">
        <v>960.0</v>
      </c>
      <c r="B961" s="8" t="str">
        <f>IFERROR(__xludf.DUMMYFUNCTION("""COMPUTED_VALUE"""),"[""99999""]")</f>
        <v>["99999"]</v>
      </c>
      <c r="C961" s="9" t="str">
        <f>IFERROR(__xludf.DUMMYFUNCTION("""COMPUTED_VALUE"""),"Wesley Community Center")</f>
        <v>Wesley Community Center</v>
      </c>
      <c r="D961" s="9" t="str">
        <f>IFERROR(__xludf.DUMMYFUNCTION("""COMPUTED_VALUE"""),"1410 Lee Street")</f>
        <v>1410 Lee Street</v>
      </c>
      <c r="E961" s="9"/>
      <c r="F961" s="9" t="str">
        <f>IFERROR(__xludf.DUMMYFUNCTION("""COMPUTED_VALUE"""),"Houston")</f>
        <v>Houston</v>
      </c>
      <c r="G961" s="9" t="str">
        <f>IFERROR(__xludf.DUMMYFUNCTION("""COMPUTED_VALUE"""),"TX")</f>
        <v>TX</v>
      </c>
      <c r="H961" s="9" t="str">
        <f>IFERROR(__xludf.DUMMYFUNCTION("""COMPUTED_VALUE"""),"77009")</f>
        <v>77009</v>
      </c>
      <c r="I961" s="9" t="str">
        <f>IFERROR(__xludf.DUMMYFUNCTION("""COMPUTED_VALUE"""),"713-236-9008")</f>
        <v>713-236-9008</v>
      </c>
      <c r="J961" s="9" t="str">
        <f>IFERROR(__xludf.DUMMYFUNCTION("""COMPUTED_VALUE"""),"29.7813413061225, -95.3536578979592")</f>
        <v>29.7813413061225, -95.3536578979592</v>
      </c>
      <c r="K961" s="9" t="str">
        <f>IFERROR(__xludf.DUMMYFUNCTION("""COMPUTED_VALUE"""),"{""regular"":[{""days"":[""Mo"",""Tu"",""We"",""Th"",""Fr""],""open"":""08:00"",""close"":""12:00""}]}")</f>
        <v>{"regular":[{"days":["Mo","Tu","We","Th","Fr"],"open":"08:00","close":"12:00"}]}</v>
      </c>
      <c r="L961" s="9"/>
      <c r="M961" s="10">
        <f>IFERROR(__xludf.DUMMYFUNCTION("""COMPUTED_VALUE"""),12.0)</f>
        <v>12</v>
      </c>
      <c r="N961" s="10" t="str">
        <f>IFERROR(__xludf.DUMMYFUNCTION("""COMPUTED_VALUE"""),"Utilities")</f>
        <v>Utilities</v>
      </c>
      <c r="O961" s="10">
        <f>IFERROR(__xludf.DUMMYFUNCTION("""COMPUTED_VALUE"""),3.0)</f>
        <v>3</v>
      </c>
      <c r="P961" s="10" t="str">
        <f>IFERROR(__xludf.DUMMYFUNCTION("""COMPUTED_VALUE"""),"INACTIVE")</f>
        <v>INACTIVE</v>
      </c>
      <c r="Q961" s="11">
        <f>IFERROR(__xludf.DUMMYFUNCTION("""COMPUTED_VALUE"""),46086.0)</f>
        <v>46086</v>
      </c>
      <c r="R961" s="9" t="str">
        <f>IFERROR(__xludf.DUMMYFUNCTION("""COMPUTED_VALUE"""),"Verified online - no funding")</f>
        <v>Verified online - no funding</v>
      </c>
      <c r="S961" s="9" t="str">
        <f>IFERROR(__xludf.DUMMYFUNCTION("""COMPUTED_VALUE"""),"Call to make appointment.
Clients must meet with employment, financial and income Support Coaches.
Valid ID.
Proof of residence.
Social Security Card.
Lease agreement and vacate notice.
SNAP Award Letter.")</f>
        <v>Call to make appointment.
Clients must meet with employment, financial and income Support Coaches.
Valid ID.
Proof of residence.
Social Security Card.
Lease agreement and vacate notice.
SNAP Award Letter.</v>
      </c>
      <c r="T961" s="12" t="b">
        <f>IFERROR(__xludf.DUMMYFUNCTION("""COMPUTED_VALUE"""),FALSE)</f>
        <v>0</v>
      </c>
      <c r="U961" s="12" t="b">
        <f>IFERROR(__xludf.DUMMYFUNCTION("""COMPUTED_VALUE"""),FALSE)</f>
        <v>0</v>
      </c>
      <c r="V961" s="13" t="str">
        <f>IFERROR(__xludf.DUMMYFUNCTION("""COMPUTED_VALUE"""),"https://wesleyhousehouston.org/adult-family-services/")</f>
        <v>https://wesleyhousehouston.org/adult-family-services/</v>
      </c>
      <c r="W961" s="14" t="str">
        <f>IFERROR(__xludf.DUMMYFUNCTION("""COMPUTED_VALUE"""),"https://maps.google.com/?q=Wesley%20Community%20Center%201410%20Lee%20St%20Houston%20TX%2077009")</f>
        <v>https://maps.google.com/?q=Wesley%20Community%20Center%201410%20Lee%20St%20Houston%20TX%2077009</v>
      </c>
      <c r="X961" s="10"/>
      <c r="Y961" s="9" t="str">
        <f>IFERROR(__xludf.DUMMYFUNCTION("""COMPUTED_VALUE"""),"Houston")</f>
        <v>Houston</v>
      </c>
      <c r="Z961" s="9" t="str">
        <f>IFERROR(__xludf.DUMMYFUNCTION("""COMPUTED_VALUE"""),"Lindale Park, Near Northside, Northside, Woodland Heights")</f>
        <v>Lindale Park, Near Northside, Northside, Woodland Heights</v>
      </c>
      <c r="AA961" s="9" t="str">
        <f>IFERROR(__xludf.DUMMYFUNCTION("""COMPUTED_VALUE"""),"Wesley Community Center")</f>
        <v>Wesley Community Center</v>
      </c>
      <c r="AB961" s="9" t="str">
        <f>IFERROR(__xludf.DUMMYFUNCTION("""COMPUTED_VALUE"""),"Northside")</f>
        <v>Northside</v>
      </c>
    </row>
    <row r="962" ht="30.0" customHeight="1">
      <c r="A962" s="17">
        <v>961.0</v>
      </c>
      <c r="B962" s="8" t="str">
        <f>IFERROR(__xludf.DUMMYFUNCTION("""COMPUTED_VALUE"""),"[""99999""]")</f>
        <v>["99999"]</v>
      </c>
      <c r="C962" s="9" t="str">
        <f>IFERROR(__xludf.DUMMYFUNCTION("""COMPUTED_VALUE"""),"Wesley Community Center")</f>
        <v>Wesley Community Center</v>
      </c>
      <c r="D962" s="9" t="str">
        <f>IFERROR(__xludf.DUMMYFUNCTION("""COMPUTED_VALUE"""),"1235 Lorraine Street")</f>
        <v>1235 Lorraine Street</v>
      </c>
      <c r="E962" s="9"/>
      <c r="F962" s="9" t="str">
        <f>IFERROR(__xludf.DUMMYFUNCTION("""COMPUTED_VALUE"""),"Houston")</f>
        <v>Houston</v>
      </c>
      <c r="G962" s="9" t="str">
        <f>IFERROR(__xludf.DUMMYFUNCTION("""COMPUTED_VALUE"""),"TX")</f>
        <v>TX</v>
      </c>
      <c r="H962" s="9" t="str">
        <f>IFERROR(__xludf.DUMMYFUNCTION("""COMPUTED_VALUE"""),"77009")</f>
        <v>77009</v>
      </c>
      <c r="I962" s="9" t="str">
        <f>IFERROR(__xludf.DUMMYFUNCTION("""COMPUTED_VALUE"""),"713-821-8950")</f>
        <v>713-821-8950</v>
      </c>
      <c r="J962" s="9" t="str">
        <f>IFERROR(__xludf.DUMMYFUNCTION("""COMPUTED_VALUE"""),"29.7813413061225, -95.3536578979592")</f>
        <v>29.7813413061225, -95.3536578979592</v>
      </c>
      <c r="K962" s="9" t="str">
        <f>IFERROR(__xludf.DUMMYFUNCTION("""COMPUTED_VALUE"""),"{""regular"":[{""days"":[""Mo"",""Tu"",""We"",""Th"",""Fr""],""open"":""08:00"",""close"":""12:00""},{""days"":[""Tu"",""We"",""Th""],""open"":""13:00"",""close"":""16:00""}]}")</f>
        <v>{"regular":[{"days":["Mo","Tu","We","Th","Fr"],"open":"08:00","close":"12:00"},{"days":["Tu","We","Th"],"open":"13:00","close":"16:00"}]}</v>
      </c>
      <c r="L962" s="9" t="str">
        <f>IFERROR(__xludf.DUMMYFUNCTION("""COMPUTED_VALUE"""),"Appointment required")</f>
        <v>Appointment required</v>
      </c>
      <c r="M962" s="10">
        <f>IFERROR(__xludf.DUMMYFUNCTION("""COMPUTED_VALUE"""),13.0)</f>
        <v>13</v>
      </c>
      <c r="N962" s="10" t="str">
        <f>IFERROR(__xludf.DUMMYFUNCTION("""COMPUTED_VALUE"""),"Food")</f>
        <v>Food</v>
      </c>
      <c r="O962" s="10">
        <f>IFERROR(__xludf.DUMMYFUNCTION("""COMPUTED_VALUE"""),1.0)</f>
        <v>1</v>
      </c>
      <c r="P962" s="10" t="str">
        <f>IFERROR(__xludf.DUMMYFUNCTION("""COMPUTED_VALUE"""),"ACTIVE")</f>
        <v>ACTIVE</v>
      </c>
      <c r="Q962" s="11">
        <f>IFERROR(__xludf.DUMMYFUNCTION("""COMPUTED_VALUE"""),46086.0)</f>
        <v>46086</v>
      </c>
      <c r="R962" s="9" t="str">
        <f>IFERROR(__xludf.DUMMYFUNCTION("""COMPUTED_VALUE"""),"Verified online")</f>
        <v>Verified online</v>
      </c>
      <c r="S962" s="9" t="str">
        <f>IFERROR(__xludf.DUMMYFUNCTION("""COMPUTED_VALUE"""),"No cost to participate
Valid ID.
Proof of address.")</f>
        <v>No cost to participate
Valid ID.
Proof of address.</v>
      </c>
      <c r="T962" s="12" t="b">
        <f>IFERROR(__xludf.DUMMYFUNCTION("""COMPUTED_VALUE"""),FALSE)</f>
        <v>0</v>
      </c>
      <c r="U962" s="12" t="b">
        <f>IFERROR(__xludf.DUMMYFUNCTION("""COMPUTED_VALUE"""),FALSE)</f>
        <v>0</v>
      </c>
      <c r="V962" s="13" t="str">
        <f>IFERROR(__xludf.DUMMYFUNCTION("""COMPUTED_VALUE"""),"https://wesleyhousehouston.org/food-programs/")</f>
        <v>https://wesleyhousehouston.org/food-programs/</v>
      </c>
      <c r="W962" s="14" t="str">
        <f>IFERROR(__xludf.DUMMYFUNCTION("""COMPUTED_VALUE"""),"https://maps.google.com/?q=Wesley%20Community%20Center%201410%20Lee%20St%20Houston%20TX%2077009")</f>
        <v>https://maps.google.com/?q=Wesley%20Community%20Center%201410%20Lee%20St%20Houston%20TX%2077009</v>
      </c>
      <c r="X962" s="10"/>
      <c r="Y962" s="9" t="str">
        <f>IFERROR(__xludf.DUMMYFUNCTION("""COMPUTED_VALUE"""),"Houston")</f>
        <v>Houston</v>
      </c>
      <c r="Z962" s="9" t="str">
        <f>IFERROR(__xludf.DUMMYFUNCTION("""COMPUTED_VALUE"""),"Lindale Park, Near Northside, Northside, Woodland Heights")</f>
        <v>Lindale Park, Near Northside, Northside, Woodland Heights</v>
      </c>
      <c r="AA962" s="9" t="str">
        <f>IFERROR(__xludf.DUMMYFUNCTION("""COMPUTED_VALUE"""),"Wesley Community Center")</f>
        <v>Wesley Community Center</v>
      </c>
      <c r="AB962" s="9" t="str">
        <f>IFERROR(__xludf.DUMMYFUNCTION("""COMPUTED_VALUE"""),"Northside")</f>
        <v>Northside</v>
      </c>
    </row>
    <row r="963" ht="30.0" customHeight="1">
      <c r="A963" s="17">
        <v>962.0</v>
      </c>
      <c r="B963" s="8" t="str">
        <f>IFERROR(__xludf.DUMMYFUNCTION("""COMPUTED_VALUE"""),"[""99999""]")</f>
        <v>["99999"]</v>
      </c>
      <c r="C963" s="9" t="str">
        <f>IFERROR(__xludf.DUMMYFUNCTION("""COMPUTED_VALUE"""),"Wesley Community Center")</f>
        <v>Wesley Community Center</v>
      </c>
      <c r="D963" s="9" t="str">
        <f>IFERROR(__xludf.DUMMYFUNCTION("""COMPUTED_VALUE"""),"1410 Lee Street")</f>
        <v>1410 Lee Street</v>
      </c>
      <c r="E963" s="9"/>
      <c r="F963" s="9" t="str">
        <f>IFERROR(__xludf.DUMMYFUNCTION("""COMPUTED_VALUE"""),"Houston")</f>
        <v>Houston</v>
      </c>
      <c r="G963" s="9" t="str">
        <f>IFERROR(__xludf.DUMMYFUNCTION("""COMPUTED_VALUE"""),"TX")</f>
        <v>TX</v>
      </c>
      <c r="H963" s="9" t="str">
        <f>IFERROR(__xludf.DUMMYFUNCTION("""COMPUTED_VALUE"""),"77009")</f>
        <v>77009</v>
      </c>
      <c r="I963" s="9" t="str">
        <f>IFERROR(__xludf.DUMMYFUNCTION("""COMPUTED_VALUE"""),"713-236-8131")</f>
        <v>713-236-8131</v>
      </c>
      <c r="J963" s="9" t="str">
        <f>IFERROR(__xludf.DUMMYFUNCTION("""COMPUTED_VALUE"""),"29.7813413061225, -95.3536578979592")</f>
        <v>29.7813413061225, -95.3536578979592</v>
      </c>
      <c r="K963" s="9" t="str">
        <f>IFERROR(__xludf.DUMMYFUNCTION("""COMPUTED_VALUE"""),"{""regular"":[{""days"":[""Mo"",""Tu"",""We"",""Th"",""Fr""],""open"":""08:00"",""close"":""17:00""}]}")</f>
        <v>{"regular":[{"days":["Mo","Tu","We","Th","Fr"],"open":"08:00","close":"17:00"}]}</v>
      </c>
      <c r="L963" s="9"/>
      <c r="M963" s="10">
        <f>IFERROR(__xludf.DUMMYFUNCTION("""COMPUTED_VALUE"""),35.0)</f>
        <v>35</v>
      </c>
      <c r="N963" s="10" t="str">
        <f>IFERROR(__xludf.DUMMYFUNCTION("""COMPUTED_VALUE"""),"Medical - Program Enrollment")</f>
        <v>Medical - Program Enrollment</v>
      </c>
      <c r="O963" s="10">
        <f>IFERROR(__xludf.DUMMYFUNCTION("""COMPUTED_VALUE"""),1.0)</f>
        <v>1</v>
      </c>
      <c r="P963" s="10" t="str">
        <f>IFERROR(__xludf.DUMMYFUNCTION("""COMPUTED_VALUE"""),"ACTIVE")</f>
        <v>ACTIVE</v>
      </c>
      <c r="Q963" s="11">
        <f>IFERROR(__xludf.DUMMYFUNCTION("""COMPUTED_VALUE"""),46086.0)</f>
        <v>46086</v>
      </c>
      <c r="R963" s="9" t="str">
        <f>IFERROR(__xludf.DUMMYFUNCTION("""COMPUTED_VALUE"""),"Verified online")</f>
        <v>Verified online</v>
      </c>
      <c r="S963" s="9" t="str">
        <f>IFERROR(__xludf.DUMMYFUNCTION("""COMPUTED_VALUE"""),"TX Health &amp; Human Services Level 3 Community Partner. Help with enrollment, document uploads, benefit renewals and case management.")</f>
        <v>TX Health &amp; Human Services Level 3 Community Partner. Help with enrollment, document uploads, benefit renewals and case management.</v>
      </c>
      <c r="T963" s="12" t="b">
        <f>IFERROR(__xludf.DUMMYFUNCTION("""COMPUTED_VALUE"""),FALSE)</f>
        <v>0</v>
      </c>
      <c r="U963" s="12" t="b">
        <f>IFERROR(__xludf.DUMMYFUNCTION("""COMPUTED_VALUE"""),FALSE)</f>
        <v>0</v>
      </c>
      <c r="V963" s="13" t="str">
        <f>IFERROR(__xludf.DUMMYFUNCTION("""COMPUTED_VALUE"""),"https://wesleyhousehouston.org/adult-family-services/")</f>
        <v>https://wesleyhousehouston.org/adult-family-services/</v>
      </c>
      <c r="W963" s="14" t="str">
        <f>IFERROR(__xludf.DUMMYFUNCTION("""COMPUTED_VALUE"""),"https://maps.google.com/?q=Wesley%20Community%20Center%201410%20Lee%20St%20Houston%20TX%2077009")</f>
        <v>https://maps.google.com/?q=Wesley%20Community%20Center%201410%20Lee%20St%20Houston%20TX%2077009</v>
      </c>
      <c r="X963" s="10"/>
      <c r="Y963" s="9" t="str">
        <f>IFERROR(__xludf.DUMMYFUNCTION("""COMPUTED_VALUE"""),"Houston")</f>
        <v>Houston</v>
      </c>
      <c r="Z963" s="9" t="str">
        <f>IFERROR(__xludf.DUMMYFUNCTION("""COMPUTED_VALUE"""),"Lindale Park, Near Northside, Northside, Woodland Heights")</f>
        <v>Lindale Park, Near Northside, Northside, Woodland Heights</v>
      </c>
      <c r="AA963" s="9" t="str">
        <f>IFERROR(__xludf.DUMMYFUNCTION("""COMPUTED_VALUE"""),"Wesley Community Center")</f>
        <v>Wesley Community Center</v>
      </c>
      <c r="AB963" s="9" t="str">
        <f>IFERROR(__xludf.DUMMYFUNCTION("""COMPUTED_VALUE"""),"Northside")</f>
        <v>Northside</v>
      </c>
    </row>
    <row r="964" ht="30.0" customHeight="1">
      <c r="A964" s="17">
        <v>963.0</v>
      </c>
      <c r="B964" s="8" t="str">
        <f>IFERROR(__xludf.DUMMYFUNCTION("""COMPUTED_VALUE"""),"[""99999""]")</f>
        <v>["99999"]</v>
      </c>
      <c r="C964" s="9" t="str">
        <f>IFERROR(__xludf.DUMMYFUNCTION("""COMPUTED_VALUE"""),"Wesley Community Center")</f>
        <v>Wesley Community Center</v>
      </c>
      <c r="D964" s="9" t="str">
        <f>IFERROR(__xludf.DUMMYFUNCTION("""COMPUTED_VALUE"""),"1410 Lee Street")</f>
        <v>1410 Lee Street</v>
      </c>
      <c r="E964" s="9"/>
      <c r="F964" s="9" t="str">
        <f>IFERROR(__xludf.DUMMYFUNCTION("""COMPUTED_VALUE"""),"Houston")</f>
        <v>Houston</v>
      </c>
      <c r="G964" s="9" t="str">
        <f>IFERROR(__xludf.DUMMYFUNCTION("""COMPUTED_VALUE"""),"TX")</f>
        <v>TX</v>
      </c>
      <c r="H964" s="9" t="str">
        <f>IFERROR(__xludf.DUMMYFUNCTION("""COMPUTED_VALUE"""),"77009")</f>
        <v>77009</v>
      </c>
      <c r="I964" s="9" t="str">
        <f>IFERROR(__xludf.DUMMYFUNCTION("""COMPUTED_VALUE"""),"713-821-8994")</f>
        <v>713-821-8994</v>
      </c>
      <c r="J964" s="9" t="str">
        <f>IFERROR(__xludf.DUMMYFUNCTION("""COMPUTED_VALUE"""),"29.7813413061225, -95.3536578979592")</f>
        <v>29.7813413061225, -95.3536578979592</v>
      </c>
      <c r="K964" s="9" t="str">
        <f>IFERROR(__xludf.DUMMYFUNCTION("""COMPUTED_VALUE"""),"{""regular"":[{""days"":[""Mo"",""Tu"",""We"",""Th"",""Fr""],""open"":""07:30"",""close"":""17:30""}]}")</f>
        <v>{"regular":[{"days":["Mo","Tu","We","Th","Fr"],"open":"07:30","close":"17:30"}]}</v>
      </c>
      <c r="L964" s="9" t="str">
        <f>IFERROR(__xludf.DUMMYFUNCTION("""COMPUTED_VALUE"""),"Head Start")</f>
        <v>Head Start</v>
      </c>
      <c r="M964" s="10">
        <f>IFERROR(__xludf.DUMMYFUNCTION("""COMPUTED_VALUE"""),44.0)</f>
        <v>44</v>
      </c>
      <c r="N964" s="10" t="str">
        <f>IFERROR(__xludf.DUMMYFUNCTION("""COMPUTED_VALUE"""),"Mother &amp; Child")</f>
        <v>Mother &amp; Child</v>
      </c>
      <c r="O964" s="10">
        <f>IFERROR(__xludf.DUMMYFUNCTION("""COMPUTED_VALUE"""),1.0)</f>
        <v>1</v>
      </c>
      <c r="P964" s="10" t="str">
        <f>IFERROR(__xludf.DUMMYFUNCTION("""COMPUTED_VALUE"""),"ACTIVE")</f>
        <v>ACTIVE</v>
      </c>
      <c r="Q964" s="11">
        <f>IFERROR(__xludf.DUMMYFUNCTION("""COMPUTED_VALUE"""),46086.0)</f>
        <v>46086</v>
      </c>
      <c r="R964" s="9" t="str">
        <f>IFERROR(__xludf.DUMMYFUNCTION("""COMPUTED_VALUE"""),"Verified online")</f>
        <v>Verified online</v>
      </c>
      <c r="S964" s="9" t="str">
        <f>IFERROR(__xludf.DUMMYFUNCTION("""COMPUTED_VALUE"""),"Childcare
This is for Head Start only, children aged 6 weeks to 3 years.
Income, age and zip code restrictions.
No cost to participate.
Need proof of income and age, Texas Assistance, shot records and physician statement of health.")</f>
        <v>Childcare
This is for Head Start only, children aged 6 weeks to 3 years.
Income, age and zip code restrictions.
No cost to participate.
Need proof of income and age, Texas Assistance, shot records and physician statement of health.</v>
      </c>
      <c r="T964" s="12" t="b">
        <f>IFERROR(__xludf.DUMMYFUNCTION("""COMPUTED_VALUE"""),FALSE)</f>
        <v>0</v>
      </c>
      <c r="U964" s="12" t="b">
        <f>IFERROR(__xludf.DUMMYFUNCTION("""COMPUTED_VALUE"""),FALSE)</f>
        <v>0</v>
      </c>
      <c r="V964" s="13" t="str">
        <f>IFERROR(__xludf.DUMMYFUNCTION("""COMPUTED_VALUE"""),"https://wesleyhousehouston.org/early-childhood-education/")</f>
        <v>https://wesleyhousehouston.org/early-childhood-education/</v>
      </c>
      <c r="W964" s="14" t="str">
        <f>IFERROR(__xludf.DUMMYFUNCTION("""COMPUTED_VALUE"""),"https://maps.google.com/?q=Wesley%20Community%20Center%201410%20Lee%20St%20Houston%20TX%2077009")</f>
        <v>https://maps.google.com/?q=Wesley%20Community%20Center%201410%20Lee%20St%20Houston%20TX%2077009</v>
      </c>
      <c r="X964" s="10"/>
      <c r="Y964" s="9" t="str">
        <f>IFERROR(__xludf.DUMMYFUNCTION("""COMPUTED_VALUE"""),"Houston")</f>
        <v>Houston</v>
      </c>
      <c r="Z964" s="9" t="str">
        <f>IFERROR(__xludf.DUMMYFUNCTION("""COMPUTED_VALUE"""),"Lindale Park, Near Northside, Northside, Woodland Heights")</f>
        <v>Lindale Park, Near Northside, Northside, Woodland Heights</v>
      </c>
      <c r="AA964" s="9" t="str">
        <f>IFERROR(__xludf.DUMMYFUNCTION("""COMPUTED_VALUE"""),"Wesley Community Center")</f>
        <v>Wesley Community Center</v>
      </c>
      <c r="AB964" s="9" t="str">
        <f>IFERROR(__xludf.DUMMYFUNCTION("""COMPUTED_VALUE"""),"Northside")</f>
        <v>Northside</v>
      </c>
    </row>
    <row r="965" ht="30.0" customHeight="1">
      <c r="A965" s="17">
        <v>964.0</v>
      </c>
      <c r="B965" s="8" t="str">
        <f>IFERROR(__xludf.DUMMYFUNCTION("""COMPUTED_VALUE"""),"[""99999""]")</f>
        <v>["99999"]</v>
      </c>
      <c r="C965" s="9" t="str">
        <f>IFERROR(__xludf.DUMMYFUNCTION("""COMPUTED_VALUE"""),"Wesley Community Center")</f>
        <v>Wesley Community Center</v>
      </c>
      <c r="D965" s="9" t="str">
        <f>IFERROR(__xludf.DUMMYFUNCTION("""COMPUTED_VALUE"""),"1410 Lee Street")</f>
        <v>1410 Lee Street</v>
      </c>
      <c r="E965" s="9"/>
      <c r="F965" s="9" t="str">
        <f>IFERROR(__xludf.DUMMYFUNCTION("""COMPUTED_VALUE"""),"Houston")</f>
        <v>Houston</v>
      </c>
      <c r="G965" s="9" t="str">
        <f>IFERROR(__xludf.DUMMYFUNCTION("""COMPUTED_VALUE"""),"TX")</f>
        <v>TX</v>
      </c>
      <c r="H965" s="9" t="str">
        <f>IFERROR(__xludf.DUMMYFUNCTION("""COMPUTED_VALUE"""),"77009")</f>
        <v>77009</v>
      </c>
      <c r="I965" s="9" t="str">
        <f>IFERROR(__xludf.DUMMYFUNCTION("""COMPUTED_VALUE""")," 713-821-8925 (Pre-K)")</f>
        <v> 713-821-8925 (Pre-K)</v>
      </c>
      <c r="J965" s="9" t="str">
        <f>IFERROR(__xludf.DUMMYFUNCTION("""COMPUTED_VALUE"""),"29.7813413061225, -95.3536578979592")</f>
        <v>29.7813413061225, -95.3536578979592</v>
      </c>
      <c r="K965" s="9" t="str">
        <f>IFERROR(__xludf.DUMMYFUNCTION("""COMPUTED_VALUE"""),"{""regular"":[{""days"":[""Mo"",""Tu"",""We"",""Th"",""Fr""],""open"":""07:30"",""close"":""17:30""}]}")</f>
        <v>{"regular":[{"days":["Mo","Tu","We","Th","Fr"],"open":"07:30","close":"17:30"}]}</v>
      </c>
      <c r="L965" s="9" t="str">
        <f>IFERROR(__xludf.DUMMYFUNCTION("""COMPUTED_VALUE"""),"Pre-K")</f>
        <v>Pre-K</v>
      </c>
      <c r="M965" s="10">
        <f>IFERROR(__xludf.DUMMYFUNCTION("""COMPUTED_VALUE"""),44.0)</f>
        <v>44</v>
      </c>
      <c r="N965" s="10" t="str">
        <f>IFERROR(__xludf.DUMMYFUNCTION("""COMPUTED_VALUE"""),"Mother &amp; Child")</f>
        <v>Mother &amp; Child</v>
      </c>
      <c r="O965" s="10">
        <f>IFERROR(__xludf.DUMMYFUNCTION("""COMPUTED_VALUE"""),1.0)</f>
        <v>1</v>
      </c>
      <c r="P965" s="10" t="str">
        <f>IFERROR(__xludf.DUMMYFUNCTION("""COMPUTED_VALUE"""),"ACTIVE")</f>
        <v>ACTIVE</v>
      </c>
      <c r="Q965" s="11">
        <f>IFERROR(__xludf.DUMMYFUNCTION("""COMPUTED_VALUE"""),46086.0)</f>
        <v>46086</v>
      </c>
      <c r="R965" s="9" t="str">
        <f>IFERROR(__xludf.DUMMYFUNCTION("""COMPUTED_VALUE"""),"Verified online")</f>
        <v>Verified online</v>
      </c>
      <c r="S965" s="9" t="str">
        <f>IFERROR(__xludf.DUMMYFUNCTION("""COMPUTED_VALUE"""),"Childcare
This is for Pre-K only, children aged from 2 1/2 to 5 years.
All zip codes.  There is a cost but is is sliding scale, income-based.
Need valid ID for parents, birth certificate for children, proof of income, Texas Assistance, shot record and phy"&amp;"sician statement of health")</f>
        <v>Childcare
This is for Pre-K only, children aged from 2 1/2 to 5 years.
All zip codes.  There is a cost but is is sliding scale, income-based.
Need valid ID for parents, birth certificate for children, proof of income, Texas Assistance, shot record and physician statement of health</v>
      </c>
      <c r="T965" s="12" t="b">
        <f>IFERROR(__xludf.DUMMYFUNCTION("""COMPUTED_VALUE"""),FALSE)</f>
        <v>0</v>
      </c>
      <c r="U965" s="12" t="b">
        <f>IFERROR(__xludf.DUMMYFUNCTION("""COMPUTED_VALUE"""),FALSE)</f>
        <v>0</v>
      </c>
      <c r="V965" s="13" t="str">
        <f>IFERROR(__xludf.DUMMYFUNCTION("""COMPUTED_VALUE"""),"https://wesleyhousehouston.org/early-childhood-education/")</f>
        <v>https://wesleyhousehouston.org/early-childhood-education/</v>
      </c>
      <c r="W965" s="14" t="str">
        <f>IFERROR(__xludf.DUMMYFUNCTION("""COMPUTED_VALUE"""),"https://maps.google.com/?q=Wesley%20Community%20Center%201410%20Lee%20St%20Houston%20TX%2077009")</f>
        <v>https://maps.google.com/?q=Wesley%20Community%20Center%201410%20Lee%20St%20Houston%20TX%2077009</v>
      </c>
      <c r="X965" s="10"/>
      <c r="Y965" s="9" t="str">
        <f>IFERROR(__xludf.DUMMYFUNCTION("""COMPUTED_VALUE"""),"Houston")</f>
        <v>Houston</v>
      </c>
      <c r="Z965" s="9" t="str">
        <f>IFERROR(__xludf.DUMMYFUNCTION("""COMPUTED_VALUE"""),"Lindale Park, Near Northside, Northside, Woodland Heights")</f>
        <v>Lindale Park, Near Northside, Northside, Woodland Heights</v>
      </c>
      <c r="AA965" s="9" t="str">
        <f>IFERROR(__xludf.DUMMYFUNCTION("""COMPUTED_VALUE"""),"Wesley Community Center")</f>
        <v>Wesley Community Center</v>
      </c>
      <c r="AB965" s="9" t="str">
        <f>IFERROR(__xludf.DUMMYFUNCTION("""COMPUTED_VALUE"""),"Northside")</f>
        <v>Northside</v>
      </c>
    </row>
    <row r="966" ht="30.0" customHeight="1">
      <c r="A966" s="17">
        <v>965.0</v>
      </c>
      <c r="B966" s="8" t="str">
        <f>IFERROR(__xludf.DUMMYFUNCTION("""COMPUTED_VALUE"""),"[""99999""]")</f>
        <v>["99999"]</v>
      </c>
      <c r="C966" s="9" t="str">
        <f>IFERROR(__xludf.DUMMYFUNCTION("""COMPUTED_VALUE"""),"Wesley Community Center")</f>
        <v>Wesley Community Center</v>
      </c>
      <c r="D966" s="9" t="str">
        <f>IFERROR(__xludf.DUMMYFUNCTION("""COMPUTED_VALUE"""),"1410 Lee Street")</f>
        <v>1410 Lee Street</v>
      </c>
      <c r="E966" s="9"/>
      <c r="F966" s="9" t="str">
        <f>IFERROR(__xludf.DUMMYFUNCTION("""COMPUTED_VALUE"""),"Houston")</f>
        <v>Houston</v>
      </c>
      <c r="G966" s="9" t="str">
        <f>IFERROR(__xludf.DUMMYFUNCTION("""COMPUTED_VALUE"""),"TX")</f>
        <v>TX</v>
      </c>
      <c r="H966" s="9" t="str">
        <f>IFERROR(__xludf.DUMMYFUNCTION("""COMPUTED_VALUE"""),"77009")</f>
        <v>77009</v>
      </c>
      <c r="I966" s="9" t="str">
        <f>IFERROR(__xludf.DUMMYFUNCTION("""COMPUTED_VALUE"""),"346-327-8573")</f>
        <v>346-327-8573</v>
      </c>
      <c r="J966" s="9" t="str">
        <f>IFERROR(__xludf.DUMMYFUNCTION("""COMPUTED_VALUE"""),"29.7813413061225, -95.3536578979592")</f>
        <v>29.7813413061225, -95.3536578979592</v>
      </c>
      <c r="K966" s="9" t="str">
        <f>IFERROR(__xludf.DUMMYFUNCTION("""COMPUTED_VALUE"""),"{""regular"":[{""days"":[""Mo"",""Tu"",""We"",""Th"",""Fr""],""open"":""08:00"",""close"":""13:00""}]}")</f>
        <v>{"regular":[{"days":["Mo","Tu","We","Th","Fr"],"open":"08:00","close":"13:00"}]}</v>
      </c>
      <c r="L966" s="9"/>
      <c r="M966" s="10">
        <f>IFERROR(__xludf.DUMMYFUNCTION("""COMPUTED_VALUE"""),61.0)</f>
        <v>61</v>
      </c>
      <c r="N966" s="10" t="str">
        <f>IFERROR(__xludf.DUMMYFUNCTION("""COMPUTED_VALUE"""),"Seniors")</f>
        <v>Seniors</v>
      </c>
      <c r="O966" s="10">
        <f>IFERROR(__xludf.DUMMYFUNCTION("""COMPUTED_VALUE"""),1.0)</f>
        <v>1</v>
      </c>
      <c r="P966" s="10" t="str">
        <f>IFERROR(__xludf.DUMMYFUNCTION("""COMPUTED_VALUE"""),"ACTIVE")</f>
        <v>ACTIVE</v>
      </c>
      <c r="Q966" s="11">
        <f>IFERROR(__xludf.DUMMYFUNCTION("""COMPUTED_VALUE"""),46086.0)</f>
        <v>46086</v>
      </c>
      <c r="R966" s="9" t="str">
        <f>IFERROR(__xludf.DUMMYFUNCTION("""COMPUTED_VALUE"""),"Verified online")</f>
        <v>Verified online</v>
      </c>
      <c r="S966" s="9" t="str">
        <f>IFERROR(__xludf.DUMMYFUNCTION("""COMPUTED_VALUE"""),"Seniors 60+ years of age.  Must complete application and renew every October.
No cost to participate.
Valid ID required.
Daily (Mo-Fr) hot meals (Breakfast &amp; Lunch).
Social events, physical fitness, art classes and other activities.")</f>
        <v>Seniors 60+ years of age.  Must complete application and renew every October.
No cost to participate.
Valid ID required.
Daily (Mo-Fr) hot meals (Breakfast &amp; Lunch).
Social events, physical fitness, art classes and other activities.</v>
      </c>
      <c r="T966" s="12" t="b">
        <f>IFERROR(__xludf.DUMMYFUNCTION("""COMPUTED_VALUE"""),FALSE)</f>
        <v>0</v>
      </c>
      <c r="U966" s="12" t="b">
        <f>IFERROR(__xludf.DUMMYFUNCTION("""COMPUTED_VALUE"""),FALSE)</f>
        <v>0</v>
      </c>
      <c r="V966" s="13" t="str">
        <f>IFERROR(__xludf.DUMMYFUNCTION("""COMPUTED_VALUE"""),"https://wesleyhousehouston.org/senior-services/")</f>
        <v>https://wesleyhousehouston.org/senior-services/</v>
      </c>
      <c r="W966" s="14" t="str">
        <f>IFERROR(__xludf.DUMMYFUNCTION("""COMPUTED_VALUE"""),"https://maps.google.com/?q=Wesley%20Community%20Center%201410%20Lee%20St%20Houston%20TX%2077009")</f>
        <v>https://maps.google.com/?q=Wesley%20Community%20Center%201410%20Lee%20St%20Houston%20TX%2077009</v>
      </c>
      <c r="X966" s="10"/>
      <c r="Y966" s="9" t="str">
        <f>IFERROR(__xludf.DUMMYFUNCTION("""COMPUTED_VALUE"""),"Houston")</f>
        <v>Houston</v>
      </c>
      <c r="Z966" s="9" t="str">
        <f>IFERROR(__xludf.DUMMYFUNCTION("""COMPUTED_VALUE"""),"Lindale Park, Near Northside, Northside, Woodland Heights")</f>
        <v>Lindale Park, Near Northside, Northside, Woodland Heights</v>
      </c>
      <c r="AA966" s="9" t="str">
        <f>IFERROR(__xludf.DUMMYFUNCTION("""COMPUTED_VALUE"""),"Wesley Community Center")</f>
        <v>Wesley Community Center</v>
      </c>
      <c r="AB966" s="9" t="str">
        <f>IFERROR(__xludf.DUMMYFUNCTION("""COMPUTED_VALUE"""),"Northside")</f>
        <v>Northside</v>
      </c>
    </row>
    <row r="967" ht="30.0" customHeight="1">
      <c r="A967" s="17">
        <v>966.0</v>
      </c>
      <c r="B967" s="8" t="str">
        <f>IFERROR(__xludf.DUMMYFUNCTION("""COMPUTED_VALUE"""),"[""77002"",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C967" s="9" t="str">
        <f>IFERROR(__xludf.DUMMYFUNCTION("""COMPUTED_VALUE"""),"West End Multi-Service Center")</f>
        <v>West End Multi-Service Center</v>
      </c>
      <c r="D967" s="9" t="str">
        <f>IFERROR(__xludf.DUMMYFUNCTION("""COMPUTED_VALUE"""),"170 Heights Blvd")</f>
        <v>170 Heights Blvd</v>
      </c>
      <c r="E967" s="9"/>
      <c r="F967" s="9" t="str">
        <f>IFERROR(__xludf.DUMMYFUNCTION("""COMPUTED_VALUE"""),"Houston")</f>
        <v>Houston</v>
      </c>
      <c r="G967" s="9" t="str">
        <f>IFERROR(__xludf.DUMMYFUNCTION("""COMPUTED_VALUE"""),"TX")</f>
        <v>TX</v>
      </c>
      <c r="H967" s="9" t="str">
        <f>IFERROR(__xludf.DUMMYFUNCTION("""COMPUTED_VALUE"""),"77007")</f>
        <v>77007</v>
      </c>
      <c r="I967" s="9" t="str">
        <f>IFERROR(__xludf.DUMMYFUNCTION("""COMPUTED_VALUE"""),"713-868-1555")</f>
        <v>713-868-1555</v>
      </c>
      <c r="J967" s="9" t="str">
        <f>IFERROR(__xludf.DUMMYFUNCTION("""COMPUTED_VALUE"""),"29.772766053889406, -95.39675563676566")</f>
        <v>29.772766053889406, -95.39675563676566</v>
      </c>
      <c r="K967" s="9" t="str">
        <f>IFERROR(__xludf.DUMMYFUNCTION("""COMPUTED_VALUE"""),"{""regular"":[{""days"":[""Mo"",""Tu"",""We"",""Th"",""Fr""],""open"":""07:00"",""close"":""18:00""}]}")</f>
        <v>{"regular":[{"days":["Mo","Tu","We","Th","Fr"],"open":"07:00","close":"18:00"}]}</v>
      </c>
      <c r="L967" s="9"/>
      <c r="M967" s="10">
        <f>IFERROR(__xludf.DUMMYFUNCTION("""COMPUTED_VALUE"""),44.0)</f>
        <v>44</v>
      </c>
      <c r="N967" s="10" t="str">
        <f>IFERROR(__xludf.DUMMYFUNCTION("""COMPUTED_VALUE"""),"Mother &amp; Child")</f>
        <v>Mother &amp; Child</v>
      </c>
      <c r="O967" s="10">
        <f>IFERROR(__xludf.DUMMYFUNCTION("""COMPUTED_VALUE"""),1.0)</f>
        <v>1</v>
      </c>
      <c r="P967" s="10" t="str">
        <f>IFERROR(__xludf.DUMMYFUNCTION("""COMPUTED_VALUE"""),"ACTIVE")</f>
        <v>ACTIVE</v>
      </c>
      <c r="Q967" s="11">
        <f>IFERROR(__xludf.DUMMYFUNCTION("""COMPUTED_VALUE"""),46057.0)</f>
        <v>46057</v>
      </c>
      <c r="R967" s="9" t="str">
        <f>IFERROR(__xludf.DUMMYFUNCTION("""COMPUTED_VALUE"""),"Verified online")</f>
        <v>Verified online</v>
      </c>
      <c r="S967" s="9" t="str">
        <f>IFERROR(__xludf.DUMMYFUNCTION("""COMPUTED_VALUE"""),"Childcare
Provided by the Child Care Council of Greater Houston for children six months to five years of age.")</f>
        <v>Childcare
Provided by the Child Care Council of Greater Houston for children six months to five years of age.</v>
      </c>
      <c r="T967" s="12" t="b">
        <f>IFERROR(__xludf.DUMMYFUNCTION("""COMPUTED_VALUE"""),FALSE)</f>
        <v>0</v>
      </c>
      <c r="U967" s="12" t="b">
        <f>IFERROR(__xludf.DUMMYFUNCTION("""COMPUTED_VALUE"""),FALSE)</f>
        <v>0</v>
      </c>
      <c r="V967" s="13" t="str">
        <f>IFERROR(__xludf.DUMMYFUNCTION("""COMPUTED_VALUE"""),"https://www.houstonhealth.org/services/multi-service-centers/west-end-multi-service-center")</f>
        <v>https://www.houstonhealth.org/services/multi-service-centers/west-end-multi-service-center</v>
      </c>
      <c r="W967" s="14" t="str">
        <f>IFERROR(__xludf.DUMMYFUNCTION("""COMPUTED_VALUE"""),"https://www.google.com/maps/place/West+End+Multi-Service+Center/@29.7725472,-95.399352,17z/data=!3m1!4b1!4m6!3m5!1s0x8640c754d9f4837f:0x21762eef026d572!8m2!3d29.7725426!4d-95.3967771!16s%2Fg%2F11b70dhgp4?entry=ttu&amp;g_ep=EgoyMDI2MDIwMS4wIKXMDSoKLDEwMDc5MjA2"&amp;"OUgBUAM%3D")</f>
        <v>https://www.google.com/maps/place/West+End+Multi-Service+Center/@29.7725472,-95.399352,17z/data=!3m1!4b1!4m6!3m5!1s0x8640c754d9f4837f:0x21762eef026d572!8m2!3d29.7725426!4d-95.3967771!16s%2Fg%2F11b70dhgp4?entry=ttu&amp;g_ep=EgoyMDI2MDIwMS4wIKXMDSoKLDEwMDc5MjA2OUgBUAM%3D</v>
      </c>
      <c r="X967" s="10"/>
      <c r="Y967" s="9" t="str">
        <f>IFERROR(__xludf.DUMMYFUNCTION("""COMPUTED_VALUE"""),"Houston")</f>
        <v>Houston</v>
      </c>
      <c r="Z967" s="9" t="str">
        <f>IFERROR(__xludf.DUMMYFUNCTION("""COMPUTED_VALUE"""),"Downtown Houston, Memorial Park, Rice Military, Sawyer Heights, Washington Avenue Coalition / Memorial Park, Washington Corridor")</f>
        <v>Downtown Houston, Memorial Park, Rice Military, Sawyer Heights, Washington Avenue Coalition / Memorial Park, Washington Corridor</v>
      </c>
      <c r="AA967" s="9" t="str">
        <f>IFERROR(__xludf.DUMMYFUNCTION("""COMPUTED_VALUE"""),"City of Houston")</f>
        <v>City of Houston</v>
      </c>
      <c r="AB967" s="9" t="str">
        <f>IFERROR(__xludf.DUMMYFUNCTION("""COMPUTED_VALUE"""),"Washington Avenue Coalition / Memorial Park")</f>
        <v>Washington Avenue Coalition / Memorial Park</v>
      </c>
    </row>
    <row r="968" ht="30.0" customHeight="1">
      <c r="A968" s="17">
        <v>967.0</v>
      </c>
      <c r="B968" s="8" t="str">
        <f>IFERROR(__xludf.DUMMYFUNCTION("""COMPUTED_VALUE"""),"[""77036"", ""77042"", ""77057"", ""77063"", ""77072"", ""77077"", ""77082"", ""77083"", ""77099""]")</f>
        <v>["77036", "77042", "77057", "77063", "77072", "77077", "77082", "77083", "77099"]</v>
      </c>
      <c r="C968" s="9" t="str">
        <f>IFERROR(__xludf.DUMMYFUNCTION("""COMPUTED_VALUE"""),"West Houston Assistance Ministries (WHAM)")</f>
        <v>West Houston Assistance Ministries (WHAM)</v>
      </c>
      <c r="D968" s="9" t="str">
        <f>IFERROR(__xludf.DUMMYFUNCTION("""COMPUTED_VALUE"""),"10501 Meadowglen Lane")</f>
        <v>10501 Meadowglen Lane</v>
      </c>
      <c r="E968" s="9"/>
      <c r="F968" s="9" t="str">
        <f>IFERROR(__xludf.DUMMYFUNCTION("""COMPUTED_VALUE"""),"Houston")</f>
        <v>Houston</v>
      </c>
      <c r="G968" s="9" t="str">
        <f>IFERROR(__xludf.DUMMYFUNCTION("""COMPUTED_VALUE"""),"TX")</f>
        <v>TX</v>
      </c>
      <c r="H968" s="9" t="str">
        <f>IFERROR(__xludf.DUMMYFUNCTION("""COMPUTED_VALUE"""),"77042")</f>
        <v>77042</v>
      </c>
      <c r="I968" s="9" t="str">
        <f>IFERROR(__xludf.DUMMYFUNCTION("""COMPUTED_VALUE"""),"713-780-2727 Ext 200")</f>
        <v>713-780-2727 Ext 200</v>
      </c>
      <c r="J968" s="9" t="str">
        <f>IFERROR(__xludf.DUMMYFUNCTION("""COMPUTED_VALUE"""),"29.731124, -95.56153")</f>
        <v>29.731124, -95.56153</v>
      </c>
      <c r="K968" s="9" t="str">
        <f>IFERROR(__xludf.DUMMYFUNCTION("""COMPUTED_VALUE"""),"{""regular"":[{""days"":[""Mo""],""open"":""10:00"",""close"":""14:00""}]}")</f>
        <v>{"regular":[{"days":["Mo"],"open":"10:00","close":"14:00"}]}</v>
      </c>
      <c r="L968" s="9" t="str">
        <f>IFERROR(__xludf.DUMMYFUNCTION("""COMPUTED_VALUE"""),"Appointment required")</f>
        <v>Appointment required</v>
      </c>
      <c r="M968" s="10">
        <f>IFERROR(__xludf.DUMMYFUNCTION("""COMPUTED_VALUE"""),11.0)</f>
        <v>11</v>
      </c>
      <c r="N968" s="10" t="str">
        <f>IFERROR(__xludf.DUMMYFUNCTION("""COMPUTED_VALUE"""),"Rent")</f>
        <v>Rent</v>
      </c>
      <c r="O968" s="10">
        <f>IFERROR(__xludf.DUMMYFUNCTION("""COMPUTED_VALUE"""),1.0)</f>
        <v>1</v>
      </c>
      <c r="P968" s="10" t="str">
        <f>IFERROR(__xludf.DUMMYFUNCTION("""COMPUTED_VALUE"""),"ACTIVE")</f>
        <v>ACTIVE</v>
      </c>
      <c r="Q968" s="11">
        <f>IFERROR(__xludf.DUMMYFUNCTION("""COMPUTED_VALUE"""),46077.0)</f>
        <v>46077</v>
      </c>
      <c r="R968" s="9" t="str">
        <f>IFERROR(__xludf.DUMMYFUNCTION("""COMPUTED_VALUE"""),"Verified online")</f>
        <v>Verified online</v>
      </c>
      <c r="S968" s="9" t="str">
        <f>IFERROR(__xludf.DUMMYFUNCTION("""COMPUTED_VALUE"""),"Call on Monday to make appointment.  Limited number of appointments.  Stop taking calls once limit is reached.  Call back the following Monday.
In addition to rent, help with the cost of hotel
Current lease agreement.
Picture ID for all adults.
Birth or s"&amp;"hot records for under 18 year olds.
Proof of income.
Documented crisis.")</f>
        <v>Call on Monday to make appointment.  Limited number of appointments.  Stop taking calls once limit is reached.  Call back the following Monday.
In addition to rent, help with the cost of hotel
Current lease agreement.
Picture ID for all adults.
Birth or shot records for under 18 year olds.
Proof of income.
Documented crisis.</v>
      </c>
      <c r="T968" s="12" t="b">
        <f>IFERROR(__xludf.DUMMYFUNCTION("""COMPUTED_VALUE"""),FALSE)</f>
        <v>0</v>
      </c>
      <c r="U968" s="12" t="b">
        <f>IFERROR(__xludf.DUMMYFUNCTION("""COMPUTED_VALUE"""),FALSE)</f>
        <v>0</v>
      </c>
      <c r="V968" s="13" t="str">
        <f>IFERROR(__xludf.DUMMYFUNCTION("""COMPUTED_VALUE"""),"https://www.whamministries.org/")</f>
        <v>https://www.whamministries.org/</v>
      </c>
      <c r="W968" s="14" t="str">
        <f>IFERROR(__xludf.DUMMYFUNCTION("""COMPUTED_VALUE"""),"https://maps.google.com/?q=West%20Houston%20Area%20Ministries%20(WHAM)%2010501%20Meadowglen%20Lane%20Houston%20TX%2077042")</f>
        <v>https://maps.google.com/?q=West%20Houston%20Area%20Ministries%20(WHAM)%2010501%20Meadowglen%20Lane%20Houston%20TX%2077042</v>
      </c>
      <c r="X968" s="10"/>
      <c r="Y968" s="9" t="str">
        <f>IFERROR(__xludf.DUMMYFUNCTION("""COMPUTED_VALUE"""),"Houston")</f>
        <v>Houston</v>
      </c>
      <c r="Z968" s="9" t="str">
        <f>IFERROR(__xludf.DUMMYFUNCTION("""COMPUTED_VALUE"""),"Royal Oaks, Westchase, Westside")</f>
        <v>Royal Oaks, Westchase, Westside</v>
      </c>
      <c r="AA968" s="9" t="str">
        <f>IFERROR(__xludf.DUMMYFUNCTION("""COMPUTED_VALUE"""),"West Houston Assistance Ministries (WHAM)")</f>
        <v>West Houston Assistance Ministries (WHAM)</v>
      </c>
      <c r="AB968" s="9" t="str">
        <f>IFERROR(__xludf.DUMMYFUNCTION("""COMPUTED_VALUE"""),"Westside")</f>
        <v>Westside</v>
      </c>
    </row>
    <row r="969" ht="30.0" customHeight="1">
      <c r="A969" s="17">
        <v>968.0</v>
      </c>
      <c r="B969" s="8" t="str">
        <f>IFERROR(__xludf.DUMMYFUNCTION("""COMPUTED_VALUE"""),"[""77036"", ""77042"", ""77057"", ""77063"", ""77072"", ""77077"", ""77082"", ""77083"", ""77099""]")</f>
        <v>["77036", "77042", "77057", "77063", "77072", "77077", "77082", "77083", "77099"]</v>
      </c>
      <c r="C969" s="9" t="str">
        <f>IFERROR(__xludf.DUMMYFUNCTION("""COMPUTED_VALUE"""),"West Houston Assistance Ministries (WHAM)")</f>
        <v>West Houston Assistance Ministries (WHAM)</v>
      </c>
      <c r="D969" s="9" t="str">
        <f>IFERROR(__xludf.DUMMYFUNCTION("""COMPUTED_VALUE"""),"10501 Meadowglen Lane")</f>
        <v>10501 Meadowglen Lane</v>
      </c>
      <c r="E969" s="9"/>
      <c r="F969" s="9" t="str">
        <f>IFERROR(__xludf.DUMMYFUNCTION("""COMPUTED_VALUE"""),"Houston")</f>
        <v>Houston</v>
      </c>
      <c r="G969" s="9" t="str">
        <f>IFERROR(__xludf.DUMMYFUNCTION("""COMPUTED_VALUE"""),"TX")</f>
        <v>TX</v>
      </c>
      <c r="H969" s="9" t="str">
        <f>IFERROR(__xludf.DUMMYFUNCTION("""COMPUTED_VALUE"""),"77042")</f>
        <v>77042</v>
      </c>
      <c r="I969" s="9" t="str">
        <f>IFERROR(__xludf.DUMMYFUNCTION("""COMPUTED_VALUE"""),"713-780-2727 Ext 200")</f>
        <v>713-780-2727 Ext 200</v>
      </c>
      <c r="J969" s="9" t="str">
        <f>IFERROR(__xludf.DUMMYFUNCTION("""COMPUTED_VALUE"""),"29.731124, -95.56153")</f>
        <v>29.731124, -95.56153</v>
      </c>
      <c r="K969" s="9" t="str">
        <f>IFERROR(__xludf.DUMMYFUNCTION("""COMPUTED_VALUE"""),"{""regular"":[{""days"":[""Mo""],""open"":""10:00"",""close"":""14:00""}]}")</f>
        <v>{"regular":[{"days":["Mo"],"open":"10:00","close":"14:00"}]}</v>
      </c>
      <c r="L969" s="9" t="str">
        <f>IFERROR(__xludf.DUMMYFUNCTION("""COMPUTED_VALUE"""),"Appointment required")</f>
        <v>Appointment required</v>
      </c>
      <c r="M969" s="10">
        <f>IFERROR(__xludf.DUMMYFUNCTION("""COMPUTED_VALUE"""),12.0)</f>
        <v>12</v>
      </c>
      <c r="N969" s="10" t="str">
        <f>IFERROR(__xludf.DUMMYFUNCTION("""COMPUTED_VALUE"""),"Utilities")</f>
        <v>Utilities</v>
      </c>
      <c r="O969" s="10">
        <f>IFERROR(__xludf.DUMMYFUNCTION("""COMPUTED_VALUE"""),1.0)</f>
        <v>1</v>
      </c>
      <c r="P969" s="10" t="str">
        <f>IFERROR(__xludf.DUMMYFUNCTION("""COMPUTED_VALUE"""),"ACTIVE")</f>
        <v>ACTIVE</v>
      </c>
      <c r="Q969" s="11">
        <f>IFERROR(__xludf.DUMMYFUNCTION("""COMPUTED_VALUE"""),46077.0)</f>
        <v>46077</v>
      </c>
      <c r="R969" s="9" t="str">
        <f>IFERROR(__xludf.DUMMYFUNCTION("""COMPUTED_VALUE"""),"Verified online")</f>
        <v>Verified online</v>
      </c>
      <c r="S969" s="9" t="str">
        <f>IFERROR(__xludf.DUMMYFUNCTION("""COMPUTED_VALUE"""),"Call on Monday to make appointment.  Limited number of appointments.  Stop taking calls once limit is reached.  Call back the following Monday.
Current lease agreement.
Picture ID for all adults.
Birth or shot records for under 18 year olds.
Proof of inco"&amp;"me.
Documented crisis.")</f>
        <v>Call on Monday to make appointment.  Limited number of appointments.  Stop taking calls once limit is reached.  Call back the following Monday.
Current lease agreement.
Picture ID for all adults.
Birth or shot records for under 18 year olds.
Proof of income.
Documented crisis.</v>
      </c>
      <c r="T969" s="12" t="b">
        <f>IFERROR(__xludf.DUMMYFUNCTION("""COMPUTED_VALUE"""),FALSE)</f>
        <v>0</v>
      </c>
      <c r="U969" s="12" t="b">
        <f>IFERROR(__xludf.DUMMYFUNCTION("""COMPUTED_VALUE"""),FALSE)</f>
        <v>0</v>
      </c>
      <c r="V969" s="13" t="str">
        <f>IFERROR(__xludf.DUMMYFUNCTION("""COMPUTED_VALUE"""),"https://www.whamministries.org/")</f>
        <v>https://www.whamministries.org/</v>
      </c>
      <c r="W969" s="14" t="str">
        <f>IFERROR(__xludf.DUMMYFUNCTION("""COMPUTED_VALUE"""),"https://maps.google.com/?q=West%20Houston%20Area%20Ministries%20(WHAM)%2010501%20Meadowglen%20Lane%20Houston%20TX%2077042")</f>
        <v>https://maps.google.com/?q=West%20Houston%20Area%20Ministries%20(WHAM)%2010501%20Meadowglen%20Lane%20Houston%20TX%2077042</v>
      </c>
      <c r="X969" s="10"/>
      <c r="Y969" s="9" t="str">
        <f>IFERROR(__xludf.DUMMYFUNCTION("""COMPUTED_VALUE"""),"Houston")</f>
        <v>Houston</v>
      </c>
      <c r="Z969" s="9" t="str">
        <f>IFERROR(__xludf.DUMMYFUNCTION("""COMPUTED_VALUE"""),"Royal Oaks, Westchase, Westside")</f>
        <v>Royal Oaks, Westchase, Westside</v>
      </c>
      <c r="AA969" s="9" t="str">
        <f>IFERROR(__xludf.DUMMYFUNCTION("""COMPUTED_VALUE"""),"West Houston Assistance Ministries (WHAM)")</f>
        <v>West Houston Assistance Ministries (WHAM)</v>
      </c>
      <c r="AB969" s="9" t="str">
        <f>IFERROR(__xludf.DUMMYFUNCTION("""COMPUTED_VALUE"""),"Westside")</f>
        <v>Westside</v>
      </c>
    </row>
    <row r="970" ht="30.0" customHeight="1">
      <c r="A970" s="17">
        <v>969.0</v>
      </c>
      <c r="B970" s="8" t="str">
        <f>IFERROR(__xludf.DUMMYFUNCTION("""COMPUTED_VALUE"""),"[""99999""]")</f>
        <v>["99999"]</v>
      </c>
      <c r="C970" s="9" t="str">
        <f>IFERROR(__xludf.DUMMYFUNCTION("""COMPUTED_VALUE"""),"West Houston Assistance Ministries (WHAM)")</f>
        <v>West Houston Assistance Ministries (WHAM)</v>
      </c>
      <c r="D970" s="9" t="str">
        <f>IFERROR(__xludf.DUMMYFUNCTION("""COMPUTED_VALUE"""),"10501 Meadowglen Lane")</f>
        <v>10501 Meadowglen Lane</v>
      </c>
      <c r="E970" s="9"/>
      <c r="F970" s="9" t="str">
        <f>IFERROR(__xludf.DUMMYFUNCTION("""COMPUTED_VALUE"""),"Houston")</f>
        <v>Houston</v>
      </c>
      <c r="G970" s="9" t="str">
        <f>IFERROR(__xludf.DUMMYFUNCTION("""COMPUTED_VALUE"""),"TX")</f>
        <v>TX</v>
      </c>
      <c r="H970" s="9" t="str">
        <f>IFERROR(__xludf.DUMMYFUNCTION("""COMPUTED_VALUE"""),"77042")</f>
        <v>77042</v>
      </c>
      <c r="I970" s="9" t="str">
        <f>IFERROR(__xludf.DUMMYFUNCTION("""COMPUTED_VALUE"""),"713-780-2727")</f>
        <v>713-780-2727</v>
      </c>
      <c r="J970" s="9" t="str">
        <f>IFERROR(__xludf.DUMMYFUNCTION("""COMPUTED_VALUE"""),"29.731124, -95.56153")</f>
        <v>29.731124, -95.56153</v>
      </c>
      <c r="K970" s="9" t="str">
        <f>IFERROR(__xludf.DUMMYFUNCTION("""COMPUTED_VALUE"""),"{""regular"":[{""days"":[""Mo""],""open"":""09:00"",""close"":""11:00""},{""days"":[""Tu"",""We"",""Th""],""open"":""10:00"",""close"":""17:00""},{""days"":[""Fr""],""open"":""08:00"",""close"":""10:00""}],""special"":[{""pattern"":""2nd &amp; 4th Sa"",""open"&amp;""":""09:00"",""close"":""11:00""}]}")</f>
        <v>{"regular":[{"days":["Mo"],"open":"09:00","close":"11:00"},{"days":["Tu","We","Th"],"open":"10:00","close":"17:00"},{"days":["Fr"],"open":"08:00","close":"10:00"}],"special":[{"pattern":"2nd &amp; 4th Sa","open":"09:00","close":"11:00"}]}</v>
      </c>
      <c r="L970" s="9" t="str">
        <f>IFERROR(__xludf.DUMMYFUNCTION("""COMPUTED_VALUE"""),"Registration required")</f>
        <v>Registration required</v>
      </c>
      <c r="M970" s="10">
        <f>IFERROR(__xludf.DUMMYFUNCTION("""COMPUTED_VALUE"""),13.0)</f>
        <v>13</v>
      </c>
      <c r="N970" s="10" t="str">
        <f>IFERROR(__xludf.DUMMYFUNCTION("""COMPUTED_VALUE"""),"Food")</f>
        <v>Food</v>
      </c>
      <c r="O970" s="10">
        <f>IFERROR(__xludf.DUMMYFUNCTION("""COMPUTED_VALUE"""),1.0)</f>
        <v>1</v>
      </c>
      <c r="P970" s="10" t="str">
        <f>IFERROR(__xludf.DUMMYFUNCTION("""COMPUTED_VALUE"""),"ACTIVE")</f>
        <v>ACTIVE</v>
      </c>
      <c r="Q970" s="11">
        <f>IFERROR(__xludf.DUMMYFUNCTION("""COMPUTED_VALUE"""),46077.0)</f>
        <v>46077</v>
      </c>
      <c r="R970" s="9" t="str">
        <f>IFERROR(__xludf.DUMMYFUNCTION("""COMPUTED_VALUE"""),"Verified online")</f>
        <v>Verified online</v>
      </c>
      <c r="S970" s="9" t="str">
        <f>IFERROR(__xludf.DUMMYFUNCTION("""COMPUTED_VALUE"""),"Registration on Mondays on first come, first serve basis for the first 30 clients.
Tuesday, Wednesday and Thursday are by appointment.
Friday Drive-Thru no appointment needed.
Saturday Food Fair includes fresh produce, dairy and meat when available for th"&amp;"e first 250 families")</f>
        <v>Registration on Mondays on first come, first serve basis for the first 30 clients.
Tuesday, Wednesday and Thursday are by appointment.
Friday Drive-Thru no appointment needed.
Saturday Food Fair includes fresh produce, dairy and meat when available for the first 250 families</v>
      </c>
      <c r="T970" s="12" t="b">
        <f>IFERROR(__xludf.DUMMYFUNCTION("""COMPUTED_VALUE"""),FALSE)</f>
        <v>0</v>
      </c>
      <c r="U970" s="12" t="b">
        <f>IFERROR(__xludf.DUMMYFUNCTION("""COMPUTED_VALUE"""),FALSE)</f>
        <v>0</v>
      </c>
      <c r="V970" s="13" t="str">
        <f>IFERROR(__xludf.DUMMYFUNCTION("""COMPUTED_VALUE"""),"https://www.whamministries.org/")</f>
        <v>https://www.whamministries.org/</v>
      </c>
      <c r="W970" s="14" t="str">
        <f>IFERROR(__xludf.DUMMYFUNCTION("""COMPUTED_VALUE"""),"https://maps.google.com/?q=West%20Houston%20Area%20Ministries%20(WHAM)%2010501%20Meadowglen%20Lane%20Houston%20TX%2077042")</f>
        <v>https://maps.google.com/?q=West%20Houston%20Area%20Ministries%20(WHAM)%2010501%20Meadowglen%20Lane%20Houston%20TX%2077042</v>
      </c>
      <c r="X970" s="10"/>
      <c r="Y970" s="9" t="str">
        <f>IFERROR(__xludf.DUMMYFUNCTION("""COMPUTED_VALUE"""),"Houston")</f>
        <v>Houston</v>
      </c>
      <c r="Z970" s="9" t="str">
        <f>IFERROR(__xludf.DUMMYFUNCTION("""COMPUTED_VALUE"""),"Royal Oaks, Westchase, Westside")</f>
        <v>Royal Oaks, Westchase, Westside</v>
      </c>
      <c r="AA970" s="9" t="str">
        <f>IFERROR(__xludf.DUMMYFUNCTION("""COMPUTED_VALUE"""),"West Houston Assistance Ministries (WHAM)")</f>
        <v>West Houston Assistance Ministries (WHAM)</v>
      </c>
      <c r="AB970" s="9" t="str">
        <f>IFERROR(__xludf.DUMMYFUNCTION("""COMPUTED_VALUE"""),"Westside")</f>
        <v>Westside</v>
      </c>
    </row>
    <row r="971" ht="30.0" customHeight="1">
      <c r="A971" s="17">
        <v>970.0</v>
      </c>
      <c r="B971" s="8" t="str">
        <f>IFERROR(__xludf.DUMMYFUNCTION("""COMPUTED_VALUE"""),"[""77036"", ""77042"", ""77057"", ""77063"", ""77072"", ""77077"", ""77082"", ""77083"", ""77099""]")</f>
        <v>["77036", "77042", "77057", "77063", "77072", "77077", "77082", "77083", "77099"]</v>
      </c>
      <c r="C971" s="9" t="str">
        <f>IFERROR(__xludf.DUMMYFUNCTION("""COMPUTED_VALUE"""),"West Houston Assistance Ministries (WHAM)")</f>
        <v>West Houston Assistance Ministries (WHAM)</v>
      </c>
      <c r="D971" s="9" t="str">
        <f>IFERROR(__xludf.DUMMYFUNCTION("""COMPUTED_VALUE"""),"10501 Meadowglen Lane")</f>
        <v>10501 Meadowglen Lane</v>
      </c>
      <c r="E971" s="9"/>
      <c r="F971" s="9" t="str">
        <f>IFERROR(__xludf.DUMMYFUNCTION("""COMPUTED_VALUE"""),"Houston")</f>
        <v>Houston</v>
      </c>
      <c r="G971" s="9" t="str">
        <f>IFERROR(__xludf.DUMMYFUNCTION("""COMPUTED_VALUE"""),"TX")</f>
        <v>TX</v>
      </c>
      <c r="H971" s="9" t="str">
        <f>IFERROR(__xludf.DUMMYFUNCTION("""COMPUTED_VALUE"""),"77042")</f>
        <v>77042</v>
      </c>
      <c r="I971" s="9" t="str">
        <f>IFERROR(__xludf.DUMMYFUNCTION("""COMPUTED_VALUE"""),"713-780-2727")</f>
        <v>713-780-2727</v>
      </c>
      <c r="J971" s="9" t="str">
        <f>IFERROR(__xludf.DUMMYFUNCTION("""COMPUTED_VALUE"""),"29.731124, -95.56153")</f>
        <v>29.731124, -95.56153</v>
      </c>
      <c r="K971" s="9"/>
      <c r="L971" s="9" t="str">
        <f>IFERROR(__xludf.DUMMYFUNCTION("""COMPUTED_VALUE"""),"Registration required")</f>
        <v>Registration required</v>
      </c>
      <c r="M971" s="10">
        <f>IFERROR(__xludf.DUMMYFUNCTION("""COMPUTED_VALUE"""),13.0)</f>
        <v>13</v>
      </c>
      <c r="N971" s="10" t="str">
        <f>IFERROR(__xludf.DUMMYFUNCTION("""COMPUTED_VALUE"""),"Food")</f>
        <v>Food</v>
      </c>
      <c r="O971" s="10">
        <f>IFERROR(__xludf.DUMMYFUNCTION("""COMPUTED_VALUE"""),3.0)</f>
        <v>3</v>
      </c>
      <c r="P971" s="10" t="str">
        <f>IFERROR(__xludf.DUMMYFUNCTION("""COMPUTED_VALUE"""),"INACTIVE")</f>
        <v>INACTIVE</v>
      </c>
      <c r="Q971" s="11">
        <f>IFERROR(__xludf.DUMMYFUNCTION("""COMPUTED_VALUE"""),46077.0)</f>
        <v>46077</v>
      </c>
      <c r="R971" s="9" t="str">
        <f>IFERROR(__xludf.DUMMYFUNCTION("""COMPUTED_VALUE"""),"Verified online")</f>
        <v>Verified online</v>
      </c>
      <c r="S971" s="9" t="str">
        <f>IFERROR(__xludf.DUMMYFUNCTION("""COMPUTED_VALUE"""),"Waiting list is closed due to a lack of volunteers
Food and essential items for disabled and elderly, serving 40 households within a 10 mile radius of WHAM.")</f>
        <v>Waiting list is closed due to a lack of volunteers
Food and essential items for disabled and elderly, serving 40 households within a 10 mile radius of WHAM.</v>
      </c>
      <c r="T971" s="12" t="b">
        <f>IFERROR(__xludf.DUMMYFUNCTION("""COMPUTED_VALUE"""),FALSE)</f>
        <v>0</v>
      </c>
      <c r="U971" s="12" t="b">
        <f>IFERROR(__xludf.DUMMYFUNCTION("""COMPUTED_VALUE"""),FALSE)</f>
        <v>0</v>
      </c>
      <c r="V971" s="13" t="str">
        <f>IFERROR(__xludf.DUMMYFUNCTION("""COMPUTED_VALUE"""),"https://www.whamministries.org/")</f>
        <v>https://www.whamministries.org/</v>
      </c>
      <c r="W971" s="14" t="str">
        <f>IFERROR(__xludf.DUMMYFUNCTION("""COMPUTED_VALUE"""),"https://maps.google.com/?q=West%20Houston%20Area%20Ministries%20(WHAM)%2010501%20Meadowglen%20Lane%20Houston%20TX%2077042")</f>
        <v>https://maps.google.com/?q=West%20Houston%20Area%20Ministries%20(WHAM)%2010501%20Meadowglen%20Lane%20Houston%20TX%2077042</v>
      </c>
      <c r="X971" s="10"/>
      <c r="Y971" s="9" t="str">
        <f>IFERROR(__xludf.DUMMYFUNCTION("""COMPUTED_VALUE"""),"Houston")</f>
        <v>Houston</v>
      </c>
      <c r="Z971" s="9" t="str">
        <f>IFERROR(__xludf.DUMMYFUNCTION("""COMPUTED_VALUE"""),"Royal Oaks, Westchase, Westside")</f>
        <v>Royal Oaks, Westchase, Westside</v>
      </c>
      <c r="AA971" s="9" t="str">
        <f>IFERROR(__xludf.DUMMYFUNCTION("""COMPUTED_VALUE"""),"West Houston Assistance Ministries (WHAM)")</f>
        <v>West Houston Assistance Ministries (WHAM)</v>
      </c>
      <c r="AB971" s="9" t="str">
        <f>IFERROR(__xludf.DUMMYFUNCTION("""COMPUTED_VALUE"""),"Westside")</f>
        <v>Westside</v>
      </c>
    </row>
    <row r="972" ht="30.0" customHeight="1">
      <c r="A972" s="17">
        <v>971.0</v>
      </c>
      <c r="B972" s="8" t="str">
        <f>IFERROR(__xludf.DUMMYFUNCTION("""COMPUTED_VALUE"""),"[""77036"", ""77042"", ""77057"", ""77063"", ""77072"", ""77077"", ""77082"", ""77083"", ""77099""]")</f>
        <v>["77036", "77042", "77057", "77063", "77072", "77077", "77082", "77083", "77099"]</v>
      </c>
      <c r="C972" s="9" t="str">
        <f>IFERROR(__xludf.DUMMYFUNCTION("""COMPUTED_VALUE"""),"West Houston Assistance Ministries (WHAM)")</f>
        <v>West Houston Assistance Ministries (WHAM)</v>
      </c>
      <c r="D972" s="9" t="str">
        <f>IFERROR(__xludf.DUMMYFUNCTION("""COMPUTED_VALUE"""),"10501 Meadowglen Lane")</f>
        <v>10501 Meadowglen Lane</v>
      </c>
      <c r="E972" s="9"/>
      <c r="F972" s="9" t="str">
        <f>IFERROR(__xludf.DUMMYFUNCTION("""COMPUTED_VALUE"""),"Houston")</f>
        <v>Houston</v>
      </c>
      <c r="G972" s="9" t="str">
        <f>IFERROR(__xludf.DUMMYFUNCTION("""COMPUTED_VALUE"""),"TX")</f>
        <v>TX</v>
      </c>
      <c r="H972" s="9" t="str">
        <f>IFERROR(__xludf.DUMMYFUNCTION("""COMPUTED_VALUE"""),"77042")</f>
        <v>77042</v>
      </c>
      <c r="I972" s="9" t="str">
        <f>IFERROR(__xludf.DUMMYFUNCTION("""COMPUTED_VALUE"""),"713-780-2727")</f>
        <v>713-780-2727</v>
      </c>
      <c r="J972" s="9" t="str">
        <f>IFERROR(__xludf.DUMMYFUNCTION("""COMPUTED_VALUE"""),"29.731124, -95.56153")</f>
        <v>29.731124, -95.56153</v>
      </c>
      <c r="K972" s="9"/>
      <c r="L972" s="9"/>
      <c r="M972" s="10">
        <f>IFERROR(__xludf.DUMMYFUNCTION("""COMPUTED_VALUE"""),14.0)</f>
        <v>14</v>
      </c>
      <c r="N972" s="10" t="str">
        <f>IFERROR(__xludf.DUMMYFUNCTION("""COMPUTED_VALUE"""),"Clothing")</f>
        <v>Clothing</v>
      </c>
      <c r="O972" s="10">
        <f>IFERROR(__xludf.DUMMYFUNCTION("""COMPUTED_VALUE"""),3.0)</f>
        <v>3</v>
      </c>
      <c r="P972" s="10" t="str">
        <f>IFERROR(__xludf.DUMMYFUNCTION("""COMPUTED_VALUE"""),"INACTIVE")</f>
        <v>INACTIVE</v>
      </c>
      <c r="Q972" s="11">
        <f>IFERROR(__xludf.DUMMYFUNCTION("""COMPUTED_VALUE"""),46077.0)</f>
        <v>46077</v>
      </c>
      <c r="R972" s="9" t="str">
        <f>IFERROR(__xludf.DUMMYFUNCTION("""COMPUTED_VALUE"""),"Verified online")</f>
        <v>Verified online</v>
      </c>
      <c r="S972" s="9" t="str">
        <f>IFERROR(__xludf.DUMMYFUNCTION("""COMPUTED_VALUE"""),"Website no longer mentions clothing assistance or resale store.")</f>
        <v>Website no longer mentions clothing assistance or resale store.</v>
      </c>
      <c r="T972" s="12" t="b">
        <f>IFERROR(__xludf.DUMMYFUNCTION("""COMPUTED_VALUE"""),FALSE)</f>
        <v>0</v>
      </c>
      <c r="U972" s="12" t="b">
        <f>IFERROR(__xludf.DUMMYFUNCTION("""COMPUTED_VALUE"""),FALSE)</f>
        <v>0</v>
      </c>
      <c r="V972" s="13" t="str">
        <f>IFERROR(__xludf.DUMMYFUNCTION("""COMPUTED_VALUE"""),"https://www.whamministries.org/")</f>
        <v>https://www.whamministries.org/</v>
      </c>
      <c r="W972" s="14" t="str">
        <f>IFERROR(__xludf.DUMMYFUNCTION("""COMPUTED_VALUE"""),"https://maps.google.com/?q=West%20Houston%20Area%20Ministries%20(WHAM)%2010501%20Meadowglen%20Lane%20Houston%20TX%2077042")</f>
        <v>https://maps.google.com/?q=West%20Houston%20Area%20Ministries%20(WHAM)%2010501%20Meadowglen%20Lane%20Houston%20TX%2077042</v>
      </c>
      <c r="X972" s="10"/>
      <c r="Y972" s="9" t="str">
        <f>IFERROR(__xludf.DUMMYFUNCTION("""COMPUTED_VALUE"""),"Houston")</f>
        <v>Houston</v>
      </c>
      <c r="Z972" s="9" t="str">
        <f>IFERROR(__xludf.DUMMYFUNCTION("""COMPUTED_VALUE"""),"Royal Oaks, Westchase, Westside")</f>
        <v>Royal Oaks, Westchase, Westside</v>
      </c>
      <c r="AA972" s="9" t="str">
        <f>IFERROR(__xludf.DUMMYFUNCTION("""COMPUTED_VALUE"""),"West Houston Assistance Ministries (WHAM)")</f>
        <v>West Houston Assistance Ministries (WHAM)</v>
      </c>
      <c r="AB972" s="9" t="str">
        <f>IFERROR(__xludf.DUMMYFUNCTION("""COMPUTED_VALUE"""),"Westside")</f>
        <v>Westside</v>
      </c>
    </row>
    <row r="973" ht="30.0" customHeight="1">
      <c r="A973" s="17">
        <v>972.0</v>
      </c>
      <c r="B973" s="8" t="str">
        <f>IFERROR(__xludf.DUMMYFUNCTION("""COMPUTED_VALUE"""),"[""99999""]")</f>
        <v>["99999"]</v>
      </c>
      <c r="C973" s="9" t="str">
        <f>IFERROR(__xludf.DUMMYFUNCTION("""COMPUTED_VALUE"""),"West Houston Assistance Ministries (WHAM)")</f>
        <v>West Houston Assistance Ministries (WHAM)</v>
      </c>
      <c r="D973" s="9" t="str">
        <f>IFERROR(__xludf.DUMMYFUNCTION("""COMPUTED_VALUE"""),"10501 Meadowglen Lane")</f>
        <v>10501 Meadowglen Lane</v>
      </c>
      <c r="E973" s="9"/>
      <c r="F973" s="9" t="str">
        <f>IFERROR(__xludf.DUMMYFUNCTION("""COMPUTED_VALUE"""),"Houston")</f>
        <v>Houston</v>
      </c>
      <c r="G973" s="9" t="str">
        <f>IFERROR(__xludf.DUMMYFUNCTION("""COMPUTED_VALUE"""),"TX")</f>
        <v>TX</v>
      </c>
      <c r="H973" s="9" t="str">
        <f>IFERROR(__xludf.DUMMYFUNCTION("""COMPUTED_VALUE"""),"77042")</f>
        <v>77042</v>
      </c>
      <c r="I973" s="9" t="str">
        <f>IFERROR(__xludf.DUMMYFUNCTION("""COMPUTED_VALUE"""),"713-780-2727")</f>
        <v>713-780-2727</v>
      </c>
      <c r="J973" s="9" t="str">
        <f>IFERROR(__xludf.DUMMYFUNCTION("""COMPUTED_VALUE"""),"29.731124, -95.56153")</f>
        <v>29.731124, -95.56153</v>
      </c>
      <c r="K973" s="9"/>
      <c r="L973" s="9" t="str">
        <f>IFERROR(__xludf.DUMMYFUNCTION("""COMPUTED_VALUE"""),"Appointment required clientservices1@whamministries.org")</f>
        <v>Appointment required clientservices1@whamministries.org</v>
      </c>
      <c r="M973" s="10">
        <f>IFERROR(__xludf.DUMMYFUNCTION("""COMPUTED_VALUE"""),35.0)</f>
        <v>35</v>
      </c>
      <c r="N973" s="10" t="str">
        <f>IFERROR(__xludf.DUMMYFUNCTION("""COMPUTED_VALUE"""),"Medical - Program Enrollment")</f>
        <v>Medical - Program Enrollment</v>
      </c>
      <c r="O973" s="10">
        <f>IFERROR(__xludf.DUMMYFUNCTION("""COMPUTED_VALUE"""),1.0)</f>
        <v>1</v>
      </c>
      <c r="P973" s="10" t="str">
        <f>IFERROR(__xludf.DUMMYFUNCTION("""COMPUTED_VALUE"""),"ACTIVE")</f>
        <v>ACTIVE</v>
      </c>
      <c r="Q973" s="11">
        <f>IFERROR(__xludf.DUMMYFUNCTION("""COMPUTED_VALUE"""),46077.0)</f>
        <v>46077</v>
      </c>
      <c r="R973" s="9" t="str">
        <f>IFERROR(__xludf.DUMMYFUNCTION("""COMPUTED_VALUE"""),"Verified online")</f>
        <v>Verified online</v>
      </c>
      <c r="S973" s="9" t="str">
        <f>IFERROR(__xludf.DUMMYFUNCTION("""COMPUTED_VALUE"""),"Help with signing up for public benefits including SNAP, CHIP, TANF, Medicaid, Women's Health.
Schedule appointment by emailing client services 1@whamministries.org")</f>
        <v>Help with signing up for public benefits including SNAP, CHIP, TANF, Medicaid, Women's Health.
Schedule appointment by emailing client services 1@whamministries.org</v>
      </c>
      <c r="T973" s="12" t="b">
        <f>IFERROR(__xludf.DUMMYFUNCTION("""COMPUTED_VALUE"""),FALSE)</f>
        <v>0</v>
      </c>
      <c r="U973" s="12" t="b">
        <f>IFERROR(__xludf.DUMMYFUNCTION("""COMPUTED_VALUE"""),FALSE)</f>
        <v>0</v>
      </c>
      <c r="V973" s="13" t="str">
        <f>IFERROR(__xludf.DUMMYFUNCTION("""COMPUTED_VALUE"""),"https://www.whamministries.org/")</f>
        <v>https://www.whamministries.org/</v>
      </c>
      <c r="W973" s="14" t="str">
        <f>IFERROR(__xludf.DUMMYFUNCTION("""COMPUTED_VALUE"""),"https://maps.google.com/?q=West%20Houston%20Area%20Ministries%20(WHAM)%2010501%20Meadowglen%20Lane%20Houston%20TX%2077042")</f>
        <v>https://maps.google.com/?q=West%20Houston%20Area%20Ministries%20(WHAM)%2010501%20Meadowglen%20Lane%20Houston%20TX%2077042</v>
      </c>
      <c r="X973" s="10"/>
      <c r="Y973" s="9" t="str">
        <f>IFERROR(__xludf.DUMMYFUNCTION("""COMPUTED_VALUE"""),"Houston")</f>
        <v>Houston</v>
      </c>
      <c r="Z973" s="9" t="str">
        <f>IFERROR(__xludf.DUMMYFUNCTION("""COMPUTED_VALUE"""),"Royal Oaks, Westchase, Westside")</f>
        <v>Royal Oaks, Westchase, Westside</v>
      </c>
      <c r="AA973" s="9" t="str">
        <f>IFERROR(__xludf.DUMMYFUNCTION("""COMPUTED_VALUE"""),"West Houston Assistance Ministries (WHAM)")</f>
        <v>West Houston Assistance Ministries (WHAM)</v>
      </c>
      <c r="AB973" s="9" t="str">
        <f>IFERROR(__xludf.DUMMYFUNCTION("""COMPUTED_VALUE"""),"Westside")</f>
        <v>Westside</v>
      </c>
    </row>
    <row r="974" ht="30.0" customHeight="1">
      <c r="A974" s="17">
        <v>973.0</v>
      </c>
      <c r="B974" s="8" t="str">
        <f>IFERROR(__xludf.DUMMYFUNCTION("""COMPUTED_VALUE"""),"[""77036"", ""77042"", ""77057"", ""77063"", ""77072"", ""77077"", ""77082"", ""77083"", ""77099""]")</f>
        <v>["77036", "77042", "77057", "77063", "77072", "77077", "77082", "77083", "77099"]</v>
      </c>
      <c r="C974" s="9" t="str">
        <f>IFERROR(__xludf.DUMMYFUNCTION("""COMPUTED_VALUE"""),"West Houston Assistance Ministries (WHAM)")</f>
        <v>West Houston Assistance Ministries (WHAM)</v>
      </c>
      <c r="D974" s="9" t="str">
        <f>IFERROR(__xludf.DUMMYFUNCTION("""COMPUTED_VALUE"""),"10501 Meadowglen Lane")</f>
        <v>10501 Meadowglen Lane</v>
      </c>
      <c r="E974" s="9"/>
      <c r="F974" s="9" t="str">
        <f>IFERROR(__xludf.DUMMYFUNCTION("""COMPUTED_VALUE"""),"Houston")</f>
        <v>Houston</v>
      </c>
      <c r="G974" s="9" t="str">
        <f>IFERROR(__xludf.DUMMYFUNCTION("""COMPUTED_VALUE"""),"TX")</f>
        <v>TX</v>
      </c>
      <c r="H974" s="9" t="str">
        <f>IFERROR(__xludf.DUMMYFUNCTION("""COMPUTED_VALUE"""),"77042")</f>
        <v>77042</v>
      </c>
      <c r="I974" s="9" t="str">
        <f>IFERROR(__xludf.DUMMYFUNCTION("""COMPUTED_VALUE"""),"713-780-2727 Ext 200")</f>
        <v>713-780-2727 Ext 200</v>
      </c>
      <c r="J974" s="9" t="str">
        <f>IFERROR(__xludf.DUMMYFUNCTION("""COMPUTED_VALUE"""),"29.731124, -95.56153")</f>
        <v>29.731124, -95.56153</v>
      </c>
      <c r="K974" s="9" t="str">
        <f>IFERROR(__xludf.DUMMYFUNCTION("""COMPUTED_VALUE"""),"{""regular"":[{""days"":[""Mo""],""open"":""10:00"",""close"":""14:00""}]}")</f>
        <v>{"regular":[{"days":["Mo"],"open":"10:00","close":"14:00"}]}</v>
      </c>
      <c r="L974" s="9" t="str">
        <f>IFERROR(__xludf.DUMMYFUNCTION("""COMPUTED_VALUE"""),"Appointment required")</f>
        <v>Appointment required</v>
      </c>
      <c r="M974" s="10">
        <f>IFERROR(__xludf.DUMMYFUNCTION("""COMPUTED_VALUE"""),44.0)</f>
        <v>44</v>
      </c>
      <c r="N974" s="10" t="str">
        <f>IFERROR(__xludf.DUMMYFUNCTION("""COMPUTED_VALUE"""),"Mother &amp; Child")</f>
        <v>Mother &amp; Child</v>
      </c>
      <c r="O974" s="10">
        <f>IFERROR(__xludf.DUMMYFUNCTION("""COMPUTED_VALUE"""),1.0)</f>
        <v>1</v>
      </c>
      <c r="P974" s="10" t="str">
        <f>IFERROR(__xludf.DUMMYFUNCTION("""COMPUTED_VALUE"""),"ACTIVE")</f>
        <v>ACTIVE</v>
      </c>
      <c r="Q974" s="11">
        <f>IFERROR(__xludf.DUMMYFUNCTION("""COMPUTED_VALUE"""),46077.0)</f>
        <v>46077</v>
      </c>
      <c r="R974" s="9" t="str">
        <f>IFERROR(__xludf.DUMMYFUNCTION("""COMPUTED_VALUE"""),"Verified online")</f>
        <v>Verified online</v>
      </c>
      <c r="S974" s="9" t="str">
        <f>IFERROR(__xludf.DUMMYFUNCTION("""COMPUTED_VALUE"""),"Help with the cost of Childcare
Call on Monday to make appointment.  Limited number of appointments.  Stop taking calls once limit is reached.  Call back the following Monday.
Current lease agreement.
Picture ID for all adults.
Birth or shot records for u"&amp;"nder 18 year olds.
Proof of income.
Documented crisis.")</f>
        <v>Help with the cost of Childcare
Call on Monday to make appointment.  Limited number of appointments.  Stop taking calls once limit is reached.  Call back the following Monday.
Current lease agreement.
Picture ID for all adults.
Birth or shot records for under 18 year olds.
Proof of income.
Documented crisis.</v>
      </c>
      <c r="T974" s="12" t="b">
        <f>IFERROR(__xludf.DUMMYFUNCTION("""COMPUTED_VALUE"""),FALSE)</f>
        <v>0</v>
      </c>
      <c r="U974" s="12" t="b">
        <f>IFERROR(__xludf.DUMMYFUNCTION("""COMPUTED_VALUE"""),FALSE)</f>
        <v>0</v>
      </c>
      <c r="V974" s="13" t="str">
        <f>IFERROR(__xludf.DUMMYFUNCTION("""COMPUTED_VALUE"""),"https://www.whamministries.org/")</f>
        <v>https://www.whamministries.org/</v>
      </c>
      <c r="W974" s="14" t="str">
        <f>IFERROR(__xludf.DUMMYFUNCTION("""COMPUTED_VALUE"""),"https://maps.google.com/?q=West%20Houston%20Area%20Ministries%20(WHAM)%2010501%20Meadowglen%20Lane%20Houston%20TX%2077042")</f>
        <v>https://maps.google.com/?q=West%20Houston%20Area%20Ministries%20(WHAM)%2010501%20Meadowglen%20Lane%20Houston%20TX%2077042</v>
      </c>
      <c r="X974" s="10"/>
      <c r="Y974" s="9" t="str">
        <f>IFERROR(__xludf.DUMMYFUNCTION("""COMPUTED_VALUE"""),"Houston")</f>
        <v>Houston</v>
      </c>
      <c r="Z974" s="9" t="str">
        <f>IFERROR(__xludf.DUMMYFUNCTION("""COMPUTED_VALUE"""),"Royal Oaks, Westchase, Westside")</f>
        <v>Royal Oaks, Westchase, Westside</v>
      </c>
      <c r="AA974" s="9" t="str">
        <f>IFERROR(__xludf.DUMMYFUNCTION("""COMPUTED_VALUE"""),"West Houston Assistance Ministries (WHAM)")</f>
        <v>West Houston Assistance Ministries (WHAM)</v>
      </c>
      <c r="AB974" s="9" t="str">
        <f>IFERROR(__xludf.DUMMYFUNCTION("""COMPUTED_VALUE"""),"Westside")</f>
        <v>Westside</v>
      </c>
    </row>
    <row r="975" ht="30.0" customHeight="1">
      <c r="A975" s="17">
        <v>974.0</v>
      </c>
      <c r="B975" s="8" t="str">
        <f>IFERROR(__xludf.DUMMYFUNCTION("""COMPUTED_VALUE"""),"[""77036"", ""77042"", ""77057"", ""77063"", ""77072"", ""77077"", ""77082"", ""77083"", ""77099""]")</f>
        <v>["77036", "77042", "77057", "77063", "77072", "77077", "77082", "77083", "77099"]</v>
      </c>
      <c r="C975" s="9" t="str">
        <f>IFERROR(__xludf.DUMMYFUNCTION("""COMPUTED_VALUE"""),"West Houston Assistance Ministries (WHAM)")</f>
        <v>West Houston Assistance Ministries (WHAM)</v>
      </c>
      <c r="D975" s="9" t="str">
        <f>IFERROR(__xludf.DUMMYFUNCTION("""COMPUTED_VALUE"""),"10501 Meadowglen Lane")</f>
        <v>10501 Meadowglen Lane</v>
      </c>
      <c r="E975" s="9"/>
      <c r="F975" s="9" t="str">
        <f>IFERROR(__xludf.DUMMYFUNCTION("""COMPUTED_VALUE"""),"Houston")</f>
        <v>Houston</v>
      </c>
      <c r="G975" s="9" t="str">
        <f>IFERROR(__xludf.DUMMYFUNCTION("""COMPUTED_VALUE"""),"TX")</f>
        <v>TX</v>
      </c>
      <c r="H975" s="9" t="str">
        <f>IFERROR(__xludf.DUMMYFUNCTION("""COMPUTED_VALUE"""),"77042")</f>
        <v>77042</v>
      </c>
      <c r="I975" s="9" t="str">
        <f>IFERROR(__xludf.DUMMYFUNCTION("""COMPUTED_VALUE"""),"713-780-2727")</f>
        <v>713-780-2727</v>
      </c>
      <c r="J975" s="9" t="str">
        <f>IFERROR(__xludf.DUMMYFUNCTION("""COMPUTED_VALUE"""),"29.731124, -95.56153")</f>
        <v>29.731124, -95.56153</v>
      </c>
      <c r="K975" s="9"/>
      <c r="L975" s="9"/>
      <c r="M975" s="10">
        <f>IFERROR(__xludf.DUMMYFUNCTION("""COMPUTED_VALUE"""),51.0)</f>
        <v>51</v>
      </c>
      <c r="N975" s="10" t="str">
        <f>IFERROR(__xludf.DUMMYFUNCTION("""COMPUTED_VALUE"""),"Education - Adults")</f>
        <v>Education - Adults</v>
      </c>
      <c r="O975" s="10">
        <f>IFERROR(__xludf.DUMMYFUNCTION("""COMPUTED_VALUE"""),1.0)</f>
        <v>1</v>
      </c>
      <c r="P975" s="10" t="str">
        <f>IFERROR(__xludf.DUMMYFUNCTION("""COMPUTED_VALUE"""),"ACTIVE")</f>
        <v>ACTIVE</v>
      </c>
      <c r="Q975" s="11">
        <f>IFERROR(__xludf.DUMMYFUNCTION("""COMPUTED_VALUE"""),46077.0)</f>
        <v>46077</v>
      </c>
      <c r="R975" s="9" t="str">
        <f>IFERROR(__xludf.DUMMYFUNCTION("""COMPUTED_VALUE"""),"Verified online")</f>
        <v>Verified online</v>
      </c>
      <c r="S975" s="9" t="str">
        <f>IFERROR(__xludf.DUMMYFUNCTION("""COMPUTED_VALUE"""),"GED, ESL, job search, health, computer and financial classes.")</f>
        <v>GED, ESL, job search, health, computer and financial classes.</v>
      </c>
      <c r="T975" s="12" t="b">
        <f>IFERROR(__xludf.DUMMYFUNCTION("""COMPUTED_VALUE"""),FALSE)</f>
        <v>0</v>
      </c>
      <c r="U975" s="12" t="b">
        <f>IFERROR(__xludf.DUMMYFUNCTION("""COMPUTED_VALUE"""),FALSE)</f>
        <v>0</v>
      </c>
      <c r="V975" s="13" t="str">
        <f>IFERROR(__xludf.DUMMYFUNCTION("""COMPUTED_VALUE"""),"https://www.whamministries.org/")</f>
        <v>https://www.whamministries.org/</v>
      </c>
      <c r="W975" s="14" t="str">
        <f>IFERROR(__xludf.DUMMYFUNCTION("""COMPUTED_VALUE"""),"https://maps.google.com/?q=West%20Houston%20Area%20Ministries%20(WHAM)%2010501%20Meadowglen%20Lane%20Houston%20TX%2077042")</f>
        <v>https://maps.google.com/?q=West%20Houston%20Area%20Ministries%20(WHAM)%2010501%20Meadowglen%20Lane%20Houston%20TX%2077042</v>
      </c>
      <c r="X975" s="10"/>
      <c r="Y975" s="9" t="str">
        <f>IFERROR(__xludf.DUMMYFUNCTION("""COMPUTED_VALUE"""),"Houston")</f>
        <v>Houston</v>
      </c>
      <c r="Z975" s="9" t="str">
        <f>IFERROR(__xludf.DUMMYFUNCTION("""COMPUTED_VALUE"""),"Royal Oaks, Westchase, Westside")</f>
        <v>Royal Oaks, Westchase, Westside</v>
      </c>
      <c r="AA975" s="9" t="str">
        <f>IFERROR(__xludf.DUMMYFUNCTION("""COMPUTED_VALUE"""),"West Houston Assistance Ministries (WHAM)")</f>
        <v>West Houston Assistance Ministries (WHAM)</v>
      </c>
      <c r="AB975" s="9" t="str">
        <f>IFERROR(__xludf.DUMMYFUNCTION("""COMPUTED_VALUE"""),"Westside")</f>
        <v>Westside</v>
      </c>
    </row>
    <row r="976" ht="30.0" customHeight="1">
      <c r="A976" s="17">
        <v>975.0</v>
      </c>
      <c r="B976" s="8" t="str">
        <f>IFERROR(__xludf.DUMMYFUNCTION("""COMPUTED_VALUE"""),"[""77036"", ""77042"", ""77057"", ""77063"", ""77072"", ""77077"", ""77082"", ""77083"", ""77099""]")</f>
        <v>["77036", "77042", "77057", "77063", "77072", "77077", "77082", "77083", "77099"]</v>
      </c>
      <c r="C976" s="9" t="str">
        <f>IFERROR(__xludf.DUMMYFUNCTION("""COMPUTED_VALUE"""),"West Houston Assistance Ministries (WHAM)")</f>
        <v>West Houston Assistance Ministries (WHAM)</v>
      </c>
      <c r="D976" s="9" t="str">
        <f>IFERROR(__xludf.DUMMYFUNCTION("""COMPUTED_VALUE"""),"10501 Meadowglen Lane")</f>
        <v>10501 Meadowglen Lane</v>
      </c>
      <c r="E976" s="9"/>
      <c r="F976" s="9" t="str">
        <f>IFERROR(__xludf.DUMMYFUNCTION("""COMPUTED_VALUE"""),"Houston")</f>
        <v>Houston</v>
      </c>
      <c r="G976" s="9" t="str">
        <f>IFERROR(__xludf.DUMMYFUNCTION("""COMPUTED_VALUE"""),"TX")</f>
        <v>TX</v>
      </c>
      <c r="H976" s="9" t="str">
        <f>IFERROR(__xludf.DUMMYFUNCTION("""COMPUTED_VALUE"""),"77042")</f>
        <v>77042</v>
      </c>
      <c r="I976" s="9" t="str">
        <f>IFERROR(__xludf.DUMMYFUNCTION("""COMPUTED_VALUE"""),"713-780-2727")</f>
        <v>713-780-2727</v>
      </c>
      <c r="J976" s="9" t="str">
        <f>IFERROR(__xludf.DUMMYFUNCTION("""COMPUTED_VALUE"""),"29.731124, -95.56153")</f>
        <v>29.731124, -95.56153</v>
      </c>
      <c r="K976" s="9"/>
      <c r="L976" s="9"/>
      <c r="M976" s="10">
        <f>IFERROR(__xludf.DUMMYFUNCTION("""COMPUTED_VALUE"""),52.0)</f>
        <v>52</v>
      </c>
      <c r="N976" s="10" t="str">
        <f>IFERROR(__xludf.DUMMYFUNCTION("""COMPUTED_VALUE"""),"Jobs")</f>
        <v>Jobs</v>
      </c>
      <c r="O976" s="10">
        <f>IFERROR(__xludf.DUMMYFUNCTION("""COMPUTED_VALUE"""),1.0)</f>
        <v>1</v>
      </c>
      <c r="P976" s="10" t="str">
        <f>IFERROR(__xludf.DUMMYFUNCTION("""COMPUTED_VALUE"""),"ACTIVE")</f>
        <v>ACTIVE</v>
      </c>
      <c r="Q976" s="11">
        <f>IFERROR(__xludf.DUMMYFUNCTION("""COMPUTED_VALUE"""),46077.0)</f>
        <v>46077</v>
      </c>
      <c r="R976" s="9" t="str">
        <f>IFERROR(__xludf.DUMMYFUNCTION("""COMPUTED_VALUE"""),"Verified online")</f>
        <v>Verified online</v>
      </c>
      <c r="S976" s="9" t="str">
        <f>IFERROR(__xludf.DUMMYFUNCTION("""COMPUTED_VALUE"""),"Employment assistance Mo-Fr 10 AM to 2 PM.")</f>
        <v>Employment assistance Mo-Fr 10 AM to 2 PM.</v>
      </c>
      <c r="T976" s="12" t="b">
        <f>IFERROR(__xludf.DUMMYFUNCTION("""COMPUTED_VALUE"""),FALSE)</f>
        <v>0</v>
      </c>
      <c r="U976" s="12" t="b">
        <f>IFERROR(__xludf.DUMMYFUNCTION("""COMPUTED_VALUE"""),FALSE)</f>
        <v>0</v>
      </c>
      <c r="V976" s="13" t="str">
        <f>IFERROR(__xludf.DUMMYFUNCTION("""COMPUTED_VALUE"""),"https://www.whamministries.org/")</f>
        <v>https://www.whamministries.org/</v>
      </c>
      <c r="W976" s="14" t="str">
        <f>IFERROR(__xludf.DUMMYFUNCTION("""COMPUTED_VALUE"""),"https://maps.google.com/?q=West%20Houston%20Area%20Ministries%20(WHAM)%2010501%20Meadowglen%20Lane%20Houston%20TX%2077042")</f>
        <v>https://maps.google.com/?q=West%20Houston%20Area%20Ministries%20(WHAM)%2010501%20Meadowglen%20Lane%20Houston%20TX%2077042</v>
      </c>
      <c r="X976" s="10"/>
      <c r="Y976" s="9" t="str">
        <f>IFERROR(__xludf.DUMMYFUNCTION("""COMPUTED_VALUE"""),"Houston")</f>
        <v>Houston</v>
      </c>
      <c r="Z976" s="9" t="str">
        <f>IFERROR(__xludf.DUMMYFUNCTION("""COMPUTED_VALUE"""),"Royal Oaks, Westchase, Westside")</f>
        <v>Royal Oaks, Westchase, Westside</v>
      </c>
      <c r="AA976" s="9" t="str">
        <f>IFERROR(__xludf.DUMMYFUNCTION("""COMPUTED_VALUE"""),"West Houston Assistance Ministries (WHAM)")</f>
        <v>West Houston Assistance Ministries (WHAM)</v>
      </c>
      <c r="AB976" s="9" t="str">
        <f>IFERROR(__xludf.DUMMYFUNCTION("""COMPUTED_VALUE"""),"Westside")</f>
        <v>Westside</v>
      </c>
    </row>
    <row r="977" ht="30.0" customHeight="1">
      <c r="A977" s="17">
        <v>976.0</v>
      </c>
      <c r="B977" s="8" t="str">
        <f>IFERROR(__xludf.DUMMYFUNCTION("""COMPUTED_VALUE"""),"[""77036"", ""77042"", ""77057"", ""77063"", ""77072"", ""77077"", ""77082"", ""77083"", ""77099""]")</f>
        <v>["77036", "77042", "77057", "77063", "77072", "77077", "77082", "77083", "77099"]</v>
      </c>
      <c r="C977" s="9" t="str">
        <f>IFERROR(__xludf.DUMMYFUNCTION("""COMPUTED_VALUE"""),"West Houston Assistance Ministries (WHAM)")</f>
        <v>West Houston Assistance Ministries (WHAM)</v>
      </c>
      <c r="D977" s="9" t="str">
        <f>IFERROR(__xludf.DUMMYFUNCTION("""COMPUTED_VALUE"""),"10501 Meadowglen Lane")</f>
        <v>10501 Meadowglen Lane</v>
      </c>
      <c r="E977" s="9"/>
      <c r="F977" s="9" t="str">
        <f>IFERROR(__xludf.DUMMYFUNCTION("""COMPUTED_VALUE"""),"Houston")</f>
        <v>Houston</v>
      </c>
      <c r="G977" s="9" t="str">
        <f>IFERROR(__xludf.DUMMYFUNCTION("""COMPUTED_VALUE"""),"TX")</f>
        <v>TX</v>
      </c>
      <c r="H977" s="9" t="str">
        <f>IFERROR(__xludf.DUMMYFUNCTION("""COMPUTED_VALUE"""),"77042")</f>
        <v>77042</v>
      </c>
      <c r="I977" s="9" t="str">
        <f>IFERROR(__xludf.DUMMYFUNCTION("""COMPUTED_VALUE"""),"713-780-2727")</f>
        <v>713-780-2727</v>
      </c>
      <c r="J977" s="9" t="str">
        <f>IFERROR(__xludf.DUMMYFUNCTION("""COMPUTED_VALUE"""),"29.731124, -95.56153")</f>
        <v>29.731124, -95.56153</v>
      </c>
      <c r="K977" s="9" t="str">
        <f>IFERROR(__xludf.DUMMYFUNCTION("""COMPUTED_VALUE"""),"{""regular"":[{""days"":[""Mo"",""Tu"",""We"",""Th"",""Fr""],""open"":""09:00"",""close"":""17:00""}]}")</f>
        <v>{"regular":[{"days":["Mo","Tu","We","Th","Fr"],"open":"09:00","close":"17:00"}]}</v>
      </c>
      <c r="L977" s="9"/>
      <c r="M977" s="10">
        <f>IFERROR(__xludf.DUMMYFUNCTION("""COMPUTED_VALUE"""),54.0)</f>
        <v>54</v>
      </c>
      <c r="N977" s="10" t="str">
        <f>IFERROR(__xludf.DUMMYFUNCTION("""COMPUTED_VALUE"""),"Legal")</f>
        <v>Legal</v>
      </c>
      <c r="O977" s="10">
        <f>IFERROR(__xludf.DUMMYFUNCTION("""COMPUTED_VALUE"""),3.0)</f>
        <v>3</v>
      </c>
      <c r="P977" s="10" t="str">
        <f>IFERROR(__xludf.DUMMYFUNCTION("""COMPUTED_VALUE"""),"INACTIVE")</f>
        <v>INACTIVE</v>
      </c>
      <c r="Q977" s="11">
        <f>IFERROR(__xludf.DUMMYFUNCTION("""COMPUTED_VALUE"""),46077.0)</f>
        <v>46077</v>
      </c>
      <c r="R977" s="9" t="str">
        <f>IFERROR(__xludf.DUMMYFUNCTION("""COMPUTED_VALUE"""),"Verified online")</f>
        <v>Verified online</v>
      </c>
      <c r="S977" s="9" t="str">
        <f>IFERROR(__xludf.DUMMYFUNCTION("""COMPUTED_VALUE"""),"Website no longer mentions any legal assistance.
Legal services appear to be limited to immigration matters. Call for information.")</f>
        <v>Website no longer mentions any legal assistance.
Legal services appear to be limited to immigration matters. Call for information.</v>
      </c>
      <c r="T977" s="12" t="b">
        <f>IFERROR(__xludf.DUMMYFUNCTION("""COMPUTED_VALUE"""),FALSE)</f>
        <v>0</v>
      </c>
      <c r="U977" s="12" t="b">
        <f>IFERROR(__xludf.DUMMYFUNCTION("""COMPUTED_VALUE"""),FALSE)</f>
        <v>0</v>
      </c>
      <c r="V977" s="13" t="str">
        <f>IFERROR(__xludf.DUMMYFUNCTION("""COMPUTED_VALUE"""),"https://www.whamministries.org/")</f>
        <v>https://www.whamministries.org/</v>
      </c>
      <c r="W977" s="14" t="str">
        <f>IFERROR(__xludf.DUMMYFUNCTION("""COMPUTED_VALUE"""),"https://maps.google.com/?q=West%20Houston%20Area%20Ministries%20(WHAM)%2010501%20Meadowglen%20Lane%20Houston%20TX%2077042")</f>
        <v>https://maps.google.com/?q=West%20Houston%20Area%20Ministries%20(WHAM)%2010501%20Meadowglen%20Lane%20Houston%20TX%2077042</v>
      </c>
      <c r="X977" s="10"/>
      <c r="Y977" s="9" t="str">
        <f>IFERROR(__xludf.DUMMYFUNCTION("""COMPUTED_VALUE"""),"Houston")</f>
        <v>Houston</v>
      </c>
      <c r="Z977" s="9" t="str">
        <f>IFERROR(__xludf.DUMMYFUNCTION("""COMPUTED_VALUE"""),"Royal Oaks, Westchase, Westside")</f>
        <v>Royal Oaks, Westchase, Westside</v>
      </c>
      <c r="AA977" s="9" t="str">
        <f>IFERROR(__xludf.DUMMYFUNCTION("""COMPUTED_VALUE"""),"West Houston Assistance Ministries (WHAM)")</f>
        <v>West Houston Assistance Ministries (WHAM)</v>
      </c>
      <c r="AB977" s="9" t="str">
        <f>IFERROR(__xludf.DUMMYFUNCTION("""COMPUTED_VALUE"""),"Westside")</f>
        <v>Westside</v>
      </c>
    </row>
    <row r="978" ht="30.0" customHeight="1">
      <c r="A978" s="17">
        <v>977.0</v>
      </c>
      <c r="B978" s="8" t="str">
        <f>IFERROR(__xludf.DUMMYFUNCTION("""COMPUTED_VALUE"""),"[""77036"", ""77042"", ""77057"", ""77063"", ""77072"", ""77077"", ""77082"", ""77083"", ""77099""]")</f>
        <v>["77036", "77042", "77057", "77063", "77072", "77077", "77082", "77083", "77099"]</v>
      </c>
      <c r="C978" s="9" t="str">
        <f>IFERROR(__xludf.DUMMYFUNCTION("""COMPUTED_VALUE"""),"West Houston Assistance Ministries (WHAM)")</f>
        <v>West Houston Assistance Ministries (WHAM)</v>
      </c>
      <c r="D978" s="9" t="str">
        <f>IFERROR(__xludf.DUMMYFUNCTION("""COMPUTED_VALUE"""),"10501 Meadowglen Lane")</f>
        <v>10501 Meadowglen Lane</v>
      </c>
      <c r="E978" s="9"/>
      <c r="F978" s="9" t="str">
        <f>IFERROR(__xludf.DUMMYFUNCTION("""COMPUTED_VALUE"""),"Houston")</f>
        <v>Houston</v>
      </c>
      <c r="G978" s="9" t="str">
        <f>IFERROR(__xludf.DUMMYFUNCTION("""COMPUTED_VALUE"""),"TX")</f>
        <v>TX</v>
      </c>
      <c r="H978" s="9" t="str">
        <f>IFERROR(__xludf.DUMMYFUNCTION("""COMPUTED_VALUE"""),"77042")</f>
        <v>77042</v>
      </c>
      <c r="I978" s="9" t="str">
        <f>IFERROR(__xludf.DUMMYFUNCTION("""COMPUTED_VALUE"""),"713-780-2727")</f>
        <v>713-780-2727</v>
      </c>
      <c r="J978" s="9" t="str">
        <f>IFERROR(__xludf.DUMMYFUNCTION("""COMPUTED_VALUE"""),"29.731124, -95.56153")</f>
        <v>29.731124, -95.56153</v>
      </c>
      <c r="K978" s="9"/>
      <c r="L978" s="9"/>
      <c r="M978" s="10">
        <f>IFERROR(__xludf.DUMMYFUNCTION("""COMPUTED_VALUE"""),64.0)</f>
        <v>64</v>
      </c>
      <c r="N978" s="10" t="str">
        <f>IFERROR(__xludf.DUMMYFUNCTION("""COMPUTED_VALUE"""),"Christmas")</f>
        <v>Christmas</v>
      </c>
      <c r="O978" s="10">
        <f>IFERROR(__xludf.DUMMYFUNCTION("""COMPUTED_VALUE"""),1.0)</f>
        <v>1</v>
      </c>
      <c r="P978" s="10" t="str">
        <f>IFERROR(__xludf.DUMMYFUNCTION("""COMPUTED_VALUE"""),"ACTIVE")</f>
        <v>ACTIVE</v>
      </c>
      <c r="Q978" s="11"/>
      <c r="R978" s="9"/>
      <c r="S978" s="9" t="str">
        <f>IFERROR(__xludf.DUMMYFUNCTION("""COMPUTED_VALUE"""),"Toys &amp; Food.")</f>
        <v>Toys &amp; Food.</v>
      </c>
      <c r="T978" s="12" t="b">
        <f>IFERROR(__xludf.DUMMYFUNCTION("""COMPUTED_VALUE"""),FALSE)</f>
        <v>0</v>
      </c>
      <c r="U978" s="12" t="b">
        <f>IFERROR(__xludf.DUMMYFUNCTION("""COMPUTED_VALUE"""),FALSE)</f>
        <v>0</v>
      </c>
      <c r="V978" s="13" t="str">
        <f>IFERROR(__xludf.DUMMYFUNCTION("""COMPUTED_VALUE"""),"https://www.whamministries.org/")</f>
        <v>https://www.whamministries.org/</v>
      </c>
      <c r="W978" s="14" t="str">
        <f>IFERROR(__xludf.DUMMYFUNCTION("""COMPUTED_VALUE"""),"https://maps.google.com/?q=West%20Houston%20Area%20Ministries%20(WHAM)%2010501%20Meadowglen%20Lane%20Houston%20TX%2077042")</f>
        <v>https://maps.google.com/?q=West%20Houston%20Area%20Ministries%20(WHAM)%2010501%20Meadowglen%20Lane%20Houston%20TX%2077042</v>
      </c>
      <c r="X978" s="10"/>
      <c r="Y978" s="9" t="str">
        <f>IFERROR(__xludf.DUMMYFUNCTION("""COMPUTED_VALUE"""),"Houston")</f>
        <v>Houston</v>
      </c>
      <c r="Z978" s="9" t="str">
        <f>IFERROR(__xludf.DUMMYFUNCTION("""COMPUTED_VALUE"""),"Royal Oaks, Westchase, Westside")</f>
        <v>Royal Oaks, Westchase, Westside</v>
      </c>
      <c r="AA978" s="9" t="str">
        <f>IFERROR(__xludf.DUMMYFUNCTION("""COMPUTED_VALUE"""),"West Houston Assistance Ministries (WHAM)")</f>
        <v>West Houston Assistance Ministries (WHAM)</v>
      </c>
      <c r="AB978" s="9" t="str">
        <f>IFERROR(__xludf.DUMMYFUNCTION("""COMPUTED_VALUE"""),"Westside")</f>
        <v>Westside</v>
      </c>
    </row>
    <row r="979" ht="30.0" customHeight="1">
      <c r="A979" s="17">
        <v>978.0</v>
      </c>
      <c r="B979" s="8" t="str">
        <f>IFERROR(__xludf.DUMMYFUNCTION("""COMPUTED_VALUE"""),"[""99999""]")</f>
        <v>["99999"]</v>
      </c>
      <c r="C979" s="9" t="str">
        <f>IFERROR(__xludf.DUMMYFUNCTION("""COMPUTED_VALUE"""),"Wheeler Avenue Baptist Church")</f>
        <v>Wheeler Avenue Baptist Church</v>
      </c>
      <c r="D979" s="9" t="str">
        <f>IFERROR(__xludf.DUMMYFUNCTION("""COMPUTED_VALUE"""),"3826 Wheeler Avenue")</f>
        <v>3826 Wheeler Avenue</v>
      </c>
      <c r="E979" s="9"/>
      <c r="F979" s="9" t="str">
        <f>IFERROR(__xludf.DUMMYFUNCTION("""COMPUTED_VALUE"""),"Houston")</f>
        <v>Houston</v>
      </c>
      <c r="G979" s="9" t="str">
        <f>IFERROR(__xludf.DUMMYFUNCTION("""COMPUTED_VALUE"""),"TX")</f>
        <v>TX</v>
      </c>
      <c r="H979" s="9" t="str">
        <f>IFERROR(__xludf.DUMMYFUNCTION("""COMPUTED_VALUE"""),"77004")</f>
        <v>77004</v>
      </c>
      <c r="I979" s="9" t="str">
        <f>IFERROR(__xludf.DUMMYFUNCTION("""COMPUTED_VALUE"""),"713-747-7101")</f>
        <v>713-747-7101</v>
      </c>
      <c r="J979" s="9" t="str">
        <f>IFERROR(__xludf.DUMMYFUNCTION("""COMPUTED_VALUE"""),"29.7194684415584, -95.3522773506494")</f>
        <v>29.7194684415584, -95.3522773506494</v>
      </c>
      <c r="K979" s="9" t="str">
        <f>IFERROR(__xludf.DUMMYFUNCTION("""COMPUTED_VALUE"""),"{""regular"":[{""days"":[""Mo"",""Tu"",""We"",""Th""],""open"":""09:00"",""close"":""13:00""}]}")</f>
        <v>{"regular":[{"days":["Mo","Tu","We","Th"],"open":"09:00","close":"13:00"}]}</v>
      </c>
      <c r="L979" s="9"/>
      <c r="M979" s="10">
        <f>IFERROR(__xludf.DUMMYFUNCTION("""COMPUTED_VALUE"""),11.0)</f>
        <v>11</v>
      </c>
      <c r="N979" s="10" t="str">
        <f>IFERROR(__xludf.DUMMYFUNCTION("""COMPUTED_VALUE"""),"Rent")</f>
        <v>Rent</v>
      </c>
      <c r="O979" s="10">
        <f>IFERROR(__xludf.DUMMYFUNCTION("""COMPUTED_VALUE"""),1.0)</f>
        <v>1</v>
      </c>
      <c r="P979" s="10" t="str">
        <f>IFERROR(__xludf.DUMMYFUNCTION("""COMPUTED_VALUE"""),"ACTIVE")</f>
        <v>ACTIVE</v>
      </c>
      <c r="Q979" s="11">
        <f>IFERROR(__xludf.DUMMYFUNCTION("""COMPUTED_VALUE"""),45974.0)</f>
        <v>45974</v>
      </c>
      <c r="R979" s="9" t="str">
        <f>IFERROR(__xludf.DUMMYFUNCTION("""COMPUTED_VALUE"""),"Verified online")</f>
        <v>Verified online</v>
      </c>
      <c r="S979" s="9" t="str">
        <f>IFERROR(__xludf.DUMMYFUNCTION("""COMPUTED_VALUE"""),"Call to make appointment. Do not leave message.
Employment verification (pay stub) for past 60 days.
US Citizens/Permanent Residents.
Lease agreement and Eviction or Vacate notice.
Money order receipt showing some amount of self-payment toward balance and"&amp;" a ledger or statement from leasing company (they do not accept landlord receipts).
Can receive assistance once every two years.")</f>
        <v>Call to make appointment. Do not leave message.
Employment verification (pay stub) for past 60 days.
US Citizens/Permanent Residents.
Lease agreement and Eviction or Vacate notice.
Money order receipt showing some amount of self-payment toward balance and a ledger or statement from leasing company (they do not accept landlord receipts).
Can receive assistance once every two years.</v>
      </c>
      <c r="T979" s="12" t="b">
        <f>IFERROR(__xludf.DUMMYFUNCTION("""COMPUTED_VALUE"""),FALSE)</f>
        <v>0</v>
      </c>
      <c r="U979" s="12" t="b">
        <f>IFERROR(__xludf.DUMMYFUNCTION("""COMPUTED_VALUE"""),FALSE)</f>
        <v>0</v>
      </c>
      <c r="V979" s="13" t="str">
        <f>IFERROR(__xludf.DUMMYFUNCTION("""COMPUTED_VALUE"""),"https://wheelerbc.org/matthew-25-info")</f>
        <v>https://wheelerbc.org/matthew-25-info</v>
      </c>
      <c r="W979" s="14" t="str">
        <f>IFERROR(__xludf.DUMMYFUNCTION("""COMPUTED_VALUE"""),"https://maps.google.com/?q=Wheeler%20Avenue%20Baptist%20Church%203826%20Wheeler%20Ave%20Houston%20TX%2077004")</f>
        <v>https://maps.google.com/?q=Wheeler%20Avenue%20Baptist%20Church%203826%20Wheeler%20Ave%20Houston%20TX%2077004</v>
      </c>
      <c r="X979" s="10"/>
      <c r="Y979" s="9" t="str">
        <f>IFERROR(__xludf.DUMMYFUNCTION("""COMPUTED_VALUE"""),"Houston")</f>
        <v>Houston</v>
      </c>
      <c r="Z979"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979" s="9" t="str">
        <f>IFERROR(__xludf.DUMMYFUNCTION("""COMPUTED_VALUE"""),"Wheeler Avenue Baptist Church")</f>
        <v>Wheeler Avenue Baptist Church</v>
      </c>
      <c r="AB979" s="9" t="str">
        <f>IFERROR(__xludf.DUMMYFUNCTION("""COMPUTED_VALUE"""),"South Side")</f>
        <v>South Side</v>
      </c>
    </row>
    <row r="980" ht="30.0" customHeight="1">
      <c r="A980" s="17">
        <v>979.0</v>
      </c>
      <c r="B980" s="8" t="str">
        <f>IFERROR(__xludf.DUMMYFUNCTION("""COMPUTED_VALUE"""),"[""99999""]")</f>
        <v>["99999"]</v>
      </c>
      <c r="C980" s="9" t="str">
        <f>IFERROR(__xludf.DUMMYFUNCTION("""COMPUTED_VALUE"""),"Wheeler Avenue Baptist Church")</f>
        <v>Wheeler Avenue Baptist Church</v>
      </c>
      <c r="D980" s="9" t="str">
        <f>IFERROR(__xludf.DUMMYFUNCTION("""COMPUTED_VALUE"""),"3826 Wheeler Avenue")</f>
        <v>3826 Wheeler Avenue</v>
      </c>
      <c r="E980" s="9"/>
      <c r="F980" s="9" t="str">
        <f>IFERROR(__xludf.DUMMYFUNCTION("""COMPUTED_VALUE"""),"Houston")</f>
        <v>Houston</v>
      </c>
      <c r="G980" s="9" t="str">
        <f>IFERROR(__xludf.DUMMYFUNCTION("""COMPUTED_VALUE"""),"TX")</f>
        <v>TX</v>
      </c>
      <c r="H980" s="9" t="str">
        <f>IFERROR(__xludf.DUMMYFUNCTION("""COMPUTED_VALUE"""),"77004")</f>
        <v>77004</v>
      </c>
      <c r="I980" s="9" t="str">
        <f>IFERROR(__xludf.DUMMYFUNCTION("""COMPUTED_VALUE"""),"713-747-7101")</f>
        <v>713-747-7101</v>
      </c>
      <c r="J980" s="9" t="str">
        <f>IFERROR(__xludf.DUMMYFUNCTION("""COMPUTED_VALUE"""),"29.7194684415584, -95.3522773506494")</f>
        <v>29.7194684415584, -95.3522773506494</v>
      </c>
      <c r="K980" s="9" t="str">
        <f>IFERROR(__xludf.DUMMYFUNCTION("""COMPUTED_VALUE"""),"{""regular"":[{""days"":[""Mo"",""Tu"",""We"",""Th""],""open"":""09:00"",""close"":""13:00""}]}")</f>
        <v>{"regular":[{"days":["Mo","Tu","We","Th"],"open":"09:00","close":"13:00"}]}</v>
      </c>
      <c r="L980" s="9"/>
      <c r="M980" s="10">
        <f>IFERROR(__xludf.DUMMYFUNCTION("""COMPUTED_VALUE"""),12.0)</f>
        <v>12</v>
      </c>
      <c r="N980" s="10" t="str">
        <f>IFERROR(__xludf.DUMMYFUNCTION("""COMPUTED_VALUE"""),"Utilities")</f>
        <v>Utilities</v>
      </c>
      <c r="O980" s="10">
        <f>IFERROR(__xludf.DUMMYFUNCTION("""COMPUTED_VALUE"""),1.0)</f>
        <v>1</v>
      </c>
      <c r="P980" s="10" t="str">
        <f>IFERROR(__xludf.DUMMYFUNCTION("""COMPUTED_VALUE"""),"ACTIVE")</f>
        <v>ACTIVE</v>
      </c>
      <c r="Q980" s="11">
        <f>IFERROR(__xludf.DUMMYFUNCTION("""COMPUTED_VALUE"""),45974.0)</f>
        <v>45974</v>
      </c>
      <c r="R980" s="9" t="str">
        <f>IFERROR(__xludf.DUMMYFUNCTION("""COMPUTED_VALUE"""),"Verified online")</f>
        <v>Verified online</v>
      </c>
      <c r="S980" s="9" t="str">
        <f>IFERROR(__xludf.DUMMYFUNCTION("""COMPUTED_VALUE"""),"Call to make appointment. Do not leave message.
Employment verification (pay stub) for past 60 days.
US Citizens/Permanent Residents.
Lease agreement and utility bill.
Money order receipt showing some amount of self-payment toward balance and a ledger or "&amp;"statement from utility company.
Can receive assistance once every two years.")</f>
        <v>Call to make appointment. Do not leave message.
Employment verification (pay stub) for past 60 days.
US Citizens/Permanent Residents.
Lease agreement and utility bill.
Money order receipt showing some amount of self-payment toward balance and a ledger or statement from utility company.
Can receive assistance once every two years.</v>
      </c>
      <c r="T980" s="12" t="b">
        <f>IFERROR(__xludf.DUMMYFUNCTION("""COMPUTED_VALUE"""),FALSE)</f>
        <v>0</v>
      </c>
      <c r="U980" s="12" t="b">
        <f>IFERROR(__xludf.DUMMYFUNCTION("""COMPUTED_VALUE"""),FALSE)</f>
        <v>0</v>
      </c>
      <c r="V980" s="13" t="str">
        <f>IFERROR(__xludf.DUMMYFUNCTION("""COMPUTED_VALUE"""),"https://wheelerbc.org/matthew-25-info")</f>
        <v>https://wheelerbc.org/matthew-25-info</v>
      </c>
      <c r="W980" s="14" t="str">
        <f>IFERROR(__xludf.DUMMYFUNCTION("""COMPUTED_VALUE"""),"https://maps.google.com/?q=Wheeler%20Avenue%20Baptist%20Church%203826%20Wheeler%20Ave%20Houston%20TX%2077004")</f>
        <v>https://maps.google.com/?q=Wheeler%20Avenue%20Baptist%20Church%203826%20Wheeler%20Ave%20Houston%20TX%2077004</v>
      </c>
      <c r="X980" s="10"/>
      <c r="Y980" s="9" t="str">
        <f>IFERROR(__xludf.DUMMYFUNCTION("""COMPUTED_VALUE"""),"Houston")</f>
        <v>Houston</v>
      </c>
      <c r="Z980" s="9" t="str">
        <f>IFERROR(__xludf.DUMMYFUNCTION("""COMPUTED_VALUE"""),"East Downtown, Downtown Houston, Houston Museum District, Midtown, Museum District, South Central Houston, South Side, Third Ward, University Place")</f>
        <v>East Downtown, Downtown Houston, Houston Museum District, Midtown, Museum District, South Central Houston, South Side, Third Ward, University Place</v>
      </c>
      <c r="AA980" s="9" t="str">
        <f>IFERROR(__xludf.DUMMYFUNCTION("""COMPUTED_VALUE"""),"Wheeler Avenue Baptist Church")</f>
        <v>Wheeler Avenue Baptist Church</v>
      </c>
      <c r="AB980" s="9" t="str">
        <f>IFERROR(__xludf.DUMMYFUNCTION("""COMPUTED_VALUE"""),"South Side")</f>
        <v>South Side</v>
      </c>
    </row>
    <row r="981" ht="30.0" customHeight="1">
      <c r="A981" s="17">
        <v>980.0</v>
      </c>
      <c r="B981" s="8" t="str">
        <f>IFERROR(__xludf.DUMMYFUNCTION("""COMPUTED_VALUE"""),"[""99999""]")</f>
        <v>["99999"]</v>
      </c>
      <c r="C981" s="9" t="str">
        <f>IFERROR(__xludf.DUMMYFUNCTION("""COMPUTED_VALUE"""),"Windsor Village Social Services")</f>
        <v>Windsor Village Social Services</v>
      </c>
      <c r="D981" s="9" t="str">
        <f>IFERROR(__xludf.DUMMYFUNCTION("""COMPUTED_VALUE"""),"12041 1/2 Post Oak Road")</f>
        <v>12041 1/2 Post Oak Road</v>
      </c>
      <c r="E981" s="9"/>
      <c r="F981" s="9" t="str">
        <f>IFERROR(__xludf.DUMMYFUNCTION("""COMPUTED_VALUE"""),"Houston")</f>
        <v>Houston</v>
      </c>
      <c r="G981" s="9" t="str">
        <f>IFERROR(__xludf.DUMMYFUNCTION("""COMPUTED_VALUE"""),"TX")</f>
        <v>TX</v>
      </c>
      <c r="H981" s="9" t="str">
        <f>IFERROR(__xludf.DUMMYFUNCTION("""COMPUTED_VALUE"""),"77045")</f>
        <v>77045</v>
      </c>
      <c r="I981" s="9" t="str">
        <f>IFERROR(__xludf.DUMMYFUNCTION("""COMPUTED_VALUE"""),"713-551-8792")</f>
        <v>713-551-8792</v>
      </c>
      <c r="J981" s="9" t="str">
        <f>IFERROR(__xludf.DUMMYFUNCTION("""COMPUTED_VALUE"""),"29.6471355, -95.4638366")</f>
        <v>29.6471355, -95.4638366</v>
      </c>
      <c r="K981" s="9" t="str">
        <f>IFERROR(__xludf.DUMMYFUNCTION("""COMPUTED_VALUE"""),"{""regular"":[{""days"":[""Mo"",""Tu"",""We"",""Th""],""open"":""08:00"",""close"":""11:00""}]}")</f>
        <v>{"regular":[{"days":["Mo","Tu","We","Th"],"open":"08:00","close":"11:00"}]}</v>
      </c>
      <c r="L981" s="9"/>
      <c r="M981" s="10">
        <f>IFERROR(__xludf.DUMMYFUNCTION("""COMPUTED_VALUE"""),11.0)</f>
        <v>11</v>
      </c>
      <c r="N981" s="10" t="str">
        <f>IFERROR(__xludf.DUMMYFUNCTION("""COMPUTED_VALUE"""),"Rent")</f>
        <v>Rent</v>
      </c>
      <c r="O981" s="10">
        <f>IFERROR(__xludf.DUMMYFUNCTION("""COMPUTED_VALUE"""),3.0)</f>
        <v>3</v>
      </c>
      <c r="P981" s="10" t="str">
        <f>IFERROR(__xludf.DUMMYFUNCTION("""COMPUTED_VALUE"""),"INACTIVE")</f>
        <v>INACTIVE</v>
      </c>
      <c r="Q981" s="11">
        <f>IFERROR(__xludf.DUMMYFUNCTION("""COMPUTED_VALUE"""),45663.0)</f>
        <v>45663</v>
      </c>
      <c r="R981" s="9"/>
      <c r="S981" s="9" t="str">
        <f>IFERROR(__xludf.DUMMYFUNCTION("""COMPUTED_VALUE"""),"Call to confirm funding and requirements.
Photo ID
US Citizens/Permanent Residents.
Proof of income
Late or delinquent lease statement")</f>
        <v>Call to confirm funding and requirements.
Photo ID
US Citizens/Permanent Residents.
Proof of income
Late or delinquent lease statement</v>
      </c>
      <c r="T981" s="12" t="b">
        <f>IFERROR(__xludf.DUMMYFUNCTION("""COMPUTED_VALUE"""),FALSE)</f>
        <v>0</v>
      </c>
      <c r="U981" s="12" t="b">
        <f>IFERROR(__xludf.DUMMYFUNCTION("""COMPUTED_VALUE"""),FALSE)</f>
        <v>0</v>
      </c>
      <c r="V981" s="13" t="str">
        <f>IFERROR(__xludf.DUMMYFUNCTION("""COMPUTED_VALUE"""),"https://www.kingdombuilders.com/missions/")</f>
        <v>https://www.kingdombuilders.com/missions/</v>
      </c>
      <c r="W981" s="14" t="str">
        <f>IFERROR(__xludf.DUMMYFUNCTION("""COMPUTED_VALUE"""),"https://maps.google.com/?q=Windsor%20Village%20Social%20Services%2012041%201%2F2%20Post%20Oak%20Rd%20Houston%20TX%2077045")</f>
        <v>https://maps.google.com/?q=Windsor%20Village%20Social%20Services%2012041%201%2F2%20Post%20Oak%20Rd%20Houston%20TX%2077045</v>
      </c>
      <c r="X981" s="10"/>
      <c r="Y981" s="9" t="str">
        <f>IFERROR(__xludf.DUMMYFUNCTION("""COMPUTED_VALUE"""),"Houston")</f>
        <v>Houston</v>
      </c>
      <c r="Z981" s="9" t="str">
        <f>IFERROR(__xludf.DUMMYFUNCTION("""COMPUTED_VALUE"""),"Brentwood, Central Southwest, Hiram Clarke")</f>
        <v>Brentwood, Central Southwest, Hiram Clarke</v>
      </c>
      <c r="AA981" s="9" t="str">
        <f>IFERROR(__xludf.DUMMYFUNCTION("""COMPUTED_VALUE"""),"Windsor Village Social Services")</f>
        <v>Windsor Village Social Services</v>
      </c>
      <c r="AB981" s="9" t="str">
        <f>IFERROR(__xludf.DUMMYFUNCTION("""COMPUTED_VALUE"""),"Central Southwest")</f>
        <v>Central Southwest</v>
      </c>
    </row>
    <row r="982" ht="30.0" customHeight="1">
      <c r="A982" s="17">
        <v>981.0</v>
      </c>
      <c r="B982" s="8" t="str">
        <f>IFERROR(__xludf.DUMMYFUNCTION("""COMPUTED_VALUE"""),"[""99999""]")</f>
        <v>["99999"]</v>
      </c>
      <c r="C982" s="9" t="str">
        <f>IFERROR(__xludf.DUMMYFUNCTION("""COMPUTED_VALUE"""),"Windsor Village Social Services")</f>
        <v>Windsor Village Social Services</v>
      </c>
      <c r="D982" s="9" t="str">
        <f>IFERROR(__xludf.DUMMYFUNCTION("""COMPUTED_VALUE"""),"12041 1/2 Post Oak Road")</f>
        <v>12041 1/2 Post Oak Road</v>
      </c>
      <c r="E982" s="9"/>
      <c r="F982" s="9" t="str">
        <f>IFERROR(__xludf.DUMMYFUNCTION("""COMPUTED_VALUE"""),"Houston")</f>
        <v>Houston</v>
      </c>
      <c r="G982" s="9" t="str">
        <f>IFERROR(__xludf.DUMMYFUNCTION("""COMPUTED_VALUE"""),"TX")</f>
        <v>TX</v>
      </c>
      <c r="H982" s="9" t="str">
        <f>IFERROR(__xludf.DUMMYFUNCTION("""COMPUTED_VALUE"""),"77045")</f>
        <v>77045</v>
      </c>
      <c r="I982" s="9" t="str">
        <f>IFERROR(__xludf.DUMMYFUNCTION("""COMPUTED_VALUE"""),"713-551-8792")</f>
        <v>713-551-8792</v>
      </c>
      <c r="J982" s="9" t="str">
        <f>IFERROR(__xludf.DUMMYFUNCTION("""COMPUTED_VALUE"""),"29.6471355, -95.4638366")</f>
        <v>29.6471355, -95.4638366</v>
      </c>
      <c r="K982" s="9" t="str">
        <f>IFERROR(__xludf.DUMMYFUNCTION("""COMPUTED_VALUE"""),"{""regular"":[{""days"":[""Mo"",""Tu"",""We"",""Th""],""open"":""08:00"",""close"":""11:00""}]}")</f>
        <v>{"regular":[{"days":["Mo","Tu","We","Th"],"open":"08:00","close":"11:00"}]}</v>
      </c>
      <c r="L982" s="9"/>
      <c r="M982" s="10">
        <f>IFERROR(__xludf.DUMMYFUNCTION("""COMPUTED_VALUE"""),12.0)</f>
        <v>12</v>
      </c>
      <c r="N982" s="10" t="str">
        <f>IFERROR(__xludf.DUMMYFUNCTION("""COMPUTED_VALUE"""),"Utilities")</f>
        <v>Utilities</v>
      </c>
      <c r="O982" s="10">
        <f>IFERROR(__xludf.DUMMYFUNCTION("""COMPUTED_VALUE"""),3.0)</f>
        <v>3</v>
      </c>
      <c r="P982" s="10" t="str">
        <f>IFERROR(__xludf.DUMMYFUNCTION("""COMPUTED_VALUE"""),"INACTIVE")</f>
        <v>INACTIVE</v>
      </c>
      <c r="Q982" s="11">
        <f>IFERROR(__xludf.DUMMYFUNCTION("""COMPUTED_VALUE"""),45663.0)</f>
        <v>45663</v>
      </c>
      <c r="R982" s="9"/>
      <c r="S982" s="9" t="str">
        <f>IFERROR(__xludf.DUMMYFUNCTION("""COMPUTED_VALUE"""),"Fill out online application.
Photo ID
US Citizens/Permanent Residents.
One month's pay stub for all working members of household.
Most recent income tax return for all working members of household.
Two months of bank statements for household.
Current leas"&amp;"e and current rental ledger from apartment office.
Food stamp letter.
SSI letter where applicable.
Child support letter where applicable.
IRS Form W9 filled and signed by Owner of lease property if client lives in a privately owned home.
Reason for assist"&amp;"ance., i.e. the crisis.")</f>
        <v>Fill out online application.
Photo ID
US Citizens/Permanent Residents.
One month's pay stub for all working members of household.
Most recent income tax return for all working members of household.
Two months of bank statements for household.
Current lease and current rental ledger from apartment office.
Food stamp letter.
SSI letter where applicable.
Child support letter where applicable.
IRS Form W9 filled and signed by Owner of lease property if client lives in a privately owned home.
Reason for assistance., i.e. the crisis.</v>
      </c>
      <c r="T982" s="12" t="b">
        <f>IFERROR(__xludf.DUMMYFUNCTION("""COMPUTED_VALUE"""),FALSE)</f>
        <v>0</v>
      </c>
      <c r="U982" s="12" t="b">
        <f>IFERROR(__xludf.DUMMYFUNCTION("""COMPUTED_VALUE"""),FALSE)</f>
        <v>0</v>
      </c>
      <c r="V982" s="13" t="str">
        <f>IFERROR(__xludf.DUMMYFUNCTION("""COMPUTED_VALUE"""),"https://www.kingdombuilders.com/missions/")</f>
        <v>https://www.kingdombuilders.com/missions/</v>
      </c>
      <c r="W982" s="14" t="str">
        <f>IFERROR(__xludf.DUMMYFUNCTION("""COMPUTED_VALUE"""),"https://maps.google.com/?q=Windsor%20Village%20Social%20Services%2012041%201%2F2%20Post%20Oak%20Rd%20Houston%20TX%2077045")</f>
        <v>https://maps.google.com/?q=Windsor%20Village%20Social%20Services%2012041%201%2F2%20Post%20Oak%20Rd%20Houston%20TX%2077045</v>
      </c>
      <c r="X982" s="10"/>
      <c r="Y982" s="9" t="str">
        <f>IFERROR(__xludf.DUMMYFUNCTION("""COMPUTED_VALUE"""),"Houston")</f>
        <v>Houston</v>
      </c>
      <c r="Z982" s="9" t="str">
        <f>IFERROR(__xludf.DUMMYFUNCTION("""COMPUTED_VALUE"""),"Brentwood, Central Southwest, Hiram Clarke")</f>
        <v>Brentwood, Central Southwest, Hiram Clarke</v>
      </c>
      <c r="AA982" s="9" t="str">
        <f>IFERROR(__xludf.DUMMYFUNCTION("""COMPUTED_VALUE"""),"Windsor Village Social Services")</f>
        <v>Windsor Village Social Services</v>
      </c>
      <c r="AB982" s="9" t="str">
        <f>IFERROR(__xludf.DUMMYFUNCTION("""COMPUTED_VALUE"""),"Central Southwest")</f>
        <v>Central Southwest</v>
      </c>
    </row>
    <row r="983" ht="30.0" customHeight="1">
      <c r="A983" s="17">
        <v>982.0</v>
      </c>
      <c r="B983" s="8" t="str">
        <f>IFERROR(__xludf.DUMMYFUNCTION("""COMPUTED_VALUE"""),"[""99999""]")</f>
        <v>["99999"]</v>
      </c>
      <c r="C983" s="9" t="str">
        <f>IFERROR(__xludf.DUMMYFUNCTION("""COMPUTED_VALUE"""),"Windsor Village Social Services")</f>
        <v>Windsor Village Social Services</v>
      </c>
      <c r="D983" s="9" t="str">
        <f>IFERROR(__xludf.DUMMYFUNCTION("""COMPUTED_VALUE"""),"12041 1/2 Post Oak Road")</f>
        <v>12041 1/2 Post Oak Road</v>
      </c>
      <c r="E983" s="9"/>
      <c r="F983" s="9" t="str">
        <f>IFERROR(__xludf.DUMMYFUNCTION("""COMPUTED_VALUE"""),"Houston")</f>
        <v>Houston</v>
      </c>
      <c r="G983" s="9" t="str">
        <f>IFERROR(__xludf.DUMMYFUNCTION("""COMPUTED_VALUE"""),"TX")</f>
        <v>TX</v>
      </c>
      <c r="H983" s="9" t="str">
        <f>IFERROR(__xludf.DUMMYFUNCTION("""COMPUTED_VALUE"""),"77045")</f>
        <v>77045</v>
      </c>
      <c r="I983" s="9" t="str">
        <f>IFERROR(__xludf.DUMMYFUNCTION("""COMPUTED_VALUE"""),"713-551-8792")</f>
        <v>713-551-8792</v>
      </c>
      <c r="J983" s="9" t="str">
        <f>IFERROR(__xludf.DUMMYFUNCTION("""COMPUTED_VALUE"""),"29.6471355, -95.4638366")</f>
        <v>29.6471355, -95.4638366</v>
      </c>
      <c r="K983" s="9" t="str">
        <f>IFERROR(__xludf.DUMMYFUNCTION("""COMPUTED_VALUE"""),"{""regular"":[{""days"":[""Tu"",""We""],""open"":""09:00"",""close"":""12:00""},{""days"":[""Th""],""open"":""10:30"",""close"":""12:30""}]}")</f>
        <v>{"regular":[{"days":["Tu","We"],"open":"09:00","close":"12:00"},{"days":["Th"],"open":"10:30","close":"12:30"}]}</v>
      </c>
      <c r="L983" s="9"/>
      <c r="M983" s="10">
        <f>IFERROR(__xludf.DUMMYFUNCTION("""COMPUTED_VALUE"""),13.0)</f>
        <v>13</v>
      </c>
      <c r="N983" s="10" t="str">
        <f>IFERROR(__xludf.DUMMYFUNCTION("""COMPUTED_VALUE"""),"Food")</f>
        <v>Food</v>
      </c>
      <c r="O983" s="10">
        <f>IFERROR(__xludf.DUMMYFUNCTION("""COMPUTED_VALUE"""),1.0)</f>
        <v>1</v>
      </c>
      <c r="P983" s="10" t="str">
        <f>IFERROR(__xludf.DUMMYFUNCTION("""COMPUTED_VALUE"""),"ACTIVE")</f>
        <v>ACTIVE</v>
      </c>
      <c r="Q983" s="11"/>
      <c r="R983" s="9"/>
      <c r="S983" s="9" t="str">
        <f>IFERROR(__xludf.DUMMYFUNCTION("""COMPUTED_VALUE"""),"Call to confirm requirements and availability.")</f>
        <v>Call to confirm requirements and availability.</v>
      </c>
      <c r="T983" s="12" t="b">
        <f>IFERROR(__xludf.DUMMYFUNCTION("""COMPUTED_VALUE"""),FALSE)</f>
        <v>0</v>
      </c>
      <c r="U983" s="12" t="b">
        <f>IFERROR(__xludf.DUMMYFUNCTION("""COMPUTED_VALUE"""),FALSE)</f>
        <v>0</v>
      </c>
      <c r="V983" s="13" t="str">
        <f>IFERROR(__xludf.DUMMYFUNCTION("""COMPUTED_VALUE"""),"https://www.kingdombuilders.com/missions/")</f>
        <v>https://www.kingdombuilders.com/missions/</v>
      </c>
      <c r="W983" s="14" t="str">
        <f>IFERROR(__xludf.DUMMYFUNCTION("""COMPUTED_VALUE"""),"https://maps.google.com/?q=Windsor%20Village%20Social%20Services%2012041%201%2F2%20Post%20Oak%20Rd%20Houston%20TX%2077045")</f>
        <v>https://maps.google.com/?q=Windsor%20Village%20Social%20Services%2012041%201%2F2%20Post%20Oak%20Rd%20Houston%20TX%2077045</v>
      </c>
      <c r="X983" s="10"/>
      <c r="Y983" s="9" t="str">
        <f>IFERROR(__xludf.DUMMYFUNCTION("""COMPUTED_VALUE"""),"Houston")</f>
        <v>Houston</v>
      </c>
      <c r="Z983" s="9" t="str">
        <f>IFERROR(__xludf.DUMMYFUNCTION("""COMPUTED_VALUE"""),"Brentwood, Central Southwest, Hiram Clarke")</f>
        <v>Brentwood, Central Southwest, Hiram Clarke</v>
      </c>
      <c r="AA983" s="9" t="str">
        <f>IFERROR(__xludf.DUMMYFUNCTION("""COMPUTED_VALUE"""),"Windsor Village Social Services")</f>
        <v>Windsor Village Social Services</v>
      </c>
      <c r="AB983" s="9" t="str">
        <f>IFERROR(__xludf.DUMMYFUNCTION("""COMPUTED_VALUE"""),"Central Southwest")</f>
        <v>Central Southwest</v>
      </c>
    </row>
    <row r="984" ht="30.0" customHeight="1">
      <c r="A984" s="17">
        <v>983.0</v>
      </c>
      <c r="B984" s="8" t="str">
        <f>IFERROR(__xludf.DUMMYFUNCTION("""COMPUTED_VALUE"""),"[""99999""]")</f>
        <v>["99999"]</v>
      </c>
      <c r="C984" s="9" t="str">
        <f>IFERROR(__xludf.DUMMYFUNCTION("""COMPUTED_VALUE"""),"WorkFaith - Main Campus")</f>
        <v>WorkFaith - Main Campus</v>
      </c>
      <c r="D984" s="9" t="str">
        <f>IFERROR(__xludf.DUMMYFUNCTION("""COMPUTED_VALUE"""),"4555 Dacoma Street")</f>
        <v>4555 Dacoma Street</v>
      </c>
      <c r="E984" s="9"/>
      <c r="F984" s="9" t="str">
        <f>IFERROR(__xludf.DUMMYFUNCTION("""COMPUTED_VALUE"""),"Houston")</f>
        <v>Houston</v>
      </c>
      <c r="G984" s="9" t="str">
        <f>IFERROR(__xludf.DUMMYFUNCTION("""COMPUTED_VALUE"""),"TX")</f>
        <v>TX</v>
      </c>
      <c r="H984" s="9" t="str">
        <f>IFERROR(__xludf.DUMMYFUNCTION("""COMPUTED_VALUE"""),"77092")</f>
        <v>77092</v>
      </c>
      <c r="I984" s="9" t="str">
        <f>IFERROR(__xludf.DUMMYFUNCTION("""COMPUTED_VALUE"""),"713-984-9611")</f>
        <v>713-984-9611</v>
      </c>
      <c r="J984" s="9" t="str">
        <f>IFERROR(__xludf.DUMMYFUNCTION("""COMPUTED_VALUE"""),"29.808534494320423, -95.45471283711105")</f>
        <v>29.808534494320423, -95.45471283711105</v>
      </c>
      <c r="K984" s="9" t="str">
        <f>IFERROR(__xludf.DUMMYFUNCTION("""COMPUTED_VALUE"""),"{""regular"":[{""days"":[""Mo"",""Tu"",""We"",""Th"",""Fr""],""open"":""08:00"",""close"":""16:00""}]}")</f>
        <v>{"regular":[{"days":["Mo","Tu","We","Th","Fr"],"open":"08:00","close":"16:00"}]}</v>
      </c>
      <c r="L984" s="9"/>
      <c r="M984" s="10">
        <f>IFERROR(__xludf.DUMMYFUNCTION("""COMPUTED_VALUE"""),52.0)</f>
        <v>52</v>
      </c>
      <c r="N984" s="10" t="str">
        <f>IFERROR(__xludf.DUMMYFUNCTION("""COMPUTED_VALUE"""),"Jobs")</f>
        <v>Jobs</v>
      </c>
      <c r="O984" s="10">
        <f>IFERROR(__xludf.DUMMYFUNCTION("""COMPUTED_VALUE"""),1.0)</f>
        <v>1</v>
      </c>
      <c r="P984" s="10" t="str">
        <f>IFERROR(__xludf.DUMMYFUNCTION("""COMPUTED_VALUE"""),"ACTIVE")</f>
        <v>ACTIVE</v>
      </c>
      <c r="Q984" s="11">
        <f>IFERROR(__xludf.DUMMYFUNCTION("""COMPUTED_VALUE"""),45885.0)</f>
        <v>45885</v>
      </c>
      <c r="R984" s="9" t="str">
        <f>IFERROR(__xludf.DUMMYFUNCTION("""COMPUTED_VALUE"""),"Verified online")</f>
        <v>Verified online</v>
      </c>
      <c r="S984" s="9" t="str">
        <f>IFERROR(__xludf.DUMMYFUNCTION("""COMPUTED_VALUE"""),"In-person and online job readiness training programs.
Group and one-on-one career coaching.
Certification programs in Building Maintenance, Carpentry, Child Development, Commercial and Residential Electrical, HVAC, Masonry, Plumbing and Welding.")</f>
        <v>In-person and online job readiness training programs.
Group and one-on-one career coaching.
Certification programs in Building Maintenance, Carpentry, Child Development, Commercial and Residential Electrical, HVAC, Masonry, Plumbing and Welding.</v>
      </c>
      <c r="T984" s="12" t="b">
        <f>IFERROR(__xludf.DUMMYFUNCTION("""COMPUTED_VALUE"""),FALSE)</f>
        <v>0</v>
      </c>
      <c r="U984" s="12" t="b">
        <f>IFERROR(__xludf.DUMMYFUNCTION("""COMPUTED_VALUE"""),FALSE)</f>
        <v>0</v>
      </c>
      <c r="V984" s="13" t="str">
        <f>IFERROR(__xludf.DUMMYFUNCTION("""COMPUTED_VALUE"""),"https://workfaith.org")</f>
        <v>https://workfaith.org</v>
      </c>
      <c r="W984" s="14" t="str">
        <f>IFERROR(__xludf.DUMMYFUNCTION("""COMPUTED_VALUE"""),"https://www.google.com/maps/place/WorkFaith/@29.830246,-95.4952175,14z/data=!4m15!1m8!3m7!1s0x8640c6768bc2b35b:0xa5c1f41b935ff4e0!2sHouston,+TX+77092!3b1!8m2!3d29.8265052!4d-95.4672962!16s%2Fm%2F0212z4_!3m5!1s0x8640c6eb4530d1d1:0xcfc841a23242de3a!8m2!3d29"&amp;".80739!4d-95.4546601!16s%2Fg%2F1tdwkw_p?entry=ttu&amp;g_ep=EgoyMDI1MDgxMy4wIKXMDSoASAFQAw%3D%3D")</f>
        <v>https://www.google.com/maps/place/WorkFaith/@29.830246,-95.4952175,14z/data=!4m15!1m8!3m7!1s0x8640c6768bc2b35b:0xa5c1f41b935ff4e0!2sHouston,+TX+77092!3b1!8m2!3d29.8265052!4d-95.4672962!16s%2Fm%2F0212z4_!3m5!1s0x8640c6eb4530d1d1:0xcfc841a23242de3a!8m2!3d29.80739!4d-95.4546601!16s%2Fg%2F1tdwkw_p?entry=ttu&amp;g_ep=EgoyMDI1MDgxMy4wIKXMDSoASAFQAw%3D%3D</v>
      </c>
      <c r="X984" s="10"/>
      <c r="Y984" s="9" t="str">
        <f>IFERROR(__xludf.DUMMYFUNCTION("""COMPUTED_VALUE"""),"Houston")</f>
        <v>Houston</v>
      </c>
      <c r="Z984" s="9" t="str">
        <f>IFERROR(__xludf.DUMMYFUNCTION("""COMPUTED_VALUE"""),"Central Northwest, Fairbanks / Northwest Crossing, Lazybrook / Timbergrove, Oak Forest West, Westside")</f>
        <v>Central Northwest, Fairbanks / Northwest Crossing, Lazybrook / Timbergrove, Oak Forest West, Westside</v>
      </c>
      <c r="AA984" s="9" t="str">
        <f>IFERROR(__xludf.DUMMYFUNCTION("""COMPUTED_VALUE"""),"WorkFaith")</f>
        <v>WorkFaith</v>
      </c>
      <c r="AB984" s="9" t="str">
        <f>IFERROR(__xludf.DUMMYFUNCTION("""COMPUTED_VALUE"""),"Lazybrook / Timbergrove")</f>
        <v>Lazybrook / Timbergrove</v>
      </c>
    </row>
    <row r="985" ht="30.0" customHeight="1">
      <c r="A985" s="17">
        <v>984.0</v>
      </c>
      <c r="B985" s="8" t="str">
        <f>IFERROR(__xludf.DUMMYFUNCTION("""COMPUTED_VALUE"""),"[""99999""]")</f>
        <v>["99999"]</v>
      </c>
      <c r="C985" s="9" t="str">
        <f>IFERROR(__xludf.DUMMYFUNCTION("""COMPUTED_VALUE"""),"WorkFaith - Satellite Campus")</f>
        <v>WorkFaith - Satellite Campus</v>
      </c>
      <c r="D985" s="9" t="str">
        <f>IFERROR(__xludf.DUMMYFUNCTION("""COMPUTED_VALUE"""),"2575 Reed Road")</f>
        <v>2575 Reed Road</v>
      </c>
      <c r="E985" s="9"/>
      <c r="F985" s="9" t="str">
        <f>IFERROR(__xludf.DUMMYFUNCTION("""COMPUTED_VALUE"""),"Houston")</f>
        <v>Houston</v>
      </c>
      <c r="G985" s="9" t="str">
        <f>IFERROR(__xludf.DUMMYFUNCTION("""COMPUTED_VALUE"""),"TX")</f>
        <v>TX</v>
      </c>
      <c r="H985" s="9" t="str">
        <f>IFERROR(__xludf.DUMMYFUNCTION("""COMPUTED_VALUE"""),"77051")</f>
        <v>77051</v>
      </c>
      <c r="I985" s="9" t="str">
        <f>IFERROR(__xludf.DUMMYFUNCTION("""COMPUTED_VALUE"""),"713-984-9611 or 713-520-2055")</f>
        <v>713-984-9611 or 713-520-2055</v>
      </c>
      <c r="J985" s="9" t="str">
        <f>IFERROR(__xludf.DUMMYFUNCTION("""COMPUTED_VALUE"""),"29.65961156494774, -95.39284067713568")</f>
        <v>29.65961156494774, -95.39284067713568</v>
      </c>
      <c r="K985" s="9" t="str">
        <f>IFERROR(__xludf.DUMMYFUNCTION("""COMPUTED_VALUE"""),"{""regular"":[{""days"":[""Mo"",""Tu"",""We"",""Th"",""Fr""],""open"":""08:00"",""close"":""16:00""}]}")</f>
        <v>{"regular":[{"days":["Mo","Tu","We","Th","Fr"],"open":"08:00","close":"16:00"}]}</v>
      </c>
      <c r="L985" s="9"/>
      <c r="M985" s="10">
        <f>IFERROR(__xludf.DUMMYFUNCTION("""COMPUTED_VALUE"""),52.0)</f>
        <v>52</v>
      </c>
      <c r="N985" s="10" t="str">
        <f>IFERROR(__xludf.DUMMYFUNCTION("""COMPUTED_VALUE"""),"Jobs")</f>
        <v>Jobs</v>
      </c>
      <c r="O985" s="10">
        <f>IFERROR(__xludf.DUMMYFUNCTION("""COMPUTED_VALUE"""),1.0)</f>
        <v>1</v>
      </c>
      <c r="P985" s="10" t="str">
        <f>IFERROR(__xludf.DUMMYFUNCTION("""COMPUTED_VALUE"""),"ACTIVE")</f>
        <v>ACTIVE</v>
      </c>
      <c r="Q985" s="11">
        <f>IFERROR(__xludf.DUMMYFUNCTION("""COMPUTED_VALUE"""),45885.0)</f>
        <v>45885</v>
      </c>
      <c r="R985" s="9" t="str">
        <f>IFERROR(__xludf.DUMMYFUNCTION("""COMPUTED_VALUE"""),"Verified online")</f>
        <v>Verified online</v>
      </c>
      <c r="S985" s="9" t="str">
        <f>IFERROR(__xludf.DUMMYFUNCTION("""COMPUTED_VALUE"""),"In-person and online job readiness training programs.
Group and one-on-one career coaching.
Certification programs in Building Maintenance, Carpentry, Child Development, Commercial and Residential Electrical, HVAC, Masonry, Plumbing and Welding.")</f>
        <v>In-person and online job readiness training programs.
Group and one-on-one career coaching.
Certification programs in Building Maintenance, Carpentry, Child Development, Commercial and Residential Electrical, HVAC, Masonry, Plumbing and Welding.</v>
      </c>
      <c r="T985" s="12" t="b">
        <f>IFERROR(__xludf.DUMMYFUNCTION("""COMPUTED_VALUE"""),FALSE)</f>
        <v>0</v>
      </c>
      <c r="U985" s="12" t="b">
        <f>IFERROR(__xludf.DUMMYFUNCTION("""COMPUTED_VALUE"""),FALSE)</f>
        <v>0</v>
      </c>
      <c r="V985" s="13" t="str">
        <f>IFERROR(__xludf.DUMMYFUNCTION("""COMPUTED_VALUE"""),"https://workfaith.org")</f>
        <v>https://workfaith.org</v>
      </c>
      <c r="W985" s="14" t="str">
        <f>IFERROR(__xludf.DUMMYFUNCTION("""COMPUTED_VALUE"""),"https://www.google.com/maps/place/WorkFaith/@29.659502,-95.394155,18z/data=!4m6!3m5!1s0x8640bf792ee92aff:0xadb423e2e11c744b!8m2!3d29.6594974!4d-95.3928675!16s%2Fg%2F1txnpvkg?entry=ttu&amp;g_ep=EgoyMDI1MDgxMy4wIKXMDSoASAFQAw%3D%3D")</f>
        <v>https://www.google.com/maps/place/WorkFaith/@29.659502,-95.394155,18z/data=!4m6!3m5!1s0x8640bf792ee92aff:0xadb423e2e11c744b!8m2!3d29.6594974!4d-95.3928675!16s%2Fg%2F1txnpvkg?entry=ttu&amp;g_ep=EgoyMDI1MDgxMy4wIKXMDSoASAFQAw%3D%3D</v>
      </c>
      <c r="X985" s="10"/>
      <c r="Y985" s="9" t="str">
        <f>IFERROR(__xludf.DUMMYFUNCTION("""COMPUTED_VALUE"""),"Houston")</f>
        <v>Houston</v>
      </c>
      <c r="Z985" s="9" t="str">
        <f>IFERROR(__xludf.DUMMYFUNCTION("""COMPUTED_VALUE"""),"Central Southwest, South Park, South Side, Sunnyside")</f>
        <v>Central Southwest, South Park, South Side, Sunnyside</v>
      </c>
      <c r="AA985" s="9" t="str">
        <f>IFERROR(__xludf.DUMMYFUNCTION("""COMPUTED_VALUE"""),"WorkFaith")</f>
        <v>WorkFaith</v>
      </c>
      <c r="AB985" s="9" t="str">
        <f>IFERROR(__xludf.DUMMYFUNCTION("""COMPUTED_VALUE"""),"Central Southwest")</f>
        <v>Central Southwest</v>
      </c>
    </row>
    <row r="986" ht="30.0" customHeight="1">
      <c r="A986" s="17">
        <v>985.0</v>
      </c>
      <c r="B986" s="8" t="str">
        <f>IFERROR(__xludf.DUMMYFUNCTION("""COMPUTED_VALUE"""),"[""99999""]")</f>
        <v>["99999"]</v>
      </c>
      <c r="C986" s="9" t="str">
        <f>IFERROR(__xludf.DUMMYFUNCTION("""COMPUTED_VALUE"""),"Workforce Solutions")</f>
        <v>Workforce Solutions</v>
      </c>
      <c r="D986" s="9" t="str">
        <f>IFERROR(__xludf.DUMMYFUNCTION("""COMPUTED_VALUE"""),"9315 Stella Link Road")</f>
        <v>9315 Stella Link Road</v>
      </c>
      <c r="E986" s="9"/>
      <c r="F986" s="9" t="str">
        <f>IFERROR(__xludf.DUMMYFUNCTION("""COMPUTED_VALUE"""),"Houston")</f>
        <v>Houston</v>
      </c>
      <c r="G986" s="9" t="str">
        <f>IFERROR(__xludf.DUMMYFUNCTION("""COMPUTED_VALUE"""),"TX")</f>
        <v>TX</v>
      </c>
      <c r="H986" s="9" t="str">
        <f>IFERROR(__xludf.DUMMYFUNCTION("""COMPUTED_VALUE"""),"77025")</f>
        <v>77025</v>
      </c>
      <c r="I986" s="9" t="str">
        <f>IFERROR(__xludf.DUMMYFUNCTION("""COMPUTED_VALUE"""),"713-334-5980")</f>
        <v>713-334-5980</v>
      </c>
      <c r="J986" s="9" t="str">
        <f>IFERROR(__xludf.DUMMYFUNCTION("""COMPUTED_VALUE"""),"29.6815522474227, -95.4398715360825")</f>
        <v>29.6815522474227, -95.4398715360825</v>
      </c>
      <c r="K986" s="9" t="str">
        <f>IFERROR(__xludf.DUMMYFUNCTION("""COMPUTED_VALUE"""),"{""regular"":[{""days"":[""Mo"",""Tu"",""We"",""Th"",""Fr""],""open"":""07:00"",""close"":""19:00""}]}")</f>
        <v>{"regular":[{"days":["Mo","Tu","We","Th","Fr"],"open":"07:00","close":"19:00"}]}</v>
      </c>
      <c r="L986" s="9"/>
      <c r="M986" s="10">
        <f>IFERROR(__xludf.DUMMYFUNCTION("""COMPUTED_VALUE"""),44.0)</f>
        <v>44</v>
      </c>
      <c r="N986" s="10" t="str">
        <f>IFERROR(__xludf.DUMMYFUNCTION("""COMPUTED_VALUE"""),"Mother &amp; Child")</f>
        <v>Mother &amp; Child</v>
      </c>
      <c r="O986" s="10">
        <f>IFERROR(__xludf.DUMMYFUNCTION("""COMPUTED_VALUE"""),2.0)</f>
        <v>2</v>
      </c>
      <c r="P986" s="10" t="str">
        <f>IFERROR(__xludf.DUMMYFUNCTION("""COMPUTED_VALUE"""),"LIMITED")</f>
        <v>LIMITED</v>
      </c>
      <c r="Q986" s="11">
        <f>IFERROR(__xludf.DUMMYFUNCTION("""COMPUTED_VALUE"""),45817.0)</f>
        <v>45817</v>
      </c>
      <c r="R986" s="9" t="str">
        <f>IFERROR(__xludf.DUMMYFUNCTION("""COMPUTED_VALUE"""),"17 month waitlist")</f>
        <v>17 month waitlist</v>
      </c>
      <c r="S986" s="9" t="str">
        <f>IFERROR(__xludf.DUMMYFUNCTION("""COMPUTED_VALUE"""),"Financial assistance for childcare
US Citizens/Permanent Residents.")</f>
        <v>Financial assistance for childcare
US Citizens/Permanent Residents.</v>
      </c>
      <c r="T986" s="12" t="b">
        <f>IFERROR(__xludf.DUMMYFUNCTION("""COMPUTED_VALUE"""),FALSE)</f>
        <v>0</v>
      </c>
      <c r="U986" s="12" t="b">
        <f>IFERROR(__xludf.DUMMYFUNCTION("""COMPUTED_VALUE"""),FALSE)</f>
        <v>0</v>
      </c>
      <c r="V986" s="13" t="str">
        <f>IFERROR(__xludf.DUMMYFUNCTION("""COMPUTED_VALUE"""),"https://www.wrksolutions.com/for-individuals/financial-aid/financial-assistance-for-child-care")</f>
        <v>https://www.wrksolutions.com/for-individuals/financial-aid/financial-assistance-for-child-care</v>
      </c>
      <c r="W986" s="10"/>
      <c r="X986" s="10"/>
      <c r="Y986" s="9" t="str">
        <f>IFERROR(__xludf.DUMMYFUNCTION("""COMPUTED_VALUE"""),"Houston")</f>
        <v>Houston</v>
      </c>
      <c r="Z986" s="9" t="str">
        <f>IFERROR(__xludf.DUMMYFUNCTION("""COMPUTED_VALUE"""),"Braeswood, Braeswood Place, Knollwood Village")</f>
        <v>Braeswood, Braeswood Place, Knollwood Village</v>
      </c>
      <c r="AA986" s="9" t="str">
        <f>IFERROR(__xludf.DUMMYFUNCTION("""COMPUTED_VALUE"""),"Workforce Solutions")</f>
        <v>Workforce Solutions</v>
      </c>
      <c r="AB986" s="9" t="str">
        <f>IFERROR(__xludf.DUMMYFUNCTION("""COMPUTED_VALUE"""),"Braeswood")</f>
        <v>Braeswood</v>
      </c>
    </row>
    <row r="987" ht="30.0" customHeight="1">
      <c r="A987" s="17">
        <v>986.0</v>
      </c>
      <c r="B987" s="8" t="str">
        <f>IFERROR(__xludf.DUMMYFUNCTION("""COMPUTED_VALUE"""),"[""99999""]")</f>
        <v>["99999"]</v>
      </c>
      <c r="C987" s="9" t="str">
        <f>IFERROR(__xludf.DUMMYFUNCTION("""COMPUTED_VALUE"""),"Workforce Solutions")</f>
        <v>Workforce Solutions</v>
      </c>
      <c r="D987" s="9" t="str">
        <f>IFERROR(__xludf.DUMMYFUNCTION("""COMPUTED_VALUE"""),"9315 Stella Link Road")</f>
        <v>9315 Stella Link Road</v>
      </c>
      <c r="E987" s="9"/>
      <c r="F987" s="9" t="str">
        <f>IFERROR(__xludf.DUMMYFUNCTION("""COMPUTED_VALUE"""),"Houston")</f>
        <v>Houston</v>
      </c>
      <c r="G987" s="9" t="str">
        <f>IFERROR(__xludf.DUMMYFUNCTION("""COMPUTED_VALUE"""),"TX")</f>
        <v>TX</v>
      </c>
      <c r="H987" s="9" t="str">
        <f>IFERROR(__xludf.DUMMYFUNCTION("""COMPUTED_VALUE"""),"77025")</f>
        <v>77025</v>
      </c>
      <c r="I987" s="9" t="str">
        <f>IFERROR(__xludf.DUMMYFUNCTION("""COMPUTED_VALUE"""),"713-661-3220")</f>
        <v>713-661-3220</v>
      </c>
      <c r="J987" s="9" t="str">
        <f>IFERROR(__xludf.DUMMYFUNCTION("""COMPUTED_VALUE"""),"29.6815522474227, -95.4398715360825")</f>
        <v>29.6815522474227, -95.4398715360825</v>
      </c>
      <c r="K987" s="9" t="str">
        <f>IFERROR(__xludf.DUMMYFUNCTION("""COMPUTED_VALUE"""),"{""regular"":[{""days"":[""Mo"",""Tu"",""We"",""Th"",""Fr""],""open"":""08:00"",""close"":""17:00""}]}")</f>
        <v>{"regular":[{"days":["Mo","Tu","We","Th","Fr"],"open":"08:00","close":"17:00"}]}</v>
      </c>
      <c r="L987" s="9"/>
      <c r="M987" s="10">
        <f>IFERROR(__xludf.DUMMYFUNCTION("""COMPUTED_VALUE"""),52.0)</f>
        <v>52</v>
      </c>
      <c r="N987" s="10" t="str">
        <f>IFERROR(__xludf.DUMMYFUNCTION("""COMPUTED_VALUE"""),"Jobs")</f>
        <v>Jobs</v>
      </c>
      <c r="O987" s="10">
        <f>IFERROR(__xludf.DUMMYFUNCTION("""COMPUTED_VALUE"""),1.0)</f>
        <v>1</v>
      </c>
      <c r="P987" s="10" t="str">
        <f>IFERROR(__xludf.DUMMYFUNCTION("""COMPUTED_VALUE"""),"ACTIVE")</f>
        <v>ACTIVE</v>
      </c>
      <c r="Q987" s="11">
        <f>IFERROR(__xludf.DUMMYFUNCTION("""COMPUTED_VALUE"""),45761.0)</f>
        <v>45761</v>
      </c>
      <c r="R987" s="9" t="str">
        <f>IFERROR(__xludf.DUMMYFUNCTION("""COMPUTED_VALUE"""),"SVdP Church Help for Moms Ministry")</f>
        <v>SVdP Church Help for Moms Ministry</v>
      </c>
      <c r="S987" s="9" t="str">
        <f>IFERROR(__xludf.DUMMYFUNCTION("""COMPUTED_VALUE"""),"Multiple locations, including resume, training, vocational rehabilitation
Job search help
Financial assistance for childcare, training or work support to start a job
US Citizens/Permanent Residents.")</f>
        <v>Multiple locations, including resume, training, vocational rehabilitation
Job search help
Financial assistance for childcare, training or work support to start a job
US Citizens/Permanent Residents.</v>
      </c>
      <c r="T987" s="12" t="b">
        <f>IFERROR(__xludf.DUMMYFUNCTION("""COMPUTED_VALUE"""),FALSE)</f>
        <v>0</v>
      </c>
      <c r="U987" s="12" t="b">
        <f>IFERROR(__xludf.DUMMYFUNCTION("""COMPUTED_VALUE"""),FALSE)</f>
        <v>0</v>
      </c>
      <c r="V987" s="13" t="str">
        <f>IFERROR(__xludf.DUMMYFUNCTION("""COMPUTED_VALUE"""),"https://www.wrksolutions.com/")</f>
        <v>https://www.wrksolutions.com/</v>
      </c>
      <c r="W987" s="10"/>
      <c r="X987" s="10"/>
      <c r="Y987" s="9" t="str">
        <f>IFERROR(__xludf.DUMMYFUNCTION("""COMPUTED_VALUE"""),"Houston")</f>
        <v>Houston</v>
      </c>
      <c r="Z987" s="9" t="str">
        <f>IFERROR(__xludf.DUMMYFUNCTION("""COMPUTED_VALUE"""),"Braeswood, Braeswood Place, Knollwood Village")</f>
        <v>Braeswood, Braeswood Place, Knollwood Village</v>
      </c>
      <c r="AA987" s="9" t="str">
        <f>IFERROR(__xludf.DUMMYFUNCTION("""COMPUTED_VALUE"""),"Workforce Solutions")</f>
        <v>Workforce Solutions</v>
      </c>
      <c r="AB987" s="9" t="str">
        <f>IFERROR(__xludf.DUMMYFUNCTION("""COMPUTED_VALUE"""),"Braeswood")</f>
        <v>Braeswood</v>
      </c>
    </row>
    <row r="988" ht="30.0" customHeight="1">
      <c r="A988" s="17">
        <v>987.0</v>
      </c>
      <c r="B988" s="8" t="str">
        <f>IFERROR(__xludf.DUMMYFUNCTION("""COMPUTED_VALUE"""),"[""99999""]")</f>
        <v>["99999"]</v>
      </c>
      <c r="C988" s="9" t="str">
        <f>IFERROR(__xludf.DUMMYFUNCTION("""COMPUTED_VALUE"""),"YMCA International Services")</f>
        <v>YMCA International Services</v>
      </c>
      <c r="D988" s="9" t="str">
        <f>IFERROR(__xludf.DUMMYFUNCTION("""COMPUTED_VALUE"""),"3110 Hayes Road")</f>
        <v>3110 Hayes Road</v>
      </c>
      <c r="E988" s="9" t="str">
        <f>IFERROR(__xludf.DUMMYFUNCTION("""COMPUTED_VALUE"""),"Suite 300")</f>
        <v>Suite 300</v>
      </c>
      <c r="F988" s="9" t="str">
        <f>IFERROR(__xludf.DUMMYFUNCTION("""COMPUTED_VALUE"""),"Houston")</f>
        <v>Houston</v>
      </c>
      <c r="G988" s="9" t="str">
        <f>IFERROR(__xludf.DUMMYFUNCTION("""COMPUTED_VALUE"""),"TX")</f>
        <v>TX</v>
      </c>
      <c r="H988" s="9" t="str">
        <f>IFERROR(__xludf.DUMMYFUNCTION("""COMPUTED_VALUE"""),"77082")</f>
        <v>77082</v>
      </c>
      <c r="I988" s="9" t="str">
        <f>IFERROR(__xludf.DUMMYFUNCTION("""COMPUTED_VALUE"""),"713-758-9280")</f>
        <v>713-758-9280</v>
      </c>
      <c r="J988" s="9" t="str">
        <f>IFERROR(__xludf.DUMMYFUNCTION("""COMPUTED_VALUE"""),"29.7325430714286, -95.5755774387755")</f>
        <v>29.7325430714286, -95.5755774387755</v>
      </c>
      <c r="K988" s="9" t="str">
        <f>IFERROR(__xludf.DUMMYFUNCTION("""COMPUTED_VALUE"""),"{""regular"":[{""days"":[""Mo"",""Tu"",""We"",""Th"",""Fr""],""open"":null,""close"":null}]}")</f>
        <v>{"regular":[{"days":["Mo","Tu","We","Th","Fr"],"open":null,"close":null}]}</v>
      </c>
      <c r="L988" s="9"/>
      <c r="M988" s="10">
        <f>IFERROR(__xludf.DUMMYFUNCTION("""COMPUTED_VALUE"""),55.0)</f>
        <v>55</v>
      </c>
      <c r="N988" s="10" t="str">
        <f>IFERROR(__xludf.DUMMYFUNCTION("""COMPUTED_VALUE"""),"Immigration")</f>
        <v>Immigration</v>
      </c>
      <c r="O988" s="10">
        <f>IFERROR(__xludf.DUMMYFUNCTION("""COMPUTED_VALUE"""),2.0)</f>
        <v>2</v>
      </c>
      <c r="P988" s="10" t="str">
        <f>IFERROR(__xludf.DUMMYFUNCTION("""COMPUTED_VALUE"""),"LIMITED")</f>
        <v>LIMITED</v>
      </c>
      <c r="Q988" s="11">
        <f>IFERROR(__xludf.DUMMYFUNCTION("""COMPUTED_VALUE"""),45893.0)</f>
        <v>45893</v>
      </c>
      <c r="R988" s="9"/>
      <c r="S988" s="9" t="str">
        <f>IFERROR(__xludf.DUMMYFUNCTION("""COMPUTED_VALUE"""),"Unable to verify if services still available")</f>
        <v>Unable to verify if services still available</v>
      </c>
      <c r="T988" s="12" t="b">
        <f>IFERROR(__xludf.DUMMYFUNCTION("""COMPUTED_VALUE"""),FALSE)</f>
        <v>0</v>
      </c>
      <c r="U988" s="12" t="b">
        <f>IFERROR(__xludf.DUMMYFUNCTION("""COMPUTED_VALUE"""),FALSE)</f>
        <v>0</v>
      </c>
      <c r="V988" s="13" t="str">
        <f>IFERROR(__xludf.DUMMYFUNCTION("""COMPUTED_VALUE"""),"https://ymcahouston.org/locations/ymca-international-services/programs")</f>
        <v>https://ymcahouston.org/locations/ymca-international-services/programs</v>
      </c>
      <c r="W988" s="10"/>
      <c r="X988" s="10"/>
      <c r="Y988" s="9" t="str">
        <f>IFERROR(__xludf.DUMMYFUNCTION("""COMPUTED_VALUE"""),"Houston")</f>
        <v>Houston</v>
      </c>
      <c r="Z988" s="9" t="str">
        <f>IFERROR(__xludf.DUMMYFUNCTION("""COMPUTED_VALUE"""),"Alief, Eldridge/West Oaks, Westside")</f>
        <v>Alief, Eldridge/West Oaks, Westside</v>
      </c>
      <c r="AA988" s="9" t="str">
        <f>IFERROR(__xludf.DUMMYFUNCTION("""COMPUTED_VALUE"""),"YMCA International Services")</f>
        <v>YMCA International Services</v>
      </c>
      <c r="AB988" s="9" t="str">
        <f>IFERROR(__xludf.DUMMYFUNCTION("""COMPUTED_VALUE"""),"Westside")</f>
        <v>Westside</v>
      </c>
    </row>
    <row r="989" ht="30.0" customHeight="1">
      <c r="A989" s="17" t="s">
        <v>1</v>
      </c>
      <c r="B989" s="8"/>
      <c r="C989" s="9"/>
      <c r="D989" s="9"/>
      <c r="E989" s="9"/>
      <c r="F989" s="9"/>
      <c r="G989" s="9"/>
      <c r="H989" s="9"/>
      <c r="I989" s="9"/>
      <c r="J989" s="9"/>
      <c r="K989" s="9"/>
      <c r="L989" s="9"/>
      <c r="M989" s="10"/>
      <c r="N989" s="10"/>
      <c r="O989" s="10"/>
      <c r="P989" s="10"/>
      <c r="Q989" s="10"/>
      <c r="R989" s="9"/>
      <c r="S989" s="9"/>
      <c r="T989" s="12"/>
      <c r="U989" s="12"/>
      <c r="V989" s="12"/>
      <c r="W989" s="10"/>
      <c r="X989" s="10"/>
      <c r="Y989" s="9"/>
      <c r="Z989" s="9"/>
      <c r="AA989" s="9"/>
      <c r="AB989" s="9"/>
    </row>
    <row r="990" ht="30.0" customHeight="1">
      <c r="A990" s="17" t="s">
        <v>1</v>
      </c>
      <c r="B990" s="8"/>
      <c r="C990" s="9"/>
      <c r="D990" s="9"/>
      <c r="E990" s="9"/>
      <c r="F990" s="9"/>
      <c r="G990" s="9"/>
      <c r="H990" s="9"/>
      <c r="I990" s="9"/>
      <c r="J990" s="9"/>
      <c r="K990" s="9"/>
      <c r="L990" s="9"/>
      <c r="M990" s="10"/>
      <c r="N990" s="10"/>
      <c r="O990" s="10"/>
      <c r="P990" s="10"/>
      <c r="Q990" s="10"/>
      <c r="R990" s="9"/>
      <c r="S990" s="9"/>
      <c r="T990" s="12"/>
      <c r="U990" s="12"/>
      <c r="V990" s="12"/>
      <c r="W990" s="10"/>
      <c r="X990" s="10"/>
      <c r="Y990" s="9"/>
      <c r="Z990" s="9"/>
      <c r="AA990" s="9"/>
      <c r="AB990" s="9"/>
    </row>
    <row r="991" ht="30.0" customHeight="1">
      <c r="A991" s="17" t="s">
        <v>1</v>
      </c>
      <c r="B991" s="8"/>
      <c r="C991" s="9"/>
      <c r="D991" s="9"/>
      <c r="E991" s="9"/>
      <c r="F991" s="9"/>
      <c r="G991" s="9"/>
      <c r="H991" s="9"/>
      <c r="I991" s="9"/>
      <c r="J991" s="9"/>
      <c r="K991" s="9"/>
      <c r="L991" s="9"/>
      <c r="M991" s="10"/>
      <c r="N991" s="10"/>
      <c r="O991" s="10"/>
      <c r="P991" s="10"/>
      <c r="Q991" s="10"/>
      <c r="R991" s="9"/>
      <c r="S991" s="9"/>
      <c r="T991" s="12"/>
      <c r="U991" s="12"/>
      <c r="V991" s="12"/>
      <c r="W991" s="10"/>
      <c r="X991" s="10"/>
      <c r="Y991" s="9"/>
      <c r="Z991" s="9"/>
      <c r="AA991" s="9"/>
      <c r="AB991" s="9"/>
    </row>
    <row r="992" ht="30.0" customHeight="1">
      <c r="A992" s="17" t="s">
        <v>1</v>
      </c>
      <c r="B992" s="8"/>
      <c r="C992" s="9"/>
      <c r="D992" s="9"/>
      <c r="E992" s="9"/>
      <c r="F992" s="9"/>
      <c r="G992" s="9"/>
      <c r="H992" s="9"/>
      <c r="I992" s="9"/>
      <c r="J992" s="9"/>
      <c r="K992" s="9"/>
      <c r="L992" s="9"/>
      <c r="M992" s="10"/>
      <c r="N992" s="10"/>
      <c r="O992" s="10"/>
      <c r="P992" s="10"/>
      <c r="Q992" s="10"/>
      <c r="R992" s="9"/>
      <c r="S992" s="9"/>
      <c r="T992" s="12"/>
      <c r="U992" s="12"/>
      <c r="V992" s="12"/>
      <c r="W992" s="10"/>
      <c r="X992" s="10"/>
      <c r="Y992" s="9"/>
      <c r="Z992" s="9"/>
      <c r="AA992" s="9"/>
      <c r="AB992" s="9"/>
    </row>
    <row r="993" ht="30.0" customHeight="1">
      <c r="A993" s="17" t="s">
        <v>1</v>
      </c>
      <c r="B993" s="8"/>
      <c r="C993" s="9"/>
      <c r="D993" s="9"/>
      <c r="E993" s="9"/>
      <c r="F993" s="9"/>
      <c r="G993" s="9"/>
      <c r="H993" s="9"/>
      <c r="I993" s="9"/>
      <c r="J993" s="9"/>
      <c r="K993" s="9"/>
      <c r="L993" s="9"/>
      <c r="M993" s="10"/>
      <c r="N993" s="10"/>
      <c r="O993" s="10"/>
      <c r="P993" s="10"/>
      <c r="Q993" s="10"/>
      <c r="R993" s="9"/>
      <c r="S993" s="9"/>
      <c r="T993" s="12"/>
      <c r="U993" s="12"/>
      <c r="V993" s="12"/>
      <c r="W993" s="10"/>
      <c r="X993" s="10"/>
      <c r="Y993" s="9"/>
      <c r="Z993" s="9"/>
      <c r="AA993" s="9"/>
      <c r="AB993" s="9"/>
    </row>
    <row r="994" ht="30.0" customHeight="1">
      <c r="A994" s="17" t="s">
        <v>1</v>
      </c>
      <c r="B994" s="8"/>
      <c r="C994" s="9"/>
      <c r="D994" s="9"/>
      <c r="E994" s="9"/>
      <c r="F994" s="9"/>
      <c r="G994" s="9"/>
      <c r="H994" s="9"/>
      <c r="I994" s="9"/>
      <c r="J994" s="9"/>
      <c r="K994" s="9"/>
      <c r="L994" s="9"/>
      <c r="M994" s="10"/>
      <c r="N994" s="10"/>
      <c r="O994" s="10"/>
      <c r="P994" s="10"/>
      <c r="Q994" s="10"/>
      <c r="R994" s="9"/>
      <c r="S994" s="9"/>
      <c r="T994" s="12"/>
      <c r="U994" s="12"/>
      <c r="V994" s="12"/>
      <c r="W994" s="10"/>
      <c r="X994" s="10"/>
      <c r="Y994" s="9"/>
      <c r="Z994" s="9"/>
      <c r="AA994" s="9"/>
      <c r="AB994" s="9"/>
    </row>
    <row r="995" ht="30.0" customHeight="1">
      <c r="A995" s="17" t="s">
        <v>1</v>
      </c>
      <c r="B995" s="8"/>
      <c r="C995" s="9"/>
      <c r="D995" s="9"/>
      <c r="E995" s="9"/>
      <c r="F995" s="9"/>
      <c r="G995" s="9"/>
      <c r="H995" s="9"/>
      <c r="I995" s="9"/>
      <c r="J995" s="9"/>
      <c r="K995" s="9"/>
      <c r="L995" s="9"/>
      <c r="M995" s="10"/>
      <c r="N995" s="10"/>
      <c r="O995" s="10"/>
      <c r="P995" s="10"/>
      <c r="Q995" s="10"/>
      <c r="R995" s="9"/>
      <c r="S995" s="9"/>
      <c r="T995" s="12"/>
      <c r="U995" s="12"/>
      <c r="V995" s="12"/>
      <c r="W995" s="10"/>
      <c r="X995" s="10"/>
      <c r="Y995" s="9"/>
      <c r="Z995" s="9"/>
      <c r="AA995" s="9"/>
      <c r="AB995" s="9"/>
    </row>
    <row r="996" ht="30.0" customHeight="1">
      <c r="A996" s="17" t="s">
        <v>1</v>
      </c>
      <c r="B996" s="8"/>
      <c r="C996" s="9"/>
      <c r="D996" s="9"/>
      <c r="E996" s="9"/>
      <c r="F996" s="9"/>
      <c r="G996" s="9"/>
      <c r="H996" s="9"/>
      <c r="I996" s="9"/>
      <c r="J996" s="9"/>
      <c r="K996" s="9"/>
      <c r="L996" s="9"/>
      <c r="M996" s="10"/>
      <c r="N996" s="10"/>
      <c r="O996" s="10"/>
      <c r="P996" s="10"/>
      <c r="Q996" s="10"/>
      <c r="R996" s="9"/>
      <c r="S996" s="9"/>
      <c r="T996" s="12"/>
      <c r="U996" s="12"/>
      <c r="V996" s="12"/>
      <c r="W996" s="10"/>
      <c r="X996" s="10"/>
      <c r="Y996" s="9"/>
      <c r="Z996" s="9"/>
      <c r="AA996" s="9"/>
      <c r="AB996" s="9"/>
    </row>
    <row r="997" ht="30.0" customHeight="1">
      <c r="A997" s="17" t="s">
        <v>1</v>
      </c>
      <c r="B997" s="8"/>
      <c r="C997" s="9"/>
      <c r="D997" s="9"/>
      <c r="E997" s="9"/>
      <c r="F997" s="9"/>
      <c r="G997" s="9"/>
      <c r="H997" s="9"/>
      <c r="I997" s="9"/>
      <c r="J997" s="9"/>
      <c r="K997" s="9"/>
      <c r="L997" s="9"/>
      <c r="M997" s="10"/>
      <c r="N997" s="10"/>
      <c r="O997" s="10"/>
      <c r="P997" s="10"/>
      <c r="Q997" s="10"/>
      <c r="R997" s="9"/>
      <c r="S997" s="9"/>
      <c r="T997" s="12"/>
      <c r="U997" s="12"/>
      <c r="V997" s="12"/>
      <c r="W997" s="10"/>
      <c r="X997" s="10"/>
      <c r="Y997" s="9"/>
      <c r="Z997" s="9"/>
      <c r="AA997" s="9"/>
      <c r="AB997" s="9"/>
    </row>
    <row r="998" ht="30.0" customHeight="1">
      <c r="A998" s="17" t="s">
        <v>1</v>
      </c>
      <c r="B998" s="8"/>
      <c r="C998" s="9"/>
      <c r="D998" s="9"/>
      <c r="E998" s="9"/>
      <c r="F998" s="9"/>
      <c r="G998" s="9"/>
      <c r="H998" s="9"/>
      <c r="I998" s="9"/>
      <c r="J998" s="9"/>
      <c r="K998" s="9"/>
      <c r="L998" s="9"/>
      <c r="M998" s="10"/>
      <c r="N998" s="10"/>
      <c r="O998" s="10"/>
      <c r="P998" s="10"/>
      <c r="Q998" s="10"/>
      <c r="R998" s="9"/>
      <c r="S998" s="9"/>
      <c r="T998" s="12"/>
      <c r="U998" s="12"/>
      <c r="V998" s="12"/>
      <c r="W998" s="10"/>
      <c r="X998" s="10"/>
      <c r="Y998" s="9"/>
      <c r="Z998" s="9"/>
      <c r="AA998" s="9"/>
      <c r="AB998" s="9"/>
    </row>
    <row r="999" ht="30.0" customHeight="1">
      <c r="A999" s="17" t="s">
        <v>1</v>
      </c>
      <c r="B999" s="8"/>
      <c r="C999" s="9"/>
      <c r="D999" s="9"/>
      <c r="E999" s="9"/>
      <c r="F999" s="9"/>
      <c r="G999" s="9"/>
      <c r="H999" s="9"/>
      <c r="I999" s="9"/>
      <c r="J999" s="9"/>
      <c r="K999" s="9"/>
      <c r="L999" s="9"/>
      <c r="M999" s="10"/>
      <c r="N999" s="10"/>
      <c r="O999" s="10"/>
      <c r="P999" s="10"/>
      <c r="Q999" s="10"/>
      <c r="R999" s="9"/>
      <c r="S999" s="9"/>
      <c r="T999" s="12"/>
      <c r="U999" s="12"/>
      <c r="V999" s="12"/>
      <c r="W999" s="10"/>
      <c r="X999" s="10"/>
      <c r="Y999" s="9"/>
      <c r="Z999" s="9"/>
      <c r="AA999" s="9"/>
      <c r="AB999" s="9"/>
    </row>
    <row r="1000" ht="30.0" customHeight="1">
      <c r="A1000" s="17" t="s">
        <v>1</v>
      </c>
      <c r="B1000" s="8"/>
      <c r="C1000" s="9"/>
      <c r="D1000" s="9"/>
      <c r="E1000" s="9"/>
      <c r="F1000" s="9"/>
      <c r="G1000" s="9"/>
      <c r="H1000" s="9"/>
      <c r="I1000" s="9"/>
      <c r="J1000" s="9"/>
      <c r="K1000" s="9"/>
      <c r="L1000" s="9"/>
      <c r="M1000" s="10"/>
      <c r="N1000" s="10"/>
      <c r="O1000" s="10"/>
      <c r="P1000" s="10"/>
      <c r="Q1000" s="10"/>
      <c r="R1000" s="9"/>
      <c r="S1000" s="9"/>
      <c r="T1000" s="12"/>
      <c r="U1000" s="12"/>
      <c r="V1000" s="12"/>
      <c r="W1000" s="10"/>
      <c r="X1000" s="10"/>
      <c r="Y1000" s="9"/>
      <c r="Z1000" s="9"/>
      <c r="AA1000" s="9"/>
      <c r="AB1000" s="9"/>
    </row>
    <row r="1001" ht="30.0" customHeight="1">
      <c r="A1001" s="17" t="s">
        <v>1</v>
      </c>
      <c r="B1001" s="8"/>
      <c r="C1001" s="9"/>
      <c r="D1001" s="9"/>
      <c r="E1001" s="9"/>
      <c r="F1001" s="9"/>
      <c r="G1001" s="9"/>
      <c r="H1001" s="9"/>
      <c r="I1001" s="9"/>
      <c r="J1001" s="9"/>
      <c r="K1001" s="9"/>
      <c r="L1001" s="9"/>
      <c r="M1001" s="10"/>
      <c r="N1001" s="10"/>
      <c r="O1001" s="10"/>
      <c r="P1001" s="10"/>
      <c r="Q1001" s="10"/>
      <c r="R1001" s="9"/>
      <c r="S1001" s="9"/>
      <c r="T1001" s="12"/>
      <c r="U1001" s="12"/>
      <c r="V1001" s="12"/>
      <c r="W1001" s="10"/>
      <c r="X1001" s="10"/>
      <c r="Y1001" s="9"/>
      <c r="Z1001" s="9"/>
      <c r="AA1001" s="9"/>
      <c r="AB1001" s="9"/>
    </row>
    <row r="1002" ht="30.0" customHeight="1">
      <c r="A1002" s="17" t="s">
        <v>1</v>
      </c>
      <c r="B1002" s="8"/>
      <c r="C1002" s="9"/>
      <c r="D1002" s="9"/>
      <c r="E1002" s="9"/>
      <c r="F1002" s="9"/>
      <c r="G1002" s="9"/>
      <c r="H1002" s="9"/>
      <c r="I1002" s="9"/>
      <c r="J1002" s="9"/>
      <c r="K1002" s="9"/>
      <c r="L1002" s="9"/>
      <c r="M1002" s="10"/>
      <c r="N1002" s="10"/>
      <c r="O1002" s="10"/>
      <c r="P1002" s="10"/>
      <c r="Q1002" s="10"/>
      <c r="R1002" s="9"/>
      <c r="S1002" s="9"/>
      <c r="T1002" s="12"/>
      <c r="U1002" s="12"/>
      <c r="V1002" s="12"/>
      <c r="W1002" s="10"/>
      <c r="X1002" s="10"/>
      <c r="Y1002" s="9"/>
      <c r="Z1002" s="9"/>
      <c r="AA1002" s="9"/>
      <c r="AB1002" s="9"/>
    </row>
    <row r="1003" ht="30.0" customHeight="1">
      <c r="A1003" s="17" t="s">
        <v>1</v>
      </c>
      <c r="B1003" s="8"/>
      <c r="C1003" s="9"/>
      <c r="D1003" s="9"/>
      <c r="E1003" s="9"/>
      <c r="F1003" s="9"/>
      <c r="G1003" s="9"/>
      <c r="H1003" s="9"/>
      <c r="I1003" s="9"/>
      <c r="J1003" s="9"/>
      <c r="K1003" s="9"/>
      <c r="L1003" s="9"/>
      <c r="M1003" s="10"/>
      <c r="N1003" s="10"/>
      <c r="O1003" s="10"/>
      <c r="P1003" s="10"/>
      <c r="Q1003" s="10"/>
      <c r="R1003" s="9"/>
      <c r="S1003" s="9"/>
      <c r="T1003" s="12"/>
      <c r="U1003" s="12"/>
      <c r="V1003" s="12"/>
      <c r="W1003" s="10"/>
      <c r="X1003" s="10"/>
      <c r="Y1003" s="9"/>
      <c r="Z1003" s="9"/>
      <c r="AA1003" s="9"/>
      <c r="AB1003" s="9"/>
    </row>
    <row r="1004" ht="30.0" customHeight="1">
      <c r="A1004" s="17" t="s">
        <v>1</v>
      </c>
      <c r="B1004" s="8"/>
      <c r="C1004" s="9"/>
      <c r="D1004" s="9"/>
      <c r="E1004" s="9"/>
      <c r="F1004" s="9"/>
      <c r="G1004" s="9"/>
      <c r="H1004" s="9"/>
      <c r="I1004" s="9"/>
      <c r="J1004" s="9"/>
      <c r="K1004" s="9"/>
      <c r="L1004" s="9"/>
      <c r="M1004" s="10"/>
      <c r="N1004" s="10"/>
      <c r="O1004" s="10"/>
      <c r="P1004" s="10"/>
      <c r="Q1004" s="10"/>
      <c r="R1004" s="9"/>
      <c r="S1004" s="9"/>
      <c r="T1004" s="12"/>
      <c r="U1004" s="12"/>
      <c r="V1004" s="12"/>
      <c r="W1004" s="10"/>
      <c r="X1004" s="10"/>
      <c r="Y1004" s="9"/>
      <c r="Z1004" s="9"/>
      <c r="AA1004" s="9"/>
      <c r="AB1004" s="9"/>
    </row>
    <row r="1005" ht="30.0" customHeight="1">
      <c r="A1005" s="17" t="s">
        <v>1</v>
      </c>
      <c r="B1005" s="8"/>
      <c r="C1005" s="9"/>
      <c r="D1005" s="9"/>
      <c r="E1005" s="9"/>
      <c r="F1005" s="9"/>
      <c r="G1005" s="9"/>
      <c r="H1005" s="9"/>
      <c r="I1005" s="9"/>
      <c r="J1005" s="9"/>
      <c r="K1005" s="9"/>
      <c r="L1005" s="9"/>
      <c r="M1005" s="10"/>
      <c r="N1005" s="10"/>
      <c r="O1005" s="10"/>
      <c r="P1005" s="10"/>
      <c r="Q1005" s="10"/>
      <c r="R1005" s="9"/>
      <c r="S1005" s="9"/>
      <c r="T1005" s="12"/>
      <c r="U1005" s="12"/>
      <c r="V1005" s="12"/>
      <c r="W1005" s="10"/>
      <c r="X1005" s="10"/>
      <c r="Y1005" s="9"/>
      <c r="Z1005" s="9"/>
      <c r="AA1005" s="9"/>
      <c r="AB1005" s="9"/>
    </row>
    <row r="1006" ht="30.0" customHeight="1">
      <c r="A1006" s="17" t="s">
        <v>1</v>
      </c>
      <c r="B1006" s="8"/>
      <c r="C1006" s="9"/>
      <c r="D1006" s="9"/>
      <c r="E1006" s="9"/>
      <c r="F1006" s="9"/>
      <c r="G1006" s="9"/>
      <c r="H1006" s="9"/>
      <c r="I1006" s="9"/>
      <c r="J1006" s="9"/>
      <c r="K1006" s="9"/>
      <c r="L1006" s="9"/>
      <c r="M1006" s="10"/>
      <c r="N1006" s="10"/>
      <c r="O1006" s="10"/>
      <c r="P1006" s="10"/>
      <c r="Q1006" s="10"/>
      <c r="R1006" s="9"/>
      <c r="S1006" s="9"/>
      <c r="T1006" s="12"/>
      <c r="U1006" s="12"/>
      <c r="V1006" s="12"/>
      <c r="W1006" s="10"/>
      <c r="X1006" s="10"/>
      <c r="Y1006" s="9"/>
      <c r="Z1006" s="9"/>
      <c r="AA1006" s="9"/>
      <c r="AB1006" s="9"/>
    </row>
    <row r="1007" ht="30.0" customHeight="1">
      <c r="A1007" s="17" t="s">
        <v>1</v>
      </c>
      <c r="B1007" s="8"/>
      <c r="C1007" s="9"/>
      <c r="D1007" s="9"/>
      <c r="E1007" s="9"/>
      <c r="F1007" s="9"/>
      <c r="G1007" s="9"/>
      <c r="H1007" s="9"/>
      <c r="I1007" s="9"/>
      <c r="J1007" s="9"/>
      <c r="K1007" s="9"/>
      <c r="L1007" s="9"/>
      <c r="M1007" s="10"/>
      <c r="N1007" s="10"/>
      <c r="O1007" s="10"/>
      <c r="P1007" s="10"/>
      <c r="Q1007" s="10"/>
      <c r="R1007" s="9"/>
      <c r="S1007" s="9"/>
      <c r="T1007" s="12"/>
      <c r="U1007" s="12"/>
      <c r="V1007" s="12"/>
      <c r="W1007" s="10"/>
      <c r="X1007" s="10"/>
      <c r="Y1007" s="9"/>
      <c r="Z1007" s="9"/>
      <c r="AA1007" s="9"/>
      <c r="AB1007" s="9"/>
    </row>
    <row r="1008" ht="30.0" customHeight="1">
      <c r="A1008" s="17" t="s">
        <v>1</v>
      </c>
      <c r="B1008" s="8"/>
      <c r="C1008" s="9"/>
      <c r="D1008" s="9"/>
      <c r="E1008" s="9"/>
      <c r="F1008" s="9"/>
      <c r="G1008" s="9"/>
      <c r="H1008" s="9"/>
      <c r="I1008" s="9"/>
      <c r="J1008" s="9"/>
      <c r="K1008" s="9"/>
      <c r="L1008" s="9"/>
      <c r="M1008" s="10"/>
      <c r="N1008" s="10"/>
      <c r="O1008" s="10"/>
      <c r="P1008" s="10"/>
      <c r="Q1008" s="10"/>
      <c r="R1008" s="9"/>
      <c r="S1008" s="9"/>
      <c r="T1008" s="12"/>
      <c r="U1008" s="12"/>
      <c r="V1008" s="12"/>
      <c r="W1008" s="10"/>
      <c r="X1008" s="10"/>
      <c r="Y1008" s="9"/>
      <c r="Z1008" s="9"/>
      <c r="AA1008" s="9"/>
      <c r="AB1008" s="9"/>
    </row>
    <row r="1009" ht="30.0" customHeight="1">
      <c r="A1009" s="17" t="s">
        <v>1</v>
      </c>
      <c r="B1009" s="8"/>
      <c r="C1009" s="9"/>
      <c r="D1009" s="9"/>
      <c r="E1009" s="9"/>
      <c r="F1009" s="9"/>
      <c r="G1009" s="9"/>
      <c r="H1009" s="9"/>
      <c r="I1009" s="9"/>
      <c r="J1009" s="9"/>
      <c r="K1009" s="9"/>
      <c r="L1009" s="9"/>
      <c r="M1009" s="10"/>
      <c r="N1009" s="10"/>
      <c r="O1009" s="10"/>
      <c r="P1009" s="10"/>
      <c r="Q1009" s="10"/>
      <c r="R1009" s="9"/>
      <c r="S1009" s="9"/>
      <c r="T1009" s="12"/>
      <c r="U1009" s="12"/>
      <c r="V1009" s="12"/>
      <c r="W1009" s="10"/>
      <c r="X1009" s="10"/>
      <c r="Y1009" s="9"/>
      <c r="Z1009" s="9"/>
      <c r="AA1009" s="9"/>
      <c r="AB1009" s="9"/>
    </row>
    <row r="1010" ht="30.0" customHeight="1">
      <c r="A1010" s="17" t="s">
        <v>1</v>
      </c>
      <c r="B1010" s="8"/>
      <c r="C1010" s="9"/>
      <c r="D1010" s="9"/>
      <c r="E1010" s="9"/>
      <c r="F1010" s="9"/>
      <c r="G1010" s="9"/>
      <c r="H1010" s="9"/>
      <c r="I1010" s="9"/>
      <c r="J1010" s="9"/>
      <c r="K1010" s="9"/>
      <c r="L1010" s="9"/>
      <c r="M1010" s="10"/>
      <c r="N1010" s="10"/>
      <c r="O1010" s="10"/>
      <c r="P1010" s="10"/>
      <c r="Q1010" s="10"/>
      <c r="R1010" s="9"/>
      <c r="S1010" s="9"/>
      <c r="T1010" s="12"/>
      <c r="U1010" s="12"/>
      <c r="V1010" s="12"/>
      <c r="W1010" s="10"/>
      <c r="X1010" s="10"/>
      <c r="Y1010" s="9"/>
      <c r="Z1010" s="9"/>
      <c r="AA1010" s="9"/>
      <c r="AB1010" s="9"/>
    </row>
    <row r="1011" ht="30.0" customHeight="1">
      <c r="A1011" s="17" t="s">
        <v>1</v>
      </c>
      <c r="B1011" s="8"/>
      <c r="C1011" s="9"/>
      <c r="D1011" s="9"/>
      <c r="E1011" s="9"/>
      <c r="F1011" s="9"/>
      <c r="G1011" s="9"/>
      <c r="H1011" s="9"/>
      <c r="I1011" s="9"/>
      <c r="J1011" s="9"/>
      <c r="K1011" s="9"/>
      <c r="L1011" s="9"/>
      <c r="M1011" s="10"/>
      <c r="N1011" s="10"/>
      <c r="O1011" s="10"/>
      <c r="P1011" s="10"/>
      <c r="Q1011" s="10"/>
      <c r="R1011" s="9"/>
      <c r="S1011" s="9"/>
      <c r="T1011" s="12"/>
      <c r="U1011" s="12"/>
      <c r="V1011" s="12"/>
      <c r="W1011" s="10"/>
      <c r="X1011" s="10"/>
      <c r="Y1011" s="9"/>
      <c r="Z1011" s="9"/>
      <c r="AA1011" s="9"/>
      <c r="AB1011" s="9"/>
    </row>
    <row r="1012" ht="30.0" customHeight="1">
      <c r="A1012" s="17" t="s">
        <v>1</v>
      </c>
      <c r="B1012" s="8"/>
      <c r="C1012" s="9"/>
      <c r="D1012" s="9"/>
      <c r="E1012" s="9"/>
      <c r="F1012" s="9"/>
      <c r="G1012" s="9"/>
      <c r="H1012" s="9"/>
      <c r="I1012" s="9"/>
      <c r="J1012" s="9"/>
      <c r="K1012" s="9"/>
      <c r="L1012" s="9"/>
      <c r="M1012" s="10"/>
      <c r="N1012" s="10"/>
      <c r="O1012" s="10"/>
      <c r="P1012" s="10"/>
      <c r="Q1012" s="10"/>
      <c r="R1012" s="9"/>
      <c r="S1012" s="9"/>
      <c r="T1012" s="12"/>
      <c r="U1012" s="12"/>
      <c r="V1012" s="12"/>
      <c r="W1012" s="10"/>
      <c r="X1012" s="10"/>
      <c r="Y1012" s="9"/>
      <c r="Z1012" s="9"/>
      <c r="AA1012" s="9"/>
      <c r="AB1012" s="9"/>
    </row>
    <row r="1013" ht="30.0" customHeight="1">
      <c r="A1013" s="17" t="s">
        <v>1</v>
      </c>
      <c r="B1013" s="8"/>
      <c r="C1013" s="9"/>
      <c r="D1013" s="9"/>
      <c r="E1013" s="9"/>
      <c r="F1013" s="9"/>
      <c r="G1013" s="9"/>
      <c r="H1013" s="9"/>
      <c r="I1013" s="9"/>
      <c r="J1013" s="9"/>
      <c r="K1013" s="9"/>
      <c r="L1013" s="9"/>
      <c r="M1013" s="10"/>
      <c r="N1013" s="10"/>
      <c r="O1013" s="10"/>
      <c r="P1013" s="10"/>
      <c r="Q1013" s="10"/>
      <c r="R1013" s="9"/>
      <c r="S1013" s="9"/>
      <c r="T1013" s="12"/>
      <c r="U1013" s="12"/>
      <c r="V1013" s="12"/>
      <c r="W1013" s="10"/>
      <c r="X1013" s="10"/>
      <c r="Y1013" s="9"/>
      <c r="Z1013" s="9"/>
      <c r="AA1013" s="9"/>
      <c r="AB1013" s="9"/>
    </row>
    <row r="1014" ht="30.0" customHeight="1">
      <c r="A1014" s="17" t="s">
        <v>1</v>
      </c>
      <c r="B1014" s="8"/>
      <c r="C1014" s="9"/>
      <c r="D1014" s="9"/>
      <c r="E1014" s="9"/>
      <c r="F1014" s="9"/>
      <c r="G1014" s="9"/>
      <c r="H1014" s="9"/>
      <c r="I1014" s="9"/>
      <c r="J1014" s="9"/>
      <c r="K1014" s="9"/>
      <c r="L1014" s="9"/>
      <c r="M1014" s="10"/>
      <c r="N1014" s="10"/>
      <c r="O1014" s="10"/>
      <c r="P1014" s="10"/>
      <c r="Q1014" s="10"/>
      <c r="R1014" s="9"/>
      <c r="S1014" s="9"/>
      <c r="T1014" s="12"/>
      <c r="U1014" s="12"/>
      <c r="V1014" s="12"/>
      <c r="W1014" s="10"/>
      <c r="X1014" s="10"/>
      <c r="Y1014" s="9"/>
      <c r="Z1014" s="9"/>
      <c r="AA1014" s="9"/>
      <c r="AB1014" s="9"/>
    </row>
    <row r="1015" ht="30.0" customHeight="1">
      <c r="A1015" s="17" t="s">
        <v>1</v>
      </c>
      <c r="B1015" s="8"/>
      <c r="C1015" s="9"/>
      <c r="D1015" s="9"/>
      <c r="E1015" s="9"/>
      <c r="F1015" s="9"/>
      <c r="G1015" s="9"/>
      <c r="H1015" s="9"/>
      <c r="I1015" s="9"/>
      <c r="J1015" s="9"/>
      <c r="K1015" s="9"/>
      <c r="L1015" s="9"/>
      <c r="M1015" s="10"/>
      <c r="N1015" s="10"/>
      <c r="O1015" s="10"/>
      <c r="P1015" s="10"/>
      <c r="Q1015" s="10"/>
      <c r="R1015" s="9"/>
      <c r="S1015" s="9"/>
      <c r="T1015" s="12"/>
      <c r="U1015" s="12"/>
      <c r="V1015" s="12"/>
      <c r="W1015" s="10"/>
      <c r="X1015" s="10"/>
      <c r="Y1015" s="9"/>
      <c r="Z1015" s="9"/>
      <c r="AA1015" s="9"/>
      <c r="AB1015" s="9"/>
    </row>
    <row r="1016" ht="30.0" customHeight="1">
      <c r="A1016" s="17" t="s">
        <v>1</v>
      </c>
      <c r="B1016" s="8"/>
      <c r="C1016" s="9"/>
      <c r="D1016" s="9"/>
      <c r="E1016" s="9"/>
      <c r="F1016" s="9"/>
      <c r="G1016" s="9"/>
      <c r="H1016" s="9"/>
      <c r="I1016" s="9"/>
      <c r="J1016" s="9"/>
      <c r="K1016" s="9"/>
      <c r="L1016" s="9"/>
      <c r="M1016" s="10"/>
      <c r="N1016" s="10"/>
      <c r="O1016" s="10"/>
      <c r="P1016" s="10"/>
      <c r="Q1016" s="10"/>
      <c r="R1016" s="9"/>
      <c r="S1016" s="9"/>
      <c r="T1016" s="12"/>
      <c r="U1016" s="12"/>
      <c r="V1016" s="12"/>
      <c r="W1016" s="10"/>
      <c r="X1016" s="10"/>
      <c r="Y1016" s="9"/>
      <c r="Z1016" s="9"/>
      <c r="AA1016" s="9"/>
      <c r="AB1016" s="9"/>
    </row>
    <row r="1017" ht="30.0" customHeight="1">
      <c r="A1017" s="17" t="s">
        <v>1</v>
      </c>
      <c r="B1017" s="8"/>
      <c r="C1017" s="9"/>
      <c r="D1017" s="9"/>
      <c r="E1017" s="9"/>
      <c r="F1017" s="9"/>
      <c r="G1017" s="9"/>
      <c r="H1017" s="9"/>
      <c r="I1017" s="9"/>
      <c r="J1017" s="9"/>
      <c r="K1017" s="9"/>
      <c r="L1017" s="9"/>
      <c r="M1017" s="10"/>
      <c r="N1017" s="10"/>
      <c r="O1017" s="10"/>
      <c r="P1017" s="10"/>
      <c r="Q1017" s="10"/>
      <c r="R1017" s="9"/>
      <c r="S1017" s="9"/>
      <c r="T1017" s="12"/>
      <c r="U1017" s="12"/>
      <c r="V1017" s="12"/>
      <c r="W1017" s="10"/>
      <c r="X1017" s="10"/>
      <c r="Y1017" s="9"/>
      <c r="Z1017" s="9"/>
      <c r="AA1017" s="9"/>
      <c r="AB1017" s="9"/>
    </row>
    <row r="1018" ht="30.0" customHeight="1">
      <c r="A1018" s="17" t="s">
        <v>1</v>
      </c>
      <c r="B1018" s="8"/>
      <c r="C1018" s="9"/>
      <c r="D1018" s="9"/>
      <c r="E1018" s="9"/>
      <c r="F1018" s="9"/>
      <c r="G1018" s="9"/>
      <c r="H1018" s="9"/>
      <c r="I1018" s="9"/>
      <c r="J1018" s="9"/>
      <c r="K1018" s="9"/>
      <c r="L1018" s="9"/>
      <c r="M1018" s="10"/>
      <c r="N1018" s="10"/>
      <c r="O1018" s="10"/>
      <c r="P1018" s="10"/>
      <c r="Q1018" s="10"/>
      <c r="R1018" s="9"/>
      <c r="S1018" s="9"/>
      <c r="T1018" s="12"/>
      <c r="U1018" s="12"/>
      <c r="V1018" s="12"/>
      <c r="W1018" s="10"/>
      <c r="X1018" s="10"/>
      <c r="Y1018" s="9"/>
      <c r="Z1018" s="9"/>
      <c r="AA1018" s="9"/>
      <c r="AB1018" s="9"/>
    </row>
    <row r="1019" ht="30.0" customHeight="1">
      <c r="A1019" s="17" t="s">
        <v>1</v>
      </c>
      <c r="B1019" s="8"/>
      <c r="C1019" s="9"/>
      <c r="D1019" s="9"/>
      <c r="E1019" s="9"/>
      <c r="F1019" s="9"/>
      <c r="G1019" s="9"/>
      <c r="H1019" s="9"/>
      <c r="I1019" s="9"/>
      <c r="J1019" s="9"/>
      <c r="K1019" s="9"/>
      <c r="L1019" s="9"/>
      <c r="M1019" s="10"/>
      <c r="N1019" s="10"/>
      <c r="O1019" s="10"/>
      <c r="P1019" s="10"/>
      <c r="Q1019" s="10"/>
      <c r="R1019" s="9"/>
      <c r="S1019" s="9"/>
      <c r="T1019" s="12"/>
      <c r="U1019" s="12"/>
      <c r="V1019" s="12"/>
      <c r="W1019" s="10"/>
      <c r="X1019" s="10"/>
      <c r="Y1019" s="9"/>
      <c r="Z1019" s="9"/>
      <c r="AA1019" s="9"/>
      <c r="AB1019" s="9"/>
    </row>
    <row r="1020" ht="30.0" customHeight="1">
      <c r="A1020" s="17" t="s">
        <v>1</v>
      </c>
      <c r="B1020" s="8"/>
      <c r="C1020" s="9"/>
      <c r="D1020" s="9"/>
      <c r="E1020" s="9"/>
      <c r="F1020" s="9"/>
      <c r="G1020" s="9"/>
      <c r="H1020" s="9"/>
      <c r="I1020" s="9"/>
      <c r="J1020" s="9"/>
      <c r="K1020" s="9"/>
      <c r="L1020" s="9"/>
      <c r="M1020" s="10"/>
      <c r="N1020" s="10"/>
      <c r="O1020" s="10"/>
      <c r="P1020" s="10"/>
      <c r="Q1020" s="10"/>
      <c r="R1020" s="9"/>
      <c r="S1020" s="9"/>
      <c r="T1020" s="12"/>
      <c r="U1020" s="12"/>
      <c r="V1020" s="12"/>
      <c r="W1020" s="10"/>
      <c r="X1020" s="10"/>
      <c r="Y1020" s="9"/>
      <c r="Z1020" s="9"/>
      <c r="AA1020" s="9"/>
      <c r="AB1020" s="9"/>
    </row>
    <row r="1021" ht="30.0" customHeight="1">
      <c r="A1021" s="17" t="s">
        <v>1</v>
      </c>
      <c r="B1021" s="8"/>
      <c r="C1021" s="9"/>
      <c r="D1021" s="9"/>
      <c r="E1021" s="9"/>
      <c r="F1021" s="9"/>
      <c r="G1021" s="9"/>
      <c r="H1021" s="9"/>
      <c r="I1021" s="9"/>
      <c r="J1021" s="9"/>
      <c r="K1021" s="9"/>
      <c r="L1021" s="9"/>
      <c r="M1021" s="10"/>
      <c r="N1021" s="10"/>
      <c r="O1021" s="10"/>
      <c r="P1021" s="10"/>
      <c r="Q1021" s="10"/>
      <c r="R1021" s="9"/>
      <c r="S1021" s="9"/>
      <c r="T1021" s="12"/>
      <c r="U1021" s="12"/>
      <c r="V1021" s="12"/>
      <c r="W1021" s="10"/>
      <c r="X1021" s="10"/>
      <c r="Y1021" s="9"/>
      <c r="Z1021" s="9"/>
      <c r="AA1021" s="9"/>
      <c r="AB1021" s="9"/>
    </row>
    <row r="1022" ht="30.0" customHeight="1">
      <c r="A1022" s="17" t="s">
        <v>1</v>
      </c>
      <c r="B1022" s="8"/>
      <c r="C1022" s="9"/>
      <c r="D1022" s="9"/>
      <c r="E1022" s="9"/>
      <c r="F1022" s="9"/>
      <c r="G1022" s="9"/>
      <c r="H1022" s="9"/>
      <c r="I1022" s="9"/>
      <c r="J1022" s="9"/>
      <c r="K1022" s="9"/>
      <c r="L1022" s="9"/>
      <c r="M1022" s="10"/>
      <c r="N1022" s="10"/>
      <c r="O1022" s="10"/>
      <c r="P1022" s="10"/>
      <c r="Q1022" s="10"/>
      <c r="R1022" s="9"/>
      <c r="S1022" s="9"/>
      <c r="T1022" s="12"/>
      <c r="U1022" s="12"/>
      <c r="V1022" s="12"/>
      <c r="W1022" s="10"/>
      <c r="X1022" s="10"/>
      <c r="Y1022" s="9"/>
      <c r="Z1022" s="9"/>
      <c r="AA1022" s="9"/>
      <c r="AB1022" s="9"/>
    </row>
    <row r="1023" ht="30.0" customHeight="1">
      <c r="A1023" s="17" t="s">
        <v>1</v>
      </c>
      <c r="B1023" s="8"/>
      <c r="C1023" s="9"/>
      <c r="D1023" s="9"/>
      <c r="E1023" s="9"/>
      <c r="F1023" s="9"/>
      <c r="G1023" s="9"/>
      <c r="H1023" s="9"/>
      <c r="I1023" s="9"/>
      <c r="J1023" s="9"/>
      <c r="K1023" s="9"/>
      <c r="L1023" s="9"/>
      <c r="M1023" s="10"/>
      <c r="N1023" s="10"/>
      <c r="O1023" s="10"/>
      <c r="P1023" s="10"/>
      <c r="Q1023" s="10"/>
      <c r="R1023" s="9"/>
      <c r="S1023" s="9"/>
      <c r="T1023" s="12"/>
      <c r="U1023" s="12"/>
      <c r="V1023" s="12"/>
      <c r="W1023" s="10"/>
      <c r="X1023" s="10"/>
      <c r="Y1023" s="9"/>
      <c r="Z1023" s="9"/>
      <c r="AA1023" s="9"/>
      <c r="AB1023" s="9"/>
    </row>
    <row r="1024" ht="30.0" customHeight="1">
      <c r="A1024" s="17" t="s">
        <v>1</v>
      </c>
      <c r="B1024" s="8"/>
      <c r="C1024" s="9"/>
      <c r="D1024" s="9"/>
      <c r="E1024" s="9"/>
      <c r="F1024" s="9"/>
      <c r="G1024" s="9"/>
      <c r="H1024" s="9"/>
      <c r="I1024" s="9"/>
      <c r="J1024" s="9"/>
      <c r="K1024" s="9"/>
      <c r="L1024" s="9"/>
      <c r="M1024" s="10"/>
      <c r="N1024" s="10"/>
      <c r="O1024" s="10"/>
      <c r="P1024" s="10"/>
      <c r="Q1024" s="10"/>
      <c r="R1024" s="9"/>
      <c r="S1024" s="9"/>
      <c r="T1024" s="12"/>
      <c r="U1024" s="12"/>
      <c r="V1024" s="12"/>
      <c r="W1024" s="10"/>
      <c r="X1024" s="10"/>
      <c r="Y1024" s="9"/>
      <c r="Z1024" s="9"/>
      <c r="AA1024" s="9"/>
      <c r="AB1024" s="9"/>
    </row>
    <row r="1025" ht="30.0" customHeight="1">
      <c r="A1025" s="17" t="s">
        <v>1</v>
      </c>
      <c r="B1025" s="8"/>
      <c r="C1025" s="9"/>
      <c r="D1025" s="9"/>
      <c r="E1025" s="9"/>
      <c r="F1025" s="9"/>
      <c r="G1025" s="9"/>
      <c r="H1025" s="9"/>
      <c r="I1025" s="9"/>
      <c r="J1025" s="9"/>
      <c r="K1025" s="9"/>
      <c r="L1025" s="9"/>
      <c r="M1025" s="10"/>
      <c r="N1025" s="10"/>
      <c r="O1025" s="10"/>
      <c r="P1025" s="10"/>
      <c r="Q1025" s="10"/>
      <c r="R1025" s="9"/>
      <c r="S1025" s="9"/>
      <c r="T1025" s="12"/>
      <c r="U1025" s="12"/>
      <c r="V1025" s="12"/>
      <c r="W1025" s="10"/>
      <c r="X1025" s="10"/>
      <c r="Y1025" s="9"/>
      <c r="Z1025" s="9"/>
      <c r="AA1025" s="9"/>
      <c r="AB1025" s="9"/>
    </row>
    <row r="1026" ht="30.0" customHeight="1">
      <c r="A1026" s="17" t="s">
        <v>1</v>
      </c>
      <c r="B1026" s="8"/>
      <c r="C1026" s="9"/>
      <c r="D1026" s="9"/>
      <c r="E1026" s="9"/>
      <c r="F1026" s="9"/>
      <c r="G1026" s="9"/>
      <c r="H1026" s="9"/>
      <c r="I1026" s="9"/>
      <c r="J1026" s="9"/>
      <c r="K1026" s="9"/>
      <c r="L1026" s="9"/>
      <c r="M1026" s="10"/>
      <c r="N1026" s="10"/>
      <c r="O1026" s="10"/>
      <c r="P1026" s="10"/>
      <c r="Q1026" s="10"/>
      <c r="R1026" s="9"/>
      <c r="S1026" s="9"/>
      <c r="T1026" s="12"/>
      <c r="U1026" s="12"/>
      <c r="V1026" s="12"/>
      <c r="W1026" s="10"/>
      <c r="X1026" s="10"/>
      <c r="Y1026" s="9"/>
      <c r="Z1026" s="9"/>
      <c r="AA1026" s="9"/>
      <c r="AB1026" s="9"/>
    </row>
    <row r="1027" ht="30.0" customHeight="1">
      <c r="A1027" s="17" t="s">
        <v>1</v>
      </c>
      <c r="B1027" s="8"/>
      <c r="C1027" s="9"/>
      <c r="D1027" s="9"/>
      <c r="E1027" s="9"/>
      <c r="F1027" s="9"/>
      <c r="G1027" s="9"/>
      <c r="H1027" s="9"/>
      <c r="I1027" s="9"/>
      <c r="J1027" s="9"/>
      <c r="K1027" s="9"/>
      <c r="L1027" s="9"/>
      <c r="M1027" s="10"/>
      <c r="N1027" s="10"/>
      <c r="O1027" s="10"/>
      <c r="P1027" s="10"/>
      <c r="Q1027" s="10"/>
      <c r="R1027" s="9"/>
      <c r="S1027" s="9"/>
      <c r="T1027" s="12"/>
      <c r="U1027" s="12"/>
      <c r="V1027" s="12"/>
      <c r="W1027" s="10"/>
      <c r="X1027" s="10"/>
      <c r="Y1027" s="9"/>
      <c r="Z1027" s="9"/>
      <c r="AA1027" s="9"/>
      <c r="AB1027" s="9"/>
    </row>
    <row r="1028" ht="30.0" customHeight="1">
      <c r="A1028" s="17" t="s">
        <v>1</v>
      </c>
      <c r="B1028" s="8"/>
      <c r="C1028" s="9"/>
      <c r="D1028" s="9"/>
      <c r="E1028" s="9"/>
      <c r="F1028" s="9"/>
      <c r="G1028" s="9"/>
      <c r="H1028" s="9"/>
      <c r="I1028" s="9"/>
      <c r="J1028" s="9"/>
      <c r="K1028" s="9"/>
      <c r="L1028" s="9"/>
      <c r="M1028" s="10"/>
      <c r="N1028" s="10"/>
      <c r="O1028" s="10"/>
      <c r="P1028" s="10"/>
      <c r="Q1028" s="10"/>
      <c r="R1028" s="9"/>
      <c r="S1028" s="9"/>
      <c r="T1028" s="12"/>
      <c r="U1028" s="12"/>
      <c r="V1028" s="12"/>
      <c r="W1028" s="10"/>
      <c r="X1028" s="10"/>
      <c r="Y1028" s="9"/>
      <c r="Z1028" s="9"/>
      <c r="AA1028" s="9"/>
      <c r="AB1028" s="9"/>
    </row>
    <row r="1029" ht="30.0" customHeight="1">
      <c r="A1029" s="17" t="s">
        <v>1</v>
      </c>
      <c r="B1029" s="8"/>
      <c r="C1029" s="9"/>
      <c r="D1029" s="9"/>
      <c r="E1029" s="9"/>
      <c r="F1029" s="9"/>
      <c r="G1029" s="9"/>
      <c r="H1029" s="9"/>
      <c r="I1029" s="9"/>
      <c r="J1029" s="9"/>
      <c r="K1029" s="9"/>
      <c r="L1029" s="9"/>
      <c r="M1029" s="10"/>
      <c r="N1029" s="10"/>
      <c r="O1029" s="10"/>
      <c r="P1029" s="10"/>
      <c r="Q1029" s="10"/>
      <c r="R1029" s="9"/>
      <c r="S1029" s="9"/>
      <c r="T1029" s="12"/>
      <c r="U1029" s="12"/>
      <c r="V1029" s="12"/>
      <c r="W1029" s="10"/>
      <c r="X1029" s="10"/>
      <c r="Y1029" s="9"/>
      <c r="Z1029" s="9"/>
      <c r="AA1029" s="9"/>
      <c r="AB1029" s="9"/>
    </row>
    <row r="1030" ht="30.0" customHeight="1">
      <c r="A1030" s="17" t="s">
        <v>1</v>
      </c>
      <c r="B1030" s="8"/>
      <c r="C1030" s="9"/>
      <c r="D1030" s="9"/>
      <c r="E1030" s="9"/>
      <c r="F1030" s="9"/>
      <c r="G1030" s="9"/>
      <c r="H1030" s="9"/>
      <c r="I1030" s="9"/>
      <c r="J1030" s="9"/>
      <c r="K1030" s="9"/>
      <c r="L1030" s="9"/>
      <c r="M1030" s="10"/>
      <c r="N1030" s="10"/>
      <c r="O1030" s="10"/>
      <c r="P1030" s="10"/>
      <c r="Q1030" s="10"/>
      <c r="R1030" s="9"/>
      <c r="S1030" s="9"/>
      <c r="T1030" s="12"/>
      <c r="U1030" s="12"/>
      <c r="V1030" s="12"/>
      <c r="W1030" s="10"/>
      <c r="X1030" s="10"/>
      <c r="Y1030" s="9"/>
      <c r="Z1030" s="9"/>
      <c r="AA1030" s="9"/>
      <c r="AB1030" s="9"/>
    </row>
    <row r="1031" ht="30.0" customHeight="1">
      <c r="A1031" s="17" t="s">
        <v>1</v>
      </c>
      <c r="B1031" s="8"/>
      <c r="C1031" s="9"/>
      <c r="D1031" s="9"/>
      <c r="E1031" s="9"/>
      <c r="F1031" s="9"/>
      <c r="G1031" s="9"/>
      <c r="H1031" s="9"/>
      <c r="I1031" s="9"/>
      <c r="J1031" s="9"/>
      <c r="K1031" s="9"/>
      <c r="L1031" s="9"/>
      <c r="M1031" s="10"/>
      <c r="N1031" s="10"/>
      <c r="O1031" s="10"/>
      <c r="P1031" s="10"/>
      <c r="Q1031" s="10"/>
      <c r="R1031" s="9"/>
      <c r="S1031" s="9"/>
      <c r="T1031" s="12"/>
      <c r="U1031" s="12"/>
      <c r="V1031" s="12"/>
      <c r="W1031" s="10"/>
      <c r="X1031" s="10"/>
      <c r="Y1031" s="9"/>
      <c r="Z1031" s="9"/>
      <c r="AA1031" s="9"/>
      <c r="AB1031" s="9"/>
    </row>
    <row r="1032" ht="30.0" customHeight="1">
      <c r="A1032" s="17" t="s">
        <v>1</v>
      </c>
      <c r="B1032" s="8"/>
      <c r="C1032" s="9"/>
      <c r="D1032" s="9"/>
      <c r="E1032" s="9"/>
      <c r="F1032" s="9"/>
      <c r="G1032" s="9"/>
      <c r="H1032" s="9"/>
      <c r="I1032" s="9"/>
      <c r="J1032" s="9"/>
      <c r="K1032" s="9"/>
      <c r="L1032" s="9"/>
      <c r="M1032" s="10"/>
      <c r="N1032" s="10"/>
      <c r="O1032" s="10"/>
      <c r="P1032" s="10"/>
      <c r="Q1032" s="10"/>
      <c r="R1032" s="9"/>
      <c r="S1032" s="9"/>
      <c r="T1032" s="12"/>
      <c r="U1032" s="12"/>
      <c r="V1032" s="12"/>
      <c r="W1032" s="10"/>
      <c r="X1032" s="10"/>
      <c r="Y1032" s="9"/>
      <c r="Z1032" s="9"/>
      <c r="AA1032" s="9"/>
      <c r="AB1032" s="9"/>
    </row>
    <row r="1033" ht="30.0" customHeight="1">
      <c r="A1033" s="17" t="s">
        <v>1</v>
      </c>
      <c r="B1033" s="8"/>
      <c r="C1033" s="9"/>
      <c r="D1033" s="9"/>
      <c r="E1033" s="9"/>
      <c r="F1033" s="9"/>
      <c r="G1033" s="9"/>
      <c r="H1033" s="9"/>
      <c r="I1033" s="9"/>
      <c r="J1033" s="9"/>
      <c r="K1033" s="9"/>
      <c r="L1033" s="9"/>
      <c r="M1033" s="10"/>
      <c r="N1033" s="10"/>
      <c r="O1033" s="10"/>
      <c r="P1033" s="10"/>
      <c r="Q1033" s="10"/>
      <c r="R1033" s="9"/>
      <c r="S1033" s="9"/>
      <c r="T1033" s="12"/>
      <c r="U1033" s="12"/>
      <c r="V1033" s="12"/>
      <c r="W1033" s="10"/>
      <c r="X1033" s="10"/>
      <c r="Y1033" s="9"/>
      <c r="Z1033" s="9"/>
      <c r="AA1033" s="9"/>
      <c r="AB1033" s="9"/>
    </row>
    <row r="1034" ht="30.0" customHeight="1">
      <c r="A1034" s="17" t="s">
        <v>1</v>
      </c>
      <c r="B1034" s="8"/>
      <c r="C1034" s="9"/>
      <c r="D1034" s="9"/>
      <c r="E1034" s="9"/>
      <c r="F1034" s="9"/>
      <c r="G1034" s="9"/>
      <c r="H1034" s="9"/>
      <c r="I1034" s="9"/>
      <c r="J1034" s="9"/>
      <c r="K1034" s="9"/>
      <c r="L1034" s="9"/>
      <c r="M1034" s="10"/>
      <c r="N1034" s="10"/>
      <c r="O1034" s="10"/>
      <c r="P1034" s="10"/>
      <c r="Q1034" s="10"/>
      <c r="R1034" s="9"/>
      <c r="S1034" s="9"/>
      <c r="T1034" s="12"/>
      <c r="U1034" s="12"/>
      <c r="V1034" s="12"/>
      <c r="W1034" s="10"/>
      <c r="X1034" s="10"/>
      <c r="Y1034" s="9"/>
      <c r="Z1034" s="9"/>
      <c r="AA1034" s="9"/>
      <c r="AB1034" s="9"/>
    </row>
    <row r="1035" ht="30.0" customHeight="1">
      <c r="A1035" s="17" t="s">
        <v>1</v>
      </c>
      <c r="B1035" s="8"/>
      <c r="C1035" s="9"/>
      <c r="D1035" s="9"/>
      <c r="E1035" s="9"/>
      <c r="F1035" s="9"/>
      <c r="G1035" s="9"/>
      <c r="H1035" s="9"/>
      <c r="I1035" s="9"/>
      <c r="J1035" s="9"/>
      <c r="K1035" s="9"/>
      <c r="L1035" s="9"/>
      <c r="M1035" s="10"/>
      <c r="N1035" s="10"/>
      <c r="O1035" s="10"/>
      <c r="P1035" s="10"/>
      <c r="Q1035" s="10"/>
      <c r="R1035" s="9"/>
      <c r="S1035" s="9"/>
      <c r="T1035" s="12"/>
      <c r="U1035" s="12"/>
      <c r="V1035" s="12"/>
      <c r="W1035" s="10"/>
      <c r="X1035" s="10"/>
      <c r="Y1035" s="9"/>
      <c r="Z1035" s="9"/>
      <c r="AA1035" s="9"/>
      <c r="AB1035" s="9"/>
    </row>
    <row r="1036" ht="30.0" customHeight="1">
      <c r="A1036" s="17" t="s">
        <v>1</v>
      </c>
      <c r="B1036" s="8"/>
      <c r="C1036" s="9"/>
      <c r="D1036" s="9"/>
      <c r="E1036" s="9"/>
      <c r="F1036" s="9"/>
      <c r="G1036" s="9"/>
      <c r="H1036" s="9"/>
      <c r="I1036" s="9"/>
      <c r="J1036" s="9"/>
      <c r="K1036" s="9"/>
      <c r="L1036" s="9"/>
      <c r="M1036" s="10"/>
      <c r="N1036" s="10"/>
      <c r="O1036" s="10"/>
      <c r="P1036" s="10"/>
      <c r="Q1036" s="10"/>
      <c r="R1036" s="9"/>
      <c r="S1036" s="9"/>
      <c r="T1036" s="12"/>
      <c r="U1036" s="12"/>
      <c r="V1036" s="12"/>
      <c r="W1036" s="10"/>
      <c r="X1036" s="10"/>
      <c r="Y1036" s="9"/>
      <c r="Z1036" s="9"/>
      <c r="AA1036" s="9"/>
      <c r="AB1036" s="9"/>
    </row>
    <row r="1037" ht="30.0" customHeight="1">
      <c r="A1037" s="17" t="s">
        <v>1</v>
      </c>
      <c r="B1037" s="8"/>
      <c r="C1037" s="9"/>
      <c r="D1037" s="9"/>
      <c r="E1037" s="9"/>
      <c r="F1037" s="9"/>
      <c r="G1037" s="9"/>
      <c r="H1037" s="9"/>
      <c r="I1037" s="9"/>
      <c r="J1037" s="9"/>
      <c r="K1037" s="9"/>
      <c r="L1037" s="9"/>
      <c r="M1037" s="10"/>
      <c r="N1037" s="10"/>
      <c r="O1037" s="10"/>
      <c r="P1037" s="10"/>
      <c r="Q1037" s="10"/>
      <c r="R1037" s="9"/>
      <c r="S1037" s="9"/>
      <c r="T1037" s="12"/>
      <c r="U1037" s="12"/>
      <c r="V1037" s="12"/>
      <c r="W1037" s="10"/>
      <c r="X1037" s="10"/>
      <c r="Y1037" s="9"/>
      <c r="Z1037" s="9"/>
      <c r="AA1037" s="9"/>
      <c r="AB1037" s="9"/>
    </row>
    <row r="1038" ht="30.0" customHeight="1">
      <c r="A1038" s="17" t="s">
        <v>1</v>
      </c>
      <c r="B1038" s="8"/>
      <c r="C1038" s="9"/>
      <c r="D1038" s="9"/>
      <c r="E1038" s="9"/>
      <c r="F1038" s="9"/>
      <c r="G1038" s="9"/>
      <c r="H1038" s="9"/>
      <c r="I1038" s="9"/>
      <c r="J1038" s="9"/>
      <c r="K1038" s="9"/>
      <c r="L1038" s="9"/>
      <c r="M1038" s="10"/>
      <c r="N1038" s="10"/>
      <c r="O1038" s="10"/>
      <c r="P1038" s="10"/>
      <c r="Q1038" s="10"/>
      <c r="R1038" s="9"/>
      <c r="S1038" s="9"/>
      <c r="T1038" s="12"/>
      <c r="U1038" s="12"/>
      <c r="V1038" s="12"/>
      <c r="W1038" s="10"/>
      <c r="X1038" s="10"/>
      <c r="Y1038" s="9"/>
      <c r="Z1038" s="9"/>
      <c r="AA1038" s="9"/>
      <c r="AB1038" s="9"/>
    </row>
    <row r="1039" ht="30.0" customHeight="1">
      <c r="A1039" s="17" t="s">
        <v>1</v>
      </c>
      <c r="B1039" s="8"/>
      <c r="C1039" s="9"/>
      <c r="D1039" s="9"/>
      <c r="E1039" s="9"/>
      <c r="F1039" s="9"/>
      <c r="G1039" s="9"/>
      <c r="H1039" s="9"/>
      <c r="I1039" s="9"/>
      <c r="J1039" s="9"/>
      <c r="K1039" s="9"/>
      <c r="L1039" s="9"/>
      <c r="M1039" s="10"/>
      <c r="N1039" s="10"/>
      <c r="O1039" s="10"/>
      <c r="P1039" s="10"/>
      <c r="Q1039" s="10"/>
      <c r="R1039" s="9"/>
      <c r="S1039" s="9"/>
      <c r="T1039" s="12"/>
      <c r="U1039" s="12"/>
      <c r="V1039" s="12"/>
      <c r="W1039" s="10"/>
      <c r="X1039" s="10"/>
      <c r="Y1039" s="9"/>
      <c r="Z1039" s="9"/>
      <c r="AA1039" s="9"/>
      <c r="AB1039" s="9"/>
    </row>
    <row r="1040" ht="30.0" customHeight="1">
      <c r="A1040" s="17" t="s">
        <v>1</v>
      </c>
      <c r="B1040" s="8"/>
      <c r="C1040" s="9"/>
      <c r="D1040" s="9"/>
      <c r="E1040" s="9"/>
      <c r="F1040" s="9"/>
      <c r="G1040" s="9"/>
      <c r="H1040" s="9"/>
      <c r="I1040" s="9"/>
      <c r="J1040" s="9"/>
      <c r="K1040" s="9"/>
      <c r="L1040" s="9"/>
      <c r="M1040" s="10"/>
      <c r="N1040" s="10"/>
      <c r="O1040" s="10"/>
      <c r="P1040" s="10"/>
      <c r="Q1040" s="10"/>
      <c r="R1040" s="9"/>
      <c r="S1040" s="9"/>
      <c r="T1040" s="12"/>
      <c r="U1040" s="12"/>
      <c r="V1040" s="12"/>
      <c r="W1040" s="10"/>
      <c r="X1040" s="10"/>
      <c r="Y1040" s="9"/>
      <c r="Z1040" s="9"/>
      <c r="AA1040" s="9"/>
      <c r="AB1040" s="9"/>
    </row>
    <row r="1041" ht="30.0" customHeight="1">
      <c r="A1041" s="17" t="s">
        <v>1</v>
      </c>
      <c r="B1041" s="8"/>
      <c r="C1041" s="9"/>
      <c r="D1041" s="9"/>
      <c r="E1041" s="9"/>
      <c r="F1041" s="9"/>
      <c r="G1041" s="9"/>
      <c r="H1041" s="9"/>
      <c r="I1041" s="9"/>
      <c r="J1041" s="9"/>
      <c r="K1041" s="9"/>
      <c r="L1041" s="9"/>
      <c r="M1041" s="10"/>
      <c r="N1041" s="10"/>
      <c r="O1041" s="10"/>
      <c r="P1041" s="10"/>
      <c r="Q1041" s="10"/>
      <c r="R1041" s="9"/>
      <c r="S1041" s="9"/>
      <c r="T1041" s="12"/>
      <c r="U1041" s="12"/>
      <c r="V1041" s="12"/>
      <c r="W1041" s="10"/>
      <c r="X1041" s="10"/>
      <c r="Y1041" s="9"/>
      <c r="Z1041" s="9"/>
      <c r="AA1041" s="9"/>
      <c r="AB1041" s="9"/>
    </row>
    <row r="1042" ht="30.0" customHeight="1">
      <c r="A1042" s="17" t="s">
        <v>1</v>
      </c>
      <c r="B1042" s="8"/>
      <c r="C1042" s="9"/>
      <c r="D1042" s="9"/>
      <c r="E1042" s="9"/>
      <c r="F1042" s="9"/>
      <c r="G1042" s="9"/>
      <c r="H1042" s="9"/>
      <c r="I1042" s="9"/>
      <c r="J1042" s="9"/>
      <c r="K1042" s="9"/>
      <c r="L1042" s="9"/>
      <c r="M1042" s="10"/>
      <c r="N1042" s="10"/>
      <c r="O1042" s="10"/>
      <c r="P1042" s="10"/>
      <c r="Q1042" s="10"/>
      <c r="R1042" s="9"/>
      <c r="S1042" s="9"/>
      <c r="T1042" s="12"/>
      <c r="U1042" s="12"/>
      <c r="V1042" s="12"/>
      <c r="W1042" s="10"/>
      <c r="X1042" s="10"/>
      <c r="Y1042" s="9"/>
      <c r="Z1042" s="9"/>
      <c r="AA1042" s="9"/>
      <c r="AB1042" s="9"/>
    </row>
    <row r="1043" ht="30.0" customHeight="1">
      <c r="A1043" s="17" t="s">
        <v>1</v>
      </c>
      <c r="B1043" s="8"/>
      <c r="C1043" s="9"/>
      <c r="D1043" s="9"/>
      <c r="E1043" s="9"/>
      <c r="F1043" s="9"/>
      <c r="G1043" s="9"/>
      <c r="H1043" s="9"/>
      <c r="I1043" s="9"/>
      <c r="J1043" s="9"/>
      <c r="K1043" s="9"/>
      <c r="L1043" s="9"/>
      <c r="M1043" s="10"/>
      <c r="N1043" s="10"/>
      <c r="O1043" s="10"/>
      <c r="P1043" s="10"/>
      <c r="Q1043" s="10"/>
      <c r="R1043" s="9"/>
      <c r="S1043" s="9"/>
      <c r="T1043" s="12"/>
      <c r="U1043" s="12"/>
      <c r="V1043" s="12"/>
      <c r="W1043" s="10"/>
      <c r="X1043" s="10"/>
      <c r="Y1043" s="9"/>
      <c r="Z1043" s="9"/>
      <c r="AA1043" s="9"/>
      <c r="AB1043" s="9"/>
    </row>
    <row r="1044" ht="30.0" customHeight="1">
      <c r="A1044" s="17" t="s">
        <v>1</v>
      </c>
      <c r="B1044" s="8"/>
      <c r="C1044" s="9"/>
      <c r="D1044" s="9"/>
      <c r="E1044" s="9"/>
      <c r="F1044" s="9"/>
      <c r="G1044" s="9"/>
      <c r="H1044" s="9"/>
      <c r="I1044" s="9"/>
      <c r="J1044" s="9"/>
      <c r="K1044" s="9"/>
      <c r="L1044" s="9"/>
      <c r="M1044" s="10"/>
      <c r="N1044" s="10"/>
      <c r="O1044" s="10"/>
      <c r="P1044" s="10"/>
      <c r="Q1044" s="10"/>
      <c r="R1044" s="9"/>
      <c r="S1044" s="9"/>
      <c r="T1044" s="12"/>
      <c r="U1044" s="12"/>
      <c r="V1044" s="12"/>
      <c r="W1044" s="10"/>
      <c r="X1044" s="10"/>
      <c r="Y1044" s="9"/>
      <c r="Z1044" s="9"/>
      <c r="AA1044" s="9"/>
      <c r="AB1044" s="9"/>
    </row>
    <row r="1045" ht="30.0" customHeight="1">
      <c r="A1045" s="17" t="s">
        <v>1</v>
      </c>
      <c r="B1045" s="8"/>
      <c r="C1045" s="9"/>
      <c r="D1045" s="9"/>
      <c r="E1045" s="9"/>
      <c r="F1045" s="9"/>
      <c r="G1045" s="9"/>
      <c r="H1045" s="9"/>
      <c r="I1045" s="9"/>
      <c r="J1045" s="9"/>
      <c r="K1045" s="9"/>
      <c r="L1045" s="9"/>
      <c r="M1045" s="10"/>
      <c r="N1045" s="10"/>
      <c r="O1045" s="10"/>
      <c r="P1045" s="10"/>
      <c r="Q1045" s="10"/>
      <c r="R1045" s="9"/>
      <c r="S1045" s="9"/>
      <c r="T1045" s="12"/>
      <c r="U1045" s="12"/>
      <c r="V1045" s="12"/>
      <c r="W1045" s="10"/>
      <c r="X1045" s="10"/>
      <c r="Y1045" s="9"/>
      <c r="Z1045" s="9"/>
      <c r="AA1045" s="9"/>
      <c r="AB1045" s="9"/>
    </row>
    <row r="1046" ht="30.0" customHeight="1">
      <c r="A1046" s="17" t="s">
        <v>1</v>
      </c>
      <c r="B1046" s="8"/>
      <c r="C1046" s="9"/>
      <c r="D1046" s="9"/>
      <c r="E1046" s="9"/>
      <c r="F1046" s="9"/>
      <c r="G1046" s="9"/>
      <c r="H1046" s="9"/>
      <c r="I1046" s="9"/>
      <c r="J1046" s="9"/>
      <c r="K1046" s="9"/>
      <c r="L1046" s="9"/>
      <c r="M1046" s="10"/>
      <c r="N1046" s="10"/>
      <c r="O1046" s="10"/>
      <c r="P1046" s="10"/>
      <c r="Q1046" s="10"/>
      <c r="R1046" s="9"/>
      <c r="S1046" s="9"/>
      <c r="T1046" s="12"/>
      <c r="U1046" s="12"/>
      <c r="V1046" s="12"/>
      <c r="W1046" s="10"/>
      <c r="X1046" s="10"/>
      <c r="Y1046" s="9"/>
      <c r="Z1046" s="9"/>
      <c r="AA1046" s="9"/>
      <c r="AB1046" s="9"/>
    </row>
    <row r="1047" ht="30.0" customHeight="1">
      <c r="A1047" s="17" t="s">
        <v>1</v>
      </c>
      <c r="B1047" s="8"/>
      <c r="C1047" s="9"/>
      <c r="D1047" s="9"/>
      <c r="E1047" s="9"/>
      <c r="F1047" s="9"/>
      <c r="G1047" s="9"/>
      <c r="H1047" s="9"/>
      <c r="I1047" s="9"/>
      <c r="J1047" s="9"/>
      <c r="K1047" s="9"/>
      <c r="L1047" s="9"/>
      <c r="M1047" s="10"/>
      <c r="N1047" s="10"/>
      <c r="O1047" s="10"/>
      <c r="P1047" s="10"/>
      <c r="Q1047" s="10"/>
      <c r="R1047" s="9"/>
      <c r="S1047" s="9"/>
      <c r="T1047" s="12"/>
      <c r="U1047" s="12"/>
      <c r="V1047" s="12"/>
      <c r="W1047" s="10"/>
      <c r="X1047" s="10"/>
      <c r="Y1047" s="9"/>
      <c r="Z1047" s="9"/>
      <c r="AA1047" s="9"/>
      <c r="AB1047" s="9"/>
    </row>
    <row r="1048" ht="30.0" customHeight="1">
      <c r="A1048" s="17" t="s">
        <v>1</v>
      </c>
      <c r="B1048" s="8"/>
      <c r="C1048" s="9"/>
      <c r="D1048" s="9"/>
      <c r="E1048" s="9"/>
      <c r="F1048" s="9"/>
      <c r="G1048" s="9"/>
      <c r="H1048" s="9"/>
      <c r="I1048" s="9"/>
      <c r="J1048" s="9"/>
      <c r="K1048" s="9"/>
      <c r="L1048" s="9"/>
      <c r="M1048" s="10"/>
      <c r="N1048" s="10"/>
      <c r="O1048" s="10"/>
      <c r="P1048" s="10"/>
      <c r="Q1048" s="10"/>
      <c r="R1048" s="9"/>
      <c r="S1048" s="9"/>
      <c r="T1048" s="12"/>
      <c r="U1048" s="12"/>
      <c r="V1048" s="12"/>
      <c r="W1048" s="10"/>
      <c r="X1048" s="10"/>
      <c r="Y1048" s="9"/>
      <c r="Z1048" s="9"/>
      <c r="AA1048" s="9"/>
      <c r="AB1048" s="9"/>
    </row>
    <row r="1049" ht="30.0" customHeight="1">
      <c r="A1049" s="17" t="s">
        <v>1</v>
      </c>
      <c r="B1049" s="8"/>
      <c r="C1049" s="9"/>
      <c r="D1049" s="9"/>
      <c r="E1049" s="9"/>
      <c r="F1049" s="9"/>
      <c r="G1049" s="9"/>
      <c r="H1049" s="9"/>
      <c r="I1049" s="9"/>
      <c r="J1049" s="9"/>
      <c r="K1049" s="9"/>
      <c r="L1049" s="9"/>
      <c r="M1049" s="10"/>
      <c r="N1049" s="10"/>
      <c r="O1049" s="10"/>
      <c r="P1049" s="10"/>
      <c r="Q1049" s="10"/>
      <c r="R1049" s="9"/>
      <c r="S1049" s="9"/>
      <c r="T1049" s="12"/>
      <c r="U1049" s="12"/>
      <c r="V1049" s="12"/>
      <c r="W1049" s="10"/>
      <c r="X1049" s="10"/>
      <c r="Y1049" s="9"/>
      <c r="Z1049" s="9"/>
      <c r="AA1049" s="9"/>
      <c r="AB1049" s="9"/>
    </row>
    <row r="1050" ht="30.0" customHeight="1">
      <c r="A1050" s="17" t="s">
        <v>1</v>
      </c>
      <c r="B1050" s="8"/>
      <c r="C1050" s="9"/>
      <c r="D1050" s="9"/>
      <c r="E1050" s="9"/>
      <c r="F1050" s="9"/>
      <c r="G1050" s="9"/>
      <c r="H1050" s="9"/>
      <c r="I1050" s="9"/>
      <c r="J1050" s="9"/>
      <c r="K1050" s="9"/>
      <c r="L1050" s="9"/>
      <c r="M1050" s="10"/>
      <c r="N1050" s="10"/>
      <c r="O1050" s="10"/>
      <c r="P1050" s="10"/>
      <c r="Q1050" s="10"/>
      <c r="R1050" s="9"/>
      <c r="S1050" s="9"/>
      <c r="T1050" s="12"/>
      <c r="U1050" s="12"/>
      <c r="V1050" s="12"/>
      <c r="W1050" s="10"/>
      <c r="X1050" s="10"/>
      <c r="Y1050" s="9"/>
      <c r="Z1050" s="9"/>
      <c r="AA1050" s="9"/>
      <c r="AB1050" s="9"/>
    </row>
    <row r="1051" ht="30.0" customHeight="1">
      <c r="A1051" s="17" t="s">
        <v>1</v>
      </c>
      <c r="B1051" s="8"/>
      <c r="C1051" s="9"/>
      <c r="D1051" s="9"/>
      <c r="E1051" s="9"/>
      <c r="F1051" s="9"/>
      <c r="G1051" s="9"/>
      <c r="H1051" s="9"/>
      <c r="I1051" s="9"/>
      <c r="J1051" s="9"/>
      <c r="K1051" s="9"/>
      <c r="L1051" s="9"/>
      <c r="M1051" s="10"/>
      <c r="N1051" s="10"/>
      <c r="O1051" s="10"/>
      <c r="P1051" s="10"/>
      <c r="Q1051" s="10"/>
      <c r="R1051" s="9"/>
      <c r="S1051" s="9"/>
      <c r="T1051" s="12"/>
      <c r="U1051" s="12"/>
      <c r="V1051" s="12"/>
      <c r="W1051" s="10"/>
      <c r="X1051" s="10"/>
      <c r="Y1051" s="9"/>
      <c r="Z1051" s="9"/>
      <c r="AA1051" s="9"/>
      <c r="AB1051" s="9"/>
    </row>
    <row r="1052" ht="30.0" customHeight="1">
      <c r="A1052" s="17" t="s">
        <v>1</v>
      </c>
      <c r="B1052" s="8"/>
      <c r="C1052" s="9"/>
      <c r="D1052" s="9"/>
      <c r="E1052" s="9"/>
      <c r="F1052" s="9"/>
      <c r="G1052" s="9"/>
      <c r="H1052" s="9"/>
      <c r="I1052" s="9"/>
      <c r="J1052" s="9"/>
      <c r="K1052" s="9"/>
      <c r="L1052" s="9"/>
      <c r="M1052" s="10"/>
      <c r="N1052" s="10"/>
      <c r="O1052" s="10"/>
      <c r="P1052" s="10"/>
      <c r="Q1052" s="10"/>
      <c r="R1052" s="9"/>
      <c r="S1052" s="9"/>
      <c r="T1052" s="12"/>
      <c r="U1052" s="12"/>
      <c r="V1052" s="12"/>
      <c r="W1052" s="10"/>
      <c r="X1052" s="10"/>
      <c r="Y1052" s="9"/>
      <c r="Z1052" s="9"/>
      <c r="AA1052" s="9"/>
      <c r="AB1052" s="9"/>
    </row>
    <row r="1053" ht="30.0" customHeight="1">
      <c r="A1053" s="17" t="s">
        <v>1</v>
      </c>
      <c r="B1053" s="8"/>
      <c r="C1053" s="9"/>
      <c r="D1053" s="9"/>
      <c r="E1053" s="9"/>
      <c r="F1053" s="9"/>
      <c r="G1053" s="9"/>
      <c r="H1053" s="9"/>
      <c r="I1053" s="9"/>
      <c r="J1053" s="9"/>
      <c r="K1053" s="9"/>
      <c r="L1053" s="9"/>
      <c r="M1053" s="10"/>
      <c r="N1053" s="10"/>
      <c r="O1053" s="10"/>
      <c r="P1053" s="10"/>
      <c r="Q1053" s="10"/>
      <c r="R1053" s="9"/>
      <c r="S1053" s="9"/>
      <c r="T1053" s="12"/>
      <c r="U1053" s="12"/>
      <c r="V1053" s="12"/>
      <c r="W1053" s="10"/>
      <c r="X1053" s="10"/>
      <c r="Y1053" s="9"/>
      <c r="Z1053" s="9"/>
      <c r="AA1053" s="9"/>
      <c r="AB1053" s="9"/>
    </row>
    <row r="1054" ht="30.0" customHeight="1">
      <c r="A1054" s="17" t="s">
        <v>1</v>
      </c>
      <c r="B1054" s="8"/>
      <c r="C1054" s="9"/>
      <c r="D1054" s="9"/>
      <c r="E1054" s="9"/>
      <c r="F1054" s="9"/>
      <c r="G1054" s="9"/>
      <c r="H1054" s="9"/>
      <c r="I1054" s="9"/>
      <c r="J1054" s="9"/>
      <c r="K1054" s="9"/>
      <c r="L1054" s="9"/>
      <c r="M1054" s="10"/>
      <c r="N1054" s="10"/>
      <c r="O1054" s="10"/>
      <c r="P1054" s="10"/>
      <c r="Q1054" s="10"/>
      <c r="R1054" s="9"/>
      <c r="S1054" s="9"/>
      <c r="T1054" s="12"/>
      <c r="U1054" s="12"/>
      <c r="V1054" s="12"/>
      <c r="W1054" s="10"/>
      <c r="X1054" s="10"/>
      <c r="Y1054" s="9"/>
      <c r="Z1054" s="9"/>
      <c r="AA1054" s="9"/>
      <c r="AB1054" s="9"/>
    </row>
    <row r="1055" ht="30.0" customHeight="1">
      <c r="A1055" s="17" t="s">
        <v>1</v>
      </c>
      <c r="B1055" s="8"/>
      <c r="C1055" s="9"/>
      <c r="D1055" s="9"/>
      <c r="E1055" s="9"/>
      <c r="F1055" s="9"/>
      <c r="G1055" s="9"/>
      <c r="H1055" s="9"/>
      <c r="I1055" s="9"/>
      <c r="J1055" s="9"/>
      <c r="K1055" s="9"/>
      <c r="L1055" s="9"/>
      <c r="M1055" s="10"/>
      <c r="N1055" s="10"/>
      <c r="O1055" s="10"/>
      <c r="P1055" s="10"/>
      <c r="Q1055" s="10"/>
      <c r="R1055" s="9"/>
      <c r="S1055" s="9"/>
      <c r="T1055" s="12"/>
      <c r="U1055" s="12"/>
      <c r="V1055" s="12"/>
      <c r="W1055" s="10"/>
      <c r="X1055" s="10"/>
      <c r="Y1055" s="9"/>
      <c r="Z1055" s="9"/>
      <c r="AA1055" s="9"/>
      <c r="AB1055" s="9"/>
    </row>
    <row r="1056" ht="30.0" customHeight="1">
      <c r="A1056" s="17" t="s">
        <v>1</v>
      </c>
      <c r="B1056" s="8"/>
      <c r="C1056" s="9"/>
      <c r="D1056" s="9"/>
      <c r="E1056" s="9"/>
      <c r="F1056" s="9"/>
      <c r="G1056" s="9"/>
      <c r="H1056" s="9"/>
      <c r="I1056" s="9"/>
      <c r="J1056" s="9"/>
      <c r="K1056" s="9"/>
      <c r="L1056" s="9"/>
      <c r="M1056" s="10"/>
      <c r="N1056" s="10"/>
      <c r="O1056" s="10"/>
      <c r="P1056" s="10"/>
      <c r="Q1056" s="10"/>
      <c r="R1056" s="9"/>
      <c r="S1056" s="9"/>
      <c r="T1056" s="12"/>
      <c r="U1056" s="12"/>
      <c r="V1056" s="12"/>
      <c r="W1056" s="10"/>
      <c r="X1056" s="10"/>
      <c r="Y1056" s="9"/>
      <c r="Z1056" s="9"/>
      <c r="AA1056" s="9"/>
      <c r="AB1056" s="9"/>
    </row>
    <row r="1057" ht="30.0" customHeight="1">
      <c r="A1057" s="17" t="s">
        <v>1</v>
      </c>
      <c r="B1057" s="8"/>
      <c r="C1057" s="9"/>
      <c r="D1057" s="9"/>
      <c r="E1057" s="9"/>
      <c r="F1057" s="9"/>
      <c r="G1057" s="9"/>
      <c r="H1057" s="9"/>
      <c r="I1057" s="9"/>
      <c r="J1057" s="9"/>
      <c r="K1057" s="9"/>
      <c r="L1057" s="9"/>
      <c r="M1057" s="10"/>
      <c r="N1057" s="10"/>
      <c r="O1057" s="10"/>
      <c r="P1057" s="10"/>
      <c r="Q1057" s="10"/>
      <c r="R1057" s="9"/>
      <c r="S1057" s="9"/>
      <c r="T1057" s="12"/>
      <c r="U1057" s="12"/>
      <c r="V1057" s="12"/>
      <c r="W1057" s="10"/>
      <c r="X1057" s="10"/>
      <c r="Y1057" s="9"/>
      <c r="Z1057" s="9"/>
      <c r="AA1057" s="9"/>
      <c r="AB1057" s="9"/>
    </row>
    <row r="1058" ht="30.0" customHeight="1">
      <c r="A1058" s="17" t="s">
        <v>1</v>
      </c>
      <c r="B1058" s="8"/>
      <c r="C1058" s="9"/>
      <c r="D1058" s="9"/>
      <c r="E1058" s="9"/>
      <c r="F1058" s="9"/>
      <c r="G1058" s="9"/>
      <c r="H1058" s="9"/>
      <c r="I1058" s="9"/>
      <c r="J1058" s="9"/>
      <c r="K1058" s="9"/>
      <c r="L1058" s="9"/>
      <c r="M1058" s="10"/>
      <c r="N1058" s="10"/>
      <c r="O1058" s="10"/>
      <c r="P1058" s="10"/>
      <c r="Q1058" s="10"/>
      <c r="R1058" s="9"/>
      <c r="S1058" s="9"/>
      <c r="T1058" s="12"/>
      <c r="U1058" s="12"/>
      <c r="V1058" s="12"/>
      <c r="W1058" s="10"/>
      <c r="X1058" s="10"/>
      <c r="Y1058" s="9"/>
      <c r="Z1058" s="9"/>
      <c r="AA1058" s="9"/>
      <c r="AB1058" s="9"/>
    </row>
    <row r="1059" ht="30.0" customHeight="1">
      <c r="A1059" s="17" t="s">
        <v>1</v>
      </c>
      <c r="B1059" s="8"/>
      <c r="C1059" s="9"/>
      <c r="D1059" s="9"/>
      <c r="E1059" s="9"/>
      <c r="F1059" s="9"/>
      <c r="G1059" s="9"/>
      <c r="H1059" s="9"/>
      <c r="I1059" s="9"/>
      <c r="J1059" s="9"/>
      <c r="K1059" s="9"/>
      <c r="L1059" s="9"/>
      <c r="M1059" s="10"/>
      <c r="N1059" s="10"/>
      <c r="O1059" s="10"/>
      <c r="P1059" s="10"/>
      <c r="Q1059" s="10"/>
      <c r="R1059" s="9"/>
      <c r="S1059" s="9"/>
      <c r="T1059" s="12"/>
      <c r="U1059" s="12"/>
      <c r="V1059" s="12"/>
      <c r="W1059" s="10"/>
      <c r="X1059" s="10"/>
      <c r="Y1059" s="9"/>
      <c r="Z1059" s="9"/>
      <c r="AA1059" s="9"/>
      <c r="AB1059" s="9"/>
    </row>
    <row r="1060" ht="30.0" customHeight="1">
      <c r="A1060" s="17" t="s">
        <v>1</v>
      </c>
      <c r="B1060" s="8"/>
      <c r="C1060" s="9"/>
      <c r="D1060" s="9"/>
      <c r="E1060" s="9"/>
      <c r="F1060" s="9"/>
      <c r="G1060" s="9"/>
      <c r="H1060" s="9"/>
      <c r="I1060" s="9"/>
      <c r="J1060" s="9"/>
      <c r="K1060" s="9"/>
      <c r="L1060" s="9"/>
      <c r="M1060" s="10"/>
      <c r="N1060" s="10"/>
      <c r="O1060" s="10"/>
      <c r="P1060" s="10"/>
      <c r="Q1060" s="10"/>
      <c r="R1060" s="9"/>
      <c r="S1060" s="9"/>
      <c r="T1060" s="12"/>
      <c r="U1060" s="12"/>
      <c r="V1060" s="12"/>
      <c r="W1060" s="10"/>
      <c r="X1060" s="10"/>
      <c r="Y1060" s="9"/>
      <c r="Z1060" s="9"/>
      <c r="AA1060" s="9"/>
      <c r="AB1060" s="9"/>
    </row>
    <row r="1061" ht="30.0" customHeight="1">
      <c r="A1061" s="17" t="s">
        <v>1</v>
      </c>
      <c r="B1061" s="8"/>
      <c r="C1061" s="9"/>
      <c r="D1061" s="9"/>
      <c r="E1061" s="9"/>
      <c r="F1061" s="9"/>
      <c r="G1061" s="9"/>
      <c r="H1061" s="9"/>
      <c r="I1061" s="9"/>
      <c r="J1061" s="9"/>
      <c r="K1061" s="9"/>
      <c r="L1061" s="9"/>
      <c r="M1061" s="10"/>
      <c r="N1061" s="10"/>
      <c r="O1061" s="10"/>
      <c r="P1061" s="10"/>
      <c r="Q1061" s="10"/>
      <c r="R1061" s="9"/>
      <c r="S1061" s="9"/>
      <c r="T1061" s="12"/>
      <c r="U1061" s="12"/>
      <c r="V1061" s="12"/>
      <c r="W1061" s="10"/>
      <c r="X1061" s="10"/>
      <c r="Y1061" s="9"/>
      <c r="Z1061" s="9"/>
      <c r="AA1061" s="9"/>
      <c r="AB1061" s="9"/>
    </row>
    <row r="1062" ht="30.0" customHeight="1">
      <c r="A1062" s="17" t="s">
        <v>1</v>
      </c>
      <c r="B1062" s="8"/>
      <c r="C1062" s="9"/>
      <c r="D1062" s="9"/>
      <c r="E1062" s="9"/>
      <c r="F1062" s="9"/>
      <c r="G1062" s="9"/>
      <c r="H1062" s="9"/>
      <c r="I1062" s="9"/>
      <c r="J1062" s="9"/>
      <c r="K1062" s="9"/>
      <c r="L1062" s="9"/>
      <c r="M1062" s="10"/>
      <c r="N1062" s="10"/>
      <c r="O1062" s="10"/>
      <c r="P1062" s="10"/>
      <c r="Q1062" s="10"/>
      <c r="R1062" s="9"/>
      <c r="S1062" s="9"/>
      <c r="T1062" s="12"/>
      <c r="U1062" s="12"/>
      <c r="V1062" s="12"/>
      <c r="W1062" s="10"/>
      <c r="X1062" s="10"/>
      <c r="Y1062" s="9"/>
      <c r="Z1062" s="9"/>
      <c r="AA1062" s="9"/>
      <c r="AB1062" s="9"/>
    </row>
    <row r="1063" ht="30.0" customHeight="1">
      <c r="A1063" s="17" t="s">
        <v>1</v>
      </c>
      <c r="B1063" s="8"/>
      <c r="C1063" s="9"/>
      <c r="D1063" s="9"/>
      <c r="E1063" s="9"/>
      <c r="F1063" s="9"/>
      <c r="G1063" s="9"/>
      <c r="H1063" s="9"/>
      <c r="I1063" s="9"/>
      <c r="J1063" s="9"/>
      <c r="K1063" s="9"/>
      <c r="L1063" s="9"/>
      <c r="M1063" s="10"/>
      <c r="N1063" s="10"/>
      <c r="O1063" s="10"/>
      <c r="P1063" s="10"/>
      <c r="Q1063" s="10"/>
      <c r="R1063" s="9"/>
      <c r="S1063" s="9"/>
      <c r="T1063" s="12"/>
      <c r="U1063" s="12"/>
      <c r="V1063" s="12"/>
      <c r="W1063" s="10"/>
      <c r="X1063" s="10"/>
      <c r="Y1063" s="9"/>
      <c r="Z1063" s="9"/>
      <c r="AA1063" s="9"/>
      <c r="AB1063" s="9"/>
    </row>
    <row r="1064" ht="30.0" customHeight="1">
      <c r="A1064" s="17" t="s">
        <v>1</v>
      </c>
      <c r="B1064" s="8"/>
      <c r="C1064" s="9"/>
      <c r="D1064" s="9"/>
      <c r="E1064" s="9"/>
      <c r="F1064" s="9"/>
      <c r="G1064" s="9"/>
      <c r="H1064" s="9"/>
      <c r="I1064" s="9"/>
      <c r="J1064" s="9"/>
      <c r="K1064" s="9"/>
      <c r="L1064" s="9"/>
      <c r="M1064" s="10"/>
      <c r="N1064" s="10"/>
      <c r="O1064" s="10"/>
      <c r="P1064" s="10"/>
      <c r="Q1064" s="10"/>
      <c r="R1064" s="9"/>
      <c r="S1064" s="9"/>
      <c r="T1064" s="12"/>
      <c r="U1064" s="12"/>
      <c r="V1064" s="12"/>
      <c r="W1064" s="10"/>
      <c r="X1064" s="10"/>
      <c r="Y1064" s="9"/>
      <c r="Z1064" s="9"/>
      <c r="AA1064" s="9"/>
      <c r="AB1064" s="9"/>
    </row>
    <row r="1065" ht="30.0" customHeight="1">
      <c r="A1065" s="17" t="s">
        <v>1</v>
      </c>
      <c r="B1065" s="8"/>
      <c r="C1065" s="9"/>
      <c r="D1065" s="9"/>
      <c r="E1065" s="9"/>
      <c r="F1065" s="9"/>
      <c r="G1065" s="9"/>
      <c r="H1065" s="9"/>
      <c r="I1065" s="9"/>
      <c r="J1065" s="9"/>
      <c r="K1065" s="9"/>
      <c r="L1065" s="9"/>
      <c r="M1065" s="10"/>
      <c r="N1065" s="10"/>
      <c r="O1065" s="10"/>
      <c r="P1065" s="10"/>
      <c r="Q1065" s="10"/>
      <c r="R1065" s="9"/>
      <c r="S1065" s="9"/>
      <c r="T1065" s="12"/>
      <c r="U1065" s="12"/>
      <c r="V1065" s="12"/>
      <c r="W1065" s="10"/>
      <c r="X1065" s="10"/>
      <c r="Y1065" s="9"/>
      <c r="Z1065" s="9"/>
      <c r="AA1065" s="9"/>
      <c r="AB1065" s="9"/>
    </row>
    <row r="1066" ht="30.0" customHeight="1">
      <c r="A1066" s="17" t="s">
        <v>1</v>
      </c>
      <c r="B1066" s="8"/>
      <c r="C1066" s="9"/>
      <c r="D1066" s="9"/>
      <c r="E1066" s="9"/>
      <c r="F1066" s="9"/>
      <c r="G1066" s="9"/>
      <c r="H1066" s="9"/>
      <c r="I1066" s="9"/>
      <c r="J1066" s="9"/>
      <c r="K1066" s="9"/>
      <c r="L1066" s="9"/>
      <c r="M1066" s="10"/>
      <c r="N1066" s="10"/>
      <c r="O1066" s="10"/>
      <c r="P1066" s="10"/>
      <c r="Q1066" s="10"/>
      <c r="R1066" s="9"/>
      <c r="S1066" s="9"/>
      <c r="T1066" s="12"/>
      <c r="U1066" s="12"/>
      <c r="V1066" s="12"/>
      <c r="W1066" s="10"/>
      <c r="X1066" s="10"/>
      <c r="Y1066" s="9"/>
      <c r="Z1066" s="9"/>
      <c r="AA1066" s="9"/>
      <c r="AB1066" s="9"/>
    </row>
    <row r="1067" ht="30.0" customHeight="1">
      <c r="A1067" s="17" t="s">
        <v>1</v>
      </c>
      <c r="B1067" s="8"/>
      <c r="C1067" s="9"/>
      <c r="D1067" s="9"/>
      <c r="E1067" s="9"/>
      <c r="F1067" s="9"/>
      <c r="G1067" s="9"/>
      <c r="H1067" s="9"/>
      <c r="I1067" s="9"/>
      <c r="J1067" s="9"/>
      <c r="K1067" s="9"/>
      <c r="L1067" s="9"/>
      <c r="M1067" s="10"/>
      <c r="N1067" s="10"/>
      <c r="O1067" s="10"/>
      <c r="P1067" s="10"/>
      <c r="Q1067" s="10"/>
      <c r="R1067" s="9"/>
      <c r="S1067" s="9"/>
      <c r="T1067" s="12"/>
      <c r="U1067" s="12"/>
      <c r="V1067" s="12"/>
      <c r="W1067" s="10"/>
      <c r="X1067" s="10"/>
      <c r="Y1067" s="9"/>
      <c r="Z1067" s="9"/>
      <c r="AA1067" s="9"/>
      <c r="AB1067" s="9"/>
    </row>
    <row r="1068" ht="30.0" customHeight="1">
      <c r="A1068" s="17" t="s">
        <v>1</v>
      </c>
      <c r="B1068" s="8"/>
      <c r="C1068" s="9"/>
      <c r="D1068" s="9"/>
      <c r="E1068" s="9"/>
      <c r="F1068" s="9"/>
      <c r="G1068" s="9"/>
      <c r="H1068" s="9"/>
      <c r="I1068" s="9"/>
      <c r="J1068" s="9"/>
      <c r="K1068" s="9"/>
      <c r="L1068" s="9"/>
      <c r="M1068" s="10"/>
      <c r="N1068" s="10"/>
      <c r="O1068" s="10"/>
      <c r="P1068" s="10"/>
      <c r="Q1068" s="10"/>
      <c r="R1068" s="9"/>
      <c r="S1068" s="9"/>
      <c r="T1068" s="12"/>
      <c r="U1068" s="12"/>
      <c r="V1068" s="12"/>
      <c r="W1068" s="10"/>
      <c r="X1068" s="10"/>
      <c r="Y1068" s="9"/>
      <c r="Z1068" s="9"/>
      <c r="AA1068" s="9"/>
      <c r="AB1068" s="9"/>
    </row>
    <row r="1069" ht="30.0" customHeight="1">
      <c r="A1069" s="17" t="s">
        <v>1</v>
      </c>
      <c r="B1069" s="8"/>
      <c r="C1069" s="9"/>
      <c r="D1069" s="9"/>
      <c r="E1069" s="9"/>
      <c r="F1069" s="9"/>
      <c r="G1069" s="9"/>
      <c r="H1069" s="9"/>
      <c r="I1069" s="9"/>
      <c r="J1069" s="9"/>
      <c r="K1069" s="9"/>
      <c r="L1069" s="9"/>
      <c r="M1069" s="10"/>
      <c r="N1069" s="10"/>
      <c r="O1069" s="10"/>
      <c r="P1069" s="10"/>
      <c r="Q1069" s="10"/>
      <c r="R1069" s="9"/>
      <c r="S1069" s="9"/>
      <c r="T1069" s="12"/>
      <c r="U1069" s="12"/>
      <c r="V1069" s="12"/>
      <c r="W1069" s="10"/>
      <c r="X1069" s="10"/>
      <c r="Y1069" s="9"/>
      <c r="Z1069" s="9"/>
      <c r="AA1069" s="9"/>
      <c r="AB1069" s="9"/>
    </row>
    <row r="1070" ht="30.0" customHeight="1">
      <c r="A1070" s="17" t="s">
        <v>1</v>
      </c>
      <c r="B1070" s="8"/>
      <c r="C1070" s="9"/>
      <c r="D1070" s="9"/>
      <c r="E1070" s="9"/>
      <c r="F1070" s="9"/>
      <c r="G1070" s="9"/>
      <c r="H1070" s="9"/>
      <c r="I1070" s="9"/>
      <c r="J1070" s="9"/>
      <c r="K1070" s="9"/>
      <c r="L1070" s="9"/>
      <c r="M1070" s="10"/>
      <c r="N1070" s="10"/>
      <c r="O1070" s="10"/>
      <c r="P1070" s="10"/>
      <c r="Q1070" s="10"/>
      <c r="R1070" s="9"/>
      <c r="S1070" s="9"/>
      <c r="T1070" s="12"/>
      <c r="U1070" s="12"/>
      <c r="V1070" s="12"/>
      <c r="W1070" s="10"/>
      <c r="X1070" s="10"/>
      <c r="Y1070" s="9"/>
      <c r="Z1070" s="9"/>
      <c r="AA1070" s="9"/>
      <c r="AB1070" s="9"/>
    </row>
    <row r="1071" ht="30.0" customHeight="1">
      <c r="A1071" s="17" t="s">
        <v>1</v>
      </c>
      <c r="B1071" s="8"/>
      <c r="C1071" s="9"/>
      <c r="D1071" s="9"/>
      <c r="E1071" s="9"/>
      <c r="F1071" s="9"/>
      <c r="G1071" s="9"/>
      <c r="H1071" s="9"/>
      <c r="I1071" s="9"/>
      <c r="J1071" s="9"/>
      <c r="K1071" s="9"/>
      <c r="L1071" s="9"/>
      <c r="M1071" s="10"/>
      <c r="N1071" s="10"/>
      <c r="O1071" s="10"/>
      <c r="P1071" s="10"/>
      <c r="Q1071" s="10"/>
      <c r="R1071" s="9"/>
      <c r="S1071" s="9"/>
      <c r="T1071" s="12"/>
      <c r="U1071" s="12"/>
      <c r="V1071" s="12"/>
      <c r="W1071" s="10"/>
      <c r="X1071" s="10"/>
      <c r="Y1071" s="9"/>
      <c r="Z1071" s="9"/>
      <c r="AA1071" s="9"/>
      <c r="AB1071" s="9"/>
    </row>
    <row r="1072" ht="30.0" customHeight="1">
      <c r="A1072" s="17" t="s">
        <v>1</v>
      </c>
      <c r="B1072" s="8"/>
      <c r="C1072" s="9"/>
      <c r="D1072" s="9"/>
      <c r="E1072" s="9"/>
      <c r="F1072" s="9"/>
      <c r="G1072" s="9"/>
      <c r="H1072" s="9"/>
      <c r="I1072" s="9"/>
      <c r="J1072" s="9"/>
      <c r="K1072" s="9"/>
      <c r="L1072" s="9"/>
      <c r="M1072" s="10"/>
      <c r="N1072" s="10"/>
      <c r="O1072" s="10"/>
      <c r="P1072" s="10"/>
      <c r="Q1072" s="10"/>
      <c r="R1072" s="9"/>
      <c r="S1072" s="9"/>
      <c r="T1072" s="12"/>
      <c r="U1072" s="12"/>
      <c r="V1072" s="12"/>
      <c r="W1072" s="10"/>
      <c r="X1072" s="10"/>
      <c r="Y1072" s="9"/>
      <c r="Z1072" s="9"/>
      <c r="AA1072" s="9"/>
      <c r="AB1072" s="9"/>
    </row>
    <row r="1073" ht="30.0" customHeight="1">
      <c r="A1073" s="17" t="s">
        <v>1</v>
      </c>
      <c r="B1073" s="8"/>
      <c r="C1073" s="9"/>
      <c r="D1073" s="9"/>
      <c r="E1073" s="9"/>
      <c r="F1073" s="9"/>
      <c r="G1073" s="9"/>
      <c r="H1073" s="9"/>
      <c r="I1073" s="9"/>
      <c r="J1073" s="9"/>
      <c r="K1073" s="9"/>
      <c r="L1073" s="9"/>
      <c r="M1073" s="10"/>
      <c r="N1073" s="10"/>
      <c r="O1073" s="10"/>
      <c r="P1073" s="10"/>
      <c r="Q1073" s="10"/>
      <c r="R1073" s="9"/>
      <c r="S1073" s="9"/>
      <c r="T1073" s="12"/>
      <c r="U1073" s="12"/>
      <c r="V1073" s="12"/>
      <c r="W1073" s="10"/>
      <c r="X1073" s="10"/>
      <c r="Y1073" s="9"/>
      <c r="Z1073" s="9"/>
      <c r="AA1073" s="9"/>
      <c r="AB1073" s="9"/>
    </row>
    <row r="1074" ht="30.0" customHeight="1">
      <c r="A1074" s="17" t="s">
        <v>1</v>
      </c>
      <c r="B1074" s="8"/>
      <c r="C1074" s="9"/>
      <c r="D1074" s="9"/>
      <c r="E1074" s="9"/>
      <c r="F1074" s="9"/>
      <c r="G1074" s="9"/>
      <c r="H1074" s="9"/>
      <c r="I1074" s="9"/>
      <c r="J1074" s="9"/>
      <c r="K1074" s="9"/>
      <c r="L1074" s="9"/>
      <c r="M1074" s="10"/>
      <c r="N1074" s="10"/>
      <c r="O1074" s="10"/>
      <c r="P1074" s="10"/>
      <c r="Q1074" s="10"/>
      <c r="R1074" s="9"/>
      <c r="S1074" s="9"/>
      <c r="T1074" s="12"/>
      <c r="U1074" s="12"/>
      <c r="V1074" s="12"/>
      <c r="W1074" s="10"/>
      <c r="X1074" s="10"/>
      <c r="Y1074" s="9"/>
      <c r="Z1074" s="9"/>
      <c r="AA1074" s="9"/>
      <c r="AB1074" s="9"/>
    </row>
    <row r="1075" ht="30.0" customHeight="1">
      <c r="A1075" s="17" t="s">
        <v>1</v>
      </c>
      <c r="B1075" s="8"/>
      <c r="C1075" s="9"/>
      <c r="D1075" s="9"/>
      <c r="E1075" s="9"/>
      <c r="F1075" s="9"/>
      <c r="G1075" s="9"/>
      <c r="H1075" s="9"/>
      <c r="I1075" s="9"/>
      <c r="J1075" s="9"/>
      <c r="K1075" s="9"/>
      <c r="L1075" s="9"/>
      <c r="M1075" s="10"/>
      <c r="N1075" s="10"/>
      <c r="O1075" s="10"/>
      <c r="P1075" s="10"/>
      <c r="Q1075" s="10"/>
      <c r="R1075" s="9"/>
      <c r="S1075" s="9"/>
      <c r="T1075" s="12"/>
      <c r="U1075" s="12"/>
      <c r="V1075" s="12"/>
      <c r="W1075" s="10"/>
      <c r="X1075" s="10"/>
      <c r="Y1075" s="9"/>
      <c r="Z1075" s="9"/>
      <c r="AA1075" s="9"/>
      <c r="AB1075" s="9"/>
    </row>
    <row r="1076" ht="30.0" customHeight="1">
      <c r="A1076" s="17" t="s">
        <v>1</v>
      </c>
      <c r="B1076" s="8"/>
      <c r="C1076" s="9"/>
      <c r="D1076" s="9"/>
      <c r="E1076" s="9"/>
      <c r="F1076" s="9"/>
      <c r="G1076" s="9"/>
      <c r="H1076" s="9"/>
      <c r="I1076" s="9"/>
      <c r="J1076" s="9"/>
      <c r="K1076" s="9"/>
      <c r="L1076" s="9"/>
      <c r="M1076" s="10"/>
      <c r="N1076" s="10"/>
      <c r="O1076" s="10"/>
      <c r="P1076" s="10"/>
      <c r="Q1076" s="10"/>
      <c r="R1076" s="9"/>
      <c r="S1076" s="9"/>
      <c r="T1076" s="12"/>
      <c r="U1076" s="12"/>
      <c r="V1076" s="12"/>
      <c r="W1076" s="10"/>
      <c r="X1076" s="10"/>
      <c r="Y1076" s="9"/>
      <c r="Z1076" s="9"/>
      <c r="AA1076" s="9"/>
      <c r="AB1076" s="9"/>
    </row>
    <row r="1077" ht="30.0" customHeight="1">
      <c r="A1077" s="17" t="s">
        <v>1</v>
      </c>
      <c r="B1077" s="8"/>
      <c r="C1077" s="9"/>
      <c r="D1077" s="9"/>
      <c r="E1077" s="9"/>
      <c r="F1077" s="9"/>
      <c r="G1077" s="9"/>
      <c r="H1077" s="9"/>
      <c r="I1077" s="9"/>
      <c r="J1077" s="9"/>
      <c r="K1077" s="9"/>
      <c r="L1077" s="9"/>
      <c r="M1077" s="10"/>
      <c r="N1077" s="10"/>
      <c r="O1077" s="10"/>
      <c r="P1077" s="10"/>
      <c r="Q1077" s="10"/>
      <c r="R1077" s="9"/>
      <c r="S1077" s="9"/>
      <c r="T1077" s="12"/>
      <c r="U1077" s="12"/>
      <c r="V1077" s="12"/>
      <c r="W1077" s="10"/>
      <c r="X1077" s="10"/>
      <c r="Y1077" s="9"/>
      <c r="Z1077" s="9"/>
      <c r="AA1077" s="9"/>
      <c r="AB1077" s="9"/>
    </row>
    <row r="1078" ht="30.0" customHeight="1">
      <c r="A1078" s="17" t="s">
        <v>1</v>
      </c>
      <c r="B1078" s="8"/>
      <c r="C1078" s="9"/>
      <c r="D1078" s="9"/>
      <c r="E1078" s="9"/>
      <c r="F1078" s="9"/>
      <c r="G1078" s="9"/>
      <c r="H1078" s="9"/>
      <c r="I1078" s="9"/>
      <c r="J1078" s="9"/>
      <c r="K1078" s="9"/>
      <c r="L1078" s="9"/>
      <c r="M1078" s="10"/>
      <c r="N1078" s="10"/>
      <c r="O1078" s="10"/>
      <c r="P1078" s="10"/>
      <c r="Q1078" s="10"/>
      <c r="R1078" s="9"/>
      <c r="S1078" s="9"/>
      <c r="T1078" s="12"/>
      <c r="U1078" s="12"/>
      <c r="V1078" s="12"/>
      <c r="W1078" s="10"/>
      <c r="X1078" s="10"/>
      <c r="Y1078" s="9"/>
      <c r="Z1078" s="9"/>
      <c r="AA1078" s="9"/>
      <c r="AB1078" s="9"/>
    </row>
    <row r="1079" ht="30.0" customHeight="1">
      <c r="A1079" s="17" t="s">
        <v>1</v>
      </c>
      <c r="B1079" s="8"/>
      <c r="C1079" s="9"/>
      <c r="D1079" s="9"/>
      <c r="E1079" s="9"/>
      <c r="F1079" s="9"/>
      <c r="G1079" s="9"/>
      <c r="H1079" s="9"/>
      <c r="I1079" s="9"/>
      <c r="J1079" s="9"/>
      <c r="K1079" s="9"/>
      <c r="L1079" s="9"/>
      <c r="M1079" s="10"/>
      <c r="N1079" s="10"/>
      <c r="O1079" s="10"/>
      <c r="P1079" s="10"/>
      <c r="Q1079" s="10"/>
      <c r="R1079" s="9"/>
      <c r="S1079" s="9"/>
      <c r="T1079" s="12"/>
      <c r="U1079" s="12"/>
      <c r="V1079" s="12"/>
      <c r="W1079" s="10"/>
      <c r="X1079" s="10"/>
      <c r="Y1079" s="9"/>
      <c r="Z1079" s="9"/>
      <c r="AA1079" s="9"/>
      <c r="AB1079" s="9"/>
    </row>
    <row r="1080" ht="30.0" customHeight="1">
      <c r="A1080" s="17" t="s">
        <v>1</v>
      </c>
      <c r="B1080" s="8"/>
      <c r="C1080" s="9"/>
      <c r="D1080" s="9"/>
      <c r="E1080" s="9"/>
      <c r="F1080" s="9"/>
      <c r="G1080" s="9"/>
      <c r="H1080" s="9"/>
      <c r="I1080" s="9"/>
      <c r="J1080" s="9"/>
      <c r="K1080" s="9"/>
      <c r="L1080" s="9"/>
      <c r="M1080" s="10"/>
      <c r="N1080" s="10"/>
      <c r="O1080" s="10"/>
      <c r="P1080" s="10"/>
      <c r="Q1080" s="10"/>
      <c r="R1080" s="9"/>
      <c r="S1080" s="9"/>
      <c r="T1080" s="12"/>
      <c r="U1080" s="12"/>
      <c r="V1080" s="12"/>
      <c r="W1080" s="10"/>
      <c r="X1080" s="10"/>
      <c r="Y1080" s="9"/>
      <c r="Z1080" s="9"/>
      <c r="AA1080" s="9"/>
      <c r="AB1080" s="9"/>
    </row>
    <row r="1081" ht="30.0" customHeight="1">
      <c r="A1081" s="17" t="s">
        <v>1</v>
      </c>
      <c r="B1081" s="8"/>
      <c r="C1081" s="9"/>
      <c r="D1081" s="9"/>
      <c r="E1081" s="9"/>
      <c r="F1081" s="9"/>
      <c r="G1081" s="9"/>
      <c r="H1081" s="9"/>
      <c r="I1081" s="9"/>
      <c r="J1081" s="9"/>
      <c r="K1081" s="9"/>
      <c r="L1081" s="9"/>
      <c r="M1081" s="10"/>
      <c r="N1081" s="10"/>
      <c r="O1081" s="10"/>
      <c r="P1081" s="10"/>
      <c r="Q1081" s="10"/>
      <c r="R1081" s="9"/>
      <c r="S1081" s="9"/>
      <c r="T1081" s="12"/>
      <c r="U1081" s="12"/>
      <c r="V1081" s="12"/>
      <c r="W1081" s="10"/>
      <c r="X1081" s="10"/>
      <c r="Y1081" s="9"/>
      <c r="Z1081" s="9"/>
      <c r="AA1081" s="9"/>
      <c r="AB1081" s="9"/>
    </row>
    <row r="1082" ht="30.0" customHeight="1">
      <c r="A1082" s="17" t="s">
        <v>1</v>
      </c>
      <c r="B1082" s="8"/>
      <c r="C1082" s="9"/>
      <c r="D1082" s="9"/>
      <c r="E1082" s="9"/>
      <c r="F1082" s="9"/>
      <c r="G1082" s="9"/>
      <c r="H1082" s="9"/>
      <c r="I1082" s="9"/>
      <c r="J1082" s="9"/>
      <c r="K1082" s="9"/>
      <c r="L1082" s="9"/>
      <c r="M1082" s="10"/>
      <c r="N1082" s="10"/>
      <c r="O1082" s="10"/>
      <c r="P1082" s="10"/>
      <c r="Q1082" s="10"/>
      <c r="R1082" s="9"/>
      <c r="S1082" s="9"/>
      <c r="T1082" s="12"/>
      <c r="U1082" s="12"/>
      <c r="V1082" s="12"/>
      <c r="W1082" s="10"/>
      <c r="X1082" s="10"/>
      <c r="Y1082" s="9"/>
      <c r="Z1082" s="9"/>
      <c r="AA1082" s="9"/>
      <c r="AB1082" s="9"/>
    </row>
    <row r="1083" ht="30.0" customHeight="1">
      <c r="A1083" s="17" t="s">
        <v>1</v>
      </c>
      <c r="B1083" s="8"/>
      <c r="C1083" s="9"/>
      <c r="D1083" s="9"/>
      <c r="E1083" s="9"/>
      <c r="F1083" s="9"/>
      <c r="G1083" s="9"/>
      <c r="H1083" s="9"/>
      <c r="I1083" s="9"/>
      <c r="J1083" s="9"/>
      <c r="K1083" s="9"/>
      <c r="L1083" s="9"/>
      <c r="M1083" s="10"/>
      <c r="N1083" s="10"/>
      <c r="O1083" s="10"/>
      <c r="P1083" s="10"/>
      <c r="Q1083" s="10"/>
      <c r="R1083" s="9"/>
      <c r="S1083" s="9"/>
      <c r="T1083" s="12"/>
      <c r="U1083" s="12"/>
      <c r="V1083" s="12"/>
      <c r="W1083" s="10"/>
      <c r="X1083" s="10"/>
      <c r="Y1083" s="9"/>
      <c r="Z1083" s="9"/>
      <c r="AA1083" s="9"/>
      <c r="AB1083" s="9"/>
    </row>
    <row r="1084" ht="30.0" customHeight="1">
      <c r="A1084" s="17" t="s">
        <v>1</v>
      </c>
      <c r="B1084" s="8"/>
      <c r="C1084" s="9"/>
      <c r="D1084" s="9"/>
      <c r="E1084" s="9"/>
      <c r="F1084" s="9"/>
      <c r="G1084" s="9"/>
      <c r="H1084" s="9"/>
      <c r="I1084" s="9"/>
      <c r="J1084" s="9"/>
      <c r="K1084" s="9"/>
      <c r="L1084" s="9"/>
      <c r="M1084" s="10"/>
      <c r="N1084" s="10"/>
      <c r="O1084" s="10"/>
      <c r="P1084" s="10"/>
      <c r="Q1084" s="10"/>
      <c r="R1084" s="9"/>
      <c r="S1084" s="9"/>
      <c r="T1084" s="12"/>
      <c r="U1084" s="12"/>
      <c r="V1084" s="12"/>
      <c r="W1084" s="10"/>
      <c r="X1084" s="10"/>
      <c r="Y1084" s="9"/>
      <c r="Z1084" s="9"/>
      <c r="AA1084" s="9"/>
      <c r="AB1084" s="9"/>
    </row>
    <row r="1085" ht="30.0" customHeight="1">
      <c r="A1085" s="17" t="s">
        <v>1</v>
      </c>
      <c r="B1085" s="8"/>
      <c r="C1085" s="9"/>
      <c r="D1085" s="9"/>
      <c r="E1085" s="9"/>
      <c r="F1085" s="9"/>
      <c r="G1085" s="9"/>
      <c r="H1085" s="9"/>
      <c r="I1085" s="9"/>
      <c r="J1085" s="9"/>
      <c r="K1085" s="9"/>
      <c r="L1085" s="9"/>
      <c r="M1085" s="10"/>
      <c r="N1085" s="10"/>
      <c r="O1085" s="10"/>
      <c r="P1085" s="10"/>
      <c r="Q1085" s="10"/>
      <c r="R1085" s="9"/>
      <c r="S1085" s="9"/>
      <c r="T1085" s="12"/>
      <c r="U1085" s="12"/>
      <c r="V1085" s="12"/>
      <c r="W1085" s="10"/>
      <c r="X1085" s="10"/>
      <c r="Y1085" s="9"/>
      <c r="Z1085" s="9"/>
      <c r="AA1085" s="9"/>
      <c r="AB1085" s="9"/>
    </row>
    <row r="1086" ht="30.0" customHeight="1">
      <c r="A1086" s="17" t="s">
        <v>1</v>
      </c>
      <c r="B1086" s="8"/>
      <c r="C1086" s="9"/>
      <c r="D1086" s="9"/>
      <c r="E1086" s="9"/>
      <c r="F1086" s="9"/>
      <c r="G1086" s="9"/>
      <c r="H1086" s="9"/>
      <c r="I1086" s="9"/>
      <c r="J1086" s="9"/>
      <c r="K1086" s="9"/>
      <c r="L1086" s="9"/>
      <c r="M1086" s="10"/>
      <c r="N1086" s="10"/>
      <c r="O1086" s="10"/>
      <c r="P1086" s="10"/>
      <c r="Q1086" s="10"/>
      <c r="R1086" s="9"/>
      <c r="S1086" s="9"/>
      <c r="T1086" s="12"/>
      <c r="U1086" s="12"/>
      <c r="V1086" s="12"/>
      <c r="W1086" s="10"/>
      <c r="X1086" s="10"/>
      <c r="Y1086" s="9"/>
      <c r="Z1086" s="9"/>
      <c r="AA1086" s="9"/>
      <c r="AB1086" s="9"/>
    </row>
    <row r="1087" ht="30.0" customHeight="1">
      <c r="A1087" s="17" t="s">
        <v>1</v>
      </c>
      <c r="B1087" s="8"/>
      <c r="C1087" s="9"/>
      <c r="D1087" s="9"/>
      <c r="E1087" s="9"/>
      <c r="F1087" s="9"/>
      <c r="G1087" s="9"/>
      <c r="H1087" s="9"/>
      <c r="I1087" s="9"/>
      <c r="J1087" s="9"/>
      <c r="K1087" s="9"/>
      <c r="L1087" s="9"/>
      <c r="M1087" s="10"/>
      <c r="N1087" s="10"/>
      <c r="O1087" s="10"/>
      <c r="P1087" s="10"/>
      <c r="Q1087" s="10"/>
      <c r="R1087" s="9"/>
      <c r="S1087" s="9"/>
      <c r="T1087" s="12"/>
      <c r="U1087" s="12"/>
      <c r="V1087" s="12"/>
      <c r="W1087" s="10"/>
      <c r="X1087" s="10"/>
      <c r="Y1087" s="9"/>
      <c r="Z1087" s="9"/>
      <c r="AA1087" s="9"/>
      <c r="AB1087" s="9"/>
    </row>
    <row r="1088" ht="30.0" customHeight="1">
      <c r="A1088" s="17" t="s">
        <v>1</v>
      </c>
      <c r="B1088" s="8"/>
      <c r="C1088" s="9"/>
      <c r="D1088" s="9"/>
      <c r="E1088" s="9"/>
      <c r="F1088" s="9"/>
      <c r="G1088" s="9"/>
      <c r="H1088" s="9"/>
      <c r="I1088" s="9"/>
      <c r="J1088" s="9"/>
      <c r="K1088" s="9"/>
      <c r="L1088" s="9"/>
      <c r="M1088" s="10"/>
      <c r="N1088" s="10"/>
      <c r="O1088" s="10"/>
      <c r="P1088" s="10"/>
      <c r="Q1088" s="10"/>
      <c r="R1088" s="9"/>
      <c r="S1088" s="9"/>
      <c r="T1088" s="12"/>
      <c r="U1088" s="12"/>
      <c r="V1088" s="12"/>
      <c r="W1088" s="10"/>
      <c r="X1088" s="10"/>
      <c r="Y1088" s="9"/>
      <c r="Z1088" s="9"/>
      <c r="AA1088" s="9"/>
      <c r="AB1088" s="9"/>
    </row>
    <row r="1089" ht="30.0" customHeight="1">
      <c r="A1089" s="17" t="s">
        <v>1</v>
      </c>
      <c r="B1089" s="8"/>
      <c r="C1089" s="9"/>
      <c r="D1089" s="9"/>
      <c r="E1089" s="9"/>
      <c r="F1089" s="9"/>
      <c r="G1089" s="9"/>
      <c r="H1089" s="9"/>
      <c r="I1089" s="9"/>
      <c r="J1089" s="9"/>
      <c r="K1089" s="9"/>
      <c r="L1089" s="9"/>
      <c r="M1089" s="10"/>
      <c r="N1089" s="10"/>
      <c r="O1089" s="10"/>
      <c r="P1089" s="10"/>
      <c r="Q1089" s="10"/>
      <c r="R1089" s="9"/>
      <c r="S1089" s="9"/>
      <c r="T1089" s="12"/>
      <c r="U1089" s="12"/>
      <c r="V1089" s="12"/>
      <c r="W1089" s="10"/>
      <c r="X1089" s="10"/>
      <c r="Y1089" s="9"/>
      <c r="Z1089" s="9"/>
      <c r="AA1089" s="9"/>
      <c r="AB1089" s="9"/>
    </row>
    <row r="1090" ht="30.0" customHeight="1">
      <c r="A1090" s="17" t="s">
        <v>1</v>
      </c>
      <c r="B1090" s="8"/>
      <c r="C1090" s="9"/>
      <c r="D1090" s="9"/>
      <c r="E1090" s="9"/>
      <c r="F1090" s="9"/>
      <c r="G1090" s="9"/>
      <c r="H1090" s="9"/>
      <c r="I1090" s="9"/>
      <c r="J1090" s="9"/>
      <c r="K1090" s="9"/>
      <c r="L1090" s="9"/>
      <c r="M1090" s="10"/>
      <c r="N1090" s="10"/>
      <c r="O1090" s="10"/>
      <c r="P1090" s="10"/>
      <c r="Q1090" s="10"/>
      <c r="R1090" s="9"/>
      <c r="S1090" s="9"/>
      <c r="T1090" s="12"/>
      <c r="U1090" s="12"/>
      <c r="V1090" s="12"/>
      <c r="W1090" s="10"/>
      <c r="X1090" s="10"/>
      <c r="Y1090" s="9"/>
      <c r="Z1090" s="9"/>
      <c r="AA1090" s="9"/>
      <c r="AB1090" s="9"/>
    </row>
    <row r="1091" ht="30.0" customHeight="1">
      <c r="A1091" s="17" t="s">
        <v>1</v>
      </c>
      <c r="B1091" s="8"/>
      <c r="C1091" s="9"/>
      <c r="D1091" s="9"/>
      <c r="E1091" s="9"/>
      <c r="F1091" s="9"/>
      <c r="G1091" s="9"/>
      <c r="H1091" s="9"/>
      <c r="I1091" s="9"/>
      <c r="J1091" s="9"/>
      <c r="K1091" s="9"/>
      <c r="L1091" s="9"/>
      <c r="M1091" s="10"/>
      <c r="N1091" s="10"/>
      <c r="O1091" s="10"/>
      <c r="P1091" s="10"/>
      <c r="Q1091" s="10"/>
      <c r="R1091" s="9"/>
      <c r="S1091" s="9"/>
      <c r="T1091" s="12"/>
      <c r="U1091" s="12"/>
      <c r="V1091" s="12"/>
      <c r="W1091" s="10"/>
      <c r="X1091" s="10"/>
      <c r="Y1091" s="9"/>
      <c r="Z1091" s="9"/>
      <c r="AA1091" s="9"/>
      <c r="AB1091" s="9"/>
    </row>
    <row r="1092" ht="30.0" customHeight="1">
      <c r="A1092" s="17" t="s">
        <v>1</v>
      </c>
      <c r="B1092" s="8"/>
      <c r="C1092" s="9"/>
      <c r="D1092" s="9"/>
      <c r="E1092" s="9"/>
      <c r="F1092" s="9"/>
      <c r="G1092" s="9"/>
      <c r="H1092" s="9"/>
      <c r="I1092" s="9"/>
      <c r="J1092" s="9"/>
      <c r="K1092" s="9"/>
      <c r="L1092" s="9"/>
      <c r="M1092" s="10"/>
      <c r="N1092" s="10"/>
      <c r="O1092" s="10"/>
      <c r="P1092" s="10"/>
      <c r="Q1092" s="10"/>
      <c r="R1092" s="9"/>
      <c r="S1092" s="9"/>
      <c r="T1092" s="12"/>
      <c r="U1092" s="12"/>
      <c r="V1092" s="12"/>
      <c r="W1092" s="10"/>
      <c r="X1092" s="10"/>
      <c r="Y1092" s="9"/>
      <c r="Z1092" s="9"/>
      <c r="AA1092" s="9"/>
      <c r="AB1092" s="9"/>
    </row>
    <row r="1093" ht="30.0" customHeight="1">
      <c r="A1093" s="17" t="s">
        <v>1</v>
      </c>
      <c r="B1093" s="8"/>
      <c r="C1093" s="9"/>
      <c r="D1093" s="9"/>
      <c r="E1093" s="9"/>
      <c r="F1093" s="9"/>
      <c r="G1093" s="9"/>
      <c r="H1093" s="9"/>
      <c r="I1093" s="9"/>
      <c r="J1093" s="9"/>
      <c r="K1093" s="9"/>
      <c r="L1093" s="9"/>
      <c r="M1093" s="10"/>
      <c r="N1093" s="10"/>
      <c r="O1093" s="10"/>
      <c r="P1093" s="10"/>
      <c r="Q1093" s="10"/>
      <c r="R1093" s="9"/>
      <c r="S1093" s="9"/>
      <c r="T1093" s="12"/>
      <c r="U1093" s="12"/>
      <c r="V1093" s="12"/>
      <c r="W1093" s="10"/>
      <c r="X1093" s="10"/>
      <c r="Y1093" s="9"/>
      <c r="Z1093" s="9"/>
      <c r="AA1093" s="9"/>
      <c r="AB1093" s="9"/>
    </row>
    <row r="1094" ht="30.0" customHeight="1">
      <c r="A1094" s="17" t="s">
        <v>1</v>
      </c>
      <c r="B1094" s="8"/>
      <c r="C1094" s="9"/>
      <c r="D1094" s="9"/>
      <c r="E1094" s="9"/>
      <c r="F1094" s="9"/>
      <c r="G1094" s="9"/>
      <c r="H1094" s="9"/>
      <c r="I1094" s="9"/>
      <c r="J1094" s="9"/>
      <c r="K1094" s="9"/>
      <c r="L1094" s="9"/>
      <c r="M1094" s="10"/>
      <c r="N1094" s="10"/>
      <c r="O1094" s="10"/>
      <c r="P1094" s="10"/>
      <c r="Q1094" s="10"/>
      <c r="R1094" s="9"/>
      <c r="S1094" s="9"/>
      <c r="T1094" s="12"/>
      <c r="U1094" s="12"/>
      <c r="V1094" s="12"/>
      <c r="W1094" s="10"/>
      <c r="X1094" s="10"/>
      <c r="Y1094" s="9"/>
      <c r="Z1094" s="9"/>
      <c r="AA1094" s="9"/>
      <c r="AB1094" s="9"/>
    </row>
    <row r="1095" ht="30.0" customHeight="1">
      <c r="A1095" s="17" t="s">
        <v>1</v>
      </c>
      <c r="B1095" s="8"/>
      <c r="C1095" s="9"/>
      <c r="D1095" s="9"/>
      <c r="E1095" s="9"/>
      <c r="F1095" s="9"/>
      <c r="G1095" s="9"/>
      <c r="H1095" s="9"/>
      <c r="I1095" s="9"/>
      <c r="J1095" s="9"/>
      <c r="K1095" s="9"/>
      <c r="L1095" s="9"/>
      <c r="M1095" s="10"/>
      <c r="N1095" s="10"/>
      <c r="O1095" s="10"/>
      <c r="P1095" s="10"/>
      <c r="Q1095" s="10"/>
      <c r="R1095" s="9"/>
      <c r="S1095" s="9"/>
      <c r="T1095" s="12"/>
      <c r="U1095" s="12"/>
      <c r="V1095" s="12"/>
      <c r="W1095" s="10"/>
      <c r="X1095" s="10"/>
      <c r="Y1095" s="9"/>
      <c r="Z1095" s="9"/>
      <c r="AA1095" s="9"/>
      <c r="AB1095" s="9"/>
    </row>
    <row r="1096" ht="30.0" customHeight="1">
      <c r="A1096" s="17" t="s">
        <v>1</v>
      </c>
      <c r="B1096" s="8"/>
      <c r="C1096" s="9"/>
      <c r="D1096" s="9"/>
      <c r="E1096" s="9"/>
      <c r="F1096" s="9"/>
      <c r="G1096" s="9"/>
      <c r="H1096" s="9"/>
      <c r="I1096" s="9"/>
      <c r="J1096" s="9"/>
      <c r="K1096" s="9"/>
      <c r="L1096" s="9"/>
      <c r="M1096" s="10"/>
      <c r="N1096" s="10"/>
      <c r="O1096" s="10"/>
      <c r="P1096" s="10"/>
      <c r="Q1096" s="10"/>
      <c r="R1096" s="9"/>
      <c r="S1096" s="9"/>
      <c r="T1096" s="12"/>
      <c r="U1096" s="12"/>
      <c r="V1096" s="12"/>
      <c r="W1096" s="10"/>
      <c r="X1096" s="10"/>
      <c r="Y1096" s="9"/>
      <c r="Z1096" s="9"/>
      <c r="AA1096" s="9"/>
      <c r="AB1096" s="9"/>
    </row>
    <row r="1097" ht="30.0" customHeight="1">
      <c r="A1097" s="17" t="s">
        <v>1</v>
      </c>
      <c r="B1097" s="8"/>
      <c r="C1097" s="9"/>
      <c r="D1097" s="9"/>
      <c r="E1097" s="9"/>
      <c r="F1097" s="9"/>
      <c r="G1097" s="9"/>
      <c r="H1097" s="9"/>
      <c r="I1097" s="9"/>
      <c r="J1097" s="9"/>
      <c r="K1097" s="9"/>
      <c r="L1097" s="9"/>
      <c r="M1097" s="10"/>
      <c r="N1097" s="10"/>
      <c r="O1097" s="10"/>
      <c r="P1097" s="10"/>
      <c r="Q1097" s="10"/>
      <c r="R1097" s="9"/>
      <c r="S1097" s="9"/>
      <c r="T1097" s="12"/>
      <c r="U1097" s="12"/>
      <c r="V1097" s="12"/>
      <c r="W1097" s="10"/>
      <c r="X1097" s="10"/>
      <c r="Y1097" s="9"/>
      <c r="Z1097" s="9"/>
      <c r="AA1097" s="9"/>
      <c r="AB1097" s="9"/>
    </row>
    <row r="1098" ht="30.0" customHeight="1">
      <c r="A1098" s="17" t="s">
        <v>1</v>
      </c>
      <c r="B1098" s="8"/>
      <c r="C1098" s="9"/>
      <c r="D1098" s="9"/>
      <c r="E1098" s="9"/>
      <c r="F1098" s="9"/>
      <c r="G1098" s="9"/>
      <c r="H1098" s="9"/>
      <c r="I1098" s="9"/>
      <c r="J1098" s="9"/>
      <c r="K1098" s="9"/>
      <c r="L1098" s="9"/>
      <c r="M1098" s="10"/>
      <c r="N1098" s="10"/>
      <c r="O1098" s="10"/>
      <c r="P1098" s="10"/>
      <c r="Q1098" s="10"/>
      <c r="R1098" s="9"/>
      <c r="S1098" s="9"/>
      <c r="T1098" s="12"/>
      <c r="U1098" s="12"/>
      <c r="V1098" s="12"/>
      <c r="W1098" s="10"/>
      <c r="X1098" s="10"/>
      <c r="Y1098" s="9"/>
      <c r="Z1098" s="9"/>
      <c r="AA1098" s="9"/>
      <c r="AB1098" s="9"/>
    </row>
    <row r="1099" ht="30.0" customHeight="1">
      <c r="A1099" s="17" t="s">
        <v>1</v>
      </c>
      <c r="B1099" s="8"/>
      <c r="C1099" s="9"/>
      <c r="D1099" s="9"/>
      <c r="E1099" s="9"/>
      <c r="F1099" s="9"/>
      <c r="G1099" s="9"/>
      <c r="H1099" s="9"/>
      <c r="I1099" s="9"/>
      <c r="J1099" s="9"/>
      <c r="K1099" s="9"/>
      <c r="L1099" s="9"/>
      <c r="M1099" s="10"/>
      <c r="N1099" s="10"/>
      <c r="O1099" s="10"/>
      <c r="P1099" s="10"/>
      <c r="Q1099" s="10"/>
      <c r="R1099" s="9"/>
      <c r="S1099" s="9"/>
      <c r="T1099" s="12"/>
      <c r="U1099" s="12"/>
      <c r="V1099" s="12"/>
      <c r="W1099" s="10"/>
      <c r="X1099" s="10"/>
      <c r="Y1099" s="9"/>
      <c r="Z1099" s="9"/>
      <c r="AA1099" s="9"/>
      <c r="AB1099" s="9"/>
    </row>
    <row r="1100" ht="30.0" customHeight="1">
      <c r="A1100" s="17" t="s">
        <v>1</v>
      </c>
      <c r="B1100" s="8"/>
      <c r="C1100" s="9"/>
      <c r="D1100" s="9"/>
      <c r="E1100" s="9"/>
      <c r="F1100" s="9"/>
      <c r="G1100" s="9"/>
      <c r="H1100" s="9"/>
      <c r="I1100" s="9"/>
      <c r="J1100" s="9"/>
      <c r="K1100" s="9"/>
      <c r="L1100" s="9"/>
      <c r="M1100" s="10"/>
      <c r="N1100" s="10"/>
      <c r="O1100" s="10"/>
      <c r="P1100" s="10"/>
      <c r="Q1100" s="10"/>
      <c r="R1100" s="9"/>
      <c r="S1100" s="9"/>
      <c r="T1100" s="12"/>
      <c r="U1100" s="12"/>
      <c r="V1100" s="12"/>
      <c r="W1100" s="10"/>
      <c r="X1100" s="10"/>
      <c r="Y1100" s="9"/>
      <c r="Z1100" s="9"/>
      <c r="AA1100" s="9"/>
      <c r="AB1100" s="9"/>
    </row>
    <row r="1101" ht="30.0" customHeight="1">
      <c r="A1101" s="17" t="s">
        <v>1</v>
      </c>
      <c r="B1101" s="8"/>
      <c r="C1101" s="9"/>
      <c r="D1101" s="9"/>
      <c r="E1101" s="9"/>
      <c r="F1101" s="9"/>
      <c r="G1101" s="9"/>
      <c r="H1101" s="9"/>
      <c r="I1101" s="9"/>
      <c r="J1101" s="9"/>
      <c r="K1101" s="9"/>
      <c r="L1101" s="9"/>
      <c r="M1101" s="10"/>
      <c r="N1101" s="10"/>
      <c r="O1101" s="10"/>
      <c r="P1101" s="10"/>
      <c r="Q1101" s="10"/>
      <c r="R1101" s="9"/>
      <c r="S1101" s="9"/>
      <c r="T1101" s="12"/>
      <c r="U1101" s="12"/>
      <c r="V1101" s="12"/>
      <c r="W1101" s="10"/>
      <c r="X1101" s="10"/>
      <c r="Y1101" s="9"/>
      <c r="Z1101" s="9"/>
      <c r="AA1101" s="9"/>
      <c r="AB1101" s="9"/>
    </row>
    <row r="1102" ht="30.0" customHeight="1">
      <c r="A1102" s="17" t="s">
        <v>1</v>
      </c>
      <c r="B1102" s="8"/>
      <c r="C1102" s="9"/>
      <c r="D1102" s="9"/>
      <c r="E1102" s="9"/>
      <c r="F1102" s="9"/>
      <c r="G1102" s="9"/>
      <c r="H1102" s="9"/>
      <c r="I1102" s="9"/>
      <c r="J1102" s="9"/>
      <c r="K1102" s="9"/>
      <c r="L1102" s="9"/>
      <c r="M1102" s="10"/>
      <c r="N1102" s="10"/>
      <c r="O1102" s="10"/>
      <c r="P1102" s="10"/>
      <c r="Q1102" s="10"/>
      <c r="R1102" s="9"/>
      <c r="S1102" s="9"/>
      <c r="T1102" s="12"/>
      <c r="U1102" s="12"/>
      <c r="V1102" s="12"/>
      <c r="W1102" s="10"/>
      <c r="X1102" s="10"/>
      <c r="Y1102" s="9"/>
      <c r="Z1102" s="9"/>
      <c r="AA1102" s="9"/>
      <c r="AB1102" s="9"/>
    </row>
    <row r="1103" ht="30.0" customHeight="1">
      <c r="A1103" s="17" t="s">
        <v>1</v>
      </c>
      <c r="B1103" s="8"/>
      <c r="C1103" s="9"/>
      <c r="D1103" s="9"/>
      <c r="E1103" s="9"/>
      <c r="F1103" s="9"/>
      <c r="G1103" s="9"/>
      <c r="H1103" s="9"/>
      <c r="I1103" s="9"/>
      <c r="J1103" s="9"/>
      <c r="K1103" s="9"/>
      <c r="L1103" s="9"/>
      <c r="M1103" s="10"/>
      <c r="N1103" s="10"/>
      <c r="O1103" s="10"/>
      <c r="P1103" s="10"/>
      <c r="Q1103" s="10"/>
      <c r="R1103" s="9"/>
      <c r="S1103" s="9"/>
      <c r="T1103" s="12"/>
      <c r="U1103" s="12"/>
      <c r="V1103" s="12"/>
      <c r="W1103" s="10"/>
      <c r="X1103" s="10"/>
      <c r="Y1103" s="9"/>
      <c r="Z1103" s="9"/>
      <c r="AA1103" s="9"/>
      <c r="AB1103" s="9"/>
    </row>
    <row r="1104" ht="30.0" customHeight="1">
      <c r="A1104" s="17" t="s">
        <v>1</v>
      </c>
      <c r="B1104" s="8"/>
      <c r="C1104" s="9"/>
      <c r="D1104" s="9"/>
      <c r="E1104" s="9"/>
      <c r="F1104" s="9"/>
      <c r="G1104" s="9"/>
      <c r="H1104" s="9"/>
      <c r="I1104" s="9"/>
      <c r="J1104" s="9"/>
      <c r="K1104" s="9"/>
      <c r="L1104" s="9"/>
      <c r="M1104" s="10"/>
      <c r="N1104" s="10"/>
      <c r="O1104" s="10"/>
      <c r="P1104" s="10"/>
      <c r="Q1104" s="10"/>
      <c r="R1104" s="9"/>
      <c r="S1104" s="9"/>
      <c r="T1104" s="12"/>
      <c r="U1104" s="12"/>
      <c r="V1104" s="12"/>
      <c r="W1104" s="10"/>
      <c r="X1104" s="10"/>
      <c r="Y1104" s="9"/>
      <c r="Z1104" s="9"/>
      <c r="AA1104" s="9"/>
      <c r="AB1104" s="9"/>
    </row>
    <row r="1105" ht="30.0" customHeight="1">
      <c r="A1105" s="17" t="s">
        <v>1</v>
      </c>
      <c r="B1105" s="8"/>
      <c r="C1105" s="9"/>
      <c r="D1105" s="9"/>
      <c r="E1105" s="9"/>
      <c r="F1105" s="9"/>
      <c r="G1105" s="9"/>
      <c r="H1105" s="9"/>
      <c r="I1105" s="9"/>
      <c r="J1105" s="9"/>
      <c r="K1105" s="9"/>
      <c r="L1105" s="9"/>
      <c r="M1105" s="10"/>
      <c r="N1105" s="10"/>
      <c r="O1105" s="10"/>
      <c r="P1105" s="10"/>
      <c r="Q1105" s="10"/>
      <c r="R1105" s="9"/>
      <c r="S1105" s="9"/>
      <c r="T1105" s="12"/>
      <c r="U1105" s="12"/>
      <c r="V1105" s="12"/>
      <c r="W1105" s="10"/>
      <c r="X1105" s="10"/>
      <c r="Y1105" s="9"/>
      <c r="Z1105" s="9"/>
      <c r="AA1105" s="9"/>
      <c r="AB1105" s="9"/>
    </row>
    <row r="1106" ht="30.0" customHeight="1">
      <c r="A1106" s="17" t="s">
        <v>1</v>
      </c>
      <c r="B1106" s="8"/>
      <c r="C1106" s="9"/>
      <c r="D1106" s="9"/>
      <c r="E1106" s="9"/>
      <c r="F1106" s="9"/>
      <c r="G1106" s="9"/>
      <c r="H1106" s="9"/>
      <c r="I1106" s="9"/>
      <c r="J1106" s="9"/>
      <c r="K1106" s="9"/>
      <c r="L1106" s="9"/>
      <c r="M1106" s="10"/>
      <c r="N1106" s="10"/>
      <c r="O1106" s="10"/>
      <c r="P1106" s="10"/>
      <c r="Q1106" s="10"/>
      <c r="R1106" s="9"/>
      <c r="S1106" s="9"/>
      <c r="T1106" s="12"/>
      <c r="U1106" s="12"/>
      <c r="V1106" s="12"/>
      <c r="W1106" s="10"/>
      <c r="X1106" s="10"/>
      <c r="Y1106" s="9"/>
      <c r="Z1106" s="9"/>
      <c r="AA1106" s="9"/>
      <c r="AB1106" s="9"/>
    </row>
    <row r="1107" ht="30.0" customHeight="1">
      <c r="A1107" s="17" t="s">
        <v>1</v>
      </c>
      <c r="B1107" s="8"/>
      <c r="C1107" s="9"/>
      <c r="D1107" s="9"/>
      <c r="E1107" s="9"/>
      <c r="F1107" s="9"/>
      <c r="G1107" s="9"/>
      <c r="H1107" s="9"/>
      <c r="I1107" s="9"/>
      <c r="J1107" s="9"/>
      <c r="K1107" s="9"/>
      <c r="L1107" s="9"/>
      <c r="M1107" s="10"/>
      <c r="N1107" s="10"/>
      <c r="O1107" s="10"/>
      <c r="P1107" s="10"/>
      <c r="Q1107" s="10"/>
      <c r="R1107" s="9"/>
      <c r="S1107" s="9"/>
      <c r="T1107" s="12"/>
      <c r="U1107" s="12"/>
      <c r="V1107" s="12"/>
      <c r="W1107" s="10"/>
      <c r="X1107" s="10"/>
      <c r="Y1107" s="9"/>
      <c r="Z1107" s="9"/>
      <c r="AA1107" s="9"/>
      <c r="AB1107" s="9"/>
    </row>
    <row r="1108" ht="30.0" customHeight="1">
      <c r="A1108" s="17" t="s">
        <v>1</v>
      </c>
      <c r="B1108" s="8"/>
      <c r="C1108" s="9"/>
      <c r="D1108" s="9"/>
      <c r="E1108" s="9"/>
      <c r="F1108" s="9"/>
      <c r="G1108" s="9"/>
      <c r="H1108" s="9"/>
      <c r="I1108" s="9"/>
      <c r="J1108" s="9"/>
      <c r="K1108" s="9"/>
      <c r="L1108" s="9"/>
      <c r="M1108" s="10"/>
      <c r="N1108" s="10"/>
      <c r="O1108" s="10"/>
      <c r="P1108" s="10"/>
      <c r="Q1108" s="10"/>
      <c r="R1108" s="9"/>
      <c r="S1108" s="9"/>
      <c r="T1108" s="12"/>
      <c r="U1108" s="12"/>
      <c r="V1108" s="12"/>
      <c r="W1108" s="10"/>
      <c r="X1108" s="10"/>
      <c r="Y1108" s="9"/>
      <c r="Z1108" s="9"/>
      <c r="AA1108" s="9"/>
      <c r="AB1108" s="9"/>
    </row>
    <row r="1109" ht="30.0" customHeight="1">
      <c r="A1109" s="17" t="s">
        <v>1</v>
      </c>
      <c r="B1109" s="8"/>
      <c r="C1109" s="9"/>
      <c r="D1109" s="9"/>
      <c r="E1109" s="9"/>
      <c r="F1109" s="9"/>
      <c r="G1109" s="9"/>
      <c r="H1109" s="9"/>
      <c r="I1109" s="9"/>
      <c r="J1109" s="9"/>
      <c r="K1109" s="9"/>
      <c r="L1109" s="9"/>
      <c r="M1109" s="10"/>
      <c r="N1109" s="10"/>
      <c r="O1109" s="10"/>
      <c r="P1109" s="10"/>
      <c r="Q1109" s="10"/>
      <c r="R1109" s="9"/>
      <c r="S1109" s="9"/>
      <c r="T1109" s="12"/>
      <c r="U1109" s="12"/>
      <c r="V1109" s="12"/>
      <c r="W1109" s="10"/>
      <c r="X1109" s="10"/>
      <c r="Y1109" s="9"/>
      <c r="Z1109" s="9"/>
      <c r="AA1109" s="9"/>
      <c r="AB1109" s="9"/>
    </row>
    <row r="1110" ht="30.0" customHeight="1">
      <c r="A1110" s="17" t="s">
        <v>1</v>
      </c>
      <c r="B1110" s="8"/>
      <c r="C1110" s="9"/>
      <c r="D1110" s="9"/>
      <c r="E1110" s="9"/>
      <c r="F1110" s="9"/>
      <c r="G1110" s="9"/>
      <c r="H1110" s="9"/>
      <c r="I1110" s="9"/>
      <c r="J1110" s="9"/>
      <c r="K1110" s="9"/>
      <c r="L1110" s="9"/>
      <c r="M1110" s="10"/>
      <c r="N1110" s="10"/>
      <c r="O1110" s="10"/>
      <c r="P1110" s="10"/>
      <c r="Q1110" s="10"/>
      <c r="R1110" s="9"/>
      <c r="S1110" s="9"/>
      <c r="T1110" s="12"/>
      <c r="U1110" s="12"/>
      <c r="V1110" s="12"/>
      <c r="W1110" s="10"/>
      <c r="X1110" s="10"/>
      <c r="Y1110" s="9"/>
      <c r="Z1110" s="9"/>
      <c r="AA1110" s="9"/>
      <c r="AB1110" s="9"/>
    </row>
    <row r="1111" ht="30.0" customHeight="1">
      <c r="A1111" s="17" t="s">
        <v>1</v>
      </c>
      <c r="B1111" s="8"/>
      <c r="C1111" s="9"/>
      <c r="D1111" s="9"/>
      <c r="E1111" s="9"/>
      <c r="F1111" s="9"/>
      <c r="G1111" s="9"/>
      <c r="H1111" s="9"/>
      <c r="I1111" s="9"/>
      <c r="J1111" s="9"/>
      <c r="K1111" s="9"/>
      <c r="L1111" s="9"/>
      <c r="M1111" s="10"/>
      <c r="N1111" s="10"/>
      <c r="O1111" s="10"/>
      <c r="P1111" s="10"/>
      <c r="Q1111" s="10"/>
      <c r="R1111" s="9"/>
      <c r="S1111" s="9"/>
      <c r="T1111" s="12"/>
      <c r="U1111" s="12"/>
      <c r="V1111" s="12"/>
      <c r="W1111" s="10"/>
      <c r="X1111" s="10"/>
      <c r="Y1111" s="9"/>
      <c r="Z1111" s="9"/>
      <c r="AA1111" s="9"/>
      <c r="AB1111" s="9"/>
    </row>
    <row r="1112" ht="30.0" customHeight="1">
      <c r="A1112" s="17" t="s">
        <v>1</v>
      </c>
      <c r="B1112" s="8"/>
      <c r="C1112" s="9"/>
      <c r="D1112" s="9"/>
      <c r="E1112" s="9"/>
      <c r="F1112" s="9"/>
      <c r="G1112" s="9"/>
      <c r="H1112" s="9"/>
      <c r="I1112" s="9"/>
      <c r="J1112" s="9"/>
      <c r="K1112" s="9"/>
      <c r="L1112" s="9"/>
      <c r="M1112" s="10"/>
      <c r="N1112" s="10"/>
      <c r="O1112" s="10"/>
      <c r="P1112" s="10"/>
      <c r="Q1112" s="10"/>
      <c r="R1112" s="9"/>
      <c r="S1112" s="9"/>
      <c r="T1112" s="12"/>
      <c r="U1112" s="12"/>
      <c r="V1112" s="12"/>
      <c r="W1112" s="10"/>
      <c r="X1112" s="10"/>
      <c r="Y1112" s="9"/>
      <c r="Z1112" s="9"/>
      <c r="AA1112" s="9"/>
      <c r="AB1112" s="9"/>
    </row>
    <row r="1113" ht="30.0" customHeight="1">
      <c r="A1113" s="17" t="s">
        <v>1</v>
      </c>
      <c r="B1113" s="8"/>
      <c r="C1113" s="9"/>
      <c r="D1113" s="9"/>
      <c r="E1113" s="9"/>
      <c r="F1113" s="9"/>
      <c r="G1113" s="9"/>
      <c r="H1113" s="9"/>
      <c r="I1113" s="9"/>
      <c r="J1113" s="9"/>
      <c r="K1113" s="9"/>
      <c r="L1113" s="9"/>
      <c r="M1113" s="10"/>
      <c r="N1113" s="10"/>
      <c r="O1113" s="10"/>
      <c r="P1113" s="10"/>
      <c r="Q1113" s="10"/>
      <c r="R1113" s="9"/>
      <c r="S1113" s="9"/>
      <c r="T1113" s="12"/>
      <c r="U1113" s="12"/>
      <c r="V1113" s="12"/>
      <c r="W1113" s="10"/>
      <c r="X1113" s="10"/>
      <c r="Y1113" s="9"/>
      <c r="Z1113" s="9"/>
      <c r="AA1113" s="9"/>
      <c r="AB1113" s="9"/>
    </row>
    <row r="1114" ht="30.0" customHeight="1">
      <c r="A1114" s="17" t="s">
        <v>1</v>
      </c>
      <c r="B1114" s="8"/>
      <c r="C1114" s="9"/>
      <c r="D1114" s="9"/>
      <c r="E1114" s="9"/>
      <c r="F1114" s="9"/>
      <c r="G1114" s="9"/>
      <c r="H1114" s="9"/>
      <c r="I1114" s="9"/>
      <c r="J1114" s="9"/>
      <c r="K1114" s="9"/>
      <c r="L1114" s="9"/>
      <c r="M1114" s="10"/>
      <c r="N1114" s="10"/>
      <c r="O1114" s="10"/>
      <c r="P1114" s="10"/>
      <c r="Q1114" s="10"/>
      <c r="R1114" s="9"/>
      <c r="S1114" s="9"/>
      <c r="T1114" s="12"/>
      <c r="U1114" s="12"/>
      <c r="V1114" s="12"/>
      <c r="W1114" s="10"/>
      <c r="X1114" s="10"/>
      <c r="Y1114" s="9"/>
      <c r="Z1114" s="9"/>
      <c r="AA1114" s="9"/>
      <c r="AB1114" s="9"/>
    </row>
    <row r="1115" ht="30.0" customHeight="1">
      <c r="A1115" s="17" t="s">
        <v>1</v>
      </c>
      <c r="B1115" s="8"/>
      <c r="C1115" s="9"/>
      <c r="D1115" s="9"/>
      <c r="E1115" s="9"/>
      <c r="F1115" s="9"/>
      <c r="G1115" s="9"/>
      <c r="H1115" s="9"/>
      <c r="I1115" s="9"/>
      <c r="J1115" s="9"/>
      <c r="K1115" s="9"/>
      <c r="L1115" s="9"/>
      <c r="M1115" s="10"/>
      <c r="N1115" s="10"/>
      <c r="O1115" s="10"/>
      <c r="P1115" s="10"/>
      <c r="Q1115" s="10"/>
      <c r="R1115" s="9"/>
      <c r="S1115" s="9"/>
      <c r="T1115" s="12"/>
      <c r="U1115" s="12"/>
      <c r="V1115" s="12"/>
      <c r="W1115" s="10"/>
      <c r="X1115" s="10"/>
      <c r="Y1115" s="9"/>
      <c r="Z1115" s="9"/>
      <c r="AA1115" s="9"/>
      <c r="AB1115" s="9"/>
    </row>
    <row r="1116" ht="30.0" customHeight="1">
      <c r="A1116" s="17" t="s">
        <v>1</v>
      </c>
      <c r="B1116" s="8"/>
      <c r="C1116" s="9"/>
      <c r="D1116" s="9"/>
      <c r="E1116" s="9"/>
      <c r="F1116" s="9"/>
      <c r="G1116" s="9"/>
      <c r="H1116" s="9"/>
      <c r="I1116" s="9"/>
      <c r="J1116" s="9"/>
      <c r="K1116" s="9"/>
      <c r="L1116" s="9"/>
      <c r="M1116" s="10"/>
      <c r="N1116" s="10"/>
      <c r="O1116" s="10"/>
      <c r="P1116" s="10"/>
      <c r="Q1116" s="10"/>
      <c r="R1116" s="9"/>
      <c r="S1116" s="9"/>
      <c r="T1116" s="12"/>
      <c r="U1116" s="12"/>
      <c r="V1116" s="12"/>
      <c r="W1116" s="10"/>
      <c r="X1116" s="10"/>
      <c r="Y1116" s="9"/>
      <c r="Z1116" s="9"/>
      <c r="AA1116" s="9"/>
      <c r="AB1116" s="9"/>
    </row>
    <row r="1117" ht="30.0" customHeight="1">
      <c r="A1117" s="17" t="s">
        <v>1</v>
      </c>
      <c r="B1117" s="8"/>
      <c r="C1117" s="9"/>
      <c r="D1117" s="9"/>
      <c r="E1117" s="9"/>
      <c r="F1117" s="9"/>
      <c r="G1117" s="9"/>
      <c r="H1117" s="9"/>
      <c r="I1117" s="9"/>
      <c r="J1117" s="9"/>
      <c r="K1117" s="9"/>
      <c r="L1117" s="9"/>
      <c r="M1117" s="10"/>
      <c r="N1117" s="10"/>
      <c r="O1117" s="10"/>
      <c r="P1117" s="10"/>
      <c r="Q1117" s="10"/>
      <c r="R1117" s="9"/>
      <c r="S1117" s="9"/>
      <c r="T1117" s="12"/>
      <c r="U1117" s="12"/>
      <c r="V1117" s="12"/>
      <c r="W1117" s="10"/>
      <c r="X1117" s="10"/>
      <c r="Y1117" s="9"/>
      <c r="Z1117" s="9"/>
      <c r="AA1117" s="9"/>
      <c r="AB1117" s="9"/>
    </row>
    <row r="1118" ht="30.0" customHeight="1">
      <c r="A1118" s="17" t="s">
        <v>1</v>
      </c>
      <c r="B1118" s="8"/>
      <c r="C1118" s="9"/>
      <c r="D1118" s="9"/>
      <c r="E1118" s="9"/>
      <c r="F1118" s="9"/>
      <c r="G1118" s="9"/>
      <c r="H1118" s="9"/>
      <c r="I1118" s="9"/>
      <c r="J1118" s="9"/>
      <c r="K1118" s="9"/>
      <c r="L1118" s="9"/>
      <c r="M1118" s="10"/>
      <c r="N1118" s="10"/>
      <c r="O1118" s="10"/>
      <c r="P1118" s="10"/>
      <c r="Q1118" s="10"/>
      <c r="R1118" s="9"/>
      <c r="S1118" s="9"/>
      <c r="T1118" s="12"/>
      <c r="U1118" s="12"/>
      <c r="V1118" s="12"/>
      <c r="W1118" s="10"/>
      <c r="X1118" s="10"/>
      <c r="Y1118" s="9"/>
      <c r="Z1118" s="9"/>
      <c r="AA1118" s="9"/>
      <c r="AB1118" s="9"/>
    </row>
    <row r="1119" ht="30.0" customHeight="1">
      <c r="A1119" s="17" t="s">
        <v>1</v>
      </c>
      <c r="B1119" s="8"/>
      <c r="C1119" s="9"/>
      <c r="D1119" s="9"/>
      <c r="E1119" s="9"/>
      <c r="F1119" s="9"/>
      <c r="G1119" s="9"/>
      <c r="H1119" s="9"/>
      <c r="I1119" s="9"/>
      <c r="J1119" s="9"/>
      <c r="K1119" s="9"/>
      <c r="L1119" s="9"/>
      <c r="M1119" s="10"/>
      <c r="N1119" s="10"/>
      <c r="O1119" s="10"/>
      <c r="P1119" s="10"/>
      <c r="Q1119" s="10"/>
      <c r="R1119" s="9"/>
      <c r="S1119" s="9"/>
      <c r="T1119" s="12"/>
      <c r="U1119" s="12"/>
      <c r="V1119" s="12"/>
      <c r="W1119" s="10"/>
      <c r="X1119" s="10"/>
      <c r="Y1119" s="9"/>
      <c r="Z1119" s="9"/>
      <c r="AA1119" s="9"/>
      <c r="AB1119" s="9"/>
    </row>
    <row r="1120" ht="30.0" customHeight="1">
      <c r="A1120" s="17" t="s">
        <v>1</v>
      </c>
      <c r="B1120" s="8"/>
      <c r="C1120" s="9"/>
      <c r="D1120" s="9"/>
      <c r="E1120" s="9"/>
      <c r="F1120" s="9"/>
      <c r="G1120" s="9"/>
      <c r="H1120" s="9"/>
      <c r="I1120" s="9"/>
      <c r="J1120" s="9"/>
      <c r="K1120" s="9"/>
      <c r="L1120" s="9"/>
      <c r="M1120" s="10"/>
      <c r="N1120" s="10"/>
      <c r="O1120" s="10"/>
      <c r="P1120" s="10"/>
      <c r="Q1120" s="10"/>
      <c r="R1120" s="9"/>
      <c r="S1120" s="9"/>
      <c r="T1120" s="12"/>
      <c r="U1120" s="12"/>
      <c r="V1120" s="12"/>
      <c r="W1120" s="10"/>
      <c r="X1120" s="10"/>
      <c r="Y1120" s="9"/>
      <c r="Z1120" s="9"/>
      <c r="AA1120" s="9"/>
      <c r="AB1120" s="9"/>
    </row>
    <row r="1121" ht="30.0" customHeight="1">
      <c r="A1121" s="17" t="s">
        <v>1</v>
      </c>
      <c r="B1121" s="8"/>
      <c r="C1121" s="9"/>
      <c r="D1121" s="9"/>
      <c r="E1121" s="9"/>
      <c r="F1121" s="9"/>
      <c r="G1121" s="9"/>
      <c r="H1121" s="9"/>
      <c r="I1121" s="9"/>
      <c r="J1121" s="9"/>
      <c r="K1121" s="9"/>
      <c r="L1121" s="9"/>
      <c r="M1121" s="10"/>
      <c r="N1121" s="10"/>
      <c r="O1121" s="10"/>
      <c r="P1121" s="10"/>
      <c r="Q1121" s="10"/>
      <c r="R1121" s="9"/>
      <c r="S1121" s="9"/>
      <c r="T1121" s="12"/>
      <c r="U1121" s="12"/>
      <c r="V1121" s="12"/>
      <c r="W1121" s="10"/>
      <c r="X1121" s="10"/>
      <c r="Y1121" s="9"/>
      <c r="Z1121" s="9"/>
      <c r="AA1121" s="9"/>
      <c r="AB1121" s="9"/>
    </row>
    <row r="1122" ht="30.0" customHeight="1">
      <c r="A1122" s="17" t="s">
        <v>1</v>
      </c>
      <c r="B1122" s="8"/>
      <c r="C1122" s="9"/>
      <c r="D1122" s="9"/>
      <c r="E1122" s="9"/>
      <c r="F1122" s="9"/>
      <c r="G1122" s="9"/>
      <c r="H1122" s="9"/>
      <c r="I1122" s="9"/>
      <c r="J1122" s="9"/>
      <c r="K1122" s="9"/>
      <c r="L1122" s="9"/>
      <c r="M1122" s="10"/>
      <c r="N1122" s="10"/>
      <c r="O1122" s="10"/>
      <c r="P1122" s="10"/>
      <c r="Q1122" s="10"/>
      <c r="R1122" s="9"/>
      <c r="S1122" s="9"/>
      <c r="T1122" s="12"/>
      <c r="U1122" s="12"/>
      <c r="V1122" s="12"/>
      <c r="W1122" s="10"/>
      <c r="X1122" s="10"/>
      <c r="Y1122" s="9"/>
      <c r="Z1122" s="9"/>
      <c r="AA1122" s="9"/>
      <c r="AB1122" s="9"/>
    </row>
    <row r="1123" ht="30.0" customHeight="1">
      <c r="A1123" s="17" t="s">
        <v>1</v>
      </c>
      <c r="B1123" s="8"/>
      <c r="C1123" s="9"/>
      <c r="D1123" s="9"/>
      <c r="E1123" s="9"/>
      <c r="F1123" s="9"/>
      <c r="G1123" s="9"/>
      <c r="H1123" s="9"/>
      <c r="I1123" s="9"/>
      <c r="J1123" s="9"/>
      <c r="K1123" s="9"/>
      <c r="L1123" s="9"/>
      <c r="M1123" s="10"/>
      <c r="N1123" s="10"/>
      <c r="O1123" s="10"/>
      <c r="P1123" s="10"/>
      <c r="Q1123" s="10"/>
      <c r="R1123" s="9"/>
      <c r="S1123" s="9"/>
      <c r="T1123" s="12"/>
      <c r="U1123" s="12"/>
      <c r="V1123" s="12"/>
      <c r="W1123" s="10"/>
      <c r="X1123" s="10"/>
      <c r="Y1123" s="9"/>
      <c r="Z1123" s="9"/>
      <c r="AA1123" s="9"/>
      <c r="AB1123" s="9"/>
    </row>
    <row r="1124" ht="30.0" customHeight="1">
      <c r="A1124" s="17" t="s">
        <v>1</v>
      </c>
      <c r="B1124" s="8"/>
      <c r="C1124" s="9"/>
      <c r="D1124" s="9"/>
      <c r="E1124" s="9"/>
      <c r="F1124" s="9"/>
      <c r="G1124" s="9"/>
      <c r="H1124" s="9"/>
      <c r="I1124" s="9"/>
      <c r="J1124" s="9"/>
      <c r="K1124" s="9"/>
      <c r="L1124" s="9"/>
      <c r="M1124" s="10"/>
      <c r="N1124" s="10"/>
      <c r="O1124" s="10"/>
      <c r="P1124" s="10"/>
      <c r="Q1124" s="10"/>
      <c r="R1124" s="9"/>
      <c r="S1124" s="9"/>
      <c r="T1124" s="12"/>
      <c r="U1124" s="12"/>
      <c r="V1124" s="12"/>
      <c r="W1124" s="10"/>
      <c r="X1124" s="10"/>
      <c r="Y1124" s="9"/>
      <c r="Z1124" s="9"/>
      <c r="AA1124" s="9"/>
      <c r="AB1124" s="9"/>
    </row>
    <row r="1125" ht="30.0" customHeight="1">
      <c r="A1125" s="17" t="s">
        <v>1</v>
      </c>
      <c r="B1125" s="8"/>
      <c r="C1125" s="9"/>
      <c r="D1125" s="9"/>
      <c r="E1125" s="9"/>
      <c r="F1125" s="9"/>
      <c r="G1125" s="9"/>
      <c r="H1125" s="9"/>
      <c r="I1125" s="9"/>
      <c r="J1125" s="9"/>
      <c r="K1125" s="9"/>
      <c r="L1125" s="9"/>
      <c r="M1125" s="10"/>
      <c r="N1125" s="10"/>
      <c r="O1125" s="10"/>
      <c r="P1125" s="10"/>
      <c r="Q1125" s="10"/>
      <c r="R1125" s="9"/>
      <c r="S1125" s="9"/>
      <c r="T1125" s="12"/>
      <c r="U1125" s="12"/>
      <c r="V1125" s="12"/>
      <c r="W1125" s="10"/>
      <c r="X1125" s="10"/>
      <c r="Y1125" s="9"/>
      <c r="Z1125" s="9"/>
      <c r="AA1125" s="9"/>
      <c r="AB1125" s="9"/>
    </row>
    <row r="1126" ht="30.0" customHeight="1">
      <c r="A1126" s="17" t="s">
        <v>1</v>
      </c>
      <c r="B1126" s="8"/>
      <c r="C1126" s="9"/>
      <c r="D1126" s="9"/>
      <c r="E1126" s="9"/>
      <c r="F1126" s="9"/>
      <c r="G1126" s="9"/>
      <c r="H1126" s="9"/>
      <c r="I1126" s="9"/>
      <c r="J1126" s="9"/>
      <c r="K1126" s="9"/>
      <c r="L1126" s="9"/>
      <c r="M1126" s="10"/>
      <c r="N1126" s="10"/>
      <c r="O1126" s="10"/>
      <c r="P1126" s="10"/>
      <c r="Q1126" s="10"/>
      <c r="R1126" s="9"/>
      <c r="S1126" s="9"/>
      <c r="T1126" s="12"/>
      <c r="U1126" s="12"/>
      <c r="V1126" s="12"/>
      <c r="W1126" s="10"/>
      <c r="X1126" s="10"/>
      <c r="Y1126" s="9"/>
      <c r="Z1126" s="9"/>
      <c r="AA1126" s="9"/>
      <c r="AB1126" s="9"/>
    </row>
    <row r="1127" ht="30.0" customHeight="1">
      <c r="A1127" s="17" t="s">
        <v>1</v>
      </c>
      <c r="B1127" s="8"/>
      <c r="C1127" s="9"/>
      <c r="D1127" s="9"/>
      <c r="E1127" s="9"/>
      <c r="F1127" s="9"/>
      <c r="G1127" s="9"/>
      <c r="H1127" s="9"/>
      <c r="I1127" s="9"/>
      <c r="J1127" s="9"/>
      <c r="K1127" s="9"/>
      <c r="L1127" s="9"/>
      <c r="M1127" s="10"/>
      <c r="N1127" s="10"/>
      <c r="O1127" s="10"/>
      <c r="P1127" s="10"/>
      <c r="Q1127" s="10"/>
      <c r="R1127" s="9"/>
      <c r="S1127" s="9"/>
      <c r="T1127" s="12"/>
      <c r="U1127" s="12"/>
      <c r="V1127" s="12"/>
      <c r="W1127" s="10"/>
      <c r="X1127" s="10"/>
      <c r="Y1127" s="9"/>
      <c r="Z1127" s="9"/>
      <c r="AA1127" s="9"/>
      <c r="AB1127" s="9"/>
    </row>
    <row r="1128" ht="30.0" customHeight="1">
      <c r="A1128" s="17" t="s">
        <v>1</v>
      </c>
      <c r="B1128" s="8"/>
      <c r="C1128" s="9"/>
      <c r="D1128" s="9"/>
      <c r="E1128" s="9"/>
      <c r="F1128" s="9"/>
      <c r="G1128" s="9"/>
      <c r="H1128" s="9"/>
      <c r="I1128" s="9"/>
      <c r="J1128" s="9"/>
      <c r="K1128" s="9"/>
      <c r="L1128" s="9"/>
      <c r="M1128" s="10"/>
      <c r="N1128" s="10"/>
      <c r="O1128" s="10"/>
      <c r="P1128" s="10"/>
      <c r="Q1128" s="10"/>
      <c r="R1128" s="9"/>
      <c r="S1128" s="9"/>
      <c r="T1128" s="12"/>
      <c r="U1128" s="12"/>
      <c r="V1128" s="12"/>
      <c r="W1128" s="10"/>
      <c r="X1128" s="10"/>
      <c r="Y1128" s="9"/>
      <c r="Z1128" s="9"/>
      <c r="AA1128" s="9"/>
      <c r="AB1128" s="9"/>
    </row>
    <row r="1129" ht="30.0" customHeight="1">
      <c r="A1129" s="17" t="s">
        <v>1</v>
      </c>
      <c r="B1129" s="8"/>
      <c r="C1129" s="9"/>
      <c r="D1129" s="9"/>
      <c r="E1129" s="9"/>
      <c r="F1129" s="9"/>
      <c r="G1129" s="9"/>
      <c r="H1129" s="9"/>
      <c r="I1129" s="9"/>
      <c r="J1129" s="9"/>
      <c r="K1129" s="9"/>
      <c r="L1129" s="9"/>
      <c r="M1129" s="10"/>
      <c r="N1129" s="10"/>
      <c r="O1129" s="10"/>
      <c r="P1129" s="10"/>
      <c r="Q1129" s="10"/>
      <c r="R1129" s="9"/>
      <c r="S1129" s="9"/>
      <c r="T1129" s="12"/>
      <c r="U1129" s="12"/>
      <c r="V1129" s="12"/>
      <c r="W1129" s="10"/>
      <c r="X1129" s="10"/>
      <c r="Y1129" s="9"/>
      <c r="Z1129" s="9"/>
      <c r="AA1129" s="9"/>
      <c r="AB1129" s="9"/>
    </row>
    <row r="1130" ht="30.0" customHeight="1">
      <c r="A1130" s="17" t="s">
        <v>1</v>
      </c>
      <c r="B1130" s="8"/>
      <c r="C1130" s="9"/>
      <c r="D1130" s="9"/>
      <c r="E1130" s="9"/>
      <c r="F1130" s="9"/>
      <c r="G1130" s="9"/>
      <c r="H1130" s="9"/>
      <c r="I1130" s="9"/>
      <c r="J1130" s="9"/>
      <c r="K1130" s="9"/>
      <c r="L1130" s="9"/>
      <c r="M1130" s="10"/>
      <c r="N1130" s="10"/>
      <c r="O1130" s="10"/>
      <c r="P1130" s="10"/>
      <c r="Q1130" s="10"/>
      <c r="R1130" s="9"/>
      <c r="S1130" s="9"/>
      <c r="T1130" s="12"/>
      <c r="U1130" s="12"/>
      <c r="V1130" s="12"/>
      <c r="W1130" s="10"/>
      <c r="X1130" s="10"/>
      <c r="Y1130" s="9"/>
      <c r="Z1130" s="9"/>
      <c r="AA1130" s="9"/>
      <c r="AB1130" s="9"/>
    </row>
    <row r="1131" ht="30.0" customHeight="1">
      <c r="A1131" s="17" t="s">
        <v>1</v>
      </c>
      <c r="B1131" s="8"/>
      <c r="C1131" s="9"/>
      <c r="D1131" s="9"/>
      <c r="E1131" s="9"/>
      <c r="F1131" s="9"/>
      <c r="G1131" s="9"/>
      <c r="H1131" s="9"/>
      <c r="I1131" s="9"/>
      <c r="J1131" s="9"/>
      <c r="K1131" s="9"/>
      <c r="L1131" s="9"/>
      <c r="M1131" s="10"/>
      <c r="N1131" s="10"/>
      <c r="O1131" s="10"/>
      <c r="P1131" s="10"/>
      <c r="Q1131" s="10"/>
      <c r="R1131" s="9"/>
      <c r="S1131" s="9"/>
      <c r="T1131" s="12"/>
      <c r="U1131" s="12"/>
      <c r="V1131" s="12"/>
      <c r="W1131" s="10"/>
      <c r="X1131" s="10"/>
      <c r="Y1131" s="9"/>
      <c r="Z1131" s="9"/>
      <c r="AA1131" s="9"/>
      <c r="AB1131" s="9"/>
    </row>
    <row r="1132" ht="30.0" customHeight="1">
      <c r="A1132" s="17" t="s">
        <v>1</v>
      </c>
      <c r="B1132" s="8"/>
      <c r="C1132" s="9"/>
      <c r="D1132" s="9"/>
      <c r="E1132" s="9"/>
      <c r="F1132" s="9"/>
      <c r="G1132" s="9"/>
      <c r="H1132" s="9"/>
      <c r="I1132" s="9"/>
      <c r="J1132" s="9"/>
      <c r="K1132" s="9"/>
      <c r="L1132" s="9"/>
      <c r="M1132" s="10"/>
      <c r="N1132" s="10"/>
      <c r="O1132" s="10"/>
      <c r="P1132" s="10"/>
      <c r="Q1132" s="10"/>
      <c r="R1132" s="9"/>
      <c r="S1132" s="9"/>
      <c r="T1132" s="12"/>
      <c r="U1132" s="12"/>
      <c r="V1132" s="12"/>
      <c r="W1132" s="10"/>
      <c r="X1132" s="10"/>
      <c r="Y1132" s="9"/>
      <c r="Z1132" s="9"/>
      <c r="AA1132" s="9"/>
      <c r="AB1132" s="9"/>
    </row>
    <row r="1133" ht="30.0" customHeight="1">
      <c r="A1133" s="17" t="s">
        <v>1</v>
      </c>
      <c r="B1133" s="8"/>
      <c r="C1133" s="9"/>
      <c r="D1133" s="9"/>
      <c r="E1133" s="9"/>
      <c r="F1133" s="9"/>
      <c r="G1133" s="9"/>
      <c r="H1133" s="9"/>
      <c r="I1133" s="9"/>
      <c r="J1133" s="9"/>
      <c r="K1133" s="9"/>
      <c r="L1133" s="9"/>
      <c r="M1133" s="10"/>
      <c r="N1133" s="10"/>
      <c r="O1133" s="10"/>
      <c r="P1133" s="10"/>
      <c r="Q1133" s="10"/>
      <c r="R1133" s="9"/>
      <c r="S1133" s="9"/>
      <c r="T1133" s="12"/>
      <c r="U1133" s="12"/>
      <c r="V1133" s="12"/>
      <c r="W1133" s="10"/>
      <c r="X1133" s="10"/>
      <c r="Y1133" s="9"/>
      <c r="Z1133" s="9"/>
      <c r="AA1133" s="9"/>
      <c r="AB1133" s="9"/>
    </row>
    <row r="1134" ht="30.0" customHeight="1">
      <c r="A1134" s="17" t="s">
        <v>1</v>
      </c>
      <c r="B1134" s="8"/>
      <c r="C1134" s="9"/>
      <c r="D1134" s="9"/>
      <c r="E1134" s="9"/>
      <c r="F1134" s="9"/>
      <c r="G1134" s="9"/>
      <c r="H1134" s="9"/>
      <c r="I1134" s="9"/>
      <c r="J1134" s="9"/>
      <c r="K1134" s="9"/>
      <c r="L1134" s="9"/>
      <c r="M1134" s="10"/>
      <c r="N1134" s="10"/>
      <c r="O1134" s="10"/>
      <c r="P1134" s="10"/>
      <c r="Q1134" s="10"/>
      <c r="R1134" s="9"/>
      <c r="S1134" s="9"/>
      <c r="T1134" s="12"/>
      <c r="U1134" s="12"/>
      <c r="V1134" s="12"/>
      <c r="W1134" s="10"/>
      <c r="X1134" s="10"/>
      <c r="Y1134" s="9"/>
      <c r="Z1134" s="9"/>
      <c r="AA1134" s="9"/>
      <c r="AB1134" s="9"/>
    </row>
    <row r="1135" ht="30.0" customHeight="1">
      <c r="A1135" s="17" t="s">
        <v>1</v>
      </c>
      <c r="B1135" s="8"/>
      <c r="C1135" s="9"/>
      <c r="D1135" s="9"/>
      <c r="E1135" s="9"/>
      <c r="F1135" s="9"/>
      <c r="G1135" s="9"/>
      <c r="H1135" s="9"/>
      <c r="I1135" s="9"/>
      <c r="J1135" s="9"/>
      <c r="K1135" s="9"/>
      <c r="L1135" s="9"/>
      <c r="M1135" s="10"/>
      <c r="N1135" s="10"/>
      <c r="O1135" s="10"/>
      <c r="P1135" s="10"/>
      <c r="Q1135" s="10"/>
      <c r="R1135" s="9"/>
      <c r="S1135" s="9"/>
      <c r="T1135" s="12"/>
      <c r="U1135" s="12"/>
      <c r="V1135" s="12"/>
      <c r="W1135" s="10"/>
      <c r="X1135" s="10"/>
      <c r="Y1135" s="9"/>
      <c r="Z1135" s="9"/>
      <c r="AA1135" s="9"/>
      <c r="AB1135" s="9"/>
    </row>
    <row r="1136" ht="30.0" customHeight="1">
      <c r="A1136" s="17" t="s">
        <v>1</v>
      </c>
      <c r="B1136" s="8"/>
      <c r="C1136" s="9"/>
      <c r="D1136" s="9"/>
      <c r="E1136" s="9"/>
      <c r="F1136" s="9"/>
      <c r="G1136" s="9"/>
      <c r="H1136" s="9"/>
      <c r="I1136" s="9"/>
      <c r="J1136" s="9"/>
      <c r="K1136" s="9"/>
      <c r="L1136" s="9"/>
      <c r="M1136" s="10"/>
      <c r="N1136" s="10"/>
      <c r="O1136" s="10"/>
      <c r="P1136" s="10"/>
      <c r="Q1136" s="10"/>
      <c r="R1136" s="9"/>
      <c r="S1136" s="9"/>
      <c r="T1136" s="12"/>
      <c r="U1136" s="12"/>
      <c r="V1136" s="12"/>
      <c r="W1136" s="10"/>
      <c r="X1136" s="10"/>
      <c r="Y1136" s="9"/>
      <c r="Z1136" s="9"/>
      <c r="AA1136" s="9"/>
      <c r="AB1136" s="9"/>
    </row>
    <row r="1137" ht="30.0" customHeight="1">
      <c r="A1137" s="17" t="s">
        <v>1</v>
      </c>
      <c r="B1137" s="8"/>
      <c r="C1137" s="9"/>
      <c r="D1137" s="9"/>
      <c r="E1137" s="9"/>
      <c r="F1137" s="9"/>
      <c r="G1137" s="9"/>
      <c r="H1137" s="9"/>
      <c r="I1137" s="9"/>
      <c r="J1137" s="9"/>
      <c r="K1137" s="9"/>
      <c r="L1137" s="9"/>
      <c r="M1137" s="10"/>
      <c r="N1137" s="10"/>
      <c r="O1137" s="10"/>
      <c r="P1137" s="10"/>
      <c r="Q1137" s="10"/>
      <c r="R1137" s="9"/>
      <c r="S1137" s="9"/>
      <c r="T1137" s="12"/>
      <c r="U1137" s="12"/>
      <c r="V1137" s="12"/>
      <c r="W1137" s="10"/>
      <c r="X1137" s="10"/>
      <c r="Y1137" s="9"/>
      <c r="Z1137" s="9"/>
      <c r="AA1137" s="9"/>
      <c r="AB1137" s="9"/>
    </row>
    <row r="1138" ht="30.0" customHeight="1">
      <c r="A1138" s="17" t="s">
        <v>1</v>
      </c>
      <c r="B1138" s="8"/>
      <c r="C1138" s="9"/>
      <c r="D1138" s="9"/>
      <c r="E1138" s="9"/>
      <c r="F1138" s="9"/>
      <c r="G1138" s="9"/>
      <c r="H1138" s="9"/>
      <c r="I1138" s="9"/>
      <c r="J1138" s="9"/>
      <c r="K1138" s="9"/>
      <c r="L1138" s="9"/>
      <c r="M1138" s="10"/>
      <c r="N1138" s="10"/>
      <c r="O1138" s="10"/>
      <c r="P1138" s="10"/>
      <c r="Q1138" s="10"/>
      <c r="R1138" s="9"/>
      <c r="S1138" s="9"/>
      <c r="T1138" s="12"/>
      <c r="U1138" s="12"/>
      <c r="V1138" s="12"/>
      <c r="W1138" s="10"/>
      <c r="X1138" s="10"/>
      <c r="Y1138" s="9"/>
      <c r="Z1138" s="9"/>
      <c r="AA1138" s="9"/>
      <c r="AB1138" s="9"/>
    </row>
    <row r="1139" ht="30.0" customHeight="1">
      <c r="A1139" s="17" t="s">
        <v>1</v>
      </c>
      <c r="B1139" s="8"/>
      <c r="C1139" s="9"/>
      <c r="D1139" s="9"/>
      <c r="E1139" s="9"/>
      <c r="F1139" s="9"/>
      <c r="G1139" s="9"/>
      <c r="H1139" s="9"/>
      <c r="I1139" s="9"/>
      <c r="J1139" s="9"/>
      <c r="K1139" s="9"/>
      <c r="L1139" s="9"/>
      <c r="M1139" s="10"/>
      <c r="N1139" s="10"/>
      <c r="O1139" s="10"/>
      <c r="P1139" s="10"/>
      <c r="Q1139" s="10"/>
      <c r="R1139" s="9"/>
      <c r="S1139" s="9"/>
      <c r="T1139" s="12"/>
      <c r="U1139" s="12"/>
      <c r="V1139" s="12"/>
      <c r="W1139" s="10"/>
      <c r="X1139" s="10"/>
      <c r="Y1139" s="9"/>
      <c r="Z1139" s="9"/>
      <c r="AA1139" s="9"/>
      <c r="AB1139" s="9"/>
    </row>
    <row r="1140" ht="30.0" customHeight="1">
      <c r="A1140" s="17" t="s">
        <v>1</v>
      </c>
      <c r="B1140" s="8"/>
      <c r="C1140" s="9"/>
      <c r="D1140" s="9"/>
      <c r="E1140" s="9"/>
      <c r="F1140" s="9"/>
      <c r="G1140" s="9"/>
      <c r="H1140" s="9"/>
      <c r="I1140" s="9"/>
      <c r="J1140" s="9"/>
      <c r="K1140" s="9"/>
      <c r="L1140" s="9"/>
      <c r="M1140" s="10"/>
      <c r="N1140" s="10"/>
      <c r="O1140" s="10"/>
      <c r="P1140" s="10"/>
      <c r="Q1140" s="10"/>
      <c r="R1140" s="9"/>
      <c r="S1140" s="9"/>
      <c r="T1140" s="12"/>
      <c r="U1140" s="12"/>
      <c r="V1140" s="12"/>
      <c r="W1140" s="10"/>
      <c r="X1140" s="10"/>
      <c r="Y1140" s="9"/>
      <c r="Z1140" s="9"/>
      <c r="AA1140" s="9"/>
      <c r="AB1140" s="9"/>
    </row>
    <row r="1141" ht="30.0" customHeight="1">
      <c r="A1141" s="17" t="s">
        <v>1</v>
      </c>
      <c r="B1141" s="8"/>
      <c r="C1141" s="9"/>
      <c r="D1141" s="9"/>
      <c r="E1141" s="9"/>
      <c r="F1141" s="9"/>
      <c r="G1141" s="9"/>
      <c r="H1141" s="9"/>
      <c r="I1141" s="9"/>
      <c r="J1141" s="9"/>
      <c r="K1141" s="9"/>
      <c r="L1141" s="9"/>
      <c r="M1141" s="10"/>
      <c r="N1141" s="10"/>
      <c r="O1141" s="10"/>
      <c r="P1141" s="10"/>
      <c r="Q1141" s="10"/>
      <c r="R1141" s="9"/>
      <c r="S1141" s="9"/>
      <c r="T1141" s="12"/>
      <c r="U1141" s="12"/>
      <c r="V1141" s="12"/>
      <c r="W1141" s="10"/>
      <c r="X1141" s="10"/>
      <c r="Y1141" s="9"/>
      <c r="Z1141" s="9"/>
      <c r="AA1141" s="9"/>
      <c r="AB1141" s="9"/>
    </row>
    <row r="1142" ht="30.0" customHeight="1">
      <c r="A1142" s="17" t="s">
        <v>1</v>
      </c>
      <c r="B1142" s="8"/>
      <c r="C1142" s="9"/>
      <c r="D1142" s="9"/>
      <c r="E1142" s="9"/>
      <c r="F1142" s="9"/>
      <c r="G1142" s="9"/>
      <c r="H1142" s="9"/>
      <c r="I1142" s="9"/>
      <c r="J1142" s="9"/>
      <c r="K1142" s="9"/>
      <c r="L1142" s="9"/>
      <c r="M1142" s="10"/>
      <c r="N1142" s="10"/>
      <c r="O1142" s="10"/>
      <c r="P1142" s="10"/>
      <c r="Q1142" s="10"/>
      <c r="R1142" s="9"/>
      <c r="S1142" s="9"/>
      <c r="T1142" s="12"/>
      <c r="U1142" s="12"/>
      <c r="V1142" s="12"/>
      <c r="W1142" s="10"/>
      <c r="X1142" s="10"/>
      <c r="Y1142" s="9"/>
      <c r="Z1142" s="9"/>
      <c r="AA1142" s="9"/>
      <c r="AB1142" s="9"/>
    </row>
    <row r="1143" ht="30.0" customHeight="1">
      <c r="A1143" s="17" t="s">
        <v>1</v>
      </c>
      <c r="B1143" s="8"/>
      <c r="C1143" s="9"/>
      <c r="D1143" s="9"/>
      <c r="E1143" s="9"/>
      <c r="F1143" s="9"/>
      <c r="G1143" s="9"/>
      <c r="H1143" s="9"/>
      <c r="I1143" s="9"/>
      <c r="J1143" s="9"/>
      <c r="K1143" s="9"/>
      <c r="L1143" s="9"/>
      <c r="M1143" s="10"/>
      <c r="N1143" s="10"/>
      <c r="O1143" s="10"/>
      <c r="P1143" s="10"/>
      <c r="Q1143" s="10"/>
      <c r="R1143" s="9"/>
      <c r="S1143" s="9"/>
      <c r="T1143" s="12"/>
      <c r="U1143" s="12"/>
      <c r="V1143" s="12"/>
      <c r="W1143" s="10"/>
      <c r="X1143" s="10"/>
      <c r="Y1143" s="9"/>
      <c r="Z1143" s="9"/>
      <c r="AA1143" s="9"/>
      <c r="AB1143" s="9"/>
    </row>
    <row r="1144" ht="30.0" customHeight="1">
      <c r="A1144" s="17" t="s">
        <v>1</v>
      </c>
      <c r="B1144" s="8"/>
      <c r="C1144" s="9"/>
      <c r="D1144" s="9"/>
      <c r="E1144" s="9"/>
      <c r="F1144" s="9"/>
      <c r="G1144" s="9"/>
      <c r="H1144" s="9"/>
      <c r="I1144" s="9"/>
      <c r="J1144" s="9"/>
      <c r="K1144" s="9"/>
      <c r="L1144" s="9"/>
      <c r="M1144" s="10"/>
      <c r="N1144" s="10"/>
      <c r="O1144" s="10"/>
      <c r="P1144" s="10"/>
      <c r="Q1144" s="10"/>
      <c r="R1144" s="9"/>
      <c r="S1144" s="9"/>
      <c r="T1144" s="12"/>
      <c r="U1144" s="12"/>
      <c r="V1144" s="12"/>
      <c r="W1144" s="10"/>
      <c r="X1144" s="10"/>
      <c r="Y1144" s="9"/>
      <c r="Z1144" s="9"/>
      <c r="AA1144" s="9"/>
      <c r="AB1144" s="9"/>
    </row>
    <row r="1145" ht="30.0" customHeight="1">
      <c r="A1145" s="17" t="s">
        <v>1</v>
      </c>
      <c r="B1145" s="8"/>
      <c r="C1145" s="9"/>
      <c r="D1145" s="9"/>
      <c r="E1145" s="9"/>
      <c r="F1145" s="9"/>
      <c r="G1145" s="9"/>
      <c r="H1145" s="9"/>
      <c r="I1145" s="9"/>
      <c r="J1145" s="9"/>
      <c r="K1145" s="9"/>
      <c r="L1145" s="9"/>
      <c r="M1145" s="10"/>
      <c r="N1145" s="10"/>
      <c r="O1145" s="10"/>
      <c r="P1145" s="10"/>
      <c r="Q1145" s="10"/>
      <c r="R1145" s="9"/>
      <c r="S1145" s="9"/>
      <c r="T1145" s="12"/>
      <c r="U1145" s="12"/>
      <c r="V1145" s="12"/>
      <c r="W1145" s="10"/>
      <c r="X1145" s="10"/>
      <c r="Y1145" s="9"/>
      <c r="Z1145" s="9"/>
      <c r="AA1145" s="9"/>
      <c r="AB1145" s="9"/>
    </row>
    <row r="1146" ht="30.0" customHeight="1">
      <c r="A1146" s="17" t="s">
        <v>1</v>
      </c>
      <c r="B1146" s="8"/>
      <c r="C1146" s="9"/>
      <c r="D1146" s="9"/>
      <c r="E1146" s="9"/>
      <c r="F1146" s="9"/>
      <c r="G1146" s="9"/>
      <c r="H1146" s="9"/>
      <c r="I1146" s="9"/>
      <c r="J1146" s="9"/>
      <c r="K1146" s="9"/>
      <c r="L1146" s="9"/>
      <c r="M1146" s="10"/>
      <c r="N1146" s="10"/>
      <c r="O1146" s="10"/>
      <c r="P1146" s="10"/>
      <c r="Q1146" s="10"/>
      <c r="R1146" s="9"/>
      <c r="S1146" s="9"/>
      <c r="T1146" s="12"/>
      <c r="U1146" s="12"/>
      <c r="V1146" s="12"/>
      <c r="W1146" s="10"/>
      <c r="X1146" s="10"/>
      <c r="Y1146" s="9"/>
      <c r="Z1146" s="9"/>
      <c r="AA1146" s="9"/>
      <c r="AB1146" s="9"/>
    </row>
    <row r="1147" ht="30.0" customHeight="1">
      <c r="A1147" s="17" t="s">
        <v>1</v>
      </c>
      <c r="B1147" s="8"/>
      <c r="C1147" s="9"/>
      <c r="D1147" s="9"/>
      <c r="E1147" s="9"/>
      <c r="F1147" s="9"/>
      <c r="G1147" s="9"/>
      <c r="H1147" s="9"/>
      <c r="I1147" s="9"/>
      <c r="J1147" s="9"/>
      <c r="K1147" s="9"/>
      <c r="L1147" s="9"/>
      <c r="M1147" s="10"/>
      <c r="N1147" s="10"/>
      <c r="O1147" s="10"/>
      <c r="P1147" s="10"/>
      <c r="Q1147" s="10"/>
      <c r="R1147" s="9"/>
      <c r="S1147" s="9"/>
      <c r="T1147" s="12"/>
      <c r="U1147" s="12"/>
      <c r="V1147" s="12"/>
      <c r="W1147" s="10"/>
      <c r="X1147" s="10"/>
      <c r="Y1147" s="9"/>
      <c r="Z1147" s="9"/>
      <c r="AA1147" s="9"/>
      <c r="AB1147" s="9"/>
    </row>
    <row r="1148" ht="30.0" customHeight="1">
      <c r="A1148" s="17" t="s">
        <v>1</v>
      </c>
      <c r="B1148" s="8"/>
      <c r="C1148" s="9"/>
      <c r="D1148" s="9"/>
      <c r="E1148" s="9"/>
      <c r="F1148" s="9"/>
      <c r="G1148" s="9"/>
      <c r="H1148" s="9"/>
      <c r="I1148" s="9"/>
      <c r="J1148" s="9"/>
      <c r="K1148" s="9"/>
      <c r="L1148" s="9"/>
      <c r="M1148" s="10"/>
      <c r="N1148" s="10"/>
      <c r="O1148" s="10"/>
      <c r="P1148" s="10"/>
      <c r="Q1148" s="10"/>
      <c r="R1148" s="9"/>
      <c r="S1148" s="9"/>
      <c r="T1148" s="12"/>
      <c r="U1148" s="12"/>
      <c r="V1148" s="12"/>
      <c r="W1148" s="10"/>
      <c r="X1148" s="10"/>
      <c r="Y1148" s="9"/>
      <c r="Z1148" s="9"/>
      <c r="AA1148" s="9"/>
      <c r="AB1148" s="9"/>
    </row>
    <row r="1149" ht="30.0" customHeight="1">
      <c r="A1149" s="17" t="s">
        <v>1</v>
      </c>
      <c r="B1149" s="8"/>
      <c r="C1149" s="9"/>
      <c r="D1149" s="9"/>
      <c r="E1149" s="9"/>
      <c r="F1149" s="9"/>
      <c r="G1149" s="9"/>
      <c r="H1149" s="9"/>
      <c r="I1149" s="9"/>
      <c r="J1149" s="9"/>
      <c r="K1149" s="9"/>
      <c r="L1149" s="9"/>
      <c r="M1149" s="10"/>
      <c r="N1149" s="10"/>
      <c r="O1149" s="10"/>
      <c r="P1149" s="10"/>
      <c r="Q1149" s="10"/>
      <c r="R1149" s="9"/>
      <c r="S1149" s="9"/>
      <c r="T1149" s="12"/>
      <c r="U1149" s="12"/>
      <c r="V1149" s="12"/>
      <c r="W1149" s="10"/>
      <c r="X1149" s="10"/>
      <c r="Y1149" s="9"/>
      <c r="Z1149" s="9"/>
      <c r="AA1149" s="9"/>
      <c r="AB1149" s="9"/>
    </row>
    <row r="1150" ht="30.0" customHeight="1">
      <c r="A1150" s="17" t="s">
        <v>1</v>
      </c>
      <c r="B1150" s="8"/>
      <c r="C1150" s="9"/>
      <c r="D1150" s="9"/>
      <c r="E1150" s="9"/>
      <c r="F1150" s="9"/>
      <c r="G1150" s="9"/>
      <c r="H1150" s="9"/>
      <c r="I1150" s="9"/>
      <c r="J1150" s="9"/>
      <c r="K1150" s="9"/>
      <c r="L1150" s="9"/>
      <c r="M1150" s="10"/>
      <c r="N1150" s="10"/>
      <c r="O1150" s="10"/>
      <c r="P1150" s="10"/>
      <c r="Q1150" s="10"/>
      <c r="R1150" s="9"/>
      <c r="S1150" s="9"/>
      <c r="T1150" s="12"/>
      <c r="U1150" s="12"/>
      <c r="V1150" s="12"/>
      <c r="W1150" s="10"/>
      <c r="X1150" s="10"/>
      <c r="Y1150" s="9"/>
      <c r="Z1150" s="9"/>
      <c r="AA1150" s="9"/>
      <c r="AB1150" s="9"/>
    </row>
    <row r="1151" ht="30.0" customHeight="1">
      <c r="A1151" s="17" t="s">
        <v>1</v>
      </c>
      <c r="B1151" s="8"/>
      <c r="C1151" s="9"/>
      <c r="D1151" s="9"/>
      <c r="E1151" s="9"/>
      <c r="F1151" s="9"/>
      <c r="G1151" s="9"/>
      <c r="H1151" s="9"/>
      <c r="I1151" s="9"/>
      <c r="J1151" s="9"/>
      <c r="K1151" s="9"/>
      <c r="L1151" s="9"/>
      <c r="M1151" s="10"/>
      <c r="N1151" s="10"/>
      <c r="O1151" s="10"/>
      <c r="P1151" s="10"/>
      <c r="Q1151" s="10"/>
      <c r="R1151" s="9"/>
      <c r="S1151" s="9"/>
      <c r="T1151" s="12"/>
      <c r="U1151" s="12"/>
      <c r="V1151" s="12"/>
      <c r="W1151" s="10"/>
      <c r="X1151" s="10"/>
      <c r="Y1151" s="9"/>
      <c r="Z1151" s="9"/>
      <c r="AA1151" s="9"/>
      <c r="AB1151" s="9"/>
    </row>
    <row r="1152" ht="30.0" customHeight="1">
      <c r="A1152" s="17" t="s">
        <v>1</v>
      </c>
      <c r="B1152" s="8"/>
      <c r="C1152" s="9"/>
      <c r="D1152" s="9"/>
      <c r="E1152" s="9"/>
      <c r="F1152" s="9"/>
      <c r="G1152" s="9"/>
      <c r="H1152" s="9"/>
      <c r="I1152" s="9"/>
      <c r="J1152" s="9"/>
      <c r="K1152" s="9"/>
      <c r="L1152" s="9"/>
      <c r="M1152" s="10"/>
      <c r="N1152" s="10"/>
      <c r="O1152" s="10"/>
      <c r="P1152" s="10"/>
      <c r="Q1152" s="10"/>
      <c r="R1152" s="9"/>
      <c r="S1152" s="9"/>
      <c r="T1152" s="12"/>
      <c r="U1152" s="12"/>
      <c r="V1152" s="12"/>
      <c r="W1152" s="10"/>
      <c r="X1152" s="10"/>
      <c r="Y1152" s="9"/>
      <c r="Z1152" s="9"/>
      <c r="AA1152" s="9"/>
      <c r="AB1152" s="9"/>
    </row>
    <row r="1153" ht="30.0" customHeight="1">
      <c r="A1153" s="17" t="s">
        <v>1</v>
      </c>
      <c r="B1153" s="8"/>
      <c r="C1153" s="9"/>
      <c r="D1153" s="9"/>
      <c r="E1153" s="9"/>
      <c r="F1153" s="9"/>
      <c r="G1153" s="9"/>
      <c r="H1153" s="9"/>
      <c r="I1153" s="9"/>
      <c r="J1153" s="9"/>
      <c r="K1153" s="9"/>
      <c r="L1153" s="9"/>
      <c r="M1153" s="10"/>
      <c r="N1153" s="10"/>
      <c r="O1153" s="10"/>
      <c r="P1153" s="10"/>
      <c r="Q1153" s="10"/>
      <c r="R1153" s="9"/>
      <c r="S1153" s="9"/>
      <c r="T1153" s="12"/>
      <c r="U1153" s="12"/>
      <c r="V1153" s="12"/>
      <c r="W1153" s="10"/>
      <c r="X1153" s="10"/>
      <c r="Y1153" s="9"/>
      <c r="Z1153" s="9"/>
      <c r="AA1153" s="9"/>
      <c r="AB1153" s="9"/>
    </row>
    <row r="1154" ht="30.0" customHeight="1">
      <c r="A1154" s="17" t="s">
        <v>1</v>
      </c>
      <c r="B1154" s="8"/>
      <c r="C1154" s="9"/>
      <c r="D1154" s="9"/>
      <c r="E1154" s="9"/>
      <c r="F1154" s="9"/>
      <c r="G1154" s="9"/>
      <c r="H1154" s="9"/>
      <c r="I1154" s="9"/>
      <c r="J1154" s="9"/>
      <c r="K1154" s="9"/>
      <c r="L1154" s="9"/>
      <c r="M1154" s="10"/>
      <c r="N1154" s="10"/>
      <c r="O1154" s="10"/>
      <c r="P1154" s="10"/>
      <c r="Q1154" s="10"/>
      <c r="R1154" s="9"/>
      <c r="S1154" s="9"/>
      <c r="T1154" s="12"/>
      <c r="U1154" s="12"/>
      <c r="V1154" s="12"/>
      <c r="W1154" s="10"/>
      <c r="X1154" s="10"/>
      <c r="Y1154" s="9"/>
      <c r="Z1154" s="9"/>
      <c r="AA1154" s="9"/>
      <c r="AB1154" s="9"/>
    </row>
    <row r="1155" ht="30.0" customHeight="1">
      <c r="A1155" s="17" t="s">
        <v>1</v>
      </c>
      <c r="B1155" s="8"/>
      <c r="C1155" s="9"/>
      <c r="D1155" s="9"/>
      <c r="E1155" s="9"/>
      <c r="F1155" s="9"/>
      <c r="G1155" s="9"/>
      <c r="H1155" s="9"/>
      <c r="I1155" s="9"/>
      <c r="J1155" s="9"/>
      <c r="K1155" s="9"/>
      <c r="L1155" s="9"/>
      <c r="M1155" s="10"/>
      <c r="N1155" s="10"/>
      <c r="O1155" s="10"/>
      <c r="P1155" s="10"/>
      <c r="Q1155" s="10"/>
      <c r="R1155" s="9"/>
      <c r="S1155" s="9"/>
      <c r="T1155" s="12"/>
      <c r="U1155" s="12"/>
      <c r="V1155" s="12"/>
      <c r="W1155" s="10"/>
      <c r="X1155" s="10"/>
      <c r="Y1155" s="9"/>
      <c r="Z1155" s="9"/>
      <c r="AA1155" s="9"/>
      <c r="AB1155" s="9"/>
    </row>
    <row r="1156" ht="30.0" customHeight="1">
      <c r="A1156" s="17" t="s">
        <v>1</v>
      </c>
      <c r="B1156" s="8"/>
      <c r="C1156" s="9"/>
      <c r="D1156" s="9"/>
      <c r="E1156" s="9"/>
      <c r="F1156" s="9"/>
      <c r="G1156" s="9"/>
      <c r="H1156" s="9"/>
      <c r="I1156" s="9"/>
      <c r="J1156" s="9"/>
      <c r="K1156" s="9"/>
      <c r="L1156" s="9"/>
      <c r="M1156" s="10"/>
      <c r="N1156" s="10"/>
      <c r="O1156" s="10"/>
      <c r="P1156" s="10"/>
      <c r="Q1156" s="10"/>
      <c r="R1156" s="9"/>
      <c r="S1156" s="9"/>
      <c r="T1156" s="12"/>
      <c r="U1156" s="12"/>
      <c r="V1156" s="12"/>
      <c r="W1156" s="10"/>
      <c r="X1156" s="10"/>
      <c r="Y1156" s="9"/>
      <c r="Z1156" s="9"/>
      <c r="AA1156" s="9"/>
      <c r="AB1156" s="9"/>
    </row>
    <row r="1157" ht="30.0" customHeight="1">
      <c r="A1157" s="17" t="s">
        <v>1</v>
      </c>
      <c r="B1157" s="8"/>
      <c r="C1157" s="9"/>
      <c r="D1157" s="9"/>
      <c r="E1157" s="9"/>
      <c r="F1157" s="9"/>
      <c r="G1157" s="9"/>
      <c r="H1157" s="9"/>
      <c r="I1157" s="9"/>
      <c r="J1157" s="9"/>
      <c r="K1157" s="9"/>
      <c r="L1157" s="9"/>
      <c r="M1157" s="10"/>
      <c r="N1157" s="10"/>
      <c r="O1157" s="10"/>
      <c r="P1157" s="10"/>
      <c r="Q1157" s="10"/>
      <c r="R1157" s="9"/>
      <c r="S1157" s="9"/>
      <c r="T1157" s="12"/>
      <c r="U1157" s="12"/>
      <c r="V1157" s="12"/>
      <c r="W1157" s="10"/>
      <c r="X1157" s="10"/>
      <c r="Y1157" s="9"/>
      <c r="Z1157" s="9"/>
      <c r="AA1157" s="9"/>
      <c r="AB1157" s="9"/>
    </row>
    <row r="1158" ht="30.0" customHeight="1">
      <c r="A1158" s="17" t="s">
        <v>1</v>
      </c>
      <c r="B1158" s="8"/>
      <c r="C1158" s="9"/>
      <c r="D1158" s="9"/>
      <c r="E1158" s="9"/>
      <c r="F1158" s="9"/>
      <c r="G1158" s="9"/>
      <c r="H1158" s="9"/>
      <c r="I1158" s="9"/>
      <c r="J1158" s="9"/>
      <c r="K1158" s="9"/>
      <c r="L1158" s="9"/>
      <c r="M1158" s="10"/>
      <c r="N1158" s="10"/>
      <c r="O1158" s="10"/>
      <c r="P1158" s="10"/>
      <c r="Q1158" s="10"/>
      <c r="R1158" s="9"/>
      <c r="S1158" s="9"/>
      <c r="T1158" s="12"/>
      <c r="U1158" s="12"/>
      <c r="V1158" s="12"/>
      <c r="W1158" s="10"/>
      <c r="X1158" s="10"/>
      <c r="Y1158" s="9"/>
      <c r="Z1158" s="9"/>
      <c r="AA1158" s="9"/>
      <c r="AB1158" s="9"/>
    </row>
    <row r="1159" ht="30.0" customHeight="1">
      <c r="A1159" s="17" t="s">
        <v>1</v>
      </c>
      <c r="B1159" s="8"/>
      <c r="C1159" s="9"/>
      <c r="D1159" s="9"/>
      <c r="E1159" s="9"/>
      <c r="F1159" s="9"/>
      <c r="G1159" s="9"/>
      <c r="H1159" s="9"/>
      <c r="I1159" s="9"/>
      <c r="J1159" s="9"/>
      <c r="K1159" s="9"/>
      <c r="L1159" s="9"/>
      <c r="M1159" s="10"/>
      <c r="N1159" s="10"/>
      <c r="O1159" s="10"/>
      <c r="P1159" s="10"/>
      <c r="Q1159" s="10"/>
      <c r="R1159" s="9"/>
      <c r="S1159" s="9"/>
      <c r="T1159" s="12"/>
      <c r="U1159" s="12"/>
      <c r="V1159" s="12"/>
      <c r="W1159" s="10"/>
      <c r="X1159" s="10"/>
      <c r="Y1159" s="9"/>
      <c r="Z1159" s="9"/>
      <c r="AA1159" s="9"/>
      <c r="AB1159" s="9"/>
    </row>
    <row r="1160" ht="30.0" customHeight="1">
      <c r="A1160" s="17" t="s">
        <v>1</v>
      </c>
      <c r="B1160" s="8"/>
      <c r="C1160" s="9"/>
      <c r="D1160" s="9"/>
      <c r="E1160" s="9"/>
      <c r="F1160" s="9"/>
      <c r="G1160" s="9"/>
      <c r="H1160" s="9"/>
      <c r="I1160" s="9"/>
      <c r="J1160" s="9"/>
      <c r="K1160" s="9"/>
      <c r="L1160" s="9"/>
      <c r="M1160" s="10"/>
      <c r="N1160" s="10"/>
      <c r="O1160" s="10"/>
      <c r="P1160" s="10"/>
      <c r="Q1160" s="10"/>
      <c r="R1160" s="9"/>
      <c r="S1160" s="9"/>
      <c r="T1160" s="12"/>
      <c r="U1160" s="12"/>
      <c r="V1160" s="12"/>
      <c r="W1160" s="10"/>
      <c r="X1160" s="10"/>
      <c r="Y1160" s="9"/>
      <c r="Z1160" s="9"/>
      <c r="AA1160" s="9"/>
      <c r="AB1160" s="9"/>
    </row>
    <row r="1161" ht="30.0" customHeight="1">
      <c r="A1161" s="17" t="s">
        <v>1</v>
      </c>
      <c r="B1161" s="8"/>
      <c r="C1161" s="9"/>
      <c r="D1161" s="9"/>
      <c r="E1161" s="9"/>
      <c r="F1161" s="9"/>
      <c r="G1161" s="9"/>
      <c r="H1161" s="9"/>
      <c r="I1161" s="9"/>
      <c r="J1161" s="9"/>
      <c r="K1161" s="9"/>
      <c r="L1161" s="9"/>
      <c r="M1161" s="10"/>
      <c r="N1161" s="10"/>
      <c r="O1161" s="10"/>
      <c r="P1161" s="10"/>
      <c r="Q1161" s="10"/>
      <c r="R1161" s="9"/>
      <c r="S1161" s="9"/>
      <c r="T1161" s="12"/>
      <c r="U1161" s="12"/>
      <c r="V1161" s="12"/>
      <c r="W1161" s="10"/>
      <c r="X1161" s="10"/>
      <c r="Y1161" s="9"/>
      <c r="Z1161" s="9"/>
      <c r="AA1161" s="9"/>
      <c r="AB1161" s="9"/>
    </row>
    <row r="1162" ht="30.0" customHeight="1">
      <c r="A1162" s="17" t="s">
        <v>1</v>
      </c>
      <c r="B1162" s="8"/>
      <c r="C1162" s="9"/>
      <c r="D1162" s="9"/>
      <c r="E1162" s="9"/>
      <c r="F1162" s="9"/>
      <c r="G1162" s="9"/>
      <c r="H1162" s="9"/>
      <c r="I1162" s="9"/>
      <c r="J1162" s="9"/>
      <c r="K1162" s="9"/>
      <c r="L1162" s="9"/>
      <c r="M1162" s="10"/>
      <c r="N1162" s="10"/>
      <c r="O1162" s="10"/>
      <c r="P1162" s="10"/>
      <c r="Q1162" s="10"/>
      <c r="R1162" s="9"/>
      <c r="S1162" s="9"/>
      <c r="T1162" s="12"/>
      <c r="U1162" s="12"/>
      <c r="V1162" s="12"/>
      <c r="W1162" s="10"/>
      <c r="X1162" s="10"/>
      <c r="Y1162" s="9"/>
      <c r="Z1162" s="9"/>
      <c r="AA1162" s="9"/>
      <c r="AB1162" s="9"/>
    </row>
    <row r="1163" ht="30.0" customHeight="1">
      <c r="A1163" s="17" t="s">
        <v>1</v>
      </c>
      <c r="B1163" s="8"/>
      <c r="C1163" s="9"/>
      <c r="D1163" s="9"/>
      <c r="E1163" s="9"/>
      <c r="F1163" s="9"/>
      <c r="G1163" s="9"/>
      <c r="H1163" s="9"/>
      <c r="I1163" s="9"/>
      <c r="J1163" s="9"/>
      <c r="K1163" s="9"/>
      <c r="L1163" s="9"/>
      <c r="M1163" s="10"/>
      <c r="N1163" s="10"/>
      <c r="O1163" s="10"/>
      <c r="P1163" s="10"/>
      <c r="Q1163" s="10"/>
      <c r="R1163" s="9"/>
      <c r="S1163" s="9"/>
      <c r="T1163" s="12"/>
      <c r="U1163" s="12"/>
      <c r="V1163" s="12"/>
      <c r="W1163" s="10"/>
      <c r="X1163" s="10"/>
      <c r="Y1163" s="9"/>
      <c r="Z1163" s="9"/>
      <c r="AA1163" s="9"/>
      <c r="AB1163" s="9"/>
    </row>
    <row r="1164" ht="30.0" customHeight="1">
      <c r="A1164" s="17" t="s">
        <v>1</v>
      </c>
      <c r="B1164" s="8"/>
      <c r="C1164" s="9"/>
      <c r="D1164" s="9"/>
      <c r="E1164" s="9"/>
      <c r="F1164" s="9"/>
      <c r="G1164" s="9"/>
      <c r="H1164" s="9"/>
      <c r="I1164" s="9"/>
      <c r="J1164" s="9"/>
      <c r="K1164" s="9"/>
      <c r="L1164" s="9"/>
      <c r="M1164" s="10"/>
      <c r="N1164" s="10"/>
      <c r="O1164" s="10"/>
      <c r="P1164" s="10"/>
      <c r="Q1164" s="10"/>
      <c r="R1164" s="9"/>
      <c r="S1164" s="9"/>
      <c r="T1164" s="12"/>
      <c r="U1164" s="12"/>
      <c r="V1164" s="12"/>
      <c r="W1164" s="10"/>
      <c r="X1164" s="10"/>
      <c r="Y1164" s="9"/>
      <c r="Z1164" s="9"/>
      <c r="AA1164" s="9"/>
      <c r="AB1164" s="9"/>
    </row>
    <row r="1165" ht="30.0" customHeight="1">
      <c r="A1165" s="17" t="s">
        <v>1</v>
      </c>
      <c r="B1165" s="8"/>
      <c r="C1165" s="9"/>
      <c r="D1165" s="9"/>
      <c r="E1165" s="9"/>
      <c r="F1165" s="9"/>
      <c r="G1165" s="9"/>
      <c r="H1165" s="9"/>
      <c r="I1165" s="9"/>
      <c r="J1165" s="9"/>
      <c r="K1165" s="9"/>
      <c r="L1165" s="9"/>
      <c r="M1165" s="10"/>
      <c r="N1165" s="10"/>
      <c r="O1165" s="10"/>
      <c r="P1165" s="10"/>
      <c r="Q1165" s="10"/>
      <c r="R1165" s="9"/>
      <c r="S1165" s="9"/>
      <c r="T1165" s="12"/>
      <c r="U1165" s="12"/>
      <c r="V1165" s="12"/>
      <c r="W1165" s="10"/>
      <c r="X1165" s="10"/>
      <c r="Y1165" s="9"/>
      <c r="Z1165" s="9"/>
      <c r="AA1165" s="9"/>
      <c r="AB1165" s="9"/>
    </row>
    <row r="1166" ht="30.0" customHeight="1">
      <c r="A1166" s="17" t="s">
        <v>1</v>
      </c>
      <c r="B1166" s="8"/>
      <c r="C1166" s="9"/>
      <c r="D1166" s="9"/>
      <c r="E1166" s="9"/>
      <c r="F1166" s="9"/>
      <c r="G1166" s="9"/>
      <c r="H1166" s="9"/>
      <c r="I1166" s="9"/>
      <c r="J1166" s="9"/>
      <c r="K1166" s="9"/>
      <c r="L1166" s="9"/>
      <c r="M1166" s="10"/>
      <c r="N1166" s="10"/>
      <c r="O1166" s="10"/>
      <c r="P1166" s="10"/>
      <c r="Q1166" s="10"/>
      <c r="R1166" s="9"/>
      <c r="S1166" s="9"/>
      <c r="T1166" s="12"/>
      <c r="U1166" s="12"/>
      <c r="V1166" s="12"/>
      <c r="W1166" s="10"/>
      <c r="X1166" s="10"/>
      <c r="Y1166" s="9"/>
      <c r="Z1166" s="9"/>
      <c r="AA1166" s="9"/>
      <c r="AB1166" s="9"/>
    </row>
    <row r="1167" ht="30.0" customHeight="1">
      <c r="A1167" s="17" t="s">
        <v>1</v>
      </c>
      <c r="B1167" s="8"/>
      <c r="C1167" s="9"/>
      <c r="D1167" s="9"/>
      <c r="E1167" s="9"/>
      <c r="F1167" s="9"/>
      <c r="G1167" s="9"/>
      <c r="H1167" s="9"/>
      <c r="I1167" s="9"/>
      <c r="J1167" s="9"/>
      <c r="K1167" s="9"/>
      <c r="L1167" s="9"/>
      <c r="M1167" s="10"/>
      <c r="N1167" s="10"/>
      <c r="O1167" s="10"/>
      <c r="P1167" s="10"/>
      <c r="Q1167" s="10"/>
      <c r="R1167" s="9"/>
      <c r="S1167" s="9"/>
      <c r="T1167" s="12"/>
      <c r="U1167" s="12"/>
      <c r="V1167" s="12"/>
      <c r="W1167" s="10"/>
      <c r="X1167" s="10"/>
      <c r="Y1167" s="9"/>
      <c r="Z1167" s="9"/>
      <c r="AA1167" s="9"/>
      <c r="AB1167" s="9"/>
    </row>
    <row r="1168" ht="30.0" customHeight="1">
      <c r="A1168" s="17" t="s">
        <v>1</v>
      </c>
      <c r="B1168" s="8"/>
      <c r="C1168" s="9"/>
      <c r="D1168" s="9"/>
      <c r="E1168" s="9"/>
      <c r="F1168" s="9"/>
      <c r="G1168" s="9"/>
      <c r="H1168" s="9"/>
      <c r="I1168" s="9"/>
      <c r="J1168" s="9"/>
      <c r="K1168" s="9"/>
      <c r="L1168" s="9"/>
      <c r="M1168" s="10"/>
      <c r="N1168" s="10"/>
      <c r="O1168" s="10"/>
      <c r="P1168" s="10"/>
      <c r="Q1168" s="10"/>
      <c r="R1168" s="9"/>
      <c r="S1168" s="9"/>
      <c r="T1168" s="12"/>
      <c r="U1168" s="12"/>
      <c r="V1168" s="12"/>
      <c r="W1168" s="10"/>
      <c r="X1168" s="10"/>
      <c r="Y1168" s="9"/>
      <c r="Z1168" s="9"/>
      <c r="AA1168" s="9"/>
      <c r="AB1168" s="9"/>
    </row>
    <row r="1169" ht="30.0" customHeight="1">
      <c r="A1169" s="17" t="s">
        <v>1</v>
      </c>
      <c r="B1169" s="8"/>
      <c r="C1169" s="9"/>
      <c r="D1169" s="9"/>
      <c r="E1169" s="9"/>
      <c r="F1169" s="9"/>
      <c r="G1169" s="9"/>
      <c r="H1169" s="9"/>
      <c r="I1169" s="9"/>
      <c r="J1169" s="9"/>
      <c r="K1169" s="9"/>
      <c r="L1169" s="9"/>
      <c r="M1169" s="10"/>
      <c r="N1169" s="10"/>
      <c r="O1169" s="10"/>
      <c r="P1169" s="10"/>
      <c r="Q1169" s="10"/>
      <c r="R1169" s="9"/>
      <c r="S1169" s="9"/>
      <c r="T1169" s="12"/>
      <c r="U1169" s="12"/>
      <c r="V1169" s="12"/>
      <c r="W1169" s="10"/>
      <c r="X1169" s="10"/>
      <c r="Y1169" s="9"/>
      <c r="Z1169" s="9"/>
      <c r="AA1169" s="9"/>
      <c r="AB1169" s="9"/>
    </row>
    <row r="1170" ht="30.0" customHeight="1">
      <c r="A1170" s="17" t="s">
        <v>1</v>
      </c>
      <c r="B1170" s="8"/>
      <c r="C1170" s="9"/>
      <c r="D1170" s="9"/>
      <c r="E1170" s="9"/>
      <c r="F1170" s="9"/>
      <c r="G1170" s="9"/>
      <c r="H1170" s="9"/>
      <c r="I1170" s="9"/>
      <c r="J1170" s="9"/>
      <c r="K1170" s="9"/>
      <c r="L1170" s="9"/>
      <c r="M1170" s="10"/>
      <c r="N1170" s="10"/>
      <c r="O1170" s="10"/>
      <c r="P1170" s="10"/>
      <c r="Q1170" s="10"/>
      <c r="R1170" s="9"/>
      <c r="S1170" s="9"/>
      <c r="T1170" s="12"/>
      <c r="U1170" s="12"/>
      <c r="V1170" s="12"/>
      <c r="W1170" s="10"/>
      <c r="X1170" s="10"/>
      <c r="Y1170" s="9"/>
      <c r="Z1170" s="9"/>
      <c r="AA1170" s="9"/>
      <c r="AB1170" s="9"/>
    </row>
    <row r="1171" ht="30.0" customHeight="1">
      <c r="A1171" s="17" t="s">
        <v>1</v>
      </c>
      <c r="B1171" s="8"/>
      <c r="C1171" s="9"/>
      <c r="D1171" s="9"/>
      <c r="E1171" s="9"/>
      <c r="F1171" s="9"/>
      <c r="G1171" s="9"/>
      <c r="H1171" s="9"/>
      <c r="I1171" s="9"/>
      <c r="J1171" s="9"/>
      <c r="K1171" s="9"/>
      <c r="L1171" s="9"/>
      <c r="M1171" s="10"/>
      <c r="N1171" s="10"/>
      <c r="O1171" s="10"/>
      <c r="P1171" s="10"/>
      <c r="Q1171" s="10"/>
      <c r="R1171" s="9"/>
      <c r="S1171" s="9"/>
      <c r="T1171" s="12"/>
      <c r="U1171" s="12"/>
      <c r="V1171" s="12"/>
      <c r="W1171" s="10"/>
      <c r="X1171" s="10"/>
      <c r="Y1171" s="9"/>
      <c r="Z1171" s="9"/>
      <c r="AA1171" s="9"/>
      <c r="AB1171" s="9"/>
    </row>
    <row r="1172" ht="30.0" customHeight="1">
      <c r="A1172" s="17" t="s">
        <v>1</v>
      </c>
      <c r="B1172" s="8"/>
      <c r="C1172" s="9"/>
      <c r="D1172" s="9"/>
      <c r="E1172" s="9"/>
      <c r="F1172" s="9"/>
      <c r="G1172" s="9"/>
      <c r="H1172" s="9"/>
      <c r="I1172" s="9"/>
      <c r="J1172" s="9"/>
      <c r="K1172" s="9"/>
      <c r="L1172" s="9"/>
      <c r="M1172" s="10"/>
      <c r="N1172" s="10"/>
      <c r="O1172" s="10"/>
      <c r="P1172" s="10"/>
      <c r="Q1172" s="10"/>
      <c r="R1172" s="9"/>
      <c r="S1172" s="9"/>
      <c r="T1172" s="12"/>
      <c r="U1172" s="12"/>
      <c r="V1172" s="12"/>
      <c r="W1172" s="10"/>
      <c r="X1172" s="10"/>
      <c r="Y1172" s="9"/>
      <c r="Z1172" s="9"/>
      <c r="AA1172" s="9"/>
      <c r="AB1172" s="9"/>
    </row>
    <row r="1173" ht="30.0" customHeight="1">
      <c r="A1173" s="17" t="s">
        <v>1</v>
      </c>
      <c r="B1173" s="8"/>
      <c r="C1173" s="9"/>
      <c r="D1173" s="9"/>
      <c r="E1173" s="9"/>
      <c r="F1173" s="9"/>
      <c r="G1173" s="9"/>
      <c r="H1173" s="9"/>
      <c r="I1173" s="9"/>
      <c r="J1173" s="9"/>
      <c r="K1173" s="9"/>
      <c r="L1173" s="9"/>
      <c r="M1173" s="10"/>
      <c r="N1173" s="10"/>
      <c r="O1173" s="10"/>
      <c r="P1173" s="10"/>
      <c r="Q1173" s="10"/>
      <c r="R1173" s="9"/>
      <c r="S1173" s="9"/>
      <c r="T1173" s="12"/>
      <c r="U1173" s="12"/>
      <c r="V1173" s="12"/>
      <c r="W1173" s="10"/>
      <c r="X1173" s="10"/>
      <c r="Y1173" s="9"/>
      <c r="Z1173" s="9"/>
      <c r="AA1173" s="9"/>
      <c r="AB1173" s="9"/>
    </row>
    <row r="1174" ht="30.0" customHeight="1">
      <c r="A1174" s="17" t="s">
        <v>1</v>
      </c>
      <c r="B1174" s="8"/>
      <c r="C1174" s="9"/>
      <c r="D1174" s="9"/>
      <c r="E1174" s="9"/>
      <c r="F1174" s="9"/>
      <c r="G1174" s="9"/>
      <c r="H1174" s="9"/>
      <c r="I1174" s="9"/>
      <c r="J1174" s="9"/>
      <c r="K1174" s="9"/>
      <c r="L1174" s="9"/>
      <c r="M1174" s="10"/>
      <c r="N1174" s="10"/>
      <c r="O1174" s="10"/>
      <c r="P1174" s="10"/>
      <c r="Q1174" s="10"/>
      <c r="R1174" s="9"/>
      <c r="S1174" s="9"/>
      <c r="T1174" s="12"/>
      <c r="U1174" s="12"/>
      <c r="V1174" s="12"/>
      <c r="W1174" s="10"/>
      <c r="X1174" s="10"/>
      <c r="Y1174" s="9"/>
      <c r="Z1174" s="9"/>
      <c r="AA1174" s="9"/>
      <c r="AB1174" s="9"/>
    </row>
    <row r="1175" ht="30.0" customHeight="1">
      <c r="A1175" s="17" t="s">
        <v>1</v>
      </c>
      <c r="B1175" s="8"/>
      <c r="C1175" s="9"/>
      <c r="D1175" s="9"/>
      <c r="E1175" s="9"/>
      <c r="F1175" s="9"/>
      <c r="G1175" s="9"/>
      <c r="H1175" s="9"/>
      <c r="I1175" s="9"/>
      <c r="J1175" s="9"/>
      <c r="K1175" s="9"/>
      <c r="L1175" s="9"/>
      <c r="M1175" s="10"/>
      <c r="N1175" s="10"/>
      <c r="O1175" s="10"/>
      <c r="P1175" s="10"/>
      <c r="Q1175" s="10"/>
      <c r="R1175" s="9"/>
      <c r="S1175" s="9"/>
      <c r="T1175" s="12"/>
      <c r="U1175" s="12"/>
      <c r="V1175" s="12"/>
      <c r="W1175" s="10"/>
      <c r="X1175" s="10"/>
      <c r="Y1175" s="9"/>
      <c r="Z1175" s="9"/>
      <c r="AA1175" s="9"/>
      <c r="AB1175" s="9"/>
    </row>
    <row r="1176" ht="30.0" customHeight="1">
      <c r="A1176" s="17" t="s">
        <v>1</v>
      </c>
      <c r="B1176" s="8"/>
      <c r="C1176" s="9"/>
      <c r="D1176" s="9"/>
      <c r="E1176" s="9"/>
      <c r="F1176" s="9"/>
      <c r="G1176" s="9"/>
      <c r="H1176" s="9"/>
      <c r="I1176" s="9"/>
      <c r="J1176" s="9"/>
      <c r="K1176" s="9"/>
      <c r="L1176" s="9"/>
      <c r="M1176" s="10"/>
      <c r="N1176" s="10"/>
      <c r="O1176" s="10"/>
      <c r="P1176" s="10"/>
      <c r="Q1176" s="10"/>
      <c r="R1176" s="9"/>
      <c r="S1176" s="9"/>
      <c r="T1176" s="12"/>
      <c r="U1176" s="12"/>
      <c r="V1176" s="12"/>
      <c r="W1176" s="10"/>
      <c r="X1176" s="10"/>
      <c r="Y1176" s="9"/>
      <c r="Z1176" s="9"/>
      <c r="AA1176" s="9"/>
      <c r="AB1176" s="9"/>
    </row>
    <row r="1177" ht="30.0" customHeight="1">
      <c r="A1177" s="17" t="s">
        <v>1</v>
      </c>
      <c r="B1177" s="8"/>
      <c r="C1177" s="9"/>
      <c r="D1177" s="9"/>
      <c r="E1177" s="9"/>
      <c r="F1177" s="9"/>
      <c r="G1177" s="9"/>
      <c r="H1177" s="9"/>
      <c r="I1177" s="9"/>
      <c r="J1177" s="9"/>
      <c r="K1177" s="9"/>
      <c r="L1177" s="9"/>
      <c r="M1177" s="10"/>
      <c r="N1177" s="10"/>
      <c r="O1177" s="10"/>
      <c r="P1177" s="10"/>
      <c r="Q1177" s="10"/>
      <c r="R1177" s="9"/>
      <c r="S1177" s="9"/>
      <c r="T1177" s="12"/>
      <c r="U1177" s="12"/>
      <c r="V1177" s="12"/>
      <c r="W1177" s="10"/>
      <c r="X1177" s="10"/>
      <c r="Y1177" s="9"/>
      <c r="Z1177" s="9"/>
      <c r="AA1177" s="9"/>
      <c r="AB1177" s="9"/>
    </row>
    <row r="1178" ht="30.0" customHeight="1">
      <c r="A1178" s="17" t="s">
        <v>1</v>
      </c>
      <c r="B1178" s="8"/>
      <c r="C1178" s="9"/>
      <c r="D1178" s="9"/>
      <c r="E1178" s="9"/>
      <c r="F1178" s="9"/>
      <c r="G1178" s="9"/>
      <c r="H1178" s="9"/>
      <c r="I1178" s="9"/>
      <c r="J1178" s="9"/>
      <c r="K1178" s="9"/>
      <c r="L1178" s="9"/>
      <c r="M1178" s="10"/>
      <c r="N1178" s="10"/>
      <c r="O1178" s="10"/>
      <c r="P1178" s="10"/>
      <c r="Q1178" s="10"/>
      <c r="R1178" s="9"/>
      <c r="S1178" s="9"/>
      <c r="T1178" s="12"/>
      <c r="U1178" s="12"/>
      <c r="V1178" s="12"/>
      <c r="W1178" s="10"/>
      <c r="X1178" s="10"/>
      <c r="Y1178" s="9"/>
      <c r="Z1178" s="9"/>
      <c r="AA1178" s="9"/>
      <c r="AB1178" s="9"/>
    </row>
    <row r="1179" ht="30.0" customHeight="1">
      <c r="A1179" s="17" t="s">
        <v>1</v>
      </c>
      <c r="B1179" s="8"/>
      <c r="C1179" s="9"/>
      <c r="D1179" s="9"/>
      <c r="E1179" s="9"/>
      <c r="F1179" s="9"/>
      <c r="G1179" s="9"/>
      <c r="H1179" s="9"/>
      <c r="I1179" s="9"/>
      <c r="J1179" s="9"/>
      <c r="K1179" s="9"/>
      <c r="L1179" s="9"/>
      <c r="M1179" s="10"/>
      <c r="N1179" s="10"/>
      <c r="O1179" s="10"/>
      <c r="P1179" s="10"/>
      <c r="Q1179" s="10"/>
      <c r="R1179" s="9"/>
      <c r="S1179" s="9"/>
      <c r="T1179" s="12"/>
      <c r="U1179" s="12"/>
      <c r="V1179" s="12"/>
      <c r="W1179" s="10"/>
      <c r="X1179" s="10"/>
      <c r="Y1179" s="9"/>
      <c r="Z1179" s="9"/>
      <c r="AA1179" s="9"/>
      <c r="AB1179" s="9"/>
    </row>
    <row r="1180" ht="30.0" customHeight="1">
      <c r="A1180" s="17" t="s">
        <v>1</v>
      </c>
      <c r="B1180" s="8"/>
      <c r="C1180" s="9"/>
      <c r="D1180" s="9"/>
      <c r="E1180" s="9"/>
      <c r="F1180" s="9"/>
      <c r="G1180" s="9"/>
      <c r="H1180" s="9"/>
      <c r="I1180" s="9"/>
      <c r="J1180" s="9"/>
      <c r="K1180" s="9"/>
      <c r="L1180" s="9"/>
      <c r="M1180" s="10"/>
      <c r="N1180" s="10"/>
      <c r="O1180" s="10"/>
      <c r="P1180" s="10"/>
      <c r="Q1180" s="10"/>
      <c r="R1180" s="9"/>
      <c r="S1180" s="9"/>
      <c r="T1180" s="12"/>
      <c r="U1180" s="12"/>
      <c r="V1180" s="12"/>
      <c r="W1180" s="10"/>
      <c r="X1180" s="10"/>
      <c r="Y1180" s="9"/>
      <c r="Z1180" s="9"/>
      <c r="AA1180" s="9"/>
      <c r="AB1180" s="9"/>
    </row>
    <row r="1181" ht="30.0" customHeight="1">
      <c r="A1181" s="17" t="s">
        <v>1</v>
      </c>
      <c r="B1181" s="8"/>
      <c r="C1181" s="9"/>
      <c r="D1181" s="9"/>
      <c r="E1181" s="9"/>
      <c r="F1181" s="9"/>
      <c r="G1181" s="9"/>
      <c r="H1181" s="9"/>
      <c r="I1181" s="9"/>
      <c r="J1181" s="9"/>
      <c r="K1181" s="9"/>
      <c r="L1181" s="9"/>
      <c r="M1181" s="10"/>
      <c r="N1181" s="10"/>
      <c r="O1181" s="10"/>
      <c r="P1181" s="10"/>
      <c r="Q1181" s="10"/>
      <c r="R1181" s="9"/>
      <c r="S1181" s="9"/>
      <c r="T1181" s="12"/>
      <c r="U1181" s="12"/>
      <c r="V1181" s="12"/>
      <c r="W1181" s="10"/>
      <c r="X1181" s="10"/>
      <c r="Y1181" s="9"/>
      <c r="Z1181" s="9"/>
      <c r="AA1181" s="9"/>
      <c r="AB1181" s="9"/>
    </row>
    <row r="1182" ht="30.0" customHeight="1">
      <c r="A1182" s="17" t="s">
        <v>1</v>
      </c>
      <c r="B1182" s="8"/>
      <c r="C1182" s="9"/>
      <c r="D1182" s="9"/>
      <c r="E1182" s="9"/>
      <c r="F1182" s="9"/>
      <c r="G1182" s="9"/>
      <c r="H1182" s="9"/>
      <c r="I1182" s="9"/>
      <c r="J1182" s="9"/>
      <c r="K1182" s="9"/>
      <c r="L1182" s="9"/>
      <c r="M1182" s="10"/>
      <c r="N1182" s="10"/>
      <c r="O1182" s="10"/>
      <c r="P1182" s="10"/>
      <c r="Q1182" s="10"/>
      <c r="R1182" s="9"/>
      <c r="S1182" s="9"/>
      <c r="T1182" s="12"/>
      <c r="U1182" s="12"/>
      <c r="V1182" s="12"/>
      <c r="W1182" s="10"/>
      <c r="X1182" s="10"/>
      <c r="Y1182" s="9"/>
      <c r="Z1182" s="9"/>
      <c r="AA1182" s="9"/>
      <c r="AB1182" s="9"/>
    </row>
    <row r="1183" ht="30.0" customHeight="1">
      <c r="A1183" s="17" t="s">
        <v>1</v>
      </c>
      <c r="B1183" s="8"/>
      <c r="C1183" s="9"/>
      <c r="D1183" s="9"/>
      <c r="E1183" s="9"/>
      <c r="F1183" s="9"/>
      <c r="G1183" s="9"/>
      <c r="H1183" s="9"/>
      <c r="I1183" s="9"/>
      <c r="J1183" s="9"/>
      <c r="K1183" s="9"/>
      <c r="L1183" s="9"/>
      <c r="M1183" s="10"/>
      <c r="N1183" s="10"/>
      <c r="O1183" s="10"/>
      <c r="P1183" s="10"/>
      <c r="Q1183" s="10"/>
      <c r="R1183" s="9"/>
      <c r="S1183" s="9"/>
      <c r="T1183" s="12"/>
      <c r="U1183" s="12"/>
      <c r="V1183" s="12"/>
      <c r="W1183" s="10"/>
      <c r="X1183" s="10"/>
      <c r="Y1183" s="9"/>
      <c r="Z1183" s="9"/>
      <c r="AA1183" s="9"/>
      <c r="AB1183" s="9"/>
    </row>
    <row r="1184" ht="30.0" customHeight="1">
      <c r="A1184" s="17" t="s">
        <v>1</v>
      </c>
      <c r="B1184" s="8"/>
      <c r="C1184" s="9"/>
      <c r="D1184" s="9"/>
      <c r="E1184" s="9"/>
      <c r="F1184" s="9"/>
      <c r="G1184" s="9"/>
      <c r="H1184" s="9"/>
      <c r="I1184" s="9"/>
      <c r="J1184" s="9"/>
      <c r="K1184" s="9"/>
      <c r="L1184" s="9"/>
      <c r="M1184" s="10"/>
      <c r="N1184" s="10"/>
      <c r="O1184" s="10"/>
      <c r="P1184" s="10"/>
      <c r="Q1184" s="10"/>
      <c r="R1184" s="9"/>
      <c r="S1184" s="9"/>
      <c r="T1184" s="12"/>
      <c r="U1184" s="12"/>
      <c r="V1184" s="12"/>
      <c r="W1184" s="10"/>
      <c r="X1184" s="10"/>
      <c r="Y1184" s="9"/>
      <c r="Z1184" s="9"/>
      <c r="AA1184" s="9"/>
      <c r="AB1184" s="9"/>
    </row>
    <row r="1185" ht="30.0" customHeight="1">
      <c r="A1185" s="17" t="s">
        <v>1</v>
      </c>
      <c r="B1185" s="8"/>
      <c r="C1185" s="9"/>
      <c r="D1185" s="9"/>
      <c r="E1185" s="9"/>
      <c r="F1185" s="9"/>
      <c r="G1185" s="9"/>
      <c r="H1185" s="9"/>
      <c r="I1185" s="9"/>
      <c r="J1185" s="9"/>
      <c r="K1185" s="9"/>
      <c r="L1185" s="9"/>
      <c r="M1185" s="10"/>
      <c r="N1185" s="10"/>
      <c r="O1185" s="10"/>
      <c r="P1185" s="10"/>
      <c r="Q1185" s="10"/>
      <c r="R1185" s="9"/>
      <c r="S1185" s="9"/>
      <c r="T1185" s="12"/>
      <c r="U1185" s="12"/>
      <c r="V1185" s="12"/>
      <c r="W1185" s="10"/>
      <c r="X1185" s="10"/>
      <c r="Y1185" s="9"/>
      <c r="Z1185" s="9"/>
      <c r="AA1185" s="9"/>
      <c r="AB1185" s="9"/>
    </row>
    <row r="1186" ht="30.0" customHeight="1">
      <c r="A1186" s="17" t="s">
        <v>1</v>
      </c>
      <c r="B1186" s="8"/>
      <c r="C1186" s="9"/>
      <c r="D1186" s="9"/>
      <c r="E1186" s="9"/>
      <c r="F1186" s="9"/>
      <c r="G1186" s="9"/>
      <c r="H1186" s="9"/>
      <c r="I1186" s="9"/>
      <c r="J1186" s="9"/>
      <c r="K1186" s="9"/>
      <c r="L1186" s="9"/>
      <c r="M1186" s="10"/>
      <c r="N1186" s="10"/>
      <c r="O1186" s="10"/>
      <c r="P1186" s="10"/>
      <c r="Q1186" s="10"/>
      <c r="R1186" s="9"/>
      <c r="S1186" s="9"/>
      <c r="T1186" s="12"/>
      <c r="U1186" s="12"/>
      <c r="V1186" s="12"/>
      <c r="W1186" s="10"/>
      <c r="X1186" s="10"/>
      <c r="Y1186" s="9"/>
      <c r="Z1186" s="9"/>
      <c r="AA1186" s="9"/>
      <c r="AB1186" s="9"/>
    </row>
    <row r="1187" ht="30.0" customHeight="1">
      <c r="A1187" s="17" t="s">
        <v>1</v>
      </c>
      <c r="B1187" s="8"/>
      <c r="C1187" s="9"/>
      <c r="D1187" s="9"/>
      <c r="E1187" s="9"/>
      <c r="F1187" s="9"/>
      <c r="G1187" s="9"/>
      <c r="H1187" s="9"/>
      <c r="I1187" s="9"/>
      <c r="J1187" s="9"/>
      <c r="K1187" s="9"/>
      <c r="L1187" s="9"/>
      <c r="M1187" s="10"/>
      <c r="N1187" s="10"/>
      <c r="O1187" s="10"/>
      <c r="P1187" s="10"/>
      <c r="Q1187" s="10"/>
      <c r="R1187" s="9"/>
      <c r="S1187" s="9"/>
      <c r="T1187" s="12"/>
      <c r="U1187" s="12"/>
      <c r="V1187" s="12"/>
      <c r="W1187" s="10"/>
      <c r="X1187" s="10"/>
      <c r="Y1187" s="9"/>
      <c r="Z1187" s="9"/>
      <c r="AA1187" s="9"/>
      <c r="AB1187" s="9"/>
    </row>
    <row r="1188" ht="30.0" customHeight="1">
      <c r="A1188" s="17" t="s">
        <v>1</v>
      </c>
      <c r="B1188" s="8"/>
      <c r="C1188" s="9"/>
      <c r="D1188" s="9"/>
      <c r="E1188" s="9"/>
      <c r="F1188" s="9"/>
      <c r="G1188" s="9"/>
      <c r="H1188" s="9"/>
      <c r="I1188" s="9"/>
      <c r="J1188" s="9"/>
      <c r="K1188" s="9"/>
      <c r="L1188" s="9"/>
      <c r="M1188" s="10"/>
      <c r="N1188" s="10"/>
      <c r="O1188" s="10"/>
      <c r="P1188" s="10"/>
      <c r="Q1188" s="10"/>
      <c r="R1188" s="9"/>
      <c r="S1188" s="9"/>
      <c r="T1188" s="12"/>
      <c r="U1188" s="12"/>
      <c r="V1188" s="12"/>
      <c r="W1188" s="10"/>
      <c r="X1188" s="10"/>
      <c r="Y1188" s="9"/>
      <c r="Z1188" s="9"/>
      <c r="AA1188" s="9"/>
      <c r="AB1188" s="9"/>
    </row>
    <row r="1189" ht="30.0" customHeight="1">
      <c r="A1189" s="17" t="s">
        <v>1</v>
      </c>
      <c r="B1189" s="8"/>
      <c r="C1189" s="9"/>
      <c r="D1189" s="9"/>
      <c r="E1189" s="9"/>
      <c r="F1189" s="9"/>
      <c r="G1189" s="9"/>
      <c r="H1189" s="9"/>
      <c r="I1189" s="9"/>
      <c r="J1189" s="9"/>
      <c r="K1189" s="9"/>
      <c r="L1189" s="9"/>
      <c r="M1189" s="10"/>
      <c r="N1189" s="10"/>
      <c r="O1189" s="10"/>
      <c r="P1189" s="10"/>
      <c r="Q1189" s="10"/>
      <c r="R1189" s="9"/>
      <c r="S1189" s="9"/>
      <c r="T1189" s="12"/>
      <c r="U1189" s="12"/>
      <c r="V1189" s="12"/>
      <c r="W1189" s="10"/>
      <c r="X1189" s="10"/>
      <c r="Y1189" s="9"/>
      <c r="Z1189" s="9"/>
      <c r="AA1189" s="9"/>
      <c r="AB1189" s="9"/>
    </row>
    <row r="1190" ht="30.0" customHeight="1">
      <c r="A1190" s="17" t="s">
        <v>1</v>
      </c>
      <c r="B1190" s="8"/>
      <c r="C1190" s="9"/>
      <c r="D1190" s="9"/>
      <c r="E1190" s="9"/>
      <c r="F1190" s="9"/>
      <c r="G1190" s="9"/>
      <c r="H1190" s="9"/>
      <c r="I1190" s="9"/>
      <c r="J1190" s="9"/>
      <c r="K1190" s="9"/>
      <c r="L1190" s="9"/>
      <c r="M1190" s="10"/>
      <c r="N1190" s="10"/>
      <c r="O1190" s="10"/>
      <c r="P1190" s="10"/>
      <c r="Q1190" s="10"/>
      <c r="R1190" s="9"/>
      <c r="S1190" s="9"/>
      <c r="T1190" s="12"/>
      <c r="U1190" s="12"/>
      <c r="V1190" s="12"/>
      <c r="W1190" s="10"/>
      <c r="X1190" s="10"/>
      <c r="Y1190" s="9"/>
      <c r="Z1190" s="9"/>
      <c r="AA1190" s="9"/>
      <c r="AB1190" s="9"/>
    </row>
    <row r="1191" ht="30.0" customHeight="1">
      <c r="A1191" s="17" t="s">
        <v>1</v>
      </c>
      <c r="B1191" s="8"/>
      <c r="C1191" s="9"/>
      <c r="D1191" s="9"/>
      <c r="E1191" s="9"/>
      <c r="F1191" s="9"/>
      <c r="G1191" s="9"/>
      <c r="H1191" s="9"/>
      <c r="I1191" s="9"/>
      <c r="J1191" s="9"/>
      <c r="K1191" s="9"/>
      <c r="L1191" s="9"/>
      <c r="M1191" s="10"/>
      <c r="N1191" s="10"/>
      <c r="O1191" s="10"/>
      <c r="P1191" s="10"/>
      <c r="Q1191" s="10"/>
      <c r="R1191" s="9"/>
      <c r="S1191" s="9"/>
      <c r="T1191" s="12"/>
      <c r="U1191" s="12"/>
      <c r="V1191" s="12"/>
      <c r="W1191" s="10"/>
      <c r="X1191" s="10"/>
      <c r="Y1191" s="9"/>
      <c r="Z1191" s="9"/>
      <c r="AA1191" s="9"/>
      <c r="AB1191" s="9"/>
    </row>
    <row r="1192" ht="30.0" customHeight="1">
      <c r="A1192" s="17" t="s">
        <v>1</v>
      </c>
      <c r="B1192" s="8"/>
      <c r="C1192" s="9"/>
      <c r="D1192" s="9"/>
      <c r="E1192" s="9"/>
      <c r="F1192" s="9"/>
      <c r="G1192" s="9"/>
      <c r="H1192" s="9"/>
      <c r="I1192" s="9"/>
      <c r="J1192" s="9"/>
      <c r="K1192" s="9"/>
      <c r="L1192" s="9"/>
      <c r="M1192" s="10"/>
      <c r="N1192" s="10"/>
      <c r="O1192" s="10"/>
      <c r="P1192" s="10"/>
      <c r="Q1192" s="10"/>
      <c r="R1192" s="9"/>
      <c r="S1192" s="9"/>
      <c r="T1192" s="12"/>
      <c r="U1192" s="12"/>
      <c r="V1192" s="12"/>
      <c r="W1192" s="10"/>
      <c r="X1192" s="10"/>
      <c r="Y1192" s="9"/>
      <c r="Z1192" s="9"/>
      <c r="AA1192" s="9"/>
      <c r="AB1192" s="9"/>
    </row>
    <row r="1193" ht="30.0" customHeight="1">
      <c r="A1193" s="17" t="s">
        <v>1</v>
      </c>
      <c r="B1193" s="8"/>
      <c r="C1193" s="9"/>
      <c r="D1193" s="9"/>
      <c r="E1193" s="9"/>
      <c r="F1193" s="9"/>
      <c r="G1193" s="9"/>
      <c r="H1193" s="9"/>
      <c r="I1193" s="9"/>
      <c r="J1193" s="9"/>
      <c r="K1193" s="9"/>
      <c r="L1193" s="9"/>
      <c r="M1193" s="10"/>
      <c r="N1193" s="10"/>
      <c r="O1193" s="10"/>
      <c r="P1193" s="10"/>
      <c r="Q1193" s="10"/>
      <c r="R1193" s="9"/>
      <c r="S1193" s="9"/>
      <c r="T1193" s="12"/>
      <c r="U1193" s="12"/>
      <c r="V1193" s="12"/>
      <c r="W1193" s="10"/>
      <c r="X1193" s="10"/>
      <c r="Y1193" s="9"/>
      <c r="Z1193" s="9"/>
      <c r="AA1193" s="9"/>
      <c r="AB1193" s="9"/>
    </row>
    <row r="1194" ht="30.0" customHeight="1">
      <c r="A1194" s="17" t="s">
        <v>1</v>
      </c>
      <c r="B1194" s="8"/>
      <c r="C1194" s="9"/>
      <c r="D1194" s="9"/>
      <c r="E1194" s="9"/>
      <c r="F1194" s="9"/>
      <c r="G1194" s="9"/>
      <c r="H1194" s="9"/>
      <c r="I1194" s="9"/>
      <c r="J1194" s="9"/>
      <c r="K1194" s="9"/>
      <c r="L1194" s="9"/>
      <c r="M1194" s="10"/>
      <c r="N1194" s="10"/>
      <c r="O1194" s="10"/>
      <c r="P1194" s="10"/>
      <c r="Q1194" s="10"/>
      <c r="R1194" s="9"/>
      <c r="S1194" s="9"/>
      <c r="T1194" s="12"/>
      <c r="U1194" s="12"/>
      <c r="V1194" s="12"/>
      <c r="W1194" s="10"/>
      <c r="X1194" s="10"/>
      <c r="Y1194" s="9"/>
      <c r="Z1194" s="9"/>
      <c r="AA1194" s="9"/>
      <c r="AB1194" s="9"/>
    </row>
    <row r="1195" ht="30.0" customHeight="1">
      <c r="A1195" s="17" t="s">
        <v>1</v>
      </c>
      <c r="B1195" s="8"/>
      <c r="C1195" s="9"/>
      <c r="D1195" s="9"/>
      <c r="E1195" s="9"/>
      <c r="F1195" s="9"/>
      <c r="G1195" s="9"/>
      <c r="H1195" s="9"/>
      <c r="I1195" s="9"/>
      <c r="J1195" s="9"/>
      <c r="K1195" s="9"/>
      <c r="L1195" s="9"/>
      <c r="M1195" s="10"/>
      <c r="N1195" s="10"/>
      <c r="O1195" s="10"/>
      <c r="P1195" s="10"/>
      <c r="Q1195" s="10"/>
      <c r="R1195" s="9"/>
      <c r="S1195" s="9"/>
      <c r="T1195" s="12"/>
      <c r="U1195" s="12"/>
      <c r="V1195" s="12"/>
      <c r="W1195" s="10"/>
      <c r="X1195" s="10"/>
      <c r="Y1195" s="9"/>
      <c r="Z1195" s="9"/>
      <c r="AA1195" s="9"/>
      <c r="AB1195" s="9"/>
    </row>
    <row r="1196" ht="30.0" customHeight="1">
      <c r="A1196" s="17" t="s">
        <v>1</v>
      </c>
      <c r="B1196" s="8"/>
      <c r="C1196" s="9"/>
      <c r="D1196" s="9"/>
      <c r="E1196" s="9"/>
      <c r="F1196" s="9"/>
      <c r="G1196" s="9"/>
      <c r="H1196" s="9"/>
      <c r="I1196" s="9"/>
      <c r="J1196" s="9"/>
      <c r="K1196" s="9"/>
      <c r="L1196" s="9"/>
      <c r="M1196" s="10"/>
      <c r="N1196" s="10"/>
      <c r="O1196" s="10"/>
      <c r="P1196" s="10"/>
      <c r="Q1196" s="10"/>
      <c r="R1196" s="9"/>
      <c r="S1196" s="9"/>
      <c r="T1196" s="12"/>
      <c r="U1196" s="12"/>
      <c r="V1196" s="12"/>
      <c r="W1196" s="10"/>
      <c r="X1196" s="10"/>
      <c r="Y1196" s="9"/>
      <c r="Z1196" s="9"/>
      <c r="AA1196" s="9"/>
      <c r="AB1196" s="9"/>
    </row>
    <row r="1197" ht="30.0" customHeight="1">
      <c r="A1197" s="17" t="s">
        <v>1</v>
      </c>
      <c r="B1197" s="8"/>
      <c r="C1197" s="9"/>
      <c r="D1197" s="9"/>
      <c r="E1197" s="9"/>
      <c r="F1197" s="9"/>
      <c r="G1197" s="9"/>
      <c r="H1197" s="9"/>
      <c r="I1197" s="9"/>
      <c r="J1197" s="9"/>
      <c r="K1197" s="9"/>
      <c r="L1197" s="9"/>
      <c r="M1197" s="10"/>
      <c r="N1197" s="10"/>
      <c r="O1197" s="10"/>
      <c r="P1197" s="10"/>
      <c r="Q1197" s="10"/>
      <c r="R1197" s="9"/>
      <c r="S1197" s="9"/>
      <c r="T1197" s="12"/>
      <c r="U1197" s="12"/>
      <c r="V1197" s="12"/>
      <c r="W1197" s="10"/>
      <c r="X1197" s="10"/>
      <c r="Y1197" s="9"/>
      <c r="Z1197" s="9"/>
      <c r="AA1197" s="9"/>
      <c r="AB1197" s="9"/>
    </row>
    <row r="1198" ht="30.0" customHeight="1">
      <c r="A1198" s="17" t="s">
        <v>1</v>
      </c>
      <c r="B1198" s="8"/>
      <c r="C1198" s="9"/>
      <c r="D1198" s="9"/>
      <c r="E1198" s="9"/>
      <c r="F1198" s="9"/>
      <c r="G1198" s="9"/>
      <c r="H1198" s="9"/>
      <c r="I1198" s="9"/>
      <c r="J1198" s="9"/>
      <c r="K1198" s="9"/>
      <c r="L1198" s="9"/>
      <c r="M1198" s="10"/>
      <c r="N1198" s="10"/>
      <c r="O1198" s="10"/>
      <c r="P1198" s="10"/>
      <c r="Q1198" s="10"/>
      <c r="R1198" s="9"/>
      <c r="S1198" s="9"/>
      <c r="T1198" s="12"/>
      <c r="U1198" s="12"/>
      <c r="V1198" s="12"/>
      <c r="W1198" s="10"/>
      <c r="X1198" s="10"/>
      <c r="Y1198" s="9"/>
      <c r="Z1198" s="9"/>
      <c r="AA1198" s="9"/>
      <c r="AB1198" s="9"/>
    </row>
    <row r="1199" ht="30.0" customHeight="1">
      <c r="A1199" s="17" t="s">
        <v>1</v>
      </c>
      <c r="B1199" s="8"/>
      <c r="C1199" s="9"/>
      <c r="D1199" s="9"/>
      <c r="E1199" s="9"/>
      <c r="F1199" s="9"/>
      <c r="G1199" s="9"/>
      <c r="H1199" s="9"/>
      <c r="I1199" s="9"/>
      <c r="J1199" s="9"/>
      <c r="K1199" s="9"/>
      <c r="L1199" s="9"/>
      <c r="M1199" s="10"/>
      <c r="N1199" s="10"/>
      <c r="O1199" s="10"/>
      <c r="P1199" s="10"/>
      <c r="Q1199" s="10"/>
      <c r="R1199" s="9"/>
      <c r="S1199" s="9"/>
      <c r="T1199" s="12"/>
      <c r="U1199" s="12"/>
      <c r="V1199" s="12"/>
      <c r="W1199" s="10"/>
      <c r="X1199" s="10"/>
      <c r="Y1199" s="9"/>
      <c r="Z1199" s="9"/>
      <c r="AA1199" s="9"/>
      <c r="AB1199" s="9"/>
    </row>
    <row r="1200" ht="30.0" customHeight="1">
      <c r="A1200" s="17" t="s">
        <v>1</v>
      </c>
      <c r="B1200" s="8"/>
      <c r="C1200" s="9"/>
      <c r="D1200" s="9"/>
      <c r="E1200" s="9"/>
      <c r="F1200" s="9"/>
      <c r="G1200" s="9"/>
      <c r="H1200" s="9"/>
      <c r="I1200" s="9"/>
      <c r="J1200" s="9"/>
      <c r="K1200" s="9"/>
      <c r="L1200" s="9"/>
      <c r="M1200" s="10"/>
      <c r="N1200" s="10"/>
      <c r="O1200" s="10"/>
      <c r="P1200" s="10"/>
      <c r="Q1200" s="10"/>
      <c r="R1200" s="9"/>
      <c r="S1200" s="9"/>
      <c r="T1200" s="12"/>
      <c r="U1200" s="12"/>
      <c r="V1200" s="12"/>
      <c r="W1200" s="10"/>
      <c r="X1200" s="10"/>
      <c r="Y1200" s="9"/>
      <c r="Z1200" s="9"/>
      <c r="AA1200" s="9"/>
      <c r="AB1200" s="9"/>
    </row>
    <row r="1201" ht="30.0" customHeight="1">
      <c r="A1201" s="17" t="s">
        <v>1</v>
      </c>
      <c r="B1201" s="8"/>
      <c r="C1201" s="9"/>
      <c r="D1201" s="9"/>
      <c r="E1201" s="9"/>
      <c r="F1201" s="9"/>
      <c r="G1201" s="9"/>
      <c r="H1201" s="9"/>
      <c r="I1201" s="9"/>
      <c r="J1201" s="9"/>
      <c r="K1201" s="9"/>
      <c r="L1201" s="9"/>
      <c r="M1201" s="10"/>
      <c r="N1201" s="10"/>
      <c r="O1201" s="10"/>
      <c r="P1201" s="10"/>
      <c r="Q1201" s="10"/>
      <c r="R1201" s="9"/>
      <c r="S1201" s="9"/>
      <c r="T1201" s="12"/>
      <c r="U1201" s="12"/>
      <c r="V1201" s="12"/>
      <c r="W1201" s="10"/>
      <c r="X1201" s="10"/>
      <c r="Y1201" s="9"/>
      <c r="Z1201" s="9"/>
      <c r="AA1201" s="9"/>
      <c r="AB1201" s="9"/>
    </row>
    <row r="1202" ht="30.0" customHeight="1">
      <c r="A1202" s="17" t="s">
        <v>1</v>
      </c>
      <c r="B1202" s="8"/>
      <c r="C1202" s="9"/>
      <c r="D1202" s="9"/>
      <c r="E1202" s="9"/>
      <c r="F1202" s="9"/>
      <c r="G1202" s="9"/>
      <c r="H1202" s="9"/>
      <c r="I1202" s="9"/>
      <c r="J1202" s="9"/>
      <c r="K1202" s="9"/>
      <c r="L1202" s="9"/>
      <c r="M1202" s="10"/>
      <c r="N1202" s="10"/>
      <c r="O1202" s="10"/>
      <c r="P1202" s="10"/>
      <c r="Q1202" s="10"/>
      <c r="R1202" s="9"/>
      <c r="S1202" s="9"/>
      <c r="T1202" s="12"/>
      <c r="U1202" s="12"/>
      <c r="V1202" s="12"/>
      <c r="W1202" s="10"/>
      <c r="X1202" s="10"/>
      <c r="Y1202" s="9"/>
      <c r="Z1202" s="9"/>
      <c r="AA1202" s="9"/>
      <c r="AB1202" s="9"/>
    </row>
    <row r="1203" ht="30.0" customHeight="1">
      <c r="A1203" s="17" t="s">
        <v>1</v>
      </c>
      <c r="B1203" s="8"/>
      <c r="C1203" s="9"/>
      <c r="D1203" s="9"/>
      <c r="E1203" s="9"/>
      <c r="F1203" s="9"/>
      <c r="G1203" s="9"/>
      <c r="H1203" s="9"/>
      <c r="I1203" s="9"/>
      <c r="J1203" s="9"/>
      <c r="K1203" s="9"/>
      <c r="L1203" s="9"/>
      <c r="M1203" s="10"/>
      <c r="N1203" s="10"/>
      <c r="O1203" s="10"/>
      <c r="P1203" s="10"/>
      <c r="Q1203" s="10"/>
      <c r="R1203" s="9"/>
      <c r="S1203" s="9"/>
      <c r="T1203" s="12"/>
      <c r="U1203" s="12"/>
      <c r="V1203" s="12"/>
      <c r="W1203" s="10"/>
      <c r="X1203" s="10"/>
      <c r="Y1203" s="9"/>
      <c r="Z1203" s="9"/>
      <c r="AA1203" s="9"/>
      <c r="AB1203" s="9"/>
    </row>
    <row r="1204" ht="30.0" customHeight="1">
      <c r="A1204" s="17" t="s">
        <v>1</v>
      </c>
      <c r="B1204" s="8"/>
      <c r="C1204" s="9"/>
      <c r="D1204" s="9"/>
      <c r="E1204" s="9"/>
      <c r="F1204" s="9"/>
      <c r="G1204" s="9"/>
      <c r="H1204" s="9"/>
      <c r="I1204" s="9"/>
      <c r="J1204" s="9"/>
      <c r="K1204" s="9"/>
      <c r="L1204" s="9"/>
      <c r="M1204" s="10"/>
      <c r="N1204" s="10"/>
      <c r="O1204" s="10"/>
      <c r="P1204" s="10"/>
      <c r="Q1204" s="10"/>
      <c r="R1204" s="9"/>
      <c r="S1204" s="9"/>
      <c r="T1204" s="12"/>
      <c r="U1204" s="12"/>
      <c r="V1204" s="12"/>
      <c r="W1204" s="10"/>
      <c r="X1204" s="10"/>
      <c r="Y1204" s="9"/>
      <c r="Z1204" s="9"/>
      <c r="AA1204" s="9"/>
      <c r="AB1204" s="9"/>
    </row>
    <row r="1205" ht="30.0" customHeight="1">
      <c r="A1205" s="17" t="s">
        <v>1</v>
      </c>
      <c r="B1205" s="8"/>
      <c r="C1205" s="9"/>
      <c r="D1205" s="9"/>
      <c r="E1205" s="9"/>
      <c r="F1205" s="9"/>
      <c r="G1205" s="9"/>
      <c r="H1205" s="9"/>
      <c r="I1205" s="9"/>
      <c r="J1205" s="9"/>
      <c r="K1205" s="9"/>
      <c r="L1205" s="9"/>
      <c r="M1205" s="10"/>
      <c r="N1205" s="10"/>
      <c r="O1205" s="10"/>
      <c r="P1205" s="10"/>
      <c r="Q1205" s="10"/>
      <c r="R1205" s="9"/>
      <c r="S1205" s="9"/>
      <c r="T1205" s="12"/>
      <c r="U1205" s="12"/>
      <c r="V1205" s="12"/>
      <c r="W1205" s="10"/>
      <c r="X1205" s="10"/>
      <c r="Y1205" s="9"/>
      <c r="Z1205" s="9"/>
      <c r="AA1205" s="9"/>
      <c r="AB1205" s="9"/>
    </row>
    <row r="1206" ht="30.0" customHeight="1">
      <c r="A1206" s="17" t="s">
        <v>1</v>
      </c>
      <c r="B1206" s="8"/>
      <c r="C1206" s="9"/>
      <c r="D1206" s="9"/>
      <c r="E1206" s="9"/>
      <c r="F1206" s="9"/>
      <c r="G1206" s="9"/>
      <c r="H1206" s="9"/>
      <c r="I1206" s="9"/>
      <c r="J1206" s="9"/>
      <c r="K1206" s="9"/>
      <c r="L1206" s="9"/>
      <c r="M1206" s="10"/>
      <c r="N1206" s="10"/>
      <c r="O1206" s="10"/>
      <c r="P1206" s="10"/>
      <c r="Q1206" s="10"/>
      <c r="R1206" s="9"/>
      <c r="S1206" s="9"/>
      <c r="T1206" s="12"/>
      <c r="U1206" s="12"/>
      <c r="V1206" s="12"/>
      <c r="W1206" s="10"/>
      <c r="X1206" s="10"/>
      <c r="Y1206" s="9"/>
      <c r="Z1206" s="9"/>
      <c r="AA1206" s="9"/>
      <c r="AB1206" s="9"/>
    </row>
    <row r="1207" ht="30.0" customHeight="1">
      <c r="A1207" s="17" t="s">
        <v>1</v>
      </c>
      <c r="B1207" s="8"/>
      <c r="C1207" s="9"/>
      <c r="D1207" s="9"/>
      <c r="E1207" s="9"/>
      <c r="F1207" s="9"/>
      <c r="G1207" s="9"/>
      <c r="H1207" s="9"/>
      <c r="I1207" s="9"/>
      <c r="J1207" s="9"/>
      <c r="K1207" s="9"/>
      <c r="L1207" s="9"/>
      <c r="M1207" s="10"/>
      <c r="N1207" s="10"/>
      <c r="O1207" s="10"/>
      <c r="P1207" s="10"/>
      <c r="Q1207" s="10"/>
      <c r="R1207" s="9"/>
      <c r="S1207" s="9"/>
      <c r="T1207" s="12"/>
      <c r="U1207" s="12"/>
      <c r="V1207" s="12"/>
      <c r="W1207" s="10"/>
      <c r="X1207" s="10"/>
      <c r="Y1207" s="9"/>
      <c r="Z1207" s="9"/>
      <c r="AA1207" s="9"/>
      <c r="AB1207" s="9"/>
    </row>
    <row r="1208" ht="30.0" customHeight="1">
      <c r="A1208" s="17" t="s">
        <v>1</v>
      </c>
      <c r="B1208" s="8"/>
      <c r="C1208" s="9"/>
      <c r="D1208" s="9"/>
      <c r="E1208" s="9"/>
      <c r="F1208" s="9"/>
      <c r="G1208" s="9"/>
      <c r="H1208" s="9"/>
      <c r="I1208" s="9"/>
      <c r="J1208" s="9"/>
      <c r="K1208" s="9"/>
      <c r="L1208" s="9"/>
      <c r="M1208" s="10"/>
      <c r="N1208" s="10"/>
      <c r="O1208" s="10"/>
      <c r="P1208" s="10"/>
      <c r="Q1208" s="10"/>
      <c r="R1208" s="9"/>
      <c r="S1208" s="9"/>
      <c r="T1208" s="12"/>
      <c r="U1208" s="12"/>
      <c r="V1208" s="12"/>
      <c r="W1208" s="10"/>
      <c r="X1208" s="10"/>
      <c r="Y1208" s="9"/>
      <c r="Z1208" s="9"/>
      <c r="AA1208" s="9"/>
      <c r="AB1208" s="9"/>
    </row>
    <row r="1209" ht="30.0" customHeight="1">
      <c r="A1209" s="17" t="s">
        <v>1</v>
      </c>
      <c r="B1209" s="8"/>
      <c r="C1209" s="9"/>
      <c r="D1209" s="9"/>
      <c r="E1209" s="9"/>
      <c r="F1209" s="9"/>
      <c r="G1209" s="9"/>
      <c r="H1209" s="9"/>
      <c r="I1209" s="9"/>
      <c r="J1209" s="9"/>
      <c r="K1209" s="9"/>
      <c r="L1209" s="9"/>
      <c r="M1209" s="10"/>
      <c r="N1209" s="10"/>
      <c r="O1209" s="10"/>
      <c r="P1209" s="10"/>
      <c r="Q1209" s="10"/>
      <c r="R1209" s="9"/>
      <c r="S1209" s="9"/>
      <c r="T1209" s="12"/>
      <c r="U1209" s="12"/>
      <c r="V1209" s="12"/>
      <c r="W1209" s="10"/>
      <c r="X1209" s="10"/>
      <c r="Y1209" s="9"/>
      <c r="Z1209" s="9"/>
      <c r="AA1209" s="9"/>
      <c r="AB1209" s="9"/>
    </row>
    <row r="1210" ht="30.0" customHeight="1">
      <c r="A1210" s="17" t="s">
        <v>1</v>
      </c>
      <c r="B1210" s="8"/>
      <c r="C1210" s="9"/>
      <c r="D1210" s="9"/>
      <c r="E1210" s="9"/>
      <c r="F1210" s="9"/>
      <c r="G1210" s="9"/>
      <c r="H1210" s="9"/>
      <c r="I1210" s="9"/>
      <c r="J1210" s="9"/>
      <c r="K1210" s="9"/>
      <c r="L1210" s="9"/>
      <c r="M1210" s="10"/>
      <c r="N1210" s="10"/>
      <c r="O1210" s="10"/>
      <c r="P1210" s="10"/>
      <c r="Q1210" s="10"/>
      <c r="R1210" s="9"/>
      <c r="S1210" s="9"/>
      <c r="T1210" s="12"/>
      <c r="U1210" s="12"/>
      <c r="V1210" s="12"/>
      <c r="W1210" s="10"/>
      <c r="X1210" s="10"/>
      <c r="Y1210" s="9"/>
      <c r="Z1210" s="9"/>
      <c r="AA1210" s="9"/>
      <c r="AB1210" s="9"/>
    </row>
    <row r="1211" ht="30.0" customHeight="1">
      <c r="A1211" s="17" t="s">
        <v>1</v>
      </c>
      <c r="B1211" s="8"/>
      <c r="C1211" s="9"/>
      <c r="D1211" s="9"/>
      <c r="E1211" s="9"/>
      <c r="F1211" s="9"/>
      <c r="G1211" s="9"/>
      <c r="H1211" s="9"/>
      <c r="I1211" s="9"/>
      <c r="J1211" s="9"/>
      <c r="K1211" s="9"/>
      <c r="L1211" s="9"/>
      <c r="M1211" s="10"/>
      <c r="N1211" s="10"/>
      <c r="O1211" s="10"/>
      <c r="P1211" s="10"/>
      <c r="Q1211" s="10"/>
      <c r="R1211" s="9"/>
      <c r="S1211" s="9"/>
      <c r="T1211" s="12"/>
      <c r="U1211" s="12"/>
      <c r="V1211" s="12"/>
      <c r="W1211" s="10"/>
      <c r="X1211" s="10"/>
      <c r="Y1211" s="9"/>
      <c r="Z1211" s="9"/>
      <c r="AA1211" s="9"/>
      <c r="AB1211" s="9"/>
    </row>
    <row r="1212" ht="30.0" customHeight="1">
      <c r="A1212" s="17" t="s">
        <v>1</v>
      </c>
      <c r="B1212" s="8"/>
      <c r="C1212" s="9"/>
      <c r="D1212" s="9"/>
      <c r="E1212" s="9"/>
      <c r="F1212" s="9"/>
      <c r="G1212" s="9"/>
      <c r="H1212" s="9"/>
      <c r="I1212" s="9"/>
      <c r="J1212" s="9"/>
      <c r="K1212" s="9"/>
      <c r="L1212" s="9"/>
      <c r="M1212" s="10"/>
      <c r="N1212" s="10"/>
      <c r="O1212" s="10"/>
      <c r="P1212" s="10"/>
      <c r="Q1212" s="10"/>
      <c r="R1212" s="9"/>
      <c r="S1212" s="9"/>
      <c r="T1212" s="12"/>
      <c r="U1212" s="12"/>
      <c r="V1212" s="12"/>
      <c r="W1212" s="10"/>
      <c r="X1212" s="10"/>
      <c r="Y1212" s="9"/>
      <c r="Z1212" s="9"/>
      <c r="AA1212" s="9"/>
      <c r="AB1212" s="9"/>
    </row>
    <row r="1213" ht="30.0" customHeight="1">
      <c r="A1213" s="17" t="s">
        <v>1</v>
      </c>
      <c r="B1213" s="8"/>
      <c r="C1213" s="9"/>
      <c r="D1213" s="9"/>
      <c r="E1213" s="9"/>
      <c r="F1213" s="9"/>
      <c r="G1213" s="9"/>
      <c r="H1213" s="9"/>
      <c r="I1213" s="9"/>
      <c r="J1213" s="9"/>
      <c r="K1213" s="9"/>
      <c r="L1213" s="9"/>
      <c r="M1213" s="10"/>
      <c r="N1213" s="10"/>
      <c r="O1213" s="10"/>
      <c r="P1213" s="10"/>
      <c r="Q1213" s="10"/>
      <c r="R1213" s="9"/>
      <c r="S1213" s="9"/>
      <c r="T1213" s="12"/>
      <c r="U1213" s="12"/>
      <c r="V1213" s="12"/>
      <c r="W1213" s="10"/>
      <c r="X1213" s="10"/>
      <c r="Y1213" s="9"/>
      <c r="Z1213" s="9"/>
      <c r="AA1213" s="9"/>
      <c r="AB1213" s="9"/>
    </row>
    <row r="1214" ht="30.0" customHeight="1">
      <c r="A1214" s="17" t="s">
        <v>1</v>
      </c>
      <c r="B1214" s="8"/>
      <c r="C1214" s="9"/>
      <c r="D1214" s="9"/>
      <c r="E1214" s="9"/>
      <c r="F1214" s="9"/>
      <c r="G1214" s="9"/>
      <c r="H1214" s="9"/>
      <c r="I1214" s="9"/>
      <c r="J1214" s="9"/>
      <c r="K1214" s="9"/>
      <c r="L1214" s="9"/>
      <c r="M1214" s="10"/>
      <c r="N1214" s="10"/>
      <c r="O1214" s="10"/>
      <c r="P1214" s="10"/>
      <c r="Q1214" s="10"/>
      <c r="R1214" s="9"/>
      <c r="S1214" s="9"/>
      <c r="T1214" s="12"/>
      <c r="U1214" s="12"/>
      <c r="V1214" s="12"/>
      <c r="W1214" s="10"/>
      <c r="X1214" s="10"/>
      <c r="Y1214" s="9"/>
      <c r="Z1214" s="9"/>
      <c r="AA1214" s="9"/>
      <c r="AB1214" s="9"/>
    </row>
    <row r="1215" ht="30.0" customHeight="1">
      <c r="A1215" s="17" t="s">
        <v>1</v>
      </c>
      <c r="B1215" s="8"/>
      <c r="C1215" s="9"/>
      <c r="D1215" s="9"/>
      <c r="E1215" s="9"/>
      <c r="F1215" s="9"/>
      <c r="G1215" s="9"/>
      <c r="H1215" s="9"/>
      <c r="I1215" s="9"/>
      <c r="J1215" s="9"/>
      <c r="K1215" s="9"/>
      <c r="L1215" s="9"/>
      <c r="M1215" s="10"/>
      <c r="N1215" s="10"/>
      <c r="O1215" s="10"/>
      <c r="P1215" s="10"/>
      <c r="Q1215" s="10"/>
      <c r="R1215" s="9"/>
      <c r="S1215" s="9"/>
      <c r="T1215" s="12"/>
      <c r="U1215" s="12"/>
      <c r="V1215" s="12"/>
      <c r="W1215" s="10"/>
      <c r="X1215" s="10"/>
      <c r="Y1215" s="9"/>
      <c r="Z1215" s="9"/>
      <c r="AA1215" s="9"/>
      <c r="AB1215" s="9"/>
    </row>
    <row r="1216" ht="30.0" customHeight="1">
      <c r="A1216" s="17" t="s">
        <v>1</v>
      </c>
      <c r="B1216" s="8"/>
      <c r="C1216" s="9"/>
      <c r="D1216" s="9"/>
      <c r="E1216" s="9"/>
      <c r="F1216" s="9"/>
      <c r="G1216" s="9"/>
      <c r="H1216" s="9"/>
      <c r="I1216" s="9"/>
      <c r="J1216" s="9"/>
      <c r="K1216" s="9"/>
      <c r="L1216" s="9"/>
      <c r="M1216" s="10"/>
      <c r="N1216" s="10"/>
      <c r="O1216" s="10"/>
      <c r="P1216" s="10"/>
      <c r="Q1216" s="10"/>
      <c r="R1216" s="9"/>
      <c r="S1216" s="9"/>
      <c r="T1216" s="12"/>
      <c r="U1216" s="12"/>
      <c r="V1216" s="12"/>
      <c r="W1216" s="10"/>
      <c r="X1216" s="10"/>
      <c r="Y1216" s="9"/>
      <c r="Z1216" s="9"/>
      <c r="AA1216" s="9"/>
      <c r="AB1216" s="9"/>
    </row>
    <row r="1217" ht="30.0" customHeight="1">
      <c r="A1217" s="17" t="s">
        <v>1</v>
      </c>
      <c r="B1217" s="8"/>
      <c r="C1217" s="9"/>
      <c r="D1217" s="9"/>
      <c r="E1217" s="9"/>
      <c r="F1217" s="9"/>
      <c r="G1217" s="9"/>
      <c r="H1217" s="9"/>
      <c r="I1217" s="9"/>
      <c r="J1217" s="9"/>
      <c r="K1217" s="9"/>
      <c r="L1217" s="9"/>
      <c r="M1217" s="10"/>
      <c r="N1217" s="10"/>
      <c r="O1217" s="10"/>
      <c r="P1217" s="10"/>
      <c r="Q1217" s="10"/>
      <c r="R1217" s="9"/>
      <c r="S1217" s="9"/>
      <c r="T1217" s="12"/>
      <c r="U1217" s="12"/>
      <c r="V1217" s="12"/>
      <c r="W1217" s="10"/>
      <c r="X1217" s="10"/>
      <c r="Y1217" s="9"/>
      <c r="Z1217" s="9"/>
      <c r="AA1217" s="9"/>
      <c r="AB1217" s="9"/>
    </row>
    <row r="1218" ht="30.0" customHeight="1">
      <c r="A1218" s="17" t="s">
        <v>1</v>
      </c>
      <c r="B1218" s="8"/>
      <c r="C1218" s="9"/>
      <c r="D1218" s="9"/>
      <c r="E1218" s="9"/>
      <c r="F1218" s="9"/>
      <c r="G1218" s="9"/>
      <c r="H1218" s="9"/>
      <c r="I1218" s="9"/>
      <c r="J1218" s="9"/>
      <c r="K1218" s="9"/>
      <c r="L1218" s="9"/>
      <c r="M1218" s="10"/>
      <c r="N1218" s="10"/>
      <c r="O1218" s="10"/>
      <c r="P1218" s="10"/>
      <c r="Q1218" s="10"/>
      <c r="R1218" s="9"/>
      <c r="S1218" s="9"/>
      <c r="T1218" s="12"/>
      <c r="U1218" s="12"/>
      <c r="V1218" s="12"/>
      <c r="W1218" s="10"/>
      <c r="X1218" s="10"/>
      <c r="Y1218" s="9"/>
      <c r="Z1218" s="9"/>
      <c r="AA1218" s="9"/>
      <c r="AB1218" s="9"/>
    </row>
    <row r="1219" ht="30.0" customHeight="1">
      <c r="A1219" s="17" t="s">
        <v>1</v>
      </c>
      <c r="B1219" s="8"/>
      <c r="C1219" s="9"/>
      <c r="D1219" s="9"/>
      <c r="E1219" s="9"/>
      <c r="F1219" s="9"/>
      <c r="G1219" s="9"/>
      <c r="H1219" s="9"/>
      <c r="I1219" s="9"/>
      <c r="J1219" s="9"/>
      <c r="K1219" s="9"/>
      <c r="L1219" s="9"/>
      <c r="M1219" s="10"/>
      <c r="N1219" s="10"/>
      <c r="O1219" s="10"/>
      <c r="P1219" s="10"/>
      <c r="Q1219" s="10"/>
      <c r="R1219" s="9"/>
      <c r="S1219" s="9"/>
      <c r="T1219" s="12"/>
      <c r="U1219" s="12"/>
      <c r="V1219" s="12"/>
      <c r="W1219" s="10"/>
      <c r="X1219" s="10"/>
      <c r="Y1219" s="9"/>
      <c r="Z1219" s="9"/>
      <c r="AA1219" s="9"/>
      <c r="AB1219" s="9"/>
    </row>
    <row r="1220" ht="30.0" customHeight="1">
      <c r="A1220" s="17" t="s">
        <v>1</v>
      </c>
      <c r="B1220" s="8"/>
      <c r="C1220" s="9"/>
      <c r="D1220" s="9"/>
      <c r="E1220" s="9"/>
      <c r="F1220" s="9"/>
      <c r="G1220" s="9"/>
      <c r="H1220" s="9"/>
      <c r="I1220" s="9"/>
      <c r="J1220" s="9"/>
      <c r="K1220" s="9"/>
      <c r="L1220" s="9"/>
      <c r="M1220" s="10"/>
      <c r="N1220" s="10"/>
      <c r="O1220" s="10"/>
      <c r="P1220" s="10"/>
      <c r="Q1220" s="10"/>
      <c r="R1220" s="9"/>
      <c r="S1220" s="9"/>
      <c r="T1220" s="12"/>
      <c r="U1220" s="12"/>
      <c r="V1220" s="12"/>
      <c r="W1220" s="10"/>
      <c r="X1220" s="10"/>
      <c r="Y1220" s="9"/>
      <c r="Z1220" s="9"/>
      <c r="AA1220" s="9"/>
      <c r="AB1220" s="9"/>
    </row>
    <row r="1221" ht="30.0" customHeight="1">
      <c r="A1221" s="17" t="s">
        <v>1</v>
      </c>
      <c r="B1221" s="8"/>
      <c r="C1221" s="9"/>
      <c r="D1221" s="9"/>
      <c r="E1221" s="9"/>
      <c r="F1221" s="9"/>
      <c r="G1221" s="9"/>
      <c r="H1221" s="9"/>
      <c r="I1221" s="9"/>
      <c r="J1221" s="9"/>
      <c r="K1221" s="9"/>
      <c r="L1221" s="9"/>
      <c r="M1221" s="10"/>
      <c r="N1221" s="10"/>
      <c r="O1221" s="10"/>
      <c r="P1221" s="10"/>
      <c r="Q1221" s="10"/>
      <c r="R1221" s="9"/>
      <c r="S1221" s="9"/>
      <c r="T1221" s="12"/>
      <c r="U1221" s="12"/>
      <c r="V1221" s="12"/>
      <c r="W1221" s="10"/>
      <c r="X1221" s="10"/>
      <c r="Y1221" s="9"/>
      <c r="Z1221" s="9"/>
      <c r="AA1221" s="9"/>
      <c r="AB1221" s="9"/>
    </row>
    <row r="1222" ht="30.0" customHeight="1">
      <c r="A1222" s="17" t="s">
        <v>1</v>
      </c>
      <c r="B1222" s="8"/>
      <c r="C1222" s="9"/>
      <c r="D1222" s="9"/>
      <c r="E1222" s="9"/>
      <c r="F1222" s="9"/>
      <c r="G1222" s="9"/>
      <c r="H1222" s="9"/>
      <c r="I1222" s="9"/>
      <c r="J1222" s="9"/>
      <c r="K1222" s="9"/>
      <c r="L1222" s="9"/>
      <c r="M1222" s="10"/>
      <c r="N1222" s="10"/>
      <c r="O1222" s="10"/>
      <c r="P1222" s="10"/>
      <c r="Q1222" s="10"/>
      <c r="R1222" s="9"/>
      <c r="S1222" s="9"/>
      <c r="T1222" s="12"/>
      <c r="U1222" s="12"/>
      <c r="V1222" s="12"/>
      <c r="W1222" s="10"/>
      <c r="X1222" s="10"/>
      <c r="Y1222" s="9"/>
      <c r="Z1222" s="9"/>
      <c r="AA1222" s="9"/>
      <c r="AB1222" s="9"/>
    </row>
    <row r="1223" ht="30.0" customHeight="1">
      <c r="A1223" s="17" t="s">
        <v>1</v>
      </c>
      <c r="B1223" s="8"/>
      <c r="C1223" s="9"/>
      <c r="D1223" s="9"/>
      <c r="E1223" s="9"/>
      <c r="F1223" s="9"/>
      <c r="G1223" s="9"/>
      <c r="H1223" s="9"/>
      <c r="I1223" s="9"/>
      <c r="J1223" s="9"/>
      <c r="K1223" s="9"/>
      <c r="L1223" s="9"/>
      <c r="M1223" s="10"/>
      <c r="N1223" s="10"/>
      <c r="O1223" s="10"/>
      <c r="P1223" s="10"/>
      <c r="Q1223" s="10"/>
      <c r="R1223" s="9"/>
      <c r="S1223" s="9"/>
      <c r="T1223" s="12"/>
      <c r="U1223" s="12"/>
      <c r="V1223" s="12"/>
      <c r="W1223" s="10"/>
      <c r="X1223" s="10"/>
      <c r="Y1223" s="9"/>
      <c r="Z1223" s="9"/>
      <c r="AA1223" s="9"/>
      <c r="AB1223" s="9"/>
    </row>
    <row r="1224" ht="30.0" customHeight="1">
      <c r="A1224" s="17" t="s">
        <v>1</v>
      </c>
      <c r="B1224" s="8"/>
      <c r="C1224" s="9"/>
      <c r="D1224" s="9"/>
      <c r="E1224" s="9"/>
      <c r="F1224" s="9"/>
      <c r="G1224" s="9"/>
      <c r="H1224" s="9"/>
      <c r="I1224" s="9"/>
      <c r="J1224" s="9"/>
      <c r="K1224" s="9"/>
      <c r="L1224" s="9"/>
      <c r="M1224" s="10"/>
      <c r="N1224" s="10"/>
      <c r="O1224" s="10"/>
      <c r="P1224" s="10"/>
      <c r="Q1224" s="10"/>
      <c r="R1224" s="9"/>
      <c r="S1224" s="9"/>
      <c r="T1224" s="12"/>
      <c r="U1224" s="12"/>
      <c r="V1224" s="12"/>
      <c r="W1224" s="10"/>
      <c r="X1224" s="10"/>
      <c r="Y1224" s="9"/>
      <c r="Z1224" s="9"/>
      <c r="AA1224" s="9"/>
      <c r="AB1224" s="9"/>
    </row>
    <row r="1225" ht="30.0" customHeight="1">
      <c r="A1225" s="17" t="s">
        <v>1</v>
      </c>
      <c r="B1225" s="8"/>
      <c r="C1225" s="9"/>
      <c r="D1225" s="9"/>
      <c r="E1225" s="9"/>
      <c r="F1225" s="9"/>
      <c r="G1225" s="9"/>
      <c r="H1225" s="9"/>
      <c r="I1225" s="9"/>
      <c r="J1225" s="9"/>
      <c r="K1225" s="9"/>
      <c r="L1225" s="9"/>
      <c r="M1225" s="10"/>
      <c r="N1225" s="10"/>
      <c r="O1225" s="10"/>
      <c r="P1225" s="10"/>
      <c r="Q1225" s="10"/>
      <c r="R1225" s="9"/>
      <c r="S1225" s="9"/>
      <c r="T1225" s="12"/>
      <c r="U1225" s="12"/>
      <c r="V1225" s="12"/>
      <c r="W1225" s="10"/>
      <c r="X1225" s="10"/>
      <c r="Y1225" s="9"/>
      <c r="Z1225" s="9"/>
      <c r="AA1225" s="9"/>
      <c r="AB1225" s="9"/>
    </row>
    <row r="1226" ht="30.0" customHeight="1">
      <c r="A1226" s="17" t="s">
        <v>1</v>
      </c>
      <c r="B1226" s="8"/>
      <c r="C1226" s="9"/>
      <c r="D1226" s="9"/>
      <c r="E1226" s="9"/>
      <c r="F1226" s="9"/>
      <c r="G1226" s="9"/>
      <c r="H1226" s="9"/>
      <c r="I1226" s="9"/>
      <c r="J1226" s="9"/>
      <c r="K1226" s="9"/>
      <c r="L1226" s="9"/>
      <c r="M1226" s="10"/>
      <c r="N1226" s="10"/>
      <c r="O1226" s="10"/>
      <c r="P1226" s="10"/>
      <c r="Q1226" s="10"/>
      <c r="R1226" s="9"/>
      <c r="S1226" s="9"/>
      <c r="T1226" s="12"/>
      <c r="U1226" s="12"/>
      <c r="V1226" s="12"/>
      <c r="W1226" s="10"/>
      <c r="X1226" s="10"/>
      <c r="Y1226" s="9"/>
      <c r="Z1226" s="9"/>
      <c r="AA1226" s="9"/>
      <c r="AB1226" s="9"/>
    </row>
    <row r="1227" ht="30.0" customHeight="1">
      <c r="A1227" s="17" t="s">
        <v>1</v>
      </c>
      <c r="B1227" s="8"/>
      <c r="C1227" s="9"/>
      <c r="D1227" s="9"/>
      <c r="E1227" s="9"/>
      <c r="F1227" s="9"/>
      <c r="G1227" s="9"/>
      <c r="H1227" s="9"/>
      <c r="I1227" s="9"/>
      <c r="J1227" s="9"/>
      <c r="K1227" s="9"/>
      <c r="L1227" s="9"/>
      <c r="M1227" s="10"/>
      <c r="N1227" s="10"/>
      <c r="O1227" s="10"/>
      <c r="P1227" s="10"/>
      <c r="Q1227" s="10"/>
      <c r="R1227" s="9"/>
      <c r="S1227" s="9"/>
      <c r="T1227" s="12"/>
      <c r="U1227" s="12"/>
      <c r="V1227" s="12"/>
      <c r="W1227" s="10"/>
      <c r="X1227" s="10"/>
      <c r="Y1227" s="9"/>
      <c r="Z1227" s="9"/>
      <c r="AA1227" s="9"/>
      <c r="AB1227" s="9"/>
    </row>
    <row r="1228" ht="30.0" customHeight="1">
      <c r="A1228" s="17" t="s">
        <v>1</v>
      </c>
      <c r="B1228" s="8"/>
      <c r="C1228" s="9"/>
      <c r="D1228" s="9"/>
      <c r="E1228" s="9"/>
      <c r="F1228" s="9"/>
      <c r="G1228" s="9"/>
      <c r="H1228" s="9"/>
      <c r="I1228" s="9"/>
      <c r="J1228" s="9"/>
      <c r="K1228" s="9"/>
      <c r="L1228" s="9"/>
      <c r="M1228" s="10"/>
      <c r="N1228" s="10"/>
      <c r="O1228" s="10"/>
      <c r="P1228" s="10"/>
      <c r="Q1228" s="10"/>
      <c r="R1228" s="9"/>
      <c r="S1228" s="9"/>
      <c r="T1228" s="12"/>
      <c r="U1228" s="12"/>
      <c r="V1228" s="12"/>
      <c r="W1228" s="10"/>
      <c r="X1228" s="10"/>
      <c r="Y1228" s="9"/>
      <c r="Z1228" s="9"/>
      <c r="AA1228" s="9"/>
      <c r="AB1228" s="9"/>
    </row>
    <row r="1229" ht="30.0" customHeight="1">
      <c r="A1229" s="17" t="s">
        <v>1</v>
      </c>
      <c r="B1229" s="8"/>
      <c r="C1229" s="9"/>
      <c r="D1229" s="9"/>
      <c r="E1229" s="9"/>
      <c r="F1229" s="9"/>
      <c r="G1229" s="9"/>
      <c r="H1229" s="9"/>
      <c r="I1229" s="9"/>
      <c r="J1229" s="9"/>
      <c r="K1229" s="9"/>
      <c r="L1229" s="9"/>
      <c r="M1229" s="10"/>
      <c r="N1229" s="10"/>
      <c r="O1229" s="10"/>
      <c r="P1229" s="10"/>
      <c r="Q1229" s="10"/>
      <c r="R1229" s="9"/>
      <c r="S1229" s="9"/>
      <c r="T1229" s="12"/>
      <c r="U1229" s="12"/>
      <c r="V1229" s="12"/>
      <c r="W1229" s="10"/>
      <c r="X1229" s="10"/>
      <c r="Y1229" s="9"/>
      <c r="Z1229" s="9"/>
      <c r="AA1229" s="9"/>
      <c r="AB1229" s="9"/>
    </row>
    <row r="1230" ht="30.0" customHeight="1">
      <c r="A1230" s="17" t="s">
        <v>1</v>
      </c>
      <c r="B1230" s="8"/>
      <c r="C1230" s="9"/>
      <c r="D1230" s="9"/>
      <c r="E1230" s="9"/>
      <c r="F1230" s="9"/>
      <c r="G1230" s="9"/>
      <c r="H1230" s="9"/>
      <c r="I1230" s="9"/>
      <c r="J1230" s="9"/>
      <c r="K1230" s="9"/>
      <c r="L1230" s="9"/>
      <c r="M1230" s="10"/>
      <c r="N1230" s="10"/>
      <c r="O1230" s="10"/>
      <c r="P1230" s="10"/>
      <c r="Q1230" s="10"/>
      <c r="R1230" s="9"/>
      <c r="S1230" s="9"/>
      <c r="T1230" s="12"/>
      <c r="U1230" s="12"/>
      <c r="V1230" s="12"/>
      <c r="W1230" s="10"/>
      <c r="X1230" s="10"/>
      <c r="Y1230" s="9"/>
      <c r="Z1230" s="9"/>
      <c r="AA1230" s="9"/>
      <c r="AB1230" s="9"/>
    </row>
    <row r="1231" ht="30.0" customHeight="1">
      <c r="A1231" s="17" t="s">
        <v>1</v>
      </c>
      <c r="B1231" s="8"/>
      <c r="C1231" s="9"/>
      <c r="D1231" s="9"/>
      <c r="E1231" s="9"/>
      <c r="F1231" s="9"/>
      <c r="G1231" s="9"/>
      <c r="H1231" s="9"/>
      <c r="I1231" s="9"/>
      <c r="J1231" s="9"/>
      <c r="K1231" s="9"/>
      <c r="L1231" s="9"/>
      <c r="M1231" s="10"/>
      <c r="N1231" s="10"/>
      <c r="O1231" s="10"/>
      <c r="P1231" s="10"/>
      <c r="Q1231" s="10"/>
      <c r="R1231" s="9"/>
      <c r="S1231" s="9"/>
      <c r="T1231" s="12"/>
      <c r="U1231" s="12"/>
      <c r="V1231" s="12"/>
      <c r="W1231" s="10"/>
      <c r="X1231" s="10"/>
      <c r="Y1231" s="9"/>
      <c r="Z1231" s="9"/>
      <c r="AA1231" s="9"/>
      <c r="AB1231" s="9"/>
    </row>
    <row r="1232" ht="30.0" customHeight="1">
      <c r="A1232" s="17" t="s">
        <v>1</v>
      </c>
      <c r="B1232" s="8"/>
      <c r="C1232" s="9"/>
      <c r="D1232" s="9"/>
      <c r="E1232" s="9"/>
      <c r="F1232" s="9"/>
      <c r="G1232" s="9"/>
      <c r="H1232" s="9"/>
      <c r="I1232" s="9"/>
      <c r="J1232" s="9"/>
      <c r="K1232" s="9"/>
      <c r="L1232" s="9"/>
      <c r="M1232" s="10"/>
      <c r="N1232" s="10"/>
      <c r="O1232" s="10"/>
      <c r="P1232" s="10"/>
      <c r="Q1232" s="10"/>
      <c r="R1232" s="9"/>
      <c r="S1232" s="9"/>
      <c r="T1232" s="12"/>
      <c r="U1232" s="12"/>
      <c r="V1232" s="12"/>
      <c r="W1232" s="10"/>
      <c r="X1232" s="10"/>
      <c r="Y1232" s="9"/>
      <c r="Z1232" s="9"/>
      <c r="AA1232" s="9"/>
      <c r="AB1232" s="9"/>
    </row>
    <row r="1233" ht="30.0" customHeight="1">
      <c r="A1233" s="17" t="s">
        <v>1</v>
      </c>
      <c r="B1233" s="8"/>
      <c r="C1233" s="9"/>
      <c r="D1233" s="9"/>
      <c r="E1233" s="9"/>
      <c r="F1233" s="9"/>
      <c r="G1233" s="9"/>
      <c r="H1233" s="9"/>
      <c r="I1233" s="9"/>
      <c r="J1233" s="9"/>
      <c r="K1233" s="9"/>
      <c r="L1233" s="9"/>
      <c r="M1233" s="10"/>
      <c r="N1233" s="10"/>
      <c r="O1233" s="10"/>
      <c r="P1233" s="10"/>
      <c r="Q1233" s="10"/>
      <c r="R1233" s="9"/>
      <c r="S1233" s="9"/>
      <c r="T1233" s="12"/>
      <c r="U1233" s="12"/>
      <c r="V1233" s="12"/>
      <c r="W1233" s="10"/>
      <c r="X1233" s="10"/>
      <c r="Y1233" s="9"/>
      <c r="Z1233" s="9"/>
      <c r="AA1233" s="9"/>
      <c r="AB1233" s="9"/>
    </row>
    <row r="1234" ht="30.0" customHeight="1">
      <c r="A1234" s="17" t="s">
        <v>1</v>
      </c>
      <c r="B1234" s="8"/>
      <c r="C1234" s="9"/>
      <c r="D1234" s="9"/>
      <c r="E1234" s="9"/>
      <c r="F1234" s="9"/>
      <c r="G1234" s="9"/>
      <c r="H1234" s="9"/>
      <c r="I1234" s="9"/>
      <c r="J1234" s="9"/>
      <c r="K1234" s="9"/>
      <c r="L1234" s="9"/>
      <c r="M1234" s="10"/>
      <c r="N1234" s="10"/>
      <c r="O1234" s="10"/>
      <c r="P1234" s="10"/>
      <c r="Q1234" s="10"/>
      <c r="R1234" s="9"/>
      <c r="S1234" s="9"/>
      <c r="T1234" s="12"/>
      <c r="U1234" s="12"/>
      <c r="V1234" s="12"/>
      <c r="W1234" s="10"/>
      <c r="X1234" s="10"/>
      <c r="Y1234" s="9"/>
      <c r="Z1234" s="9"/>
      <c r="AA1234" s="9"/>
      <c r="AB1234" s="9"/>
    </row>
    <row r="1235" ht="30.0" customHeight="1">
      <c r="A1235" s="17" t="s">
        <v>1</v>
      </c>
      <c r="B1235" s="8"/>
      <c r="C1235" s="9"/>
      <c r="D1235" s="9"/>
      <c r="E1235" s="9"/>
      <c r="F1235" s="9"/>
      <c r="G1235" s="9"/>
      <c r="H1235" s="9"/>
      <c r="I1235" s="9"/>
      <c r="J1235" s="9"/>
      <c r="K1235" s="9"/>
      <c r="L1235" s="9"/>
      <c r="M1235" s="10"/>
      <c r="N1235" s="10"/>
      <c r="O1235" s="10"/>
      <c r="P1235" s="10"/>
      <c r="Q1235" s="10"/>
      <c r="R1235" s="9"/>
      <c r="S1235" s="9"/>
      <c r="T1235" s="12"/>
      <c r="U1235" s="12"/>
      <c r="V1235" s="12"/>
      <c r="W1235" s="10"/>
      <c r="X1235" s="10"/>
      <c r="Y1235" s="9"/>
      <c r="Z1235" s="9"/>
      <c r="AA1235" s="9"/>
      <c r="AB1235" s="9"/>
    </row>
    <row r="1236" ht="30.0" customHeight="1">
      <c r="A1236" s="17" t="s">
        <v>1</v>
      </c>
      <c r="B1236" s="8"/>
      <c r="C1236" s="9"/>
      <c r="D1236" s="9"/>
      <c r="E1236" s="9"/>
      <c r="F1236" s="9"/>
      <c r="G1236" s="9"/>
      <c r="H1236" s="9"/>
      <c r="I1236" s="9"/>
      <c r="J1236" s="9"/>
      <c r="K1236" s="9"/>
      <c r="L1236" s="9"/>
      <c r="M1236" s="10"/>
      <c r="N1236" s="10"/>
      <c r="O1236" s="10"/>
      <c r="P1236" s="10"/>
      <c r="Q1236" s="10"/>
      <c r="R1236" s="9"/>
      <c r="S1236" s="9"/>
      <c r="T1236" s="12"/>
      <c r="U1236" s="12"/>
      <c r="V1236" s="12"/>
      <c r="W1236" s="10"/>
      <c r="X1236" s="10"/>
      <c r="Y1236" s="9"/>
      <c r="Z1236" s="9"/>
      <c r="AA1236" s="9"/>
      <c r="AB1236" s="9"/>
    </row>
    <row r="1237" ht="30.0" customHeight="1">
      <c r="A1237" s="17" t="s">
        <v>1</v>
      </c>
      <c r="B1237" s="8"/>
      <c r="C1237" s="9"/>
      <c r="D1237" s="9"/>
      <c r="E1237" s="9"/>
      <c r="F1237" s="9"/>
      <c r="G1237" s="9"/>
      <c r="H1237" s="9"/>
      <c r="I1237" s="9"/>
      <c r="J1237" s="9"/>
      <c r="K1237" s="9"/>
      <c r="L1237" s="9"/>
      <c r="M1237" s="10"/>
      <c r="N1237" s="10"/>
      <c r="O1237" s="10"/>
      <c r="P1237" s="10"/>
      <c r="Q1237" s="10"/>
      <c r="R1237" s="9"/>
      <c r="S1237" s="9"/>
      <c r="T1237" s="12"/>
      <c r="U1237" s="12"/>
      <c r="V1237" s="12"/>
      <c r="W1237" s="10"/>
      <c r="X1237" s="10"/>
      <c r="Y1237" s="9"/>
      <c r="Z1237" s="9"/>
      <c r="AA1237" s="9"/>
      <c r="AB1237" s="9"/>
    </row>
    <row r="1238" ht="30.0" customHeight="1">
      <c r="A1238" s="17" t="s">
        <v>1</v>
      </c>
      <c r="B1238" s="8"/>
      <c r="C1238" s="9"/>
      <c r="D1238" s="9"/>
      <c r="E1238" s="9"/>
      <c r="F1238" s="9"/>
      <c r="G1238" s="9"/>
      <c r="H1238" s="9"/>
      <c r="I1238" s="9"/>
      <c r="J1238" s="9"/>
      <c r="K1238" s="9"/>
      <c r="L1238" s="9"/>
      <c r="M1238" s="10"/>
      <c r="N1238" s="10"/>
      <c r="O1238" s="10"/>
      <c r="P1238" s="10"/>
      <c r="Q1238" s="10"/>
      <c r="R1238" s="9"/>
      <c r="S1238" s="9"/>
      <c r="T1238" s="12"/>
      <c r="U1238" s="12"/>
      <c r="V1238" s="12"/>
      <c r="W1238" s="10"/>
      <c r="X1238" s="10"/>
      <c r="Y1238" s="9"/>
      <c r="Z1238" s="9"/>
      <c r="AA1238" s="9"/>
      <c r="AB1238" s="9"/>
    </row>
    <row r="1239" ht="30.0" customHeight="1">
      <c r="A1239" s="17" t="s">
        <v>1</v>
      </c>
      <c r="B1239" s="8"/>
      <c r="C1239" s="9"/>
      <c r="D1239" s="9"/>
      <c r="E1239" s="9"/>
      <c r="F1239" s="9"/>
      <c r="G1239" s="9"/>
      <c r="H1239" s="9"/>
      <c r="I1239" s="9"/>
      <c r="J1239" s="9"/>
      <c r="K1239" s="9"/>
      <c r="L1239" s="9"/>
      <c r="M1239" s="10"/>
      <c r="N1239" s="10"/>
      <c r="O1239" s="10"/>
      <c r="P1239" s="10"/>
      <c r="Q1239" s="10"/>
      <c r="R1239" s="9"/>
      <c r="S1239" s="9"/>
      <c r="T1239" s="12"/>
      <c r="U1239" s="12"/>
      <c r="V1239" s="12"/>
      <c r="W1239" s="10"/>
      <c r="X1239" s="10"/>
      <c r="Y1239" s="9"/>
      <c r="Z1239" s="9"/>
      <c r="AA1239" s="9"/>
      <c r="AB1239" s="9"/>
    </row>
    <row r="1240" ht="30.0" customHeight="1">
      <c r="A1240" s="17" t="s">
        <v>1</v>
      </c>
      <c r="B1240" s="8"/>
      <c r="C1240" s="9"/>
      <c r="D1240" s="9"/>
      <c r="E1240" s="9"/>
      <c r="F1240" s="9"/>
      <c r="G1240" s="9"/>
      <c r="H1240" s="9"/>
      <c r="I1240" s="9"/>
      <c r="J1240" s="9"/>
      <c r="K1240" s="9"/>
      <c r="L1240" s="9"/>
      <c r="M1240" s="10"/>
      <c r="N1240" s="10"/>
      <c r="O1240" s="10"/>
      <c r="P1240" s="10"/>
      <c r="Q1240" s="10"/>
      <c r="R1240" s="9"/>
      <c r="S1240" s="9"/>
      <c r="T1240" s="12"/>
      <c r="U1240" s="12"/>
      <c r="V1240" s="12"/>
      <c r="W1240" s="10"/>
      <c r="X1240" s="10"/>
      <c r="Y1240" s="9"/>
      <c r="Z1240" s="9"/>
      <c r="AA1240" s="9"/>
      <c r="AB1240" s="9"/>
    </row>
    <row r="1241" ht="30.0" customHeight="1">
      <c r="A1241" s="17" t="s">
        <v>1</v>
      </c>
      <c r="B1241" s="8"/>
      <c r="C1241" s="9"/>
      <c r="D1241" s="9"/>
      <c r="E1241" s="9"/>
      <c r="F1241" s="9"/>
      <c r="G1241" s="9"/>
      <c r="H1241" s="9"/>
      <c r="I1241" s="9"/>
      <c r="J1241" s="9"/>
      <c r="K1241" s="9"/>
      <c r="L1241" s="9"/>
      <c r="M1241" s="10"/>
      <c r="N1241" s="10"/>
      <c r="O1241" s="10"/>
      <c r="P1241" s="10"/>
      <c r="Q1241" s="10"/>
      <c r="R1241" s="9"/>
      <c r="S1241" s="9"/>
      <c r="T1241" s="12"/>
      <c r="U1241" s="12"/>
      <c r="V1241" s="12"/>
      <c r="W1241" s="10"/>
      <c r="X1241" s="10"/>
      <c r="Y1241" s="9"/>
      <c r="Z1241" s="9"/>
      <c r="AA1241" s="9"/>
      <c r="AB1241" s="9"/>
    </row>
    <row r="1242" ht="30.0" customHeight="1">
      <c r="A1242" s="17" t="s">
        <v>1</v>
      </c>
      <c r="B1242" s="8"/>
      <c r="C1242" s="9"/>
      <c r="D1242" s="9"/>
      <c r="E1242" s="9"/>
      <c r="F1242" s="9"/>
      <c r="G1242" s="9"/>
      <c r="H1242" s="9"/>
      <c r="I1242" s="9"/>
      <c r="J1242" s="9"/>
      <c r="K1242" s="9"/>
      <c r="L1242" s="9"/>
      <c r="M1242" s="10"/>
      <c r="N1242" s="10"/>
      <c r="O1242" s="10"/>
      <c r="P1242" s="10"/>
      <c r="Q1242" s="10"/>
      <c r="R1242" s="9"/>
      <c r="S1242" s="9"/>
      <c r="T1242" s="12"/>
      <c r="U1242" s="12"/>
      <c r="V1242" s="12"/>
      <c r="W1242" s="10"/>
      <c r="X1242" s="10"/>
      <c r="Y1242" s="9"/>
      <c r="Z1242" s="9"/>
      <c r="AA1242" s="9"/>
      <c r="AB1242" s="9"/>
    </row>
    <row r="1243" ht="30.0" customHeight="1">
      <c r="A1243" s="17" t="s">
        <v>1</v>
      </c>
      <c r="B1243" s="8"/>
      <c r="C1243" s="9"/>
      <c r="D1243" s="9"/>
      <c r="E1243" s="9"/>
      <c r="F1243" s="9"/>
      <c r="G1243" s="9"/>
      <c r="H1243" s="9"/>
      <c r="I1243" s="9"/>
      <c r="J1243" s="9"/>
      <c r="K1243" s="9"/>
      <c r="L1243" s="9"/>
      <c r="M1243" s="10"/>
      <c r="N1243" s="10"/>
      <c r="O1243" s="10"/>
      <c r="P1243" s="10"/>
      <c r="Q1243" s="10"/>
      <c r="R1243" s="9"/>
      <c r="S1243" s="9"/>
      <c r="T1243" s="12"/>
      <c r="U1243" s="12"/>
      <c r="V1243" s="12"/>
      <c r="W1243" s="10"/>
      <c r="X1243" s="10"/>
      <c r="Y1243" s="9"/>
      <c r="Z1243" s="9"/>
      <c r="AA1243" s="9"/>
      <c r="AB1243" s="9"/>
    </row>
    <row r="1244" ht="30.0" customHeight="1">
      <c r="A1244" s="17" t="s">
        <v>1</v>
      </c>
      <c r="B1244" s="8"/>
      <c r="C1244" s="9"/>
      <c r="D1244" s="9"/>
      <c r="E1244" s="9"/>
      <c r="F1244" s="9"/>
      <c r="G1244" s="9"/>
      <c r="H1244" s="9"/>
      <c r="I1244" s="9"/>
      <c r="J1244" s="9"/>
      <c r="K1244" s="9"/>
      <c r="L1244" s="9"/>
      <c r="M1244" s="10"/>
      <c r="N1244" s="10"/>
      <c r="O1244" s="10"/>
      <c r="P1244" s="10"/>
      <c r="Q1244" s="10"/>
      <c r="R1244" s="9"/>
      <c r="S1244" s="9"/>
      <c r="T1244" s="12"/>
      <c r="U1244" s="12"/>
      <c r="V1244" s="12"/>
      <c r="W1244" s="10"/>
      <c r="X1244" s="10"/>
      <c r="Y1244" s="9"/>
      <c r="Z1244" s="9"/>
      <c r="AA1244" s="9"/>
      <c r="AB1244" s="9"/>
    </row>
    <row r="1245" ht="30.0" customHeight="1">
      <c r="A1245" s="17" t="s">
        <v>1</v>
      </c>
      <c r="B1245" s="8"/>
      <c r="C1245" s="9"/>
      <c r="D1245" s="9"/>
      <c r="E1245" s="9"/>
      <c r="F1245" s="9"/>
      <c r="G1245" s="9"/>
      <c r="H1245" s="9"/>
      <c r="I1245" s="9"/>
      <c r="J1245" s="9"/>
      <c r="K1245" s="9"/>
      <c r="L1245" s="9"/>
      <c r="M1245" s="10"/>
      <c r="N1245" s="10"/>
      <c r="O1245" s="10"/>
      <c r="P1245" s="10"/>
      <c r="Q1245" s="10"/>
      <c r="R1245" s="9"/>
      <c r="S1245" s="9"/>
      <c r="T1245" s="12"/>
      <c r="U1245" s="12"/>
      <c r="V1245" s="12"/>
      <c r="W1245" s="10"/>
      <c r="X1245" s="10"/>
      <c r="Y1245" s="9"/>
      <c r="Z1245" s="9"/>
      <c r="AA1245" s="9"/>
      <c r="AB1245" s="9"/>
    </row>
    <row r="1246" ht="30.0" customHeight="1">
      <c r="A1246" s="17" t="s">
        <v>1</v>
      </c>
      <c r="B1246" s="8"/>
      <c r="C1246" s="9"/>
      <c r="D1246" s="9"/>
      <c r="E1246" s="9"/>
      <c r="F1246" s="9"/>
      <c r="G1246" s="9"/>
      <c r="H1246" s="9"/>
      <c r="I1246" s="9"/>
      <c r="J1246" s="9"/>
      <c r="K1246" s="9"/>
      <c r="L1246" s="9"/>
      <c r="M1246" s="10"/>
      <c r="N1246" s="10"/>
      <c r="O1246" s="10"/>
      <c r="P1246" s="10"/>
      <c r="Q1246" s="10"/>
      <c r="R1246" s="9"/>
      <c r="S1246" s="9"/>
      <c r="T1246" s="12"/>
      <c r="U1246" s="12"/>
      <c r="V1246" s="12"/>
      <c r="W1246" s="10"/>
      <c r="X1246" s="10"/>
      <c r="Y1246" s="9"/>
      <c r="Z1246" s="9"/>
      <c r="AA1246" s="9"/>
      <c r="AB1246" s="9"/>
    </row>
    <row r="1247" ht="30.0" customHeight="1">
      <c r="A1247" s="17" t="s">
        <v>1</v>
      </c>
      <c r="B1247" s="8"/>
      <c r="C1247" s="9"/>
      <c r="D1247" s="9"/>
      <c r="E1247" s="9"/>
      <c r="F1247" s="9"/>
      <c r="G1247" s="9"/>
      <c r="H1247" s="9"/>
      <c r="I1247" s="9"/>
      <c r="J1247" s="9"/>
      <c r="K1247" s="9"/>
      <c r="L1247" s="9"/>
      <c r="M1247" s="10"/>
      <c r="N1247" s="10"/>
      <c r="O1247" s="10"/>
      <c r="P1247" s="10"/>
      <c r="Q1247" s="10"/>
      <c r="R1247" s="9"/>
      <c r="S1247" s="9"/>
      <c r="T1247" s="12"/>
      <c r="U1247" s="12"/>
      <c r="V1247" s="12"/>
      <c r="W1247" s="10"/>
      <c r="X1247" s="10"/>
      <c r="Y1247" s="9"/>
      <c r="Z1247" s="9"/>
      <c r="AA1247" s="9"/>
      <c r="AB1247" s="9"/>
    </row>
    <row r="1248" ht="30.0" customHeight="1">
      <c r="A1248" s="17" t="s">
        <v>1</v>
      </c>
      <c r="B1248" s="8"/>
      <c r="C1248" s="9"/>
      <c r="D1248" s="9"/>
      <c r="E1248" s="9"/>
      <c r="F1248" s="9"/>
      <c r="G1248" s="9"/>
      <c r="H1248" s="9"/>
      <c r="I1248" s="9"/>
      <c r="J1248" s="9"/>
      <c r="K1248" s="9"/>
      <c r="L1248" s="9"/>
      <c r="M1248" s="10"/>
      <c r="N1248" s="10"/>
      <c r="O1248" s="10"/>
      <c r="P1248" s="10"/>
      <c r="Q1248" s="10"/>
      <c r="R1248" s="9"/>
      <c r="S1248" s="9"/>
      <c r="T1248" s="12"/>
      <c r="U1248" s="12"/>
      <c r="V1248" s="12"/>
      <c r="W1248" s="10"/>
      <c r="X1248" s="10"/>
      <c r="Y1248" s="9"/>
      <c r="Z1248" s="9"/>
      <c r="AA1248" s="9"/>
      <c r="AB1248" s="9"/>
    </row>
    <row r="1249" ht="30.0" customHeight="1">
      <c r="A1249" s="17" t="s">
        <v>1</v>
      </c>
      <c r="B1249" s="8"/>
      <c r="C1249" s="9"/>
      <c r="D1249" s="9"/>
      <c r="E1249" s="9"/>
      <c r="F1249" s="9"/>
      <c r="G1249" s="9"/>
      <c r="H1249" s="9"/>
      <c r="I1249" s="9"/>
      <c r="J1249" s="9"/>
      <c r="K1249" s="9"/>
      <c r="L1249" s="9"/>
      <c r="M1249" s="10"/>
      <c r="N1249" s="10"/>
      <c r="O1249" s="10"/>
      <c r="P1249" s="10"/>
      <c r="Q1249" s="10"/>
      <c r="R1249" s="9"/>
      <c r="S1249" s="9"/>
      <c r="T1249" s="12"/>
      <c r="U1249" s="12"/>
      <c r="V1249" s="12"/>
      <c r="W1249" s="10"/>
      <c r="X1249" s="10"/>
      <c r="Y1249" s="9"/>
      <c r="Z1249" s="9"/>
      <c r="AA1249" s="9"/>
      <c r="AB1249" s="9"/>
    </row>
    <row r="1250" ht="30.0" customHeight="1">
      <c r="A1250" s="17" t="s">
        <v>1</v>
      </c>
      <c r="B1250" s="8"/>
      <c r="C1250" s="9"/>
      <c r="D1250" s="9"/>
      <c r="E1250" s="9"/>
      <c r="F1250" s="9"/>
      <c r="G1250" s="9"/>
      <c r="H1250" s="9"/>
      <c r="I1250" s="9"/>
      <c r="J1250" s="9"/>
      <c r="K1250" s="9"/>
      <c r="L1250" s="9"/>
      <c r="M1250" s="10"/>
      <c r="N1250" s="10"/>
      <c r="O1250" s="10"/>
      <c r="P1250" s="10"/>
      <c r="Q1250" s="10"/>
      <c r="R1250" s="9"/>
      <c r="S1250" s="9"/>
      <c r="T1250" s="12"/>
      <c r="U1250" s="12"/>
      <c r="V1250" s="12"/>
      <c r="W1250" s="10"/>
      <c r="X1250" s="10"/>
      <c r="Y1250" s="9"/>
      <c r="Z1250" s="9"/>
      <c r="AA1250" s="9"/>
      <c r="AB1250" s="9"/>
    </row>
    <row r="1251" ht="30.0" customHeight="1">
      <c r="A1251" s="17" t="s">
        <v>1</v>
      </c>
      <c r="B1251" s="8"/>
      <c r="C1251" s="9"/>
      <c r="D1251" s="9"/>
      <c r="E1251" s="9"/>
      <c r="F1251" s="9"/>
      <c r="G1251" s="9"/>
      <c r="H1251" s="9"/>
      <c r="I1251" s="9"/>
      <c r="J1251" s="9"/>
      <c r="K1251" s="9"/>
      <c r="L1251" s="9"/>
      <c r="M1251" s="10"/>
      <c r="N1251" s="10"/>
      <c r="O1251" s="10"/>
      <c r="P1251" s="10"/>
      <c r="Q1251" s="10"/>
      <c r="R1251" s="9"/>
      <c r="S1251" s="9"/>
      <c r="T1251" s="12"/>
      <c r="U1251" s="12"/>
      <c r="V1251" s="12"/>
      <c r="W1251" s="10"/>
      <c r="X1251" s="10"/>
      <c r="Y1251" s="9"/>
      <c r="Z1251" s="9"/>
      <c r="AA1251" s="9"/>
      <c r="AB1251" s="9"/>
    </row>
    <row r="1252" ht="30.0" customHeight="1">
      <c r="A1252" s="17" t="s">
        <v>1</v>
      </c>
      <c r="B1252" s="8"/>
      <c r="C1252" s="9"/>
      <c r="D1252" s="9"/>
      <c r="E1252" s="9"/>
      <c r="F1252" s="9"/>
      <c r="G1252" s="9"/>
      <c r="H1252" s="9"/>
      <c r="I1252" s="9"/>
      <c r="J1252" s="9"/>
      <c r="K1252" s="9"/>
      <c r="L1252" s="9"/>
      <c r="M1252" s="10"/>
      <c r="N1252" s="10"/>
      <c r="O1252" s="10"/>
      <c r="P1252" s="10"/>
      <c r="Q1252" s="10"/>
      <c r="R1252" s="9"/>
      <c r="S1252" s="9"/>
      <c r="T1252" s="12"/>
      <c r="U1252" s="12"/>
      <c r="V1252" s="12"/>
      <c r="W1252" s="10"/>
      <c r="X1252" s="10"/>
      <c r="Y1252" s="9"/>
      <c r="Z1252" s="9"/>
      <c r="AA1252" s="9"/>
      <c r="AB1252" s="9"/>
    </row>
    <row r="1253" ht="30.0" customHeight="1">
      <c r="A1253" s="17" t="s">
        <v>1</v>
      </c>
      <c r="B1253" s="8"/>
      <c r="C1253" s="9"/>
      <c r="D1253" s="9"/>
      <c r="E1253" s="9"/>
      <c r="F1253" s="9"/>
      <c r="G1253" s="9"/>
      <c r="H1253" s="9"/>
      <c r="I1253" s="9"/>
      <c r="J1253" s="9"/>
      <c r="K1253" s="9"/>
      <c r="L1253" s="9"/>
      <c r="M1253" s="10"/>
      <c r="N1253" s="10"/>
      <c r="O1253" s="10"/>
      <c r="P1253" s="10"/>
      <c r="Q1253" s="10"/>
      <c r="R1253" s="9"/>
      <c r="S1253" s="9"/>
      <c r="T1253" s="12"/>
      <c r="U1253" s="12"/>
      <c r="V1253" s="12"/>
      <c r="W1253" s="10"/>
      <c r="X1253" s="10"/>
      <c r="Y1253" s="9"/>
      <c r="Z1253" s="9"/>
      <c r="AA1253" s="9"/>
      <c r="AB1253" s="9"/>
    </row>
    <row r="1254" ht="30.0" customHeight="1">
      <c r="A1254" s="17" t="s">
        <v>1</v>
      </c>
      <c r="B1254" s="8"/>
      <c r="C1254" s="9"/>
      <c r="D1254" s="9"/>
      <c r="E1254" s="9"/>
      <c r="F1254" s="9"/>
      <c r="G1254" s="9"/>
      <c r="H1254" s="9"/>
      <c r="I1254" s="9"/>
      <c r="J1254" s="9"/>
      <c r="K1254" s="9"/>
      <c r="L1254" s="9"/>
      <c r="M1254" s="10"/>
      <c r="N1254" s="10"/>
      <c r="O1254" s="10"/>
      <c r="P1254" s="10"/>
      <c r="Q1254" s="10"/>
      <c r="R1254" s="9"/>
      <c r="S1254" s="9"/>
      <c r="T1254" s="12"/>
      <c r="U1254" s="12"/>
      <c r="V1254" s="12"/>
      <c r="W1254" s="10"/>
      <c r="X1254" s="10"/>
      <c r="Y1254" s="9"/>
      <c r="Z1254" s="9"/>
      <c r="AA1254" s="9"/>
      <c r="AB1254" s="9"/>
    </row>
    <row r="1255" ht="30.0" customHeight="1">
      <c r="A1255" s="17" t="s">
        <v>1</v>
      </c>
      <c r="B1255" s="8"/>
      <c r="C1255" s="9"/>
      <c r="D1255" s="9"/>
      <c r="E1255" s="9"/>
      <c r="F1255" s="9"/>
      <c r="G1255" s="9"/>
      <c r="H1255" s="9"/>
      <c r="I1255" s="9"/>
      <c r="J1255" s="9"/>
      <c r="K1255" s="9"/>
      <c r="L1255" s="9"/>
      <c r="M1255" s="10"/>
      <c r="N1255" s="10"/>
      <c r="O1255" s="10"/>
      <c r="P1255" s="10"/>
      <c r="Q1255" s="10"/>
      <c r="R1255" s="9"/>
      <c r="S1255" s="9"/>
      <c r="T1255" s="12"/>
      <c r="U1255" s="12"/>
      <c r="V1255" s="12"/>
      <c r="W1255" s="10"/>
      <c r="X1255" s="10"/>
      <c r="Y1255" s="9"/>
      <c r="Z1255" s="9"/>
      <c r="AA1255" s="9"/>
      <c r="AB1255" s="9"/>
    </row>
    <row r="1256" ht="30.0" customHeight="1">
      <c r="A1256" s="17" t="s">
        <v>1</v>
      </c>
      <c r="B1256" s="8"/>
      <c r="C1256" s="9"/>
      <c r="D1256" s="9"/>
      <c r="E1256" s="9"/>
      <c r="F1256" s="9"/>
      <c r="G1256" s="9"/>
      <c r="H1256" s="9"/>
      <c r="I1256" s="9"/>
      <c r="J1256" s="9"/>
      <c r="K1256" s="9"/>
      <c r="L1256" s="9"/>
      <c r="M1256" s="10"/>
      <c r="N1256" s="10"/>
      <c r="O1256" s="10"/>
      <c r="P1256" s="10"/>
      <c r="Q1256" s="10"/>
      <c r="R1256" s="9"/>
      <c r="S1256" s="9"/>
      <c r="T1256" s="12"/>
      <c r="U1256" s="12"/>
      <c r="V1256" s="12"/>
      <c r="W1256" s="10"/>
      <c r="X1256" s="10"/>
      <c r="Y1256" s="9"/>
      <c r="Z1256" s="9"/>
      <c r="AA1256" s="9"/>
      <c r="AB1256" s="9"/>
    </row>
    <row r="1257" ht="30.0" customHeight="1">
      <c r="A1257" s="17" t="s">
        <v>1</v>
      </c>
      <c r="B1257" s="8"/>
      <c r="C1257" s="9"/>
      <c r="D1257" s="9"/>
      <c r="E1257" s="9"/>
      <c r="F1257" s="9"/>
      <c r="G1257" s="9"/>
      <c r="H1257" s="9"/>
      <c r="I1257" s="9"/>
      <c r="J1257" s="9"/>
      <c r="K1257" s="9"/>
      <c r="L1257" s="9"/>
      <c r="M1257" s="10"/>
      <c r="N1257" s="10"/>
      <c r="O1257" s="10"/>
      <c r="P1257" s="10"/>
      <c r="Q1257" s="10"/>
      <c r="R1257" s="9"/>
      <c r="S1257" s="9"/>
      <c r="T1257" s="12"/>
      <c r="U1257" s="12"/>
      <c r="V1257" s="12"/>
      <c r="W1257" s="10"/>
      <c r="X1257" s="10"/>
      <c r="Y1257" s="9"/>
      <c r="Z1257" s="9"/>
      <c r="AA1257" s="9"/>
      <c r="AB1257" s="9"/>
    </row>
    <row r="1258" ht="30.0" customHeight="1">
      <c r="A1258" s="17" t="s">
        <v>1</v>
      </c>
      <c r="B1258" s="8"/>
      <c r="C1258" s="9"/>
      <c r="D1258" s="9"/>
      <c r="E1258" s="9"/>
      <c r="F1258" s="9"/>
      <c r="G1258" s="9"/>
      <c r="H1258" s="9"/>
      <c r="I1258" s="9"/>
      <c r="J1258" s="9"/>
      <c r="K1258" s="9"/>
      <c r="L1258" s="9"/>
      <c r="M1258" s="10"/>
      <c r="N1258" s="10"/>
      <c r="O1258" s="10"/>
      <c r="P1258" s="10"/>
      <c r="Q1258" s="10"/>
      <c r="R1258" s="9"/>
      <c r="S1258" s="9"/>
      <c r="T1258" s="12"/>
      <c r="U1258" s="12"/>
      <c r="V1258" s="12"/>
      <c r="W1258" s="10"/>
      <c r="X1258" s="10"/>
      <c r="Y1258" s="9"/>
      <c r="Z1258" s="9"/>
      <c r="AA1258" s="9"/>
      <c r="AB1258" s="9"/>
    </row>
    <row r="1259" ht="30.0" customHeight="1">
      <c r="A1259" s="17" t="s">
        <v>1</v>
      </c>
      <c r="B1259" s="8"/>
      <c r="C1259" s="9"/>
      <c r="D1259" s="9"/>
      <c r="E1259" s="9"/>
      <c r="F1259" s="9"/>
      <c r="G1259" s="9"/>
      <c r="H1259" s="9"/>
      <c r="I1259" s="9"/>
      <c r="J1259" s="9"/>
      <c r="K1259" s="9"/>
      <c r="L1259" s="9"/>
      <c r="M1259" s="10"/>
      <c r="N1259" s="10"/>
      <c r="O1259" s="10"/>
      <c r="P1259" s="10"/>
      <c r="Q1259" s="10"/>
      <c r="R1259" s="9"/>
      <c r="S1259" s="9"/>
      <c r="T1259" s="12"/>
      <c r="U1259" s="12"/>
      <c r="V1259" s="12"/>
      <c r="W1259" s="10"/>
      <c r="X1259" s="10"/>
      <c r="Y1259" s="9"/>
      <c r="Z1259" s="9"/>
      <c r="AA1259" s="9"/>
      <c r="AB1259" s="9"/>
    </row>
    <row r="1260" ht="30.0" customHeight="1">
      <c r="A1260" s="17" t="s">
        <v>1</v>
      </c>
      <c r="B1260" s="8"/>
      <c r="C1260" s="9"/>
      <c r="D1260" s="9"/>
      <c r="E1260" s="9"/>
      <c r="F1260" s="9"/>
      <c r="G1260" s="9"/>
      <c r="H1260" s="9"/>
      <c r="I1260" s="9"/>
      <c r="J1260" s="9"/>
      <c r="K1260" s="9"/>
      <c r="L1260" s="9"/>
      <c r="M1260" s="10"/>
      <c r="N1260" s="10"/>
      <c r="O1260" s="10"/>
      <c r="P1260" s="10"/>
      <c r="Q1260" s="10"/>
      <c r="R1260" s="9"/>
      <c r="S1260" s="9"/>
      <c r="T1260" s="12"/>
      <c r="U1260" s="12"/>
      <c r="V1260" s="12"/>
      <c r="W1260" s="10"/>
      <c r="X1260" s="10"/>
      <c r="Y1260" s="9"/>
      <c r="Z1260" s="9"/>
      <c r="AA1260" s="9"/>
      <c r="AB1260" s="9"/>
    </row>
    <row r="1261" ht="30.0" customHeight="1">
      <c r="A1261" s="17" t="s">
        <v>1</v>
      </c>
      <c r="B1261" s="8"/>
      <c r="C1261" s="9"/>
      <c r="D1261" s="9"/>
      <c r="E1261" s="9"/>
      <c r="F1261" s="9"/>
      <c r="G1261" s="9"/>
      <c r="H1261" s="9"/>
      <c r="I1261" s="9"/>
      <c r="J1261" s="9"/>
      <c r="K1261" s="9"/>
      <c r="L1261" s="9"/>
      <c r="M1261" s="10"/>
      <c r="N1261" s="10"/>
      <c r="O1261" s="10"/>
      <c r="P1261" s="10"/>
      <c r="Q1261" s="10"/>
      <c r="R1261" s="9"/>
      <c r="S1261" s="9"/>
      <c r="T1261" s="12"/>
      <c r="U1261" s="12"/>
      <c r="V1261" s="12"/>
      <c r="W1261" s="10"/>
      <c r="X1261" s="10"/>
      <c r="Y1261" s="9"/>
      <c r="Z1261" s="9"/>
      <c r="AA1261" s="9"/>
      <c r="AB1261" s="9"/>
    </row>
    <row r="1262" ht="30.0" customHeight="1">
      <c r="A1262" s="17" t="s">
        <v>1</v>
      </c>
      <c r="B1262" s="8"/>
      <c r="C1262" s="9"/>
      <c r="D1262" s="9"/>
      <c r="E1262" s="9"/>
      <c r="F1262" s="9"/>
      <c r="G1262" s="9"/>
      <c r="H1262" s="9"/>
      <c r="I1262" s="9"/>
      <c r="J1262" s="9"/>
      <c r="K1262" s="9"/>
      <c r="L1262" s="9"/>
      <c r="M1262" s="10"/>
      <c r="N1262" s="10"/>
      <c r="O1262" s="10"/>
      <c r="P1262" s="10"/>
      <c r="Q1262" s="10"/>
      <c r="R1262" s="9"/>
      <c r="S1262" s="9"/>
      <c r="T1262" s="12"/>
      <c r="U1262" s="12"/>
      <c r="V1262" s="12"/>
      <c r="W1262" s="10"/>
      <c r="X1262" s="10"/>
      <c r="Y1262" s="9"/>
      <c r="Z1262" s="9"/>
      <c r="AA1262" s="9"/>
      <c r="AB1262" s="9"/>
    </row>
    <row r="1263" ht="30.0" customHeight="1">
      <c r="A1263" s="17" t="s">
        <v>1</v>
      </c>
      <c r="B1263" s="8"/>
      <c r="C1263" s="9"/>
      <c r="D1263" s="9"/>
      <c r="E1263" s="9"/>
      <c r="F1263" s="9"/>
      <c r="G1263" s="9"/>
      <c r="H1263" s="9"/>
      <c r="I1263" s="9"/>
      <c r="J1263" s="9"/>
      <c r="K1263" s="9"/>
      <c r="L1263" s="9"/>
      <c r="M1263" s="10"/>
      <c r="N1263" s="10"/>
      <c r="O1263" s="10"/>
      <c r="P1263" s="10"/>
      <c r="Q1263" s="10"/>
      <c r="R1263" s="9"/>
      <c r="S1263" s="9"/>
      <c r="T1263" s="12"/>
      <c r="U1263" s="12"/>
      <c r="V1263" s="12"/>
      <c r="W1263" s="10"/>
      <c r="X1263" s="10"/>
      <c r="Y1263" s="9"/>
      <c r="Z1263" s="9"/>
      <c r="AA1263" s="9"/>
      <c r="AB1263" s="9"/>
    </row>
    <row r="1264" ht="30.0" customHeight="1">
      <c r="A1264" s="17" t="s">
        <v>1</v>
      </c>
      <c r="B1264" s="8"/>
      <c r="C1264" s="9"/>
      <c r="D1264" s="9"/>
      <c r="E1264" s="9"/>
      <c r="F1264" s="9"/>
      <c r="G1264" s="9"/>
      <c r="H1264" s="9"/>
      <c r="I1264" s="9"/>
      <c r="J1264" s="9"/>
      <c r="K1264" s="9"/>
      <c r="L1264" s="9"/>
      <c r="M1264" s="10"/>
      <c r="N1264" s="10"/>
      <c r="O1264" s="10"/>
      <c r="P1264" s="10"/>
      <c r="Q1264" s="10"/>
      <c r="R1264" s="9"/>
      <c r="S1264" s="9"/>
      <c r="T1264" s="12"/>
      <c r="U1264" s="12"/>
      <c r="V1264" s="12"/>
      <c r="W1264" s="10"/>
      <c r="X1264" s="10"/>
      <c r="Y1264" s="9"/>
      <c r="Z1264" s="9"/>
      <c r="AA1264" s="9"/>
      <c r="AB1264" s="9"/>
    </row>
    <row r="1265" ht="30.0" customHeight="1">
      <c r="A1265" s="17" t="s">
        <v>1</v>
      </c>
      <c r="B1265" s="8"/>
      <c r="C1265" s="9"/>
      <c r="D1265" s="9"/>
      <c r="E1265" s="9"/>
      <c r="F1265" s="9"/>
      <c r="G1265" s="9"/>
      <c r="H1265" s="9"/>
      <c r="I1265" s="9"/>
      <c r="J1265" s="9"/>
      <c r="K1265" s="9"/>
      <c r="L1265" s="9"/>
      <c r="M1265" s="10"/>
      <c r="N1265" s="10"/>
      <c r="O1265" s="10"/>
      <c r="P1265" s="10"/>
      <c r="Q1265" s="10"/>
      <c r="R1265" s="9"/>
      <c r="S1265" s="9"/>
      <c r="T1265" s="12"/>
      <c r="U1265" s="12"/>
      <c r="V1265" s="12"/>
      <c r="W1265" s="10"/>
      <c r="X1265" s="10"/>
      <c r="Y1265" s="9"/>
      <c r="Z1265" s="9"/>
      <c r="AA1265" s="9"/>
      <c r="AB1265" s="9"/>
    </row>
    <row r="1266" ht="30.0" customHeight="1">
      <c r="A1266" s="17" t="s">
        <v>1</v>
      </c>
      <c r="B1266" s="8"/>
      <c r="C1266" s="9"/>
      <c r="D1266" s="9"/>
      <c r="E1266" s="9"/>
      <c r="F1266" s="9"/>
      <c r="G1266" s="9"/>
      <c r="H1266" s="9"/>
      <c r="I1266" s="9"/>
      <c r="J1266" s="9"/>
      <c r="K1266" s="9"/>
      <c r="L1266" s="9"/>
      <c r="M1266" s="10"/>
      <c r="N1266" s="10"/>
      <c r="O1266" s="10"/>
      <c r="P1266" s="10"/>
      <c r="Q1266" s="10"/>
      <c r="R1266" s="9"/>
      <c r="S1266" s="9"/>
      <c r="T1266" s="12"/>
      <c r="U1266" s="12"/>
      <c r="V1266" s="12"/>
      <c r="W1266" s="10"/>
      <c r="X1266" s="10"/>
      <c r="Y1266" s="9"/>
      <c r="Z1266" s="9"/>
      <c r="AA1266" s="9"/>
      <c r="AB1266" s="9"/>
    </row>
    <row r="1267" ht="30.0" customHeight="1">
      <c r="A1267" s="17" t="s">
        <v>1</v>
      </c>
      <c r="B1267" s="8"/>
      <c r="C1267" s="9"/>
      <c r="D1267" s="9"/>
      <c r="E1267" s="9"/>
      <c r="F1267" s="9"/>
      <c r="G1267" s="9"/>
      <c r="H1267" s="9"/>
      <c r="I1267" s="9"/>
      <c r="J1267" s="9"/>
      <c r="K1267" s="9"/>
      <c r="L1267" s="9"/>
      <c r="M1267" s="10"/>
      <c r="N1267" s="10"/>
      <c r="O1267" s="10"/>
      <c r="P1267" s="10"/>
      <c r="Q1267" s="10"/>
      <c r="R1267" s="9"/>
      <c r="S1267" s="9"/>
      <c r="T1267" s="12"/>
      <c r="U1267" s="12"/>
      <c r="V1267" s="12"/>
      <c r="W1267" s="10"/>
      <c r="X1267" s="10"/>
      <c r="Y1267" s="9"/>
      <c r="Z1267" s="9"/>
      <c r="AA1267" s="9"/>
      <c r="AB1267" s="9"/>
    </row>
    <row r="1268" ht="30.0" customHeight="1">
      <c r="A1268" s="17" t="s">
        <v>1</v>
      </c>
      <c r="B1268" s="8"/>
      <c r="C1268" s="9"/>
      <c r="D1268" s="9"/>
      <c r="E1268" s="9"/>
      <c r="F1268" s="9"/>
      <c r="G1268" s="9"/>
      <c r="H1268" s="9"/>
      <c r="I1268" s="9"/>
      <c r="J1268" s="9"/>
      <c r="K1268" s="9"/>
      <c r="L1268" s="9"/>
      <c r="M1268" s="10"/>
      <c r="N1268" s="10"/>
      <c r="O1268" s="10"/>
      <c r="P1268" s="10"/>
      <c r="Q1268" s="10"/>
      <c r="R1268" s="9"/>
      <c r="S1268" s="9"/>
      <c r="T1268" s="12"/>
      <c r="U1268" s="12"/>
      <c r="V1268" s="12"/>
      <c r="W1268" s="10"/>
      <c r="X1268" s="10"/>
      <c r="Y1268" s="9"/>
      <c r="Z1268" s="9"/>
      <c r="AA1268" s="9"/>
      <c r="AB1268" s="9"/>
    </row>
    <row r="1269" ht="30.0" customHeight="1">
      <c r="A1269" s="17" t="s">
        <v>1</v>
      </c>
      <c r="B1269" s="8"/>
      <c r="C1269" s="9"/>
      <c r="D1269" s="9"/>
      <c r="E1269" s="9"/>
      <c r="F1269" s="9"/>
      <c r="G1269" s="9"/>
      <c r="H1269" s="9"/>
      <c r="I1269" s="9"/>
      <c r="J1269" s="9"/>
      <c r="K1269" s="9"/>
      <c r="L1269" s="9"/>
      <c r="M1269" s="10"/>
      <c r="N1269" s="10"/>
      <c r="O1269" s="10"/>
      <c r="P1269" s="10"/>
      <c r="Q1269" s="10"/>
      <c r="R1269" s="9"/>
      <c r="S1269" s="9"/>
      <c r="T1269" s="12"/>
      <c r="U1269" s="12"/>
      <c r="V1269" s="12"/>
      <c r="W1269" s="10"/>
      <c r="X1269" s="10"/>
      <c r="Y1269" s="9"/>
      <c r="Z1269" s="9"/>
      <c r="AA1269" s="9"/>
      <c r="AB1269" s="9"/>
    </row>
    <row r="1270" ht="30.0" customHeight="1">
      <c r="A1270" s="17" t="s">
        <v>1</v>
      </c>
      <c r="B1270" s="8"/>
      <c r="C1270" s="9"/>
      <c r="D1270" s="9"/>
      <c r="E1270" s="9"/>
      <c r="F1270" s="9"/>
      <c r="G1270" s="9"/>
      <c r="H1270" s="9"/>
      <c r="I1270" s="9"/>
      <c r="J1270" s="9"/>
      <c r="K1270" s="9"/>
      <c r="L1270" s="9"/>
      <c r="M1270" s="10"/>
      <c r="N1270" s="10"/>
      <c r="O1270" s="10"/>
      <c r="P1270" s="10"/>
      <c r="Q1270" s="10"/>
      <c r="R1270" s="9"/>
      <c r="S1270" s="9"/>
      <c r="T1270" s="12"/>
      <c r="U1270" s="12"/>
      <c r="V1270" s="12"/>
      <c r="W1270" s="10"/>
      <c r="X1270" s="10"/>
      <c r="Y1270" s="9"/>
      <c r="Z1270" s="9"/>
      <c r="AA1270" s="9"/>
      <c r="AB1270" s="9"/>
    </row>
    <row r="1271" ht="30.0" customHeight="1">
      <c r="A1271" s="17" t="s">
        <v>1</v>
      </c>
      <c r="B1271" s="8"/>
      <c r="C1271" s="9"/>
      <c r="D1271" s="9"/>
      <c r="E1271" s="9"/>
      <c r="F1271" s="9"/>
      <c r="G1271" s="9"/>
      <c r="H1271" s="9"/>
      <c r="I1271" s="9"/>
      <c r="J1271" s="9"/>
      <c r="K1271" s="9"/>
      <c r="L1271" s="9"/>
      <c r="M1271" s="10"/>
      <c r="N1271" s="10"/>
      <c r="O1271" s="10"/>
      <c r="P1271" s="10"/>
      <c r="Q1271" s="10"/>
      <c r="R1271" s="9"/>
      <c r="S1271" s="9"/>
      <c r="T1271" s="12"/>
      <c r="U1271" s="12"/>
      <c r="V1271" s="12"/>
      <c r="W1271" s="10"/>
      <c r="X1271" s="10"/>
      <c r="Y1271" s="9"/>
      <c r="Z1271" s="9"/>
      <c r="AA1271" s="9"/>
      <c r="AB1271" s="9"/>
    </row>
    <row r="1272" ht="30.0" customHeight="1">
      <c r="A1272" s="17" t="s">
        <v>1</v>
      </c>
      <c r="B1272" s="8"/>
      <c r="C1272" s="9"/>
      <c r="D1272" s="9"/>
      <c r="E1272" s="9"/>
      <c r="F1272" s="9"/>
      <c r="G1272" s="9"/>
      <c r="H1272" s="9"/>
      <c r="I1272" s="9"/>
      <c r="J1272" s="9"/>
      <c r="K1272" s="9"/>
      <c r="L1272" s="9"/>
      <c r="M1272" s="10"/>
      <c r="N1272" s="10"/>
      <c r="O1272" s="10"/>
      <c r="P1272" s="10"/>
      <c r="Q1272" s="10"/>
      <c r="R1272" s="9"/>
      <c r="S1272" s="9"/>
      <c r="T1272" s="12"/>
      <c r="U1272" s="12"/>
      <c r="V1272" s="12"/>
      <c r="W1272" s="10"/>
      <c r="X1272" s="10"/>
      <c r="Y1272" s="9"/>
      <c r="Z1272" s="9"/>
      <c r="AA1272" s="9"/>
      <c r="AB1272" s="9"/>
    </row>
    <row r="1273" ht="30.0" customHeight="1">
      <c r="A1273" s="17" t="s">
        <v>1</v>
      </c>
      <c r="B1273" s="8"/>
      <c r="C1273" s="9"/>
      <c r="D1273" s="9"/>
      <c r="E1273" s="9"/>
      <c r="F1273" s="9"/>
      <c r="G1273" s="9"/>
      <c r="H1273" s="9"/>
      <c r="I1273" s="9"/>
      <c r="J1273" s="9"/>
      <c r="K1273" s="9"/>
      <c r="L1273" s="9"/>
      <c r="M1273" s="10"/>
      <c r="N1273" s="10"/>
      <c r="O1273" s="10"/>
      <c r="P1273" s="10"/>
      <c r="Q1273" s="10"/>
      <c r="R1273" s="9"/>
      <c r="S1273" s="9"/>
      <c r="T1273" s="12"/>
      <c r="U1273" s="12"/>
      <c r="V1273" s="12"/>
      <c r="W1273" s="10"/>
      <c r="X1273" s="10"/>
      <c r="Y1273" s="9"/>
      <c r="Z1273" s="9"/>
      <c r="AA1273" s="9"/>
      <c r="AB1273" s="9"/>
    </row>
    <row r="1274" ht="30.0" customHeight="1">
      <c r="A1274" s="17" t="s">
        <v>1</v>
      </c>
      <c r="B1274" s="8"/>
      <c r="C1274" s="9"/>
      <c r="D1274" s="9"/>
      <c r="E1274" s="9"/>
      <c r="F1274" s="9"/>
      <c r="G1274" s="9"/>
      <c r="H1274" s="9"/>
      <c r="I1274" s="9"/>
      <c r="J1274" s="9"/>
      <c r="K1274" s="9"/>
      <c r="L1274" s="9"/>
      <c r="M1274" s="10"/>
      <c r="N1274" s="10"/>
      <c r="O1274" s="10"/>
      <c r="P1274" s="10"/>
      <c r="Q1274" s="10"/>
      <c r="R1274" s="9"/>
      <c r="S1274" s="9"/>
      <c r="T1274" s="12"/>
      <c r="U1274" s="12"/>
      <c r="V1274" s="12"/>
      <c r="W1274" s="10"/>
      <c r="X1274" s="10"/>
      <c r="Y1274" s="9"/>
      <c r="Z1274" s="9"/>
      <c r="AA1274" s="9"/>
      <c r="AB1274" s="9"/>
    </row>
    <row r="1275" ht="30.0" customHeight="1">
      <c r="A1275" s="17" t="s">
        <v>1</v>
      </c>
      <c r="B1275" s="8"/>
      <c r="C1275" s="9"/>
      <c r="D1275" s="9"/>
      <c r="E1275" s="9"/>
      <c r="F1275" s="9"/>
      <c r="G1275" s="9"/>
      <c r="H1275" s="9"/>
      <c r="I1275" s="9"/>
      <c r="J1275" s="9"/>
      <c r="K1275" s="9"/>
      <c r="L1275" s="9"/>
      <c r="M1275" s="10"/>
      <c r="N1275" s="10"/>
      <c r="O1275" s="10"/>
      <c r="P1275" s="10"/>
      <c r="Q1275" s="10"/>
      <c r="R1275" s="9"/>
      <c r="S1275" s="9"/>
      <c r="T1275" s="12"/>
      <c r="U1275" s="12"/>
      <c r="V1275" s="12"/>
      <c r="W1275" s="10"/>
      <c r="X1275" s="10"/>
      <c r="Y1275" s="9"/>
      <c r="Z1275" s="9"/>
      <c r="AA1275" s="9"/>
      <c r="AB1275" s="9"/>
    </row>
    <row r="1276" ht="30.0" customHeight="1">
      <c r="A1276" s="17" t="s">
        <v>1</v>
      </c>
      <c r="B1276" s="8"/>
      <c r="C1276" s="9"/>
      <c r="D1276" s="9"/>
      <c r="E1276" s="9"/>
      <c r="F1276" s="9"/>
      <c r="G1276" s="9"/>
      <c r="H1276" s="9"/>
      <c r="I1276" s="9"/>
      <c r="J1276" s="9"/>
      <c r="K1276" s="9"/>
      <c r="L1276" s="9"/>
      <c r="M1276" s="10"/>
      <c r="N1276" s="10"/>
      <c r="O1276" s="10"/>
      <c r="P1276" s="10"/>
      <c r="Q1276" s="10"/>
      <c r="R1276" s="9"/>
      <c r="S1276" s="9"/>
      <c r="T1276" s="12"/>
      <c r="U1276" s="12"/>
      <c r="V1276" s="12"/>
      <c r="W1276" s="10"/>
      <c r="X1276" s="10"/>
      <c r="Y1276" s="9"/>
      <c r="Z1276" s="9"/>
      <c r="AA1276" s="9"/>
      <c r="AB1276" s="9"/>
    </row>
    <row r="1277" ht="30.0" customHeight="1">
      <c r="A1277" s="17" t="s">
        <v>1</v>
      </c>
      <c r="B1277" s="8"/>
      <c r="C1277" s="9"/>
      <c r="D1277" s="9"/>
      <c r="E1277" s="9"/>
      <c r="F1277" s="9"/>
      <c r="G1277" s="9"/>
      <c r="H1277" s="9"/>
      <c r="I1277" s="9"/>
      <c r="J1277" s="9"/>
      <c r="K1277" s="9"/>
      <c r="L1277" s="9"/>
      <c r="M1277" s="10"/>
      <c r="N1277" s="10"/>
      <c r="O1277" s="10"/>
      <c r="P1277" s="10"/>
      <c r="Q1277" s="10"/>
      <c r="R1277" s="9"/>
      <c r="S1277" s="9"/>
      <c r="T1277" s="12"/>
      <c r="U1277" s="12"/>
      <c r="V1277" s="12"/>
      <c r="W1277" s="10"/>
      <c r="X1277" s="10"/>
      <c r="Y1277" s="9"/>
      <c r="Z1277" s="9"/>
      <c r="AA1277" s="9"/>
      <c r="AB1277" s="9"/>
    </row>
    <row r="1278" ht="30.0" customHeight="1">
      <c r="A1278" s="17" t="s">
        <v>1</v>
      </c>
      <c r="B1278" s="8"/>
      <c r="C1278" s="9"/>
      <c r="D1278" s="9"/>
      <c r="E1278" s="9"/>
      <c r="F1278" s="9"/>
      <c r="G1278" s="9"/>
      <c r="H1278" s="9"/>
      <c r="I1278" s="9"/>
      <c r="J1278" s="9"/>
      <c r="K1278" s="9"/>
      <c r="L1278" s="9"/>
      <c r="M1278" s="10"/>
      <c r="N1278" s="10"/>
      <c r="O1278" s="10"/>
      <c r="P1278" s="10"/>
      <c r="Q1278" s="10"/>
      <c r="R1278" s="9"/>
      <c r="S1278" s="9"/>
      <c r="T1278" s="12"/>
      <c r="U1278" s="12"/>
      <c r="V1278" s="12"/>
      <c r="W1278" s="10"/>
      <c r="X1278" s="10"/>
      <c r="Y1278" s="9"/>
      <c r="Z1278" s="9"/>
      <c r="AA1278" s="9"/>
      <c r="AB1278" s="9"/>
    </row>
    <row r="1279" ht="30.0" customHeight="1">
      <c r="A1279" s="17" t="s">
        <v>1</v>
      </c>
      <c r="B1279" s="8"/>
      <c r="C1279" s="9"/>
      <c r="D1279" s="9"/>
      <c r="E1279" s="9"/>
      <c r="F1279" s="9"/>
      <c r="G1279" s="9"/>
      <c r="H1279" s="9"/>
      <c r="I1279" s="9"/>
      <c r="J1279" s="9"/>
      <c r="K1279" s="9"/>
      <c r="L1279" s="9"/>
      <c r="M1279" s="10"/>
      <c r="N1279" s="10"/>
      <c r="O1279" s="10"/>
      <c r="P1279" s="10"/>
      <c r="Q1279" s="10"/>
      <c r="R1279" s="9"/>
      <c r="S1279" s="9"/>
      <c r="T1279" s="12"/>
      <c r="U1279" s="12"/>
      <c r="V1279" s="12"/>
      <c r="W1279" s="10"/>
      <c r="X1279" s="10"/>
      <c r="Y1279" s="9"/>
      <c r="Z1279" s="9"/>
      <c r="AA1279" s="9"/>
      <c r="AB1279" s="9"/>
    </row>
    <row r="1280" ht="30.0" customHeight="1">
      <c r="A1280" s="17" t="s">
        <v>1</v>
      </c>
      <c r="B1280" s="8"/>
      <c r="C1280" s="9"/>
      <c r="D1280" s="9"/>
      <c r="E1280" s="9"/>
      <c r="F1280" s="9"/>
      <c r="G1280" s="9"/>
      <c r="H1280" s="9"/>
      <c r="I1280" s="9"/>
      <c r="J1280" s="9"/>
      <c r="K1280" s="9"/>
      <c r="L1280" s="9"/>
      <c r="M1280" s="10"/>
      <c r="N1280" s="10"/>
      <c r="O1280" s="10"/>
      <c r="P1280" s="10"/>
      <c r="Q1280" s="10"/>
      <c r="R1280" s="9"/>
      <c r="S1280" s="9"/>
      <c r="T1280" s="12"/>
      <c r="U1280" s="12"/>
      <c r="V1280" s="12"/>
      <c r="W1280" s="10"/>
      <c r="X1280" s="10"/>
      <c r="Y1280" s="9"/>
      <c r="Z1280" s="9"/>
      <c r="AA1280" s="9"/>
      <c r="AB1280" s="9"/>
    </row>
    <row r="1281" ht="30.0" customHeight="1">
      <c r="A1281" s="17" t="s">
        <v>1</v>
      </c>
      <c r="B1281" s="8"/>
      <c r="C1281" s="9"/>
      <c r="D1281" s="9"/>
      <c r="E1281" s="9"/>
      <c r="F1281" s="9"/>
      <c r="G1281" s="9"/>
      <c r="H1281" s="9"/>
      <c r="I1281" s="9"/>
      <c r="J1281" s="9"/>
      <c r="K1281" s="9"/>
      <c r="L1281" s="9"/>
      <c r="M1281" s="10"/>
      <c r="N1281" s="10"/>
      <c r="O1281" s="10"/>
      <c r="P1281" s="10"/>
      <c r="Q1281" s="10"/>
      <c r="R1281" s="9"/>
      <c r="S1281" s="9"/>
      <c r="T1281" s="12"/>
      <c r="U1281" s="12"/>
      <c r="V1281" s="12"/>
      <c r="W1281" s="10"/>
      <c r="X1281" s="10"/>
      <c r="Y1281" s="9"/>
      <c r="Z1281" s="9"/>
      <c r="AA1281" s="9"/>
      <c r="AB1281" s="9"/>
    </row>
    <row r="1282" ht="30.0" customHeight="1">
      <c r="A1282" s="17" t="s">
        <v>1</v>
      </c>
      <c r="B1282" s="8"/>
      <c r="C1282" s="9"/>
      <c r="D1282" s="9"/>
      <c r="E1282" s="9"/>
      <c r="F1282" s="9"/>
      <c r="G1282" s="9"/>
      <c r="H1282" s="9"/>
      <c r="I1282" s="9"/>
      <c r="J1282" s="9"/>
      <c r="K1282" s="9"/>
      <c r="L1282" s="9"/>
      <c r="M1282" s="10"/>
      <c r="N1282" s="10"/>
      <c r="O1282" s="10"/>
      <c r="P1282" s="10"/>
      <c r="Q1282" s="10"/>
      <c r="R1282" s="9"/>
      <c r="S1282" s="9"/>
      <c r="T1282" s="12"/>
      <c r="U1282" s="12"/>
      <c r="V1282" s="12"/>
      <c r="W1282" s="10"/>
      <c r="X1282" s="10"/>
      <c r="Y1282" s="9"/>
      <c r="Z1282" s="9"/>
      <c r="AA1282" s="9"/>
      <c r="AB1282" s="9"/>
    </row>
    <row r="1283" ht="30.0" customHeight="1">
      <c r="A1283" s="17" t="s">
        <v>1</v>
      </c>
      <c r="B1283" s="8"/>
      <c r="C1283" s="9"/>
      <c r="D1283" s="9"/>
      <c r="E1283" s="9"/>
      <c r="F1283" s="9"/>
      <c r="G1283" s="9"/>
      <c r="H1283" s="9"/>
      <c r="I1283" s="9"/>
      <c r="J1283" s="9"/>
      <c r="K1283" s="9"/>
      <c r="L1283" s="9"/>
      <c r="M1283" s="10"/>
      <c r="N1283" s="10"/>
      <c r="O1283" s="10"/>
      <c r="P1283" s="10"/>
      <c r="Q1283" s="10"/>
      <c r="R1283" s="9"/>
      <c r="S1283" s="9"/>
      <c r="T1283" s="12"/>
      <c r="U1283" s="12"/>
      <c r="V1283" s="12"/>
      <c r="W1283" s="10"/>
      <c r="X1283" s="10"/>
      <c r="Y1283" s="9"/>
      <c r="Z1283" s="9"/>
      <c r="AA1283" s="9"/>
      <c r="AB1283" s="9"/>
    </row>
    <row r="1284" ht="30.0" customHeight="1">
      <c r="A1284" s="17" t="s">
        <v>1</v>
      </c>
      <c r="B1284" s="8"/>
      <c r="C1284" s="9"/>
      <c r="D1284" s="9"/>
      <c r="E1284" s="9"/>
      <c r="F1284" s="9"/>
      <c r="G1284" s="9"/>
      <c r="H1284" s="9"/>
      <c r="I1284" s="9"/>
      <c r="J1284" s="9"/>
      <c r="K1284" s="9"/>
      <c r="L1284" s="9"/>
      <c r="M1284" s="10"/>
      <c r="N1284" s="10"/>
      <c r="O1284" s="10"/>
      <c r="P1284" s="10"/>
      <c r="Q1284" s="10"/>
      <c r="R1284" s="9"/>
      <c r="S1284" s="9"/>
      <c r="T1284" s="12"/>
      <c r="U1284" s="12"/>
      <c r="V1284" s="12"/>
      <c r="W1284" s="10"/>
      <c r="X1284" s="10"/>
      <c r="Y1284" s="9"/>
      <c r="Z1284" s="9"/>
      <c r="AA1284" s="9"/>
      <c r="AB1284" s="9"/>
    </row>
    <row r="1285" ht="30.0" customHeight="1">
      <c r="A1285" s="17" t="s">
        <v>1</v>
      </c>
      <c r="B1285" s="8"/>
      <c r="C1285" s="9"/>
      <c r="D1285" s="9"/>
      <c r="E1285" s="9"/>
      <c r="F1285" s="9"/>
      <c r="G1285" s="9"/>
      <c r="H1285" s="9"/>
      <c r="I1285" s="9"/>
      <c r="J1285" s="9"/>
      <c r="K1285" s="9"/>
      <c r="L1285" s="9"/>
      <c r="M1285" s="10"/>
      <c r="N1285" s="10"/>
      <c r="O1285" s="10"/>
      <c r="P1285" s="10"/>
      <c r="Q1285" s="10"/>
      <c r="R1285" s="9"/>
      <c r="S1285" s="9"/>
      <c r="T1285" s="12"/>
      <c r="U1285" s="12"/>
      <c r="V1285" s="12"/>
      <c r="W1285" s="10"/>
      <c r="X1285" s="10"/>
      <c r="Y1285" s="9"/>
      <c r="Z1285" s="9"/>
      <c r="AA1285" s="9"/>
      <c r="AB1285" s="9"/>
    </row>
    <row r="1286" ht="30.0" customHeight="1">
      <c r="A1286" s="17" t="s">
        <v>1</v>
      </c>
      <c r="B1286" s="8"/>
      <c r="C1286" s="9"/>
      <c r="D1286" s="9"/>
      <c r="E1286" s="9"/>
      <c r="F1286" s="9"/>
      <c r="G1286" s="9"/>
      <c r="H1286" s="9"/>
      <c r="I1286" s="9"/>
      <c r="J1286" s="9"/>
      <c r="K1286" s="9"/>
      <c r="L1286" s="9"/>
      <c r="M1286" s="10"/>
      <c r="N1286" s="10"/>
      <c r="O1286" s="10"/>
      <c r="P1286" s="10"/>
      <c r="Q1286" s="10"/>
      <c r="R1286" s="9"/>
      <c r="S1286" s="9"/>
      <c r="T1286" s="12"/>
      <c r="U1286" s="12"/>
      <c r="V1286" s="12"/>
      <c r="W1286" s="10"/>
      <c r="X1286" s="10"/>
      <c r="Y1286" s="9"/>
      <c r="Z1286" s="9"/>
      <c r="AA1286" s="9"/>
      <c r="AB1286" s="9"/>
    </row>
    <row r="1287" ht="30.0" customHeight="1">
      <c r="A1287" s="17" t="s">
        <v>1</v>
      </c>
      <c r="B1287" s="8"/>
      <c r="C1287" s="9"/>
      <c r="D1287" s="9"/>
      <c r="E1287" s="9"/>
      <c r="F1287" s="9"/>
      <c r="G1287" s="9"/>
      <c r="H1287" s="9"/>
      <c r="I1287" s="9"/>
      <c r="J1287" s="9"/>
      <c r="K1287" s="9"/>
      <c r="L1287" s="9"/>
      <c r="M1287" s="10"/>
      <c r="N1287" s="10"/>
      <c r="O1287" s="10"/>
      <c r="P1287" s="10"/>
      <c r="Q1287" s="10"/>
      <c r="R1287" s="9"/>
      <c r="S1287" s="9"/>
      <c r="T1287" s="12"/>
      <c r="U1287" s="12"/>
      <c r="V1287" s="12"/>
      <c r="W1287" s="10"/>
      <c r="X1287" s="10"/>
      <c r="Y1287" s="9"/>
      <c r="Z1287" s="9"/>
      <c r="AA1287" s="9"/>
      <c r="AB1287" s="9"/>
    </row>
    <row r="1288" ht="30.0" customHeight="1">
      <c r="A1288" s="17" t="s">
        <v>1</v>
      </c>
      <c r="B1288" s="8"/>
      <c r="C1288" s="9"/>
      <c r="D1288" s="9"/>
      <c r="E1288" s="9"/>
      <c r="F1288" s="9"/>
      <c r="G1288" s="9"/>
      <c r="H1288" s="9"/>
      <c r="I1288" s="9"/>
      <c r="J1288" s="9"/>
      <c r="K1288" s="9"/>
      <c r="L1288" s="9"/>
      <c r="M1288" s="10"/>
      <c r="N1288" s="10"/>
      <c r="O1288" s="10"/>
      <c r="P1288" s="10"/>
      <c r="Q1288" s="10"/>
      <c r="R1288" s="9"/>
      <c r="S1288" s="9"/>
      <c r="T1288" s="12"/>
      <c r="U1288" s="12"/>
      <c r="V1288" s="12"/>
      <c r="W1288" s="10"/>
      <c r="X1288" s="10"/>
      <c r="Y1288" s="9"/>
      <c r="Z1288" s="9"/>
      <c r="AA1288" s="9"/>
      <c r="AB1288" s="9"/>
    </row>
    <row r="1289" ht="30.0" customHeight="1">
      <c r="A1289" s="17" t="s">
        <v>1</v>
      </c>
      <c r="B1289" s="8"/>
      <c r="C1289" s="9"/>
      <c r="D1289" s="9"/>
      <c r="E1289" s="9"/>
      <c r="F1289" s="9"/>
      <c r="G1289" s="9"/>
      <c r="H1289" s="9"/>
      <c r="I1289" s="9"/>
      <c r="J1289" s="9"/>
      <c r="K1289" s="9"/>
      <c r="L1289" s="9"/>
      <c r="M1289" s="10"/>
      <c r="N1289" s="10"/>
      <c r="O1289" s="10"/>
      <c r="P1289" s="10"/>
      <c r="Q1289" s="10"/>
      <c r="R1289" s="9"/>
      <c r="S1289" s="9"/>
      <c r="T1289" s="12"/>
      <c r="U1289" s="12"/>
      <c r="V1289" s="12"/>
      <c r="W1289" s="10"/>
      <c r="X1289" s="10"/>
      <c r="Y1289" s="9"/>
      <c r="Z1289" s="9"/>
      <c r="AA1289" s="9"/>
      <c r="AB1289" s="9"/>
    </row>
    <row r="1290" ht="30.0" customHeight="1">
      <c r="A1290" s="17" t="s">
        <v>1</v>
      </c>
      <c r="B1290" s="8"/>
      <c r="C1290" s="9"/>
      <c r="D1290" s="9"/>
      <c r="E1290" s="9"/>
      <c r="F1290" s="9"/>
      <c r="G1290" s="9"/>
      <c r="H1290" s="9"/>
      <c r="I1290" s="9"/>
      <c r="J1290" s="9"/>
      <c r="K1290" s="9"/>
      <c r="L1290" s="9"/>
      <c r="M1290" s="10"/>
      <c r="N1290" s="10"/>
      <c r="O1290" s="10"/>
      <c r="P1290" s="10"/>
      <c r="Q1290" s="10"/>
      <c r="R1290" s="9"/>
      <c r="S1290" s="9"/>
      <c r="T1290" s="12"/>
      <c r="U1290" s="12"/>
      <c r="V1290" s="12"/>
      <c r="W1290" s="10"/>
      <c r="X1290" s="10"/>
      <c r="Y1290" s="9"/>
      <c r="Z1290" s="9"/>
      <c r="AA1290" s="9"/>
      <c r="AB1290" s="9"/>
    </row>
    <row r="1291" ht="30.0" customHeight="1">
      <c r="A1291" s="17" t="s">
        <v>1</v>
      </c>
      <c r="B1291" s="8"/>
      <c r="C1291" s="9"/>
      <c r="D1291" s="9"/>
      <c r="E1291" s="9"/>
      <c r="F1291" s="9"/>
      <c r="G1291" s="9"/>
      <c r="H1291" s="9"/>
      <c r="I1291" s="9"/>
      <c r="J1291" s="9"/>
      <c r="K1291" s="9"/>
      <c r="L1291" s="9"/>
      <c r="M1291" s="10"/>
      <c r="N1291" s="10"/>
      <c r="O1291" s="10"/>
      <c r="P1291" s="10"/>
      <c r="Q1291" s="10"/>
      <c r="R1291" s="9"/>
      <c r="S1291" s="9"/>
      <c r="T1291" s="12"/>
      <c r="U1291" s="12"/>
      <c r="V1291" s="12"/>
      <c r="W1291" s="10"/>
      <c r="X1291" s="10"/>
      <c r="Y1291" s="9"/>
      <c r="Z1291" s="9"/>
      <c r="AA1291" s="9"/>
      <c r="AB1291" s="9"/>
    </row>
    <row r="1292" ht="30.0" customHeight="1">
      <c r="A1292" s="17" t="s">
        <v>1</v>
      </c>
      <c r="B1292" s="8"/>
      <c r="C1292" s="9"/>
      <c r="D1292" s="9"/>
      <c r="E1292" s="9"/>
      <c r="F1292" s="9"/>
      <c r="G1292" s="9"/>
      <c r="H1292" s="9"/>
      <c r="I1292" s="9"/>
      <c r="J1292" s="9"/>
      <c r="K1292" s="9"/>
      <c r="L1292" s="9"/>
      <c r="M1292" s="10"/>
      <c r="N1292" s="10"/>
      <c r="O1292" s="10"/>
      <c r="P1292" s="10"/>
      <c r="Q1292" s="10"/>
      <c r="R1292" s="9"/>
      <c r="S1292" s="9"/>
      <c r="T1292" s="12"/>
      <c r="U1292" s="12"/>
      <c r="V1292" s="12"/>
      <c r="W1292" s="10"/>
      <c r="X1292" s="10"/>
      <c r="Y1292" s="9"/>
      <c r="Z1292" s="9"/>
      <c r="AA1292" s="9"/>
      <c r="AB1292" s="9"/>
    </row>
    <row r="1293" ht="30.0" customHeight="1">
      <c r="A1293" s="17" t="s">
        <v>1</v>
      </c>
      <c r="B1293" s="8"/>
      <c r="C1293" s="9"/>
      <c r="D1293" s="9"/>
      <c r="E1293" s="9"/>
      <c r="F1293" s="9"/>
      <c r="G1293" s="9"/>
      <c r="H1293" s="9"/>
      <c r="I1293" s="9"/>
      <c r="J1293" s="9"/>
      <c r="K1293" s="9"/>
      <c r="L1293" s="9"/>
      <c r="M1293" s="10"/>
      <c r="N1293" s="10"/>
      <c r="O1293" s="10"/>
      <c r="P1293" s="10"/>
      <c r="Q1293" s="10"/>
      <c r="R1293" s="9"/>
      <c r="S1293" s="9"/>
      <c r="T1293" s="12"/>
      <c r="U1293" s="12"/>
      <c r="V1293" s="12"/>
      <c r="W1293" s="10"/>
      <c r="X1293" s="10"/>
      <c r="Y1293" s="9"/>
      <c r="Z1293" s="9"/>
      <c r="AA1293" s="9"/>
      <c r="AB1293" s="9"/>
    </row>
    <row r="1294" ht="30.0" customHeight="1">
      <c r="A1294" s="17" t="s">
        <v>1</v>
      </c>
      <c r="B1294" s="8"/>
      <c r="C1294" s="9"/>
      <c r="D1294" s="9"/>
      <c r="E1294" s="9"/>
      <c r="F1294" s="9"/>
      <c r="G1294" s="9"/>
      <c r="H1294" s="9"/>
      <c r="I1294" s="9"/>
      <c r="J1294" s="9"/>
      <c r="K1294" s="9"/>
      <c r="L1294" s="9"/>
      <c r="M1294" s="10"/>
      <c r="N1294" s="10"/>
      <c r="O1294" s="10"/>
      <c r="P1294" s="10"/>
      <c r="Q1294" s="10"/>
      <c r="R1294" s="9"/>
      <c r="S1294" s="9"/>
      <c r="T1294" s="12"/>
      <c r="U1294" s="12"/>
      <c r="V1294" s="12"/>
      <c r="W1294" s="10"/>
      <c r="X1294" s="10"/>
      <c r="Y1294" s="9"/>
      <c r="Z1294" s="9"/>
      <c r="AA1294" s="9"/>
      <c r="AB1294" s="9"/>
    </row>
    <row r="1295" ht="30.0" customHeight="1">
      <c r="A1295" s="17" t="s">
        <v>1</v>
      </c>
      <c r="B1295" s="8"/>
      <c r="C1295" s="9"/>
      <c r="D1295" s="9"/>
      <c r="E1295" s="9"/>
      <c r="F1295" s="9"/>
      <c r="G1295" s="9"/>
      <c r="H1295" s="9"/>
      <c r="I1295" s="9"/>
      <c r="J1295" s="9"/>
      <c r="K1295" s="9"/>
      <c r="L1295" s="9"/>
      <c r="M1295" s="10"/>
      <c r="N1295" s="10"/>
      <c r="O1295" s="10"/>
      <c r="P1295" s="10"/>
      <c r="Q1295" s="10"/>
      <c r="R1295" s="9"/>
      <c r="S1295" s="9"/>
      <c r="T1295" s="12"/>
      <c r="U1295" s="12"/>
      <c r="V1295" s="12"/>
      <c r="W1295" s="10"/>
      <c r="X1295" s="10"/>
      <c r="Y1295" s="9"/>
      <c r="Z1295" s="9"/>
      <c r="AA1295" s="9"/>
      <c r="AB1295" s="9"/>
    </row>
    <row r="1296" ht="30.0" customHeight="1">
      <c r="A1296" s="17" t="s">
        <v>1</v>
      </c>
      <c r="B1296" s="8"/>
      <c r="C1296" s="9"/>
      <c r="D1296" s="9"/>
      <c r="E1296" s="9"/>
      <c r="F1296" s="9"/>
      <c r="G1296" s="9"/>
      <c r="H1296" s="9"/>
      <c r="I1296" s="9"/>
      <c r="J1296" s="9"/>
      <c r="K1296" s="9"/>
      <c r="L1296" s="9"/>
      <c r="M1296" s="10"/>
      <c r="N1296" s="10"/>
      <c r="O1296" s="10"/>
      <c r="P1296" s="10"/>
      <c r="Q1296" s="10"/>
      <c r="R1296" s="9"/>
      <c r="S1296" s="9"/>
      <c r="T1296" s="12"/>
      <c r="U1296" s="12"/>
      <c r="V1296" s="12"/>
      <c r="W1296" s="10"/>
      <c r="X1296" s="10"/>
      <c r="Y1296" s="9"/>
      <c r="Z1296" s="9"/>
      <c r="AA1296" s="9"/>
      <c r="AB1296" s="9"/>
    </row>
    <row r="1297" ht="30.0" customHeight="1">
      <c r="A1297" s="17" t="s">
        <v>1</v>
      </c>
      <c r="B1297" s="8"/>
      <c r="C1297" s="9"/>
      <c r="D1297" s="9"/>
      <c r="E1297" s="9"/>
      <c r="F1297" s="9"/>
      <c r="G1297" s="9"/>
      <c r="H1297" s="9"/>
      <c r="I1297" s="9"/>
      <c r="J1297" s="9"/>
      <c r="K1297" s="9"/>
      <c r="L1297" s="9"/>
      <c r="M1297" s="10"/>
      <c r="N1297" s="10"/>
      <c r="O1297" s="10"/>
      <c r="P1297" s="10"/>
      <c r="Q1297" s="10"/>
      <c r="R1297" s="9"/>
      <c r="S1297" s="9"/>
      <c r="T1297" s="12"/>
      <c r="U1297" s="12"/>
      <c r="V1297" s="12"/>
      <c r="W1297" s="10"/>
      <c r="X1297" s="10"/>
      <c r="Y1297" s="9"/>
      <c r="Z1297" s="9"/>
      <c r="AA1297" s="9"/>
      <c r="AB1297" s="9"/>
    </row>
    <row r="1298" ht="30.0" customHeight="1">
      <c r="A1298" s="17" t="s">
        <v>1</v>
      </c>
      <c r="B1298" s="8"/>
      <c r="C1298" s="9"/>
      <c r="D1298" s="9"/>
      <c r="E1298" s="9"/>
      <c r="F1298" s="9"/>
      <c r="G1298" s="9"/>
      <c r="H1298" s="9"/>
      <c r="I1298" s="9"/>
      <c r="J1298" s="9"/>
      <c r="K1298" s="9"/>
      <c r="L1298" s="9"/>
      <c r="M1298" s="10"/>
      <c r="N1298" s="10"/>
      <c r="O1298" s="10"/>
      <c r="P1298" s="10"/>
      <c r="Q1298" s="10"/>
      <c r="R1298" s="9"/>
      <c r="S1298" s="9"/>
      <c r="T1298" s="12"/>
      <c r="U1298" s="12"/>
      <c r="V1298" s="12"/>
      <c r="W1298" s="10"/>
      <c r="X1298" s="10"/>
      <c r="Y1298" s="9"/>
      <c r="Z1298" s="9"/>
      <c r="AA1298" s="9"/>
      <c r="AB1298" s="9"/>
    </row>
    <row r="1299" ht="30.0" customHeight="1">
      <c r="A1299" s="17" t="s">
        <v>1</v>
      </c>
      <c r="B1299" s="8"/>
      <c r="C1299" s="9"/>
      <c r="D1299" s="9"/>
      <c r="E1299" s="9"/>
      <c r="F1299" s="9"/>
      <c r="G1299" s="9"/>
      <c r="H1299" s="9"/>
      <c r="I1299" s="9"/>
      <c r="J1299" s="9"/>
      <c r="K1299" s="9"/>
      <c r="L1299" s="9"/>
      <c r="M1299" s="10"/>
      <c r="N1299" s="10"/>
      <c r="O1299" s="10"/>
      <c r="P1299" s="10"/>
      <c r="Q1299" s="10"/>
      <c r="R1299" s="9"/>
      <c r="S1299" s="9"/>
      <c r="T1299" s="12"/>
      <c r="U1299" s="12"/>
      <c r="V1299" s="12"/>
      <c r="W1299" s="10"/>
      <c r="X1299" s="10"/>
      <c r="Y1299" s="9"/>
      <c r="Z1299" s="9"/>
      <c r="AA1299" s="9"/>
      <c r="AB1299" s="9"/>
    </row>
    <row r="1300" ht="30.0" customHeight="1">
      <c r="A1300" s="17" t="s">
        <v>1</v>
      </c>
      <c r="B1300" s="8"/>
      <c r="C1300" s="9"/>
      <c r="D1300" s="9"/>
      <c r="E1300" s="9"/>
      <c r="F1300" s="9"/>
      <c r="G1300" s="9"/>
      <c r="H1300" s="9"/>
      <c r="I1300" s="9"/>
      <c r="J1300" s="9"/>
      <c r="K1300" s="9"/>
      <c r="L1300" s="9"/>
      <c r="M1300" s="10"/>
      <c r="N1300" s="10"/>
      <c r="O1300" s="10"/>
      <c r="P1300" s="10"/>
      <c r="Q1300" s="10"/>
      <c r="R1300" s="9"/>
      <c r="S1300" s="9"/>
      <c r="T1300" s="12"/>
      <c r="U1300" s="12"/>
      <c r="V1300" s="12"/>
      <c r="W1300" s="10"/>
      <c r="X1300" s="10"/>
      <c r="Y1300" s="9"/>
      <c r="Z1300" s="9"/>
      <c r="AA1300" s="9"/>
      <c r="AB1300" s="9"/>
    </row>
    <row r="1301" ht="30.0" customHeight="1">
      <c r="A1301" s="17" t="s">
        <v>1</v>
      </c>
      <c r="B1301" s="8"/>
      <c r="C1301" s="9"/>
      <c r="D1301" s="9"/>
      <c r="E1301" s="9"/>
      <c r="F1301" s="9"/>
      <c r="G1301" s="9"/>
      <c r="H1301" s="9"/>
      <c r="I1301" s="9"/>
      <c r="J1301" s="9"/>
      <c r="K1301" s="9"/>
      <c r="L1301" s="9"/>
      <c r="M1301" s="10"/>
      <c r="N1301" s="10"/>
      <c r="O1301" s="10"/>
      <c r="P1301" s="10"/>
      <c r="Q1301" s="10"/>
      <c r="R1301" s="9"/>
      <c r="S1301" s="9"/>
      <c r="T1301" s="12"/>
      <c r="U1301" s="12"/>
      <c r="V1301" s="12"/>
      <c r="W1301" s="10"/>
      <c r="X1301" s="10"/>
      <c r="Y1301" s="9"/>
      <c r="Z1301" s="9"/>
      <c r="AA1301" s="9"/>
      <c r="AB1301" s="9"/>
    </row>
    <row r="1302" ht="30.0" customHeight="1">
      <c r="A1302" s="17" t="s">
        <v>1</v>
      </c>
      <c r="B1302" s="8"/>
      <c r="C1302" s="9"/>
      <c r="D1302" s="9"/>
      <c r="E1302" s="9"/>
      <c r="F1302" s="9"/>
      <c r="G1302" s="9"/>
      <c r="H1302" s="9"/>
      <c r="I1302" s="9"/>
      <c r="J1302" s="9"/>
      <c r="K1302" s="9"/>
      <c r="L1302" s="9"/>
      <c r="M1302" s="10"/>
      <c r="N1302" s="10"/>
      <c r="O1302" s="10"/>
      <c r="P1302" s="10"/>
      <c r="Q1302" s="10"/>
      <c r="R1302" s="9"/>
      <c r="S1302" s="9"/>
      <c r="T1302" s="12"/>
      <c r="U1302" s="12"/>
      <c r="V1302" s="12"/>
      <c r="W1302" s="10"/>
      <c r="X1302" s="10"/>
      <c r="Y1302" s="9"/>
      <c r="Z1302" s="9"/>
      <c r="AA1302" s="9"/>
      <c r="AB1302" s="9"/>
    </row>
    <row r="1303" ht="30.0" customHeight="1">
      <c r="A1303" s="17" t="s">
        <v>1</v>
      </c>
      <c r="B1303" s="8"/>
      <c r="C1303" s="9"/>
      <c r="D1303" s="9"/>
      <c r="E1303" s="9"/>
      <c r="F1303" s="9"/>
      <c r="G1303" s="9"/>
      <c r="H1303" s="9"/>
      <c r="I1303" s="9"/>
      <c r="J1303" s="9"/>
      <c r="K1303" s="9"/>
      <c r="L1303" s="9"/>
      <c r="M1303" s="10"/>
      <c r="N1303" s="10"/>
      <c r="O1303" s="10"/>
      <c r="P1303" s="10"/>
      <c r="Q1303" s="10"/>
      <c r="R1303" s="9"/>
      <c r="S1303" s="9"/>
      <c r="T1303" s="12"/>
      <c r="U1303" s="12"/>
      <c r="V1303" s="12"/>
      <c r="W1303" s="10"/>
      <c r="X1303" s="10"/>
      <c r="Y1303" s="9"/>
      <c r="Z1303" s="9"/>
      <c r="AA1303" s="9"/>
      <c r="AB1303" s="9"/>
    </row>
    <row r="1304" ht="30.0" customHeight="1">
      <c r="A1304" s="17" t="s">
        <v>1</v>
      </c>
      <c r="B1304" s="8"/>
      <c r="C1304" s="9"/>
      <c r="D1304" s="9"/>
      <c r="E1304" s="9"/>
      <c r="F1304" s="9"/>
      <c r="G1304" s="9"/>
      <c r="H1304" s="9"/>
      <c r="I1304" s="9"/>
      <c r="J1304" s="9"/>
      <c r="K1304" s="9"/>
      <c r="L1304" s="9"/>
      <c r="M1304" s="10"/>
      <c r="N1304" s="10"/>
      <c r="O1304" s="10"/>
      <c r="P1304" s="10"/>
      <c r="Q1304" s="10"/>
      <c r="R1304" s="9"/>
      <c r="S1304" s="9"/>
      <c r="T1304" s="12"/>
      <c r="U1304" s="12"/>
      <c r="V1304" s="12"/>
      <c r="W1304" s="10"/>
      <c r="X1304" s="10"/>
      <c r="Y1304" s="9"/>
      <c r="Z1304" s="9"/>
      <c r="AA1304" s="9"/>
      <c r="AB1304" s="9"/>
    </row>
    <row r="1305" ht="30.0" customHeight="1">
      <c r="A1305" s="17" t="s">
        <v>1</v>
      </c>
      <c r="B1305" s="8"/>
      <c r="C1305" s="9"/>
      <c r="D1305" s="9"/>
      <c r="E1305" s="9"/>
      <c r="F1305" s="9"/>
      <c r="G1305" s="9"/>
      <c r="H1305" s="9"/>
      <c r="I1305" s="9"/>
      <c r="J1305" s="9"/>
      <c r="K1305" s="9"/>
      <c r="L1305" s="9"/>
      <c r="M1305" s="10"/>
      <c r="N1305" s="10"/>
      <c r="O1305" s="10"/>
      <c r="P1305" s="10"/>
      <c r="Q1305" s="10"/>
      <c r="R1305" s="9"/>
      <c r="S1305" s="9"/>
      <c r="T1305" s="12"/>
      <c r="U1305" s="12"/>
      <c r="V1305" s="12"/>
      <c r="W1305" s="10"/>
      <c r="X1305" s="10"/>
      <c r="Y1305" s="9"/>
      <c r="Z1305" s="9"/>
      <c r="AA1305" s="9"/>
      <c r="AB1305" s="9"/>
    </row>
    <row r="1306" ht="30.0" customHeight="1">
      <c r="A1306" s="17" t="s">
        <v>1</v>
      </c>
      <c r="B1306" s="8"/>
      <c r="C1306" s="9"/>
      <c r="D1306" s="9"/>
      <c r="E1306" s="9"/>
      <c r="F1306" s="9"/>
      <c r="G1306" s="9"/>
      <c r="H1306" s="9"/>
      <c r="I1306" s="9"/>
      <c r="J1306" s="9"/>
      <c r="K1306" s="9"/>
      <c r="L1306" s="9"/>
      <c r="M1306" s="10"/>
      <c r="N1306" s="10"/>
      <c r="O1306" s="10"/>
      <c r="P1306" s="10"/>
      <c r="Q1306" s="10"/>
      <c r="R1306" s="9"/>
      <c r="S1306" s="9"/>
      <c r="T1306" s="12"/>
      <c r="U1306" s="12"/>
      <c r="V1306" s="12"/>
      <c r="W1306" s="10"/>
      <c r="X1306" s="10"/>
      <c r="Y1306" s="9"/>
      <c r="Z1306" s="9"/>
      <c r="AA1306" s="9"/>
      <c r="AB1306" s="9"/>
    </row>
    <row r="1307" ht="30.0" customHeight="1">
      <c r="A1307" s="17" t="s">
        <v>1</v>
      </c>
      <c r="B1307" s="8"/>
      <c r="C1307" s="9"/>
      <c r="D1307" s="9"/>
      <c r="E1307" s="9"/>
      <c r="F1307" s="9"/>
      <c r="G1307" s="9"/>
      <c r="H1307" s="9"/>
      <c r="I1307" s="9"/>
      <c r="J1307" s="9"/>
      <c r="K1307" s="9"/>
      <c r="L1307" s="9"/>
      <c r="M1307" s="10"/>
      <c r="N1307" s="10"/>
      <c r="O1307" s="10"/>
      <c r="P1307" s="10"/>
      <c r="Q1307" s="10"/>
      <c r="R1307" s="9"/>
      <c r="S1307" s="9"/>
      <c r="T1307" s="12"/>
      <c r="U1307" s="12"/>
      <c r="V1307" s="12"/>
      <c r="W1307" s="10"/>
      <c r="X1307" s="10"/>
      <c r="Y1307" s="9"/>
      <c r="Z1307" s="9"/>
      <c r="AA1307" s="9"/>
      <c r="AB1307" s="9"/>
    </row>
    <row r="1308" ht="30.0" customHeight="1">
      <c r="A1308" s="17" t="s">
        <v>1</v>
      </c>
      <c r="B1308" s="8"/>
      <c r="C1308" s="9"/>
      <c r="D1308" s="9"/>
      <c r="E1308" s="9"/>
      <c r="F1308" s="9"/>
      <c r="G1308" s="9"/>
      <c r="H1308" s="9"/>
      <c r="I1308" s="9"/>
      <c r="J1308" s="9"/>
      <c r="K1308" s="9"/>
      <c r="L1308" s="9"/>
      <c r="M1308" s="10"/>
      <c r="N1308" s="10"/>
      <c r="O1308" s="10"/>
      <c r="P1308" s="10"/>
      <c r="Q1308" s="10"/>
      <c r="R1308" s="9"/>
      <c r="S1308" s="9"/>
      <c r="T1308" s="12"/>
      <c r="U1308" s="12"/>
      <c r="V1308" s="12"/>
      <c r="W1308" s="10"/>
      <c r="X1308" s="10"/>
      <c r="Y1308" s="9"/>
      <c r="Z1308" s="9"/>
      <c r="AA1308" s="9"/>
      <c r="AB1308" s="9"/>
    </row>
    <row r="1309" ht="30.0" customHeight="1">
      <c r="A1309" s="17" t="s">
        <v>1</v>
      </c>
      <c r="B1309" s="8"/>
      <c r="C1309" s="9"/>
      <c r="D1309" s="9"/>
      <c r="E1309" s="9"/>
      <c r="F1309" s="9"/>
      <c r="G1309" s="9"/>
      <c r="H1309" s="9"/>
      <c r="I1309" s="9"/>
      <c r="J1309" s="9"/>
      <c r="K1309" s="9"/>
      <c r="L1309" s="9"/>
      <c r="M1309" s="10"/>
      <c r="N1309" s="10"/>
      <c r="O1309" s="10"/>
      <c r="P1309" s="10"/>
      <c r="Q1309" s="10"/>
      <c r="R1309" s="9"/>
      <c r="S1309" s="9"/>
      <c r="T1309" s="12"/>
      <c r="U1309" s="12"/>
      <c r="V1309" s="12"/>
      <c r="W1309" s="10"/>
      <c r="X1309" s="10"/>
      <c r="Y1309" s="9"/>
      <c r="Z1309" s="9"/>
      <c r="AA1309" s="9"/>
      <c r="AB1309" s="9"/>
    </row>
    <row r="1310" ht="30.0" customHeight="1">
      <c r="A1310" s="17" t="s">
        <v>1</v>
      </c>
      <c r="B1310" s="8"/>
      <c r="C1310" s="9"/>
      <c r="D1310" s="9"/>
      <c r="E1310" s="9"/>
      <c r="F1310" s="9"/>
      <c r="G1310" s="9"/>
      <c r="H1310" s="9"/>
      <c r="I1310" s="9"/>
      <c r="J1310" s="9"/>
      <c r="K1310" s="9"/>
      <c r="L1310" s="9"/>
      <c r="M1310" s="10"/>
      <c r="N1310" s="10"/>
      <c r="O1310" s="10"/>
      <c r="P1310" s="10"/>
      <c r="Q1310" s="10"/>
      <c r="R1310" s="9"/>
      <c r="S1310" s="9"/>
      <c r="T1310" s="12"/>
      <c r="U1310" s="12"/>
      <c r="V1310" s="12"/>
      <c r="W1310" s="10"/>
      <c r="X1310" s="10"/>
      <c r="Y1310" s="9"/>
      <c r="Z1310" s="9"/>
      <c r="AA1310" s="9"/>
      <c r="AB1310" s="9"/>
    </row>
    <row r="1311" ht="30.0" customHeight="1">
      <c r="A1311" s="17" t="s">
        <v>1</v>
      </c>
      <c r="B1311" s="8"/>
      <c r="C1311" s="9"/>
      <c r="D1311" s="9"/>
      <c r="E1311" s="9"/>
      <c r="F1311" s="9"/>
      <c r="G1311" s="9"/>
      <c r="H1311" s="9"/>
      <c r="I1311" s="9"/>
      <c r="J1311" s="9"/>
      <c r="K1311" s="9"/>
      <c r="L1311" s="9"/>
      <c r="M1311" s="10"/>
      <c r="N1311" s="10"/>
      <c r="O1311" s="10"/>
      <c r="P1311" s="10"/>
      <c r="Q1311" s="10"/>
      <c r="R1311" s="9"/>
      <c r="S1311" s="9"/>
      <c r="T1311" s="12"/>
      <c r="U1311" s="12"/>
      <c r="V1311" s="12"/>
      <c r="W1311" s="10"/>
      <c r="X1311" s="10"/>
      <c r="Y1311" s="9"/>
      <c r="Z1311" s="9"/>
      <c r="AA1311" s="9"/>
      <c r="AB1311" s="9"/>
    </row>
    <row r="1312" ht="30.0" customHeight="1">
      <c r="A1312" s="17" t="s">
        <v>1</v>
      </c>
      <c r="B1312" s="8"/>
      <c r="C1312" s="9"/>
      <c r="D1312" s="9"/>
      <c r="E1312" s="9"/>
      <c r="F1312" s="9"/>
      <c r="G1312" s="9"/>
      <c r="H1312" s="9"/>
      <c r="I1312" s="9"/>
      <c r="J1312" s="9"/>
      <c r="K1312" s="9"/>
      <c r="L1312" s="9"/>
      <c r="M1312" s="10"/>
      <c r="N1312" s="10"/>
      <c r="O1312" s="10"/>
      <c r="P1312" s="10"/>
      <c r="Q1312" s="10"/>
      <c r="R1312" s="9"/>
      <c r="S1312" s="9"/>
      <c r="T1312" s="12"/>
      <c r="U1312" s="12"/>
      <c r="V1312" s="12"/>
      <c r="W1312" s="10"/>
      <c r="X1312" s="10"/>
      <c r="Y1312" s="9"/>
      <c r="Z1312" s="9"/>
      <c r="AA1312" s="9"/>
      <c r="AB1312" s="9"/>
    </row>
    <row r="1313" ht="30.0" customHeight="1">
      <c r="A1313" s="17" t="s">
        <v>1</v>
      </c>
      <c r="B1313" s="8"/>
      <c r="C1313" s="9"/>
      <c r="D1313" s="9"/>
      <c r="E1313" s="9"/>
      <c r="F1313" s="9"/>
      <c r="G1313" s="9"/>
      <c r="H1313" s="9"/>
      <c r="I1313" s="9"/>
      <c r="J1313" s="9"/>
      <c r="K1313" s="9"/>
      <c r="L1313" s="9"/>
      <c r="M1313" s="10"/>
      <c r="N1313" s="10"/>
      <c r="O1313" s="10"/>
      <c r="P1313" s="10"/>
      <c r="Q1313" s="10"/>
      <c r="R1313" s="9"/>
      <c r="S1313" s="9"/>
      <c r="T1313" s="12"/>
      <c r="U1313" s="12"/>
      <c r="V1313" s="12"/>
      <c r="W1313" s="10"/>
      <c r="X1313" s="10"/>
      <c r="Y1313" s="9"/>
      <c r="Z1313" s="9"/>
      <c r="AA1313" s="9"/>
      <c r="AB1313" s="9"/>
    </row>
    <row r="1314" ht="30.0" customHeight="1">
      <c r="A1314" s="17" t="s">
        <v>1</v>
      </c>
      <c r="B1314" s="8"/>
      <c r="C1314" s="9"/>
      <c r="D1314" s="9"/>
      <c r="E1314" s="9"/>
      <c r="F1314" s="9"/>
      <c r="G1314" s="9"/>
      <c r="H1314" s="9"/>
      <c r="I1314" s="9"/>
      <c r="J1314" s="9"/>
      <c r="K1314" s="9"/>
      <c r="L1314" s="9"/>
      <c r="M1314" s="10"/>
      <c r="N1314" s="10"/>
      <c r="O1314" s="10"/>
      <c r="P1314" s="10"/>
      <c r="Q1314" s="10"/>
      <c r="R1314" s="9"/>
      <c r="S1314" s="9"/>
      <c r="T1314" s="12"/>
      <c r="U1314" s="12"/>
      <c r="V1314" s="12"/>
      <c r="W1314" s="10"/>
      <c r="X1314" s="10"/>
      <c r="Y1314" s="9"/>
      <c r="Z1314" s="9"/>
      <c r="AA1314" s="9"/>
      <c r="AB1314" s="9"/>
    </row>
    <row r="1315" ht="30.0" customHeight="1">
      <c r="A1315" s="17" t="s">
        <v>1</v>
      </c>
      <c r="B1315" s="8"/>
      <c r="C1315" s="9"/>
      <c r="D1315" s="9"/>
      <c r="E1315" s="9"/>
      <c r="F1315" s="9"/>
      <c r="G1315" s="9"/>
      <c r="H1315" s="9"/>
      <c r="I1315" s="9"/>
      <c r="J1315" s="9"/>
      <c r="K1315" s="9"/>
      <c r="L1315" s="9"/>
      <c r="M1315" s="10"/>
      <c r="N1315" s="10"/>
      <c r="O1315" s="10"/>
      <c r="P1315" s="10"/>
      <c r="Q1315" s="10"/>
      <c r="R1315" s="9"/>
      <c r="S1315" s="9"/>
      <c r="T1315" s="12"/>
      <c r="U1315" s="12"/>
      <c r="V1315" s="12"/>
      <c r="W1315" s="10"/>
      <c r="X1315" s="10"/>
      <c r="Y1315" s="9"/>
      <c r="Z1315" s="9"/>
      <c r="AA1315" s="9"/>
      <c r="AB1315" s="9"/>
    </row>
    <row r="1316" ht="30.0" customHeight="1">
      <c r="A1316" s="17" t="s">
        <v>1</v>
      </c>
      <c r="B1316" s="8"/>
      <c r="C1316" s="9"/>
      <c r="D1316" s="9"/>
      <c r="E1316" s="9"/>
      <c r="F1316" s="9"/>
      <c r="G1316" s="9"/>
      <c r="H1316" s="9"/>
      <c r="I1316" s="9"/>
      <c r="J1316" s="9"/>
      <c r="K1316" s="9"/>
      <c r="L1316" s="9"/>
      <c r="M1316" s="10"/>
      <c r="N1316" s="10"/>
      <c r="O1316" s="10"/>
      <c r="P1316" s="10"/>
      <c r="Q1316" s="10"/>
      <c r="R1316" s="9"/>
      <c r="S1316" s="9"/>
      <c r="T1316" s="12"/>
      <c r="U1316" s="12"/>
      <c r="V1316" s="12"/>
      <c r="W1316" s="10"/>
      <c r="X1316" s="10"/>
      <c r="Y1316" s="9"/>
      <c r="Z1316" s="9"/>
      <c r="AA1316" s="9"/>
      <c r="AB1316" s="9"/>
    </row>
    <row r="1317" ht="30.0" customHeight="1">
      <c r="A1317" s="17" t="s">
        <v>1</v>
      </c>
      <c r="B1317" s="8"/>
      <c r="C1317" s="9"/>
      <c r="D1317" s="9"/>
      <c r="E1317" s="9"/>
      <c r="F1317" s="9"/>
      <c r="G1317" s="9"/>
      <c r="H1317" s="9"/>
      <c r="I1317" s="9"/>
      <c r="J1317" s="9"/>
      <c r="K1317" s="9"/>
      <c r="L1317" s="9"/>
      <c r="M1317" s="10"/>
      <c r="N1317" s="10"/>
      <c r="O1317" s="10"/>
      <c r="P1317" s="10"/>
      <c r="Q1317" s="10"/>
      <c r="R1317" s="9"/>
      <c r="S1317" s="9"/>
      <c r="T1317" s="12"/>
      <c r="U1317" s="12"/>
      <c r="V1317" s="12"/>
      <c r="W1317" s="10"/>
      <c r="X1317" s="10"/>
      <c r="Y1317" s="9"/>
      <c r="Z1317" s="9"/>
      <c r="AA1317" s="9"/>
      <c r="AB1317" s="9"/>
    </row>
    <row r="1318" ht="30.0" customHeight="1">
      <c r="A1318" s="17" t="s">
        <v>1</v>
      </c>
      <c r="B1318" s="8"/>
      <c r="C1318" s="9"/>
      <c r="D1318" s="9"/>
      <c r="E1318" s="9"/>
      <c r="F1318" s="9"/>
      <c r="G1318" s="9"/>
      <c r="H1318" s="9"/>
      <c r="I1318" s="9"/>
      <c r="J1318" s="9"/>
      <c r="K1318" s="9"/>
      <c r="L1318" s="9"/>
      <c r="M1318" s="10"/>
      <c r="N1318" s="10"/>
      <c r="O1318" s="10"/>
      <c r="P1318" s="10"/>
      <c r="Q1318" s="10"/>
      <c r="R1318" s="9"/>
      <c r="S1318" s="9"/>
      <c r="T1318" s="12"/>
      <c r="U1318" s="12"/>
      <c r="V1318" s="12"/>
      <c r="W1318" s="10"/>
      <c r="X1318" s="10"/>
      <c r="Y1318" s="9"/>
      <c r="Z1318" s="9"/>
      <c r="AA1318" s="9"/>
      <c r="AB1318" s="9"/>
    </row>
    <row r="1319" ht="30.0" customHeight="1">
      <c r="A1319" s="17" t="s">
        <v>1</v>
      </c>
      <c r="B1319" s="8"/>
      <c r="C1319" s="9"/>
      <c r="D1319" s="9"/>
      <c r="E1319" s="9"/>
      <c r="F1319" s="9"/>
      <c r="G1319" s="9"/>
      <c r="H1319" s="9"/>
      <c r="I1319" s="9"/>
      <c r="J1319" s="9"/>
      <c r="K1319" s="9"/>
      <c r="L1319" s="9"/>
      <c r="M1319" s="10"/>
      <c r="N1319" s="10"/>
      <c r="O1319" s="10"/>
      <c r="P1319" s="10"/>
      <c r="Q1319" s="10"/>
      <c r="R1319" s="9"/>
      <c r="S1319" s="9"/>
      <c r="T1319" s="12"/>
      <c r="U1319" s="12"/>
      <c r="V1319" s="12"/>
      <c r="W1319" s="10"/>
      <c r="X1319" s="10"/>
      <c r="Y1319" s="9"/>
      <c r="Z1319" s="9"/>
      <c r="AA1319" s="9"/>
      <c r="AB1319" s="9"/>
    </row>
    <row r="1320" ht="30.0" customHeight="1">
      <c r="A1320" s="17" t="s">
        <v>1</v>
      </c>
      <c r="B1320" s="8"/>
      <c r="C1320" s="9"/>
      <c r="D1320" s="9"/>
      <c r="E1320" s="9"/>
      <c r="F1320" s="9"/>
      <c r="G1320" s="9"/>
      <c r="H1320" s="9"/>
      <c r="I1320" s="9"/>
      <c r="J1320" s="9"/>
      <c r="K1320" s="9"/>
      <c r="L1320" s="9"/>
      <c r="M1320" s="10"/>
      <c r="N1320" s="10"/>
      <c r="O1320" s="10"/>
      <c r="P1320" s="10"/>
      <c r="Q1320" s="10"/>
      <c r="R1320" s="9"/>
      <c r="S1320" s="9"/>
      <c r="T1320" s="12"/>
      <c r="U1320" s="12"/>
      <c r="V1320" s="12"/>
      <c r="W1320" s="10"/>
      <c r="X1320" s="10"/>
      <c r="Y1320" s="9"/>
      <c r="Z1320" s="9"/>
      <c r="AA1320" s="9"/>
      <c r="AB1320" s="9"/>
    </row>
    <row r="1321" ht="30.0" customHeight="1">
      <c r="A1321" s="17" t="s">
        <v>1</v>
      </c>
      <c r="B1321" s="8"/>
      <c r="C1321" s="9"/>
      <c r="D1321" s="9"/>
      <c r="E1321" s="9"/>
      <c r="F1321" s="9"/>
      <c r="G1321" s="9"/>
      <c r="H1321" s="9"/>
      <c r="I1321" s="9"/>
      <c r="J1321" s="9"/>
      <c r="K1321" s="9"/>
      <c r="L1321" s="9"/>
      <c r="M1321" s="10"/>
      <c r="N1321" s="10"/>
      <c r="O1321" s="10"/>
      <c r="P1321" s="10"/>
      <c r="Q1321" s="10"/>
      <c r="R1321" s="9"/>
      <c r="S1321" s="9"/>
      <c r="T1321" s="12"/>
      <c r="U1321" s="12"/>
      <c r="V1321" s="12"/>
      <c r="W1321" s="10"/>
      <c r="X1321" s="10"/>
      <c r="Y1321" s="9"/>
      <c r="Z1321" s="9"/>
      <c r="AA1321" s="9"/>
      <c r="AB1321" s="9"/>
    </row>
    <row r="1322" ht="30.0" customHeight="1">
      <c r="A1322" s="17" t="s">
        <v>1</v>
      </c>
      <c r="B1322" s="8"/>
      <c r="C1322" s="9"/>
      <c r="D1322" s="9"/>
      <c r="E1322" s="9"/>
      <c r="F1322" s="9"/>
      <c r="G1322" s="9"/>
      <c r="H1322" s="9"/>
      <c r="I1322" s="9"/>
      <c r="J1322" s="9"/>
      <c r="K1322" s="9"/>
      <c r="L1322" s="9"/>
      <c r="M1322" s="10"/>
      <c r="N1322" s="10"/>
      <c r="O1322" s="10"/>
      <c r="P1322" s="10"/>
      <c r="Q1322" s="10"/>
      <c r="R1322" s="9"/>
      <c r="S1322" s="9"/>
      <c r="T1322" s="12"/>
      <c r="U1322" s="12"/>
      <c r="V1322" s="12"/>
      <c r="W1322" s="10"/>
      <c r="X1322" s="10"/>
      <c r="Y1322" s="9"/>
      <c r="Z1322" s="9"/>
      <c r="AA1322" s="9"/>
      <c r="AB1322" s="9"/>
    </row>
    <row r="1323" ht="30.0" customHeight="1">
      <c r="A1323" s="17" t="s">
        <v>1</v>
      </c>
      <c r="B1323" s="8"/>
      <c r="C1323" s="9"/>
      <c r="D1323" s="9"/>
      <c r="E1323" s="9"/>
      <c r="F1323" s="9"/>
      <c r="G1323" s="9"/>
      <c r="H1323" s="9"/>
      <c r="I1323" s="9"/>
      <c r="J1323" s="9"/>
      <c r="K1323" s="9"/>
      <c r="L1323" s="9"/>
      <c r="M1323" s="10"/>
      <c r="N1323" s="10"/>
      <c r="O1323" s="10"/>
      <c r="P1323" s="10"/>
      <c r="Q1323" s="10"/>
      <c r="R1323" s="9"/>
      <c r="S1323" s="9"/>
      <c r="T1323" s="12"/>
      <c r="U1323" s="12"/>
      <c r="V1323" s="12"/>
      <c r="W1323" s="10"/>
      <c r="X1323" s="10"/>
      <c r="Y1323" s="9"/>
      <c r="Z1323" s="9"/>
      <c r="AA1323" s="9"/>
      <c r="AB1323" s="9"/>
    </row>
    <row r="1324" ht="30.0" customHeight="1">
      <c r="A1324" s="17" t="s">
        <v>1</v>
      </c>
      <c r="B1324" s="8"/>
      <c r="C1324" s="9"/>
      <c r="D1324" s="9"/>
      <c r="E1324" s="9"/>
      <c r="F1324" s="9"/>
      <c r="G1324" s="9"/>
      <c r="H1324" s="9"/>
      <c r="I1324" s="9"/>
      <c r="J1324" s="9"/>
      <c r="K1324" s="9"/>
      <c r="L1324" s="9"/>
      <c r="M1324" s="10"/>
      <c r="N1324" s="10"/>
      <c r="O1324" s="10"/>
      <c r="P1324" s="10"/>
      <c r="Q1324" s="10"/>
      <c r="R1324" s="9"/>
      <c r="S1324" s="9"/>
      <c r="T1324" s="12"/>
      <c r="U1324" s="12"/>
      <c r="V1324" s="12"/>
      <c r="W1324" s="10"/>
      <c r="X1324" s="10"/>
      <c r="Y1324" s="9"/>
      <c r="Z1324" s="9"/>
      <c r="AA1324" s="9"/>
      <c r="AB1324" s="9"/>
    </row>
    <row r="1325" ht="30.0" customHeight="1">
      <c r="A1325" s="17" t="s">
        <v>1</v>
      </c>
      <c r="B1325" s="8"/>
      <c r="C1325" s="9"/>
      <c r="D1325" s="9"/>
      <c r="E1325" s="9"/>
      <c r="F1325" s="9"/>
      <c r="G1325" s="9"/>
      <c r="H1325" s="9"/>
      <c r="I1325" s="9"/>
      <c r="J1325" s="9"/>
      <c r="K1325" s="9"/>
      <c r="L1325" s="9"/>
      <c r="M1325" s="10"/>
      <c r="N1325" s="10"/>
      <c r="O1325" s="10"/>
      <c r="P1325" s="10"/>
      <c r="Q1325" s="10"/>
      <c r="R1325" s="9"/>
      <c r="S1325" s="9"/>
      <c r="T1325" s="12"/>
      <c r="U1325" s="12"/>
      <c r="V1325" s="12"/>
      <c r="W1325" s="10"/>
      <c r="X1325" s="10"/>
      <c r="Y1325" s="9"/>
      <c r="Z1325" s="9"/>
      <c r="AA1325" s="9"/>
      <c r="AB1325" s="9"/>
    </row>
    <row r="1326" ht="30.0" customHeight="1">
      <c r="A1326" s="17" t="s">
        <v>1</v>
      </c>
      <c r="B1326" s="8"/>
      <c r="C1326" s="9"/>
      <c r="D1326" s="9"/>
      <c r="E1326" s="9"/>
      <c r="F1326" s="9"/>
      <c r="G1326" s="9"/>
      <c r="H1326" s="9"/>
      <c r="I1326" s="9"/>
      <c r="J1326" s="9"/>
      <c r="K1326" s="9"/>
      <c r="L1326" s="9"/>
      <c r="M1326" s="10"/>
      <c r="N1326" s="10"/>
      <c r="O1326" s="10"/>
      <c r="P1326" s="10"/>
      <c r="Q1326" s="10"/>
      <c r="R1326" s="9"/>
      <c r="S1326" s="9"/>
      <c r="T1326" s="12"/>
      <c r="U1326" s="12"/>
      <c r="V1326" s="12"/>
      <c r="W1326" s="10"/>
      <c r="X1326" s="10"/>
      <c r="Y1326" s="9"/>
      <c r="Z1326" s="9"/>
      <c r="AA1326" s="9"/>
      <c r="AB1326" s="9"/>
    </row>
    <row r="1327" ht="30.0" customHeight="1">
      <c r="A1327" s="17" t="s">
        <v>1</v>
      </c>
      <c r="B1327" s="8"/>
      <c r="C1327" s="9"/>
      <c r="D1327" s="9"/>
      <c r="E1327" s="9"/>
      <c r="F1327" s="9"/>
      <c r="G1327" s="9"/>
      <c r="H1327" s="9"/>
      <c r="I1327" s="9"/>
      <c r="J1327" s="9"/>
      <c r="K1327" s="9"/>
      <c r="L1327" s="9"/>
      <c r="M1327" s="10"/>
      <c r="N1327" s="10"/>
      <c r="O1327" s="10"/>
      <c r="P1327" s="10"/>
      <c r="Q1327" s="10"/>
      <c r="R1327" s="9"/>
      <c r="S1327" s="9"/>
      <c r="T1327" s="12"/>
      <c r="U1327" s="12"/>
      <c r="V1327" s="12"/>
      <c r="W1327" s="10"/>
      <c r="X1327" s="10"/>
      <c r="Y1327" s="9"/>
      <c r="Z1327" s="9"/>
      <c r="AA1327" s="9"/>
      <c r="AB1327" s="9"/>
    </row>
    <row r="1328" ht="30.0" customHeight="1">
      <c r="A1328" s="17" t="s">
        <v>1</v>
      </c>
      <c r="B1328" s="8"/>
      <c r="C1328" s="9"/>
      <c r="D1328" s="9"/>
      <c r="E1328" s="9"/>
      <c r="F1328" s="9"/>
      <c r="G1328" s="9"/>
      <c r="H1328" s="9"/>
      <c r="I1328" s="9"/>
      <c r="J1328" s="9"/>
      <c r="K1328" s="9"/>
      <c r="L1328" s="9"/>
      <c r="M1328" s="10"/>
      <c r="N1328" s="10"/>
      <c r="O1328" s="10"/>
      <c r="P1328" s="10"/>
      <c r="Q1328" s="10"/>
      <c r="R1328" s="9"/>
      <c r="S1328" s="9"/>
      <c r="T1328" s="12"/>
      <c r="U1328" s="12"/>
      <c r="V1328" s="12"/>
      <c r="W1328" s="10"/>
      <c r="X1328" s="10"/>
      <c r="Y1328" s="9"/>
      <c r="Z1328" s="9"/>
      <c r="AA1328" s="9"/>
      <c r="AB1328" s="9"/>
    </row>
    <row r="1329" ht="30.0" customHeight="1">
      <c r="A1329" s="17" t="s">
        <v>1</v>
      </c>
      <c r="B1329" s="8"/>
      <c r="C1329" s="9"/>
      <c r="D1329" s="9"/>
      <c r="E1329" s="9"/>
      <c r="F1329" s="9"/>
      <c r="G1329" s="9"/>
      <c r="H1329" s="9"/>
      <c r="I1329" s="9"/>
      <c r="J1329" s="9"/>
      <c r="K1329" s="9"/>
      <c r="L1329" s="9"/>
      <c r="M1329" s="10"/>
      <c r="N1329" s="10"/>
      <c r="O1329" s="10"/>
      <c r="P1329" s="10"/>
      <c r="Q1329" s="10"/>
      <c r="R1329" s="9"/>
      <c r="S1329" s="9"/>
      <c r="T1329" s="12"/>
      <c r="U1329" s="12"/>
      <c r="V1329" s="12"/>
      <c r="W1329" s="10"/>
      <c r="X1329" s="10"/>
      <c r="Y1329" s="9"/>
      <c r="Z1329" s="9"/>
      <c r="AA1329" s="9"/>
      <c r="AB1329" s="9"/>
    </row>
    <row r="1330" ht="30.0" customHeight="1">
      <c r="A1330" s="17" t="s">
        <v>1</v>
      </c>
      <c r="B1330" s="8"/>
      <c r="C1330" s="9"/>
      <c r="D1330" s="9"/>
      <c r="E1330" s="9"/>
      <c r="F1330" s="9"/>
      <c r="G1330" s="9"/>
      <c r="H1330" s="9"/>
      <c r="I1330" s="9"/>
      <c r="J1330" s="9"/>
      <c r="K1330" s="9"/>
      <c r="L1330" s="9"/>
      <c r="M1330" s="10"/>
      <c r="N1330" s="10"/>
      <c r="O1330" s="10"/>
      <c r="P1330" s="10"/>
      <c r="Q1330" s="10"/>
      <c r="R1330" s="9"/>
      <c r="S1330" s="9"/>
      <c r="T1330" s="12"/>
      <c r="U1330" s="12"/>
      <c r="V1330" s="12"/>
      <c r="W1330" s="10"/>
      <c r="X1330" s="10"/>
      <c r="Y1330" s="9"/>
      <c r="Z1330" s="9"/>
      <c r="AA1330" s="9"/>
      <c r="AB1330" s="9"/>
    </row>
    <row r="1331" ht="30.0" customHeight="1">
      <c r="A1331" s="17" t="s">
        <v>1</v>
      </c>
      <c r="B1331" s="8"/>
      <c r="C1331" s="9"/>
      <c r="D1331" s="9"/>
      <c r="E1331" s="9"/>
      <c r="F1331" s="9"/>
      <c r="G1331" s="9"/>
      <c r="H1331" s="9"/>
      <c r="I1331" s="9"/>
      <c r="J1331" s="9"/>
      <c r="K1331" s="9"/>
      <c r="L1331" s="9"/>
      <c r="M1331" s="10"/>
      <c r="N1331" s="10"/>
      <c r="O1331" s="10"/>
      <c r="P1331" s="10"/>
      <c r="Q1331" s="10"/>
      <c r="R1331" s="9"/>
      <c r="S1331" s="9"/>
      <c r="T1331" s="12"/>
      <c r="U1331" s="12"/>
      <c r="V1331" s="12"/>
      <c r="W1331" s="10"/>
      <c r="X1331" s="10"/>
      <c r="Y1331" s="9"/>
      <c r="Z1331" s="9"/>
      <c r="AA1331" s="9"/>
      <c r="AB1331" s="9"/>
    </row>
    <row r="1332" ht="30.0" customHeight="1">
      <c r="A1332" s="17" t="s">
        <v>1</v>
      </c>
      <c r="B1332" s="8"/>
      <c r="C1332" s="9"/>
      <c r="D1332" s="9"/>
      <c r="E1332" s="9"/>
      <c r="F1332" s="9"/>
      <c r="G1332" s="9"/>
      <c r="H1332" s="9"/>
      <c r="I1332" s="9"/>
      <c r="J1332" s="9"/>
      <c r="K1332" s="9"/>
      <c r="L1332" s="9"/>
      <c r="M1332" s="10"/>
      <c r="N1332" s="10"/>
      <c r="O1332" s="10"/>
      <c r="P1332" s="10"/>
      <c r="Q1332" s="10"/>
      <c r="R1332" s="9"/>
      <c r="S1332" s="9"/>
      <c r="T1332" s="12"/>
      <c r="U1332" s="12"/>
      <c r="V1332" s="12"/>
      <c r="W1332" s="10"/>
      <c r="X1332" s="10"/>
      <c r="Y1332" s="9"/>
      <c r="Z1332" s="9"/>
      <c r="AA1332" s="9"/>
      <c r="AB1332" s="9"/>
    </row>
    <row r="1333" ht="30.0" customHeight="1">
      <c r="A1333" s="17" t="s">
        <v>1</v>
      </c>
      <c r="B1333" s="8"/>
      <c r="C1333" s="9"/>
      <c r="D1333" s="9"/>
      <c r="E1333" s="9"/>
      <c r="F1333" s="9"/>
      <c r="G1333" s="9"/>
      <c r="H1333" s="9"/>
      <c r="I1333" s="9"/>
      <c r="J1333" s="9"/>
      <c r="K1333" s="9"/>
      <c r="L1333" s="9"/>
      <c r="M1333" s="10"/>
      <c r="N1333" s="10"/>
      <c r="O1333" s="10"/>
      <c r="P1333" s="10"/>
      <c r="Q1333" s="10"/>
      <c r="R1333" s="9"/>
      <c r="S1333" s="9"/>
      <c r="T1333" s="12"/>
      <c r="U1333" s="12"/>
      <c r="V1333" s="12"/>
      <c r="W1333" s="10"/>
      <c r="X1333" s="10"/>
      <c r="Y1333" s="9"/>
      <c r="Z1333" s="9"/>
      <c r="AA1333" s="9"/>
      <c r="AB1333" s="9"/>
    </row>
    <row r="1334" ht="30.0" customHeight="1">
      <c r="A1334" s="17" t="s">
        <v>1</v>
      </c>
      <c r="B1334" s="8"/>
      <c r="C1334" s="9"/>
      <c r="D1334" s="9"/>
      <c r="E1334" s="9"/>
      <c r="F1334" s="9"/>
      <c r="G1334" s="9"/>
      <c r="H1334" s="9"/>
      <c r="I1334" s="9"/>
      <c r="J1334" s="9"/>
      <c r="K1334" s="9"/>
      <c r="L1334" s="9"/>
      <c r="M1334" s="10"/>
      <c r="N1334" s="10"/>
      <c r="O1334" s="10"/>
      <c r="P1334" s="10"/>
      <c r="Q1334" s="10"/>
      <c r="R1334" s="9"/>
      <c r="S1334" s="9"/>
      <c r="T1334" s="12"/>
      <c r="U1334" s="12"/>
      <c r="V1334" s="12"/>
      <c r="W1334" s="10"/>
      <c r="X1334" s="10"/>
      <c r="Y1334" s="9"/>
      <c r="Z1334" s="9"/>
      <c r="AA1334" s="9"/>
      <c r="AB1334" s="9"/>
    </row>
    <row r="1335" ht="30.0" customHeight="1">
      <c r="A1335" s="17" t="s">
        <v>1</v>
      </c>
      <c r="B1335" s="8"/>
      <c r="C1335" s="9"/>
      <c r="D1335" s="9"/>
      <c r="E1335" s="9"/>
      <c r="F1335" s="9"/>
      <c r="G1335" s="9"/>
      <c r="H1335" s="9"/>
      <c r="I1335" s="9"/>
      <c r="J1335" s="9"/>
      <c r="K1335" s="9"/>
      <c r="L1335" s="9"/>
      <c r="M1335" s="10"/>
      <c r="N1335" s="10"/>
      <c r="O1335" s="10"/>
      <c r="P1335" s="10"/>
      <c r="Q1335" s="10"/>
      <c r="R1335" s="9"/>
      <c r="S1335" s="9"/>
      <c r="T1335" s="12"/>
      <c r="U1335" s="12"/>
      <c r="V1335" s="12"/>
      <c r="W1335" s="10"/>
      <c r="X1335" s="10"/>
      <c r="Y1335" s="9"/>
      <c r="Z1335" s="9"/>
      <c r="AA1335" s="9"/>
      <c r="AB1335" s="9"/>
    </row>
    <row r="1336" ht="30.0" customHeight="1">
      <c r="A1336" s="17" t="s">
        <v>1</v>
      </c>
      <c r="B1336" s="8"/>
      <c r="C1336" s="9"/>
      <c r="D1336" s="9"/>
      <c r="E1336" s="9"/>
      <c r="F1336" s="9"/>
      <c r="G1336" s="9"/>
      <c r="H1336" s="9"/>
      <c r="I1336" s="9"/>
      <c r="J1336" s="9"/>
      <c r="K1336" s="9"/>
      <c r="L1336" s="9"/>
      <c r="M1336" s="10"/>
      <c r="N1336" s="10"/>
      <c r="O1336" s="10"/>
      <c r="P1336" s="10"/>
      <c r="Q1336" s="10"/>
      <c r="R1336" s="9"/>
      <c r="S1336" s="9"/>
      <c r="T1336" s="12"/>
      <c r="U1336" s="12"/>
      <c r="V1336" s="12"/>
      <c r="W1336" s="10"/>
      <c r="X1336" s="10"/>
      <c r="Y1336" s="9"/>
      <c r="Z1336" s="9"/>
      <c r="AA1336" s="9"/>
      <c r="AB1336" s="9"/>
    </row>
    <row r="1337" ht="30.0" customHeight="1">
      <c r="A1337" s="17" t="s">
        <v>1</v>
      </c>
      <c r="B1337" s="8"/>
      <c r="C1337" s="9"/>
      <c r="D1337" s="9"/>
      <c r="E1337" s="9"/>
      <c r="F1337" s="9"/>
      <c r="G1337" s="9"/>
      <c r="H1337" s="9"/>
      <c r="I1337" s="9"/>
      <c r="J1337" s="9"/>
      <c r="K1337" s="9"/>
      <c r="L1337" s="9"/>
      <c r="M1337" s="10"/>
      <c r="N1337" s="10"/>
      <c r="O1337" s="10"/>
      <c r="P1337" s="10"/>
      <c r="Q1337" s="10"/>
      <c r="R1337" s="9"/>
      <c r="S1337" s="9"/>
      <c r="T1337" s="12"/>
      <c r="U1337" s="12"/>
      <c r="V1337" s="12"/>
      <c r="W1337" s="10"/>
      <c r="X1337" s="10"/>
      <c r="Y1337" s="9"/>
      <c r="Z1337" s="9"/>
      <c r="AA1337" s="9"/>
      <c r="AB1337" s="9"/>
    </row>
    <row r="1338" ht="30.0" customHeight="1">
      <c r="A1338" s="17" t="s">
        <v>1</v>
      </c>
      <c r="B1338" s="8"/>
      <c r="C1338" s="9"/>
      <c r="D1338" s="9"/>
      <c r="E1338" s="9"/>
      <c r="F1338" s="9"/>
      <c r="G1338" s="9"/>
      <c r="H1338" s="9"/>
      <c r="I1338" s="9"/>
      <c r="J1338" s="9"/>
      <c r="K1338" s="9"/>
      <c r="L1338" s="9"/>
      <c r="M1338" s="10"/>
      <c r="N1338" s="10"/>
      <c r="O1338" s="10"/>
      <c r="P1338" s="10"/>
      <c r="Q1338" s="10"/>
      <c r="R1338" s="9"/>
      <c r="S1338" s="9"/>
      <c r="T1338" s="12"/>
      <c r="U1338" s="12"/>
      <c r="V1338" s="12"/>
      <c r="W1338" s="10"/>
      <c r="X1338" s="10"/>
      <c r="Y1338" s="9"/>
      <c r="Z1338" s="9"/>
      <c r="AA1338" s="9"/>
      <c r="AB1338" s="9"/>
    </row>
    <row r="1339" ht="30.0" customHeight="1">
      <c r="A1339" s="17" t="s">
        <v>1</v>
      </c>
      <c r="B1339" s="8"/>
      <c r="C1339" s="9"/>
      <c r="D1339" s="9"/>
      <c r="E1339" s="9"/>
      <c r="F1339" s="9"/>
      <c r="G1339" s="9"/>
      <c r="H1339" s="9"/>
      <c r="I1339" s="9"/>
      <c r="J1339" s="9"/>
      <c r="K1339" s="9"/>
      <c r="L1339" s="9"/>
      <c r="M1339" s="10"/>
      <c r="N1339" s="10"/>
      <c r="O1339" s="10"/>
      <c r="P1339" s="10"/>
      <c r="Q1339" s="10"/>
      <c r="R1339" s="9"/>
      <c r="S1339" s="9"/>
      <c r="T1339" s="12"/>
      <c r="U1339" s="12"/>
      <c r="V1339" s="12"/>
      <c r="W1339" s="10"/>
      <c r="X1339" s="10"/>
      <c r="Y1339" s="9"/>
      <c r="Z1339" s="9"/>
      <c r="AA1339" s="9"/>
      <c r="AB1339" s="9"/>
    </row>
    <row r="1340" ht="30.0" customHeight="1">
      <c r="A1340" s="17" t="s">
        <v>1</v>
      </c>
      <c r="B1340" s="8"/>
      <c r="C1340" s="9"/>
      <c r="D1340" s="9"/>
      <c r="E1340" s="9"/>
      <c r="F1340" s="9"/>
      <c r="G1340" s="9"/>
      <c r="H1340" s="9"/>
      <c r="I1340" s="9"/>
      <c r="J1340" s="9"/>
      <c r="K1340" s="9"/>
      <c r="L1340" s="9"/>
      <c r="M1340" s="10"/>
      <c r="N1340" s="10"/>
      <c r="O1340" s="10"/>
      <c r="P1340" s="10"/>
      <c r="Q1340" s="10"/>
      <c r="R1340" s="9"/>
      <c r="S1340" s="9"/>
      <c r="T1340" s="12"/>
      <c r="U1340" s="12"/>
      <c r="V1340" s="12"/>
      <c r="W1340" s="10"/>
      <c r="X1340" s="10"/>
      <c r="Y1340" s="9"/>
      <c r="Z1340" s="9"/>
      <c r="AA1340" s="9"/>
      <c r="AB1340" s="9"/>
    </row>
    <row r="1341" ht="30.0" customHeight="1">
      <c r="A1341" s="17" t="s">
        <v>1</v>
      </c>
      <c r="B1341" s="8"/>
      <c r="C1341" s="9"/>
      <c r="D1341" s="9"/>
      <c r="E1341" s="9"/>
      <c r="F1341" s="9"/>
      <c r="G1341" s="9"/>
      <c r="H1341" s="9"/>
      <c r="I1341" s="9"/>
      <c r="J1341" s="9"/>
      <c r="K1341" s="9"/>
      <c r="L1341" s="9"/>
      <c r="M1341" s="10"/>
      <c r="N1341" s="10"/>
      <c r="O1341" s="10"/>
      <c r="P1341" s="10"/>
      <c r="Q1341" s="10"/>
      <c r="R1341" s="9"/>
      <c r="S1341" s="9"/>
      <c r="T1341" s="12"/>
      <c r="U1341" s="12"/>
      <c r="V1341" s="12"/>
      <c r="W1341" s="10"/>
      <c r="X1341" s="10"/>
      <c r="Y1341" s="9"/>
      <c r="Z1341" s="9"/>
      <c r="AA1341" s="9"/>
      <c r="AB1341" s="9"/>
    </row>
    <row r="1342" ht="30.0" customHeight="1">
      <c r="A1342" s="17" t="s">
        <v>1</v>
      </c>
      <c r="B1342" s="8"/>
      <c r="C1342" s="9"/>
      <c r="D1342" s="9"/>
      <c r="E1342" s="9"/>
      <c r="F1342" s="9"/>
      <c r="G1342" s="9"/>
      <c r="H1342" s="9"/>
      <c r="I1342" s="9"/>
      <c r="J1342" s="9"/>
      <c r="K1342" s="9"/>
      <c r="L1342" s="9"/>
      <c r="M1342" s="10"/>
      <c r="N1342" s="10"/>
      <c r="O1342" s="10"/>
      <c r="P1342" s="10"/>
      <c r="Q1342" s="10"/>
      <c r="R1342" s="9"/>
      <c r="S1342" s="9"/>
      <c r="T1342" s="12"/>
      <c r="U1342" s="12"/>
      <c r="V1342" s="12"/>
      <c r="W1342" s="10"/>
      <c r="X1342" s="10"/>
      <c r="Y1342" s="9"/>
      <c r="Z1342" s="9"/>
      <c r="AA1342" s="9"/>
      <c r="AB1342" s="9"/>
    </row>
    <row r="1343" ht="30.0" customHeight="1">
      <c r="A1343" s="17" t="s">
        <v>1</v>
      </c>
      <c r="B1343" s="8"/>
      <c r="C1343" s="9"/>
      <c r="D1343" s="9"/>
      <c r="E1343" s="9"/>
      <c r="F1343" s="9"/>
      <c r="G1343" s="9"/>
      <c r="H1343" s="9"/>
      <c r="I1343" s="9"/>
      <c r="J1343" s="9"/>
      <c r="K1343" s="9"/>
      <c r="L1343" s="9"/>
      <c r="M1343" s="10"/>
      <c r="N1343" s="10"/>
      <c r="O1343" s="10"/>
      <c r="P1343" s="10"/>
      <c r="Q1343" s="10"/>
      <c r="R1343" s="9"/>
      <c r="S1343" s="9"/>
      <c r="T1343" s="12"/>
      <c r="U1343" s="12"/>
      <c r="V1343" s="12"/>
      <c r="W1343" s="10"/>
      <c r="X1343" s="10"/>
      <c r="Y1343" s="9"/>
      <c r="Z1343" s="9"/>
      <c r="AA1343" s="9"/>
      <c r="AB1343" s="9"/>
    </row>
    <row r="1344" ht="30.0" customHeight="1">
      <c r="A1344" s="17" t="s">
        <v>1</v>
      </c>
      <c r="B1344" s="8"/>
      <c r="C1344" s="9"/>
      <c r="D1344" s="9"/>
      <c r="E1344" s="9"/>
      <c r="F1344" s="9"/>
      <c r="G1344" s="9"/>
      <c r="H1344" s="9"/>
      <c r="I1344" s="9"/>
      <c r="J1344" s="9"/>
      <c r="K1344" s="9"/>
      <c r="L1344" s="9"/>
      <c r="M1344" s="10"/>
      <c r="N1344" s="10"/>
      <c r="O1344" s="10"/>
      <c r="P1344" s="10"/>
      <c r="Q1344" s="10"/>
      <c r="R1344" s="9"/>
      <c r="S1344" s="9"/>
      <c r="T1344" s="12"/>
      <c r="U1344" s="12"/>
      <c r="V1344" s="12"/>
      <c r="W1344" s="10"/>
      <c r="X1344" s="10"/>
      <c r="Y1344" s="9"/>
      <c r="Z1344" s="9"/>
      <c r="AA1344" s="9"/>
      <c r="AB1344" s="9"/>
    </row>
    <row r="1345" ht="30.0" customHeight="1">
      <c r="A1345" s="17" t="s">
        <v>1</v>
      </c>
      <c r="B1345" s="8"/>
      <c r="C1345" s="9"/>
      <c r="D1345" s="9"/>
      <c r="E1345" s="9"/>
      <c r="F1345" s="9"/>
      <c r="G1345" s="9"/>
      <c r="H1345" s="9"/>
      <c r="I1345" s="9"/>
      <c r="J1345" s="9"/>
      <c r="K1345" s="9"/>
      <c r="L1345" s="9"/>
      <c r="M1345" s="10"/>
      <c r="N1345" s="10"/>
      <c r="O1345" s="10"/>
      <c r="P1345" s="10"/>
      <c r="Q1345" s="10"/>
      <c r="R1345" s="9"/>
      <c r="S1345" s="9"/>
      <c r="T1345" s="12"/>
      <c r="U1345" s="12"/>
      <c r="V1345" s="12"/>
      <c r="W1345" s="10"/>
      <c r="X1345" s="10"/>
      <c r="Y1345" s="9"/>
      <c r="Z1345" s="9"/>
      <c r="AA1345" s="9"/>
      <c r="AB1345" s="9"/>
    </row>
    <row r="1346" ht="30.0" customHeight="1">
      <c r="A1346" s="17" t="s">
        <v>1</v>
      </c>
      <c r="B1346" s="8"/>
      <c r="C1346" s="9"/>
      <c r="D1346" s="9"/>
      <c r="E1346" s="9"/>
      <c r="F1346" s="9"/>
      <c r="G1346" s="9"/>
      <c r="H1346" s="9"/>
      <c r="I1346" s="9"/>
      <c r="J1346" s="9"/>
      <c r="K1346" s="9"/>
      <c r="L1346" s="9"/>
      <c r="M1346" s="10"/>
      <c r="N1346" s="10"/>
      <c r="O1346" s="10"/>
      <c r="P1346" s="10"/>
      <c r="Q1346" s="10"/>
      <c r="R1346" s="9"/>
      <c r="S1346" s="9"/>
      <c r="T1346" s="12"/>
      <c r="U1346" s="12"/>
      <c r="V1346" s="12"/>
      <c r="W1346" s="10"/>
      <c r="X1346" s="10"/>
      <c r="Y1346" s="9"/>
      <c r="Z1346" s="9"/>
      <c r="AA1346" s="9"/>
      <c r="AB1346" s="9"/>
    </row>
    <row r="1347" ht="30.0" customHeight="1">
      <c r="A1347" s="17" t="s">
        <v>1</v>
      </c>
      <c r="B1347" s="8"/>
      <c r="C1347" s="9"/>
      <c r="D1347" s="9"/>
      <c r="E1347" s="9"/>
      <c r="F1347" s="9"/>
      <c r="G1347" s="9"/>
      <c r="H1347" s="9"/>
      <c r="I1347" s="9"/>
      <c r="J1347" s="9"/>
      <c r="K1347" s="9"/>
      <c r="L1347" s="9"/>
      <c r="M1347" s="10"/>
      <c r="N1347" s="10"/>
      <c r="O1347" s="10"/>
      <c r="P1347" s="10"/>
      <c r="Q1347" s="10"/>
      <c r="R1347" s="9"/>
      <c r="S1347" s="9"/>
      <c r="T1347" s="12"/>
      <c r="U1347" s="12"/>
      <c r="V1347" s="12"/>
      <c r="W1347" s="10"/>
      <c r="X1347" s="10"/>
      <c r="Y1347" s="9"/>
      <c r="Z1347" s="9"/>
      <c r="AA1347" s="9"/>
      <c r="AB1347" s="9"/>
    </row>
    <row r="1348" ht="30.0" customHeight="1">
      <c r="A1348" s="17" t="s">
        <v>1</v>
      </c>
      <c r="B1348" s="8"/>
      <c r="C1348" s="9"/>
      <c r="D1348" s="9"/>
      <c r="E1348" s="9"/>
      <c r="F1348" s="9"/>
      <c r="G1348" s="9"/>
      <c r="H1348" s="9"/>
      <c r="I1348" s="9"/>
      <c r="J1348" s="9"/>
      <c r="K1348" s="9"/>
      <c r="L1348" s="9"/>
      <c r="M1348" s="10"/>
      <c r="N1348" s="10"/>
      <c r="O1348" s="10"/>
      <c r="P1348" s="10"/>
      <c r="Q1348" s="10"/>
      <c r="R1348" s="9"/>
      <c r="S1348" s="9"/>
      <c r="T1348" s="12"/>
      <c r="U1348" s="12"/>
      <c r="V1348" s="12"/>
      <c r="W1348" s="10"/>
      <c r="X1348" s="10"/>
      <c r="Y1348" s="9"/>
      <c r="Z1348" s="9"/>
      <c r="AA1348" s="9"/>
      <c r="AB1348" s="9"/>
    </row>
    <row r="1349" ht="30.0" customHeight="1">
      <c r="A1349" s="17" t="s">
        <v>1</v>
      </c>
      <c r="B1349" s="8"/>
      <c r="C1349" s="9"/>
      <c r="D1349" s="9"/>
      <c r="E1349" s="9"/>
      <c r="F1349" s="9"/>
      <c r="G1349" s="9"/>
      <c r="H1349" s="9"/>
      <c r="I1349" s="9"/>
      <c r="J1349" s="9"/>
      <c r="K1349" s="9"/>
      <c r="L1349" s="9"/>
      <c r="M1349" s="10"/>
      <c r="N1349" s="10"/>
      <c r="O1349" s="10"/>
      <c r="P1349" s="10"/>
      <c r="Q1349" s="10"/>
      <c r="R1349" s="9"/>
      <c r="S1349" s="9"/>
      <c r="T1349" s="12"/>
      <c r="U1349" s="12"/>
      <c r="V1349" s="12"/>
      <c r="W1349" s="10"/>
      <c r="X1349" s="10"/>
      <c r="Y1349" s="9"/>
      <c r="Z1349" s="9"/>
      <c r="AA1349" s="9"/>
      <c r="AB1349" s="9"/>
    </row>
    <row r="1350" ht="30.0" customHeight="1">
      <c r="A1350" s="17" t="s">
        <v>1</v>
      </c>
      <c r="B1350" s="8"/>
      <c r="C1350" s="9"/>
      <c r="D1350" s="9"/>
      <c r="E1350" s="9"/>
      <c r="F1350" s="9"/>
      <c r="G1350" s="9"/>
      <c r="H1350" s="9"/>
      <c r="I1350" s="9"/>
      <c r="J1350" s="9"/>
      <c r="K1350" s="9"/>
      <c r="L1350" s="9"/>
      <c r="M1350" s="10"/>
      <c r="N1350" s="10"/>
      <c r="O1350" s="10"/>
      <c r="P1350" s="10"/>
      <c r="Q1350" s="10"/>
      <c r="R1350" s="9"/>
      <c r="S1350" s="9"/>
      <c r="T1350" s="12"/>
      <c r="U1350" s="12"/>
      <c r="V1350" s="12"/>
      <c r="W1350" s="10"/>
      <c r="X1350" s="10"/>
      <c r="Y1350" s="9"/>
      <c r="Z1350" s="9"/>
      <c r="AA1350" s="9"/>
      <c r="AB1350" s="9"/>
    </row>
    <row r="1351" ht="30.0" customHeight="1">
      <c r="A1351" s="17" t="s">
        <v>1</v>
      </c>
      <c r="B1351" s="8"/>
      <c r="C1351" s="9"/>
      <c r="D1351" s="9"/>
      <c r="E1351" s="9"/>
      <c r="F1351" s="9"/>
      <c r="G1351" s="9"/>
      <c r="H1351" s="9"/>
      <c r="I1351" s="9"/>
      <c r="J1351" s="9"/>
      <c r="K1351" s="9"/>
      <c r="L1351" s="9"/>
      <c r="M1351" s="10"/>
      <c r="N1351" s="10"/>
      <c r="O1351" s="10"/>
      <c r="P1351" s="10"/>
      <c r="Q1351" s="10"/>
      <c r="R1351" s="9"/>
      <c r="S1351" s="9"/>
      <c r="T1351" s="12"/>
      <c r="U1351" s="12"/>
      <c r="V1351" s="12"/>
      <c r="W1351" s="10"/>
      <c r="X1351" s="10"/>
      <c r="Y1351" s="9"/>
      <c r="Z1351" s="9"/>
      <c r="AA1351" s="9"/>
      <c r="AB1351" s="9"/>
    </row>
    <row r="1352" ht="30.0" customHeight="1">
      <c r="A1352" s="17" t="s">
        <v>1</v>
      </c>
      <c r="B1352" s="8"/>
      <c r="C1352" s="9"/>
      <c r="D1352" s="9"/>
      <c r="E1352" s="9"/>
      <c r="F1352" s="9"/>
      <c r="G1352" s="9"/>
      <c r="H1352" s="9"/>
      <c r="I1352" s="9"/>
      <c r="J1352" s="9"/>
      <c r="K1352" s="9"/>
      <c r="L1352" s="9"/>
      <c r="M1352" s="10"/>
      <c r="N1352" s="10"/>
      <c r="O1352" s="10"/>
      <c r="P1352" s="10"/>
      <c r="Q1352" s="10"/>
      <c r="R1352" s="9"/>
      <c r="S1352" s="9"/>
      <c r="T1352" s="12"/>
      <c r="U1352" s="12"/>
      <c r="V1352" s="12"/>
      <c r="W1352" s="10"/>
      <c r="X1352" s="10"/>
      <c r="Y1352" s="9"/>
      <c r="Z1352" s="9"/>
      <c r="AA1352" s="9"/>
      <c r="AB1352" s="9"/>
    </row>
    <row r="1353" ht="30.0" customHeight="1">
      <c r="A1353" s="17" t="s">
        <v>1</v>
      </c>
      <c r="B1353" s="8"/>
      <c r="C1353" s="9"/>
      <c r="D1353" s="9"/>
      <c r="E1353" s="9"/>
      <c r="F1353" s="9"/>
      <c r="G1353" s="9"/>
      <c r="H1353" s="9"/>
      <c r="I1353" s="9"/>
      <c r="J1353" s="9"/>
      <c r="K1353" s="9"/>
      <c r="L1353" s="9"/>
      <c r="M1353" s="10"/>
      <c r="N1353" s="10"/>
      <c r="O1353" s="10"/>
      <c r="P1353" s="10"/>
      <c r="Q1353" s="10"/>
      <c r="R1353" s="9"/>
      <c r="S1353" s="9"/>
      <c r="T1353" s="12"/>
      <c r="U1353" s="12"/>
      <c r="V1353" s="12"/>
      <c r="W1353" s="10"/>
      <c r="X1353" s="10"/>
      <c r="Y1353" s="9"/>
      <c r="Z1353" s="9"/>
      <c r="AA1353" s="9"/>
      <c r="AB1353" s="9"/>
    </row>
    <row r="1354" ht="30.0" customHeight="1">
      <c r="A1354" s="17" t="s">
        <v>1</v>
      </c>
      <c r="B1354" s="8"/>
      <c r="C1354" s="9"/>
      <c r="D1354" s="9"/>
      <c r="E1354" s="9"/>
      <c r="F1354" s="9"/>
      <c r="G1354" s="9"/>
      <c r="H1354" s="9"/>
      <c r="I1354" s="9"/>
      <c r="J1354" s="9"/>
      <c r="K1354" s="9"/>
      <c r="L1354" s="9"/>
      <c r="M1354" s="10"/>
      <c r="N1354" s="10"/>
      <c r="O1354" s="10"/>
      <c r="P1354" s="10"/>
      <c r="Q1354" s="10"/>
      <c r="R1354" s="9"/>
      <c r="S1354" s="9"/>
      <c r="T1354" s="12"/>
      <c r="U1354" s="12"/>
      <c r="V1354" s="12"/>
      <c r="W1354" s="10"/>
      <c r="X1354" s="10"/>
      <c r="Y1354" s="9"/>
      <c r="Z1354" s="9"/>
      <c r="AA1354" s="9"/>
      <c r="AB1354" s="9"/>
    </row>
    <row r="1355" ht="30.0" customHeight="1">
      <c r="A1355" s="17" t="s">
        <v>1</v>
      </c>
      <c r="B1355" s="8"/>
      <c r="C1355" s="9"/>
      <c r="D1355" s="9"/>
      <c r="E1355" s="9"/>
      <c r="F1355" s="9"/>
      <c r="G1355" s="9"/>
      <c r="H1355" s="9"/>
      <c r="I1355" s="9"/>
      <c r="J1355" s="9"/>
      <c r="K1355" s="9"/>
      <c r="L1355" s="9"/>
      <c r="M1355" s="10"/>
      <c r="N1355" s="10"/>
      <c r="O1355" s="10"/>
      <c r="P1355" s="10"/>
      <c r="Q1355" s="10"/>
      <c r="R1355" s="9"/>
      <c r="S1355" s="9"/>
      <c r="T1355" s="12"/>
      <c r="U1355" s="12"/>
      <c r="V1355" s="12"/>
      <c r="W1355" s="10"/>
      <c r="X1355" s="10"/>
      <c r="Y1355" s="9"/>
      <c r="Z1355" s="9"/>
      <c r="AA1355" s="9"/>
      <c r="AB1355" s="9"/>
    </row>
    <row r="1356" ht="30.0" customHeight="1">
      <c r="A1356" s="17" t="s">
        <v>1</v>
      </c>
      <c r="B1356" s="8"/>
      <c r="C1356" s="9"/>
      <c r="D1356" s="9"/>
      <c r="E1356" s="9"/>
      <c r="F1356" s="9"/>
      <c r="G1356" s="9"/>
      <c r="H1356" s="9"/>
      <c r="I1356" s="9"/>
      <c r="J1356" s="9"/>
      <c r="K1356" s="9"/>
      <c r="L1356" s="9"/>
      <c r="M1356" s="10"/>
      <c r="N1356" s="10"/>
      <c r="O1356" s="10"/>
      <c r="P1356" s="10"/>
      <c r="Q1356" s="10"/>
      <c r="R1356" s="9"/>
      <c r="S1356" s="9"/>
      <c r="T1356" s="12"/>
      <c r="U1356" s="12"/>
      <c r="V1356" s="12"/>
      <c r="W1356" s="10"/>
      <c r="X1356" s="10"/>
      <c r="Y1356" s="9"/>
      <c r="Z1356" s="9"/>
      <c r="AA1356" s="9"/>
      <c r="AB1356" s="9"/>
    </row>
    <row r="1357" ht="30.0" customHeight="1">
      <c r="A1357" s="17" t="s">
        <v>1</v>
      </c>
      <c r="B1357" s="8"/>
      <c r="C1357" s="9"/>
      <c r="D1357" s="9"/>
      <c r="E1357" s="9"/>
      <c r="F1357" s="9"/>
      <c r="G1357" s="9"/>
      <c r="H1357" s="9"/>
      <c r="I1357" s="9"/>
      <c r="J1357" s="9"/>
      <c r="K1357" s="9"/>
      <c r="L1357" s="9"/>
      <c r="M1357" s="10"/>
      <c r="N1357" s="10"/>
      <c r="O1357" s="10"/>
      <c r="P1357" s="10"/>
      <c r="Q1357" s="10"/>
      <c r="R1357" s="9"/>
      <c r="S1357" s="9"/>
      <c r="T1357" s="12"/>
      <c r="U1357" s="12"/>
      <c r="V1357" s="12"/>
      <c r="W1357" s="10"/>
      <c r="X1357" s="10"/>
      <c r="Y1357" s="9"/>
      <c r="Z1357" s="9"/>
      <c r="AA1357" s="9"/>
      <c r="AB1357" s="9"/>
    </row>
    <row r="1358" ht="30.0" customHeight="1">
      <c r="A1358" s="17" t="s">
        <v>1</v>
      </c>
      <c r="B1358" s="8"/>
      <c r="C1358" s="9"/>
      <c r="D1358" s="9"/>
      <c r="E1358" s="9"/>
      <c r="F1358" s="9"/>
      <c r="G1358" s="9"/>
      <c r="H1358" s="9"/>
      <c r="I1358" s="9"/>
      <c r="J1358" s="9"/>
      <c r="K1358" s="9"/>
      <c r="L1358" s="9"/>
      <c r="M1358" s="10"/>
      <c r="N1358" s="10"/>
      <c r="O1358" s="10"/>
      <c r="P1358" s="10"/>
      <c r="Q1358" s="10"/>
      <c r="R1358" s="9"/>
      <c r="S1358" s="9"/>
      <c r="T1358" s="12"/>
      <c r="U1358" s="12"/>
      <c r="V1358" s="12"/>
      <c r="W1358" s="10"/>
      <c r="X1358" s="10"/>
      <c r="Y1358" s="9"/>
      <c r="Z1358" s="9"/>
      <c r="AA1358" s="9"/>
      <c r="AB1358" s="9"/>
    </row>
    <row r="1359" ht="30.0" customHeight="1">
      <c r="A1359" s="17" t="s">
        <v>1</v>
      </c>
      <c r="B1359" s="8"/>
      <c r="C1359" s="9"/>
      <c r="D1359" s="9"/>
      <c r="E1359" s="9"/>
      <c r="F1359" s="9"/>
      <c r="G1359" s="9"/>
      <c r="H1359" s="9"/>
      <c r="I1359" s="9"/>
      <c r="J1359" s="9"/>
      <c r="K1359" s="9"/>
      <c r="L1359" s="9"/>
      <c r="M1359" s="10"/>
      <c r="N1359" s="10"/>
      <c r="O1359" s="10"/>
      <c r="P1359" s="10"/>
      <c r="Q1359" s="10"/>
      <c r="R1359" s="9"/>
      <c r="S1359" s="9"/>
      <c r="T1359" s="12"/>
      <c r="U1359" s="12"/>
      <c r="V1359" s="12"/>
      <c r="W1359" s="10"/>
      <c r="X1359" s="10"/>
      <c r="Y1359" s="9"/>
      <c r="Z1359" s="9"/>
      <c r="AA1359" s="9"/>
      <c r="AB1359" s="9"/>
    </row>
    <row r="1360" ht="30.0" customHeight="1">
      <c r="A1360" s="17" t="s">
        <v>1</v>
      </c>
      <c r="B1360" s="8"/>
      <c r="C1360" s="9"/>
      <c r="D1360" s="9"/>
      <c r="E1360" s="9"/>
      <c r="F1360" s="9"/>
      <c r="G1360" s="9"/>
      <c r="H1360" s="9"/>
      <c r="I1360" s="9"/>
      <c r="J1360" s="9"/>
      <c r="K1360" s="9"/>
      <c r="L1360" s="9"/>
      <c r="M1360" s="10"/>
      <c r="N1360" s="10"/>
      <c r="O1360" s="10"/>
      <c r="P1360" s="10"/>
      <c r="Q1360" s="10"/>
      <c r="R1360" s="9"/>
      <c r="S1360" s="9"/>
      <c r="T1360" s="12"/>
      <c r="U1360" s="12"/>
      <c r="V1360" s="12"/>
      <c r="W1360" s="10"/>
      <c r="X1360" s="10"/>
      <c r="Y1360" s="9"/>
      <c r="Z1360" s="9"/>
      <c r="AA1360" s="9"/>
      <c r="AB1360" s="9"/>
    </row>
    <row r="1361" ht="30.0" customHeight="1">
      <c r="A1361" s="17" t="s">
        <v>1</v>
      </c>
      <c r="B1361" s="8"/>
      <c r="C1361" s="9"/>
      <c r="D1361" s="9"/>
      <c r="E1361" s="9"/>
      <c r="F1361" s="9"/>
      <c r="G1361" s="9"/>
      <c r="H1361" s="9"/>
      <c r="I1361" s="9"/>
      <c r="J1361" s="9"/>
      <c r="K1361" s="9"/>
      <c r="L1361" s="9"/>
      <c r="M1361" s="10"/>
      <c r="N1361" s="10"/>
      <c r="O1361" s="10"/>
      <c r="P1361" s="10"/>
      <c r="Q1361" s="10"/>
      <c r="R1361" s="9"/>
      <c r="S1361" s="9"/>
      <c r="T1361" s="12"/>
      <c r="U1361" s="12"/>
      <c r="V1361" s="12"/>
      <c r="W1361" s="10"/>
      <c r="X1361" s="10"/>
      <c r="Y1361" s="9"/>
      <c r="Z1361" s="9"/>
      <c r="AA1361" s="9"/>
      <c r="AB1361" s="9"/>
    </row>
    <row r="1362" ht="30.0" customHeight="1">
      <c r="A1362" s="17" t="s">
        <v>1</v>
      </c>
      <c r="B1362" s="8"/>
      <c r="C1362" s="9"/>
      <c r="D1362" s="9"/>
      <c r="E1362" s="9"/>
      <c r="F1362" s="9"/>
      <c r="G1362" s="9"/>
      <c r="H1362" s="9"/>
      <c r="I1362" s="9"/>
      <c r="J1362" s="9"/>
      <c r="K1362" s="9"/>
      <c r="L1362" s="9"/>
      <c r="M1362" s="10"/>
      <c r="N1362" s="10"/>
      <c r="O1362" s="10"/>
      <c r="P1362" s="10"/>
      <c r="Q1362" s="10"/>
      <c r="R1362" s="9"/>
      <c r="S1362" s="9"/>
      <c r="T1362" s="12"/>
      <c r="U1362" s="12"/>
      <c r="V1362" s="12"/>
      <c r="W1362" s="10"/>
      <c r="X1362" s="10"/>
      <c r="Y1362" s="9"/>
      <c r="Z1362" s="9"/>
      <c r="AA1362" s="9"/>
      <c r="AB1362" s="9"/>
    </row>
    <row r="1363" ht="30.0" customHeight="1">
      <c r="A1363" s="17" t="s">
        <v>1</v>
      </c>
      <c r="B1363" s="8"/>
      <c r="C1363" s="9"/>
      <c r="D1363" s="9"/>
      <c r="E1363" s="9"/>
      <c r="F1363" s="9"/>
      <c r="G1363" s="9"/>
      <c r="H1363" s="9"/>
      <c r="I1363" s="9"/>
      <c r="J1363" s="9"/>
      <c r="K1363" s="9"/>
      <c r="L1363" s="9"/>
      <c r="M1363" s="10"/>
      <c r="N1363" s="10"/>
      <c r="O1363" s="10"/>
      <c r="P1363" s="10"/>
      <c r="Q1363" s="10"/>
      <c r="R1363" s="9"/>
      <c r="S1363" s="9"/>
      <c r="T1363" s="12"/>
      <c r="U1363" s="12"/>
      <c r="V1363" s="12"/>
      <c r="W1363" s="10"/>
      <c r="X1363" s="10"/>
      <c r="Y1363" s="9"/>
      <c r="Z1363" s="9"/>
      <c r="AA1363" s="9"/>
      <c r="AB1363" s="9"/>
    </row>
    <row r="1364" ht="30.0" customHeight="1">
      <c r="A1364" s="17" t="s">
        <v>1</v>
      </c>
      <c r="B1364" s="8"/>
      <c r="C1364" s="9"/>
      <c r="D1364" s="9"/>
      <c r="E1364" s="9"/>
      <c r="F1364" s="9"/>
      <c r="G1364" s="9"/>
      <c r="H1364" s="9"/>
      <c r="I1364" s="9"/>
      <c r="J1364" s="9"/>
      <c r="K1364" s="9"/>
      <c r="L1364" s="9"/>
      <c r="M1364" s="10"/>
      <c r="N1364" s="10"/>
      <c r="O1364" s="10"/>
      <c r="P1364" s="10"/>
      <c r="Q1364" s="10"/>
      <c r="R1364" s="9"/>
      <c r="S1364" s="9"/>
      <c r="T1364" s="12"/>
      <c r="U1364" s="12"/>
      <c r="V1364" s="12"/>
      <c r="W1364" s="10"/>
      <c r="X1364" s="10"/>
      <c r="Y1364" s="9"/>
      <c r="Z1364" s="9"/>
      <c r="AA1364" s="9"/>
      <c r="AB1364" s="9"/>
    </row>
    <row r="1365" ht="30.0" customHeight="1">
      <c r="A1365" s="17" t="s">
        <v>1</v>
      </c>
      <c r="B1365" s="8"/>
      <c r="C1365" s="9"/>
      <c r="D1365" s="9"/>
      <c r="E1365" s="9"/>
      <c r="F1365" s="9"/>
      <c r="G1365" s="9"/>
      <c r="H1365" s="9"/>
      <c r="I1365" s="9"/>
      <c r="J1365" s="9"/>
      <c r="K1365" s="9"/>
      <c r="L1365" s="9"/>
      <c r="M1365" s="10"/>
      <c r="N1365" s="10"/>
      <c r="O1365" s="10"/>
      <c r="P1365" s="10"/>
      <c r="Q1365" s="10"/>
      <c r="R1365" s="9"/>
      <c r="S1365" s="9"/>
      <c r="T1365" s="12"/>
      <c r="U1365" s="12"/>
      <c r="V1365" s="12"/>
      <c r="W1365" s="10"/>
      <c r="X1365" s="10"/>
      <c r="Y1365" s="9"/>
      <c r="Z1365" s="9"/>
      <c r="AA1365" s="9"/>
      <c r="AB1365" s="9"/>
    </row>
    <row r="1366" ht="30.0" customHeight="1">
      <c r="A1366" s="17" t="s">
        <v>1</v>
      </c>
      <c r="B1366" s="8"/>
      <c r="C1366" s="9"/>
      <c r="D1366" s="9"/>
      <c r="E1366" s="9"/>
      <c r="F1366" s="9"/>
      <c r="G1366" s="9"/>
      <c r="H1366" s="9"/>
      <c r="I1366" s="9"/>
      <c r="J1366" s="9"/>
      <c r="K1366" s="9"/>
      <c r="L1366" s="9"/>
      <c r="M1366" s="10"/>
      <c r="N1366" s="10"/>
      <c r="O1366" s="10"/>
      <c r="P1366" s="10"/>
      <c r="Q1366" s="10"/>
      <c r="R1366" s="9"/>
      <c r="S1366" s="9"/>
      <c r="T1366" s="12"/>
      <c r="U1366" s="12"/>
      <c r="V1366" s="12"/>
      <c r="W1366" s="10"/>
      <c r="X1366" s="10"/>
      <c r="Y1366" s="9"/>
      <c r="Z1366" s="9"/>
      <c r="AA1366" s="9"/>
      <c r="AB1366" s="9"/>
    </row>
    <row r="1367" ht="30.0" customHeight="1">
      <c r="A1367" s="17" t="s">
        <v>1</v>
      </c>
      <c r="B1367" s="8"/>
      <c r="C1367" s="9"/>
      <c r="D1367" s="9"/>
      <c r="E1367" s="9"/>
      <c r="F1367" s="9"/>
      <c r="G1367" s="9"/>
      <c r="H1367" s="9"/>
      <c r="I1367" s="9"/>
      <c r="J1367" s="9"/>
      <c r="K1367" s="9"/>
      <c r="L1367" s="9"/>
      <c r="M1367" s="10"/>
      <c r="N1367" s="10"/>
      <c r="O1367" s="10"/>
      <c r="P1367" s="10"/>
      <c r="Q1367" s="10"/>
      <c r="R1367" s="9"/>
      <c r="S1367" s="9"/>
      <c r="T1367" s="12"/>
      <c r="U1367" s="12"/>
      <c r="V1367" s="12"/>
      <c r="W1367" s="10"/>
      <c r="X1367" s="10"/>
      <c r="Y1367" s="9"/>
      <c r="Z1367" s="9"/>
      <c r="AA1367" s="9"/>
      <c r="AB1367" s="9"/>
    </row>
    <row r="1368" ht="30.0" customHeight="1">
      <c r="A1368" s="17" t="s">
        <v>1</v>
      </c>
      <c r="B1368" s="8"/>
      <c r="C1368" s="9"/>
      <c r="D1368" s="9"/>
      <c r="E1368" s="9"/>
      <c r="F1368" s="9"/>
      <c r="G1368" s="9"/>
      <c r="H1368" s="9"/>
      <c r="I1368" s="9"/>
      <c r="J1368" s="9"/>
      <c r="K1368" s="9"/>
      <c r="L1368" s="9"/>
      <c r="M1368" s="10"/>
      <c r="N1368" s="10"/>
      <c r="O1368" s="10"/>
      <c r="P1368" s="10"/>
      <c r="Q1368" s="10"/>
      <c r="R1368" s="9"/>
      <c r="S1368" s="9"/>
      <c r="T1368" s="12"/>
      <c r="U1368" s="12"/>
      <c r="V1368" s="12"/>
      <c r="W1368" s="10"/>
      <c r="X1368" s="10"/>
      <c r="Y1368" s="9"/>
      <c r="Z1368" s="9"/>
      <c r="AA1368" s="9"/>
      <c r="AB1368" s="9"/>
    </row>
    <row r="1369" ht="30.0" customHeight="1">
      <c r="A1369" s="17" t="s">
        <v>1</v>
      </c>
      <c r="B1369" s="8"/>
      <c r="C1369" s="9"/>
      <c r="D1369" s="9"/>
      <c r="E1369" s="9"/>
      <c r="F1369" s="9"/>
      <c r="G1369" s="9"/>
      <c r="H1369" s="9"/>
      <c r="I1369" s="9"/>
      <c r="J1369" s="9"/>
      <c r="K1369" s="9"/>
      <c r="L1369" s="9"/>
      <c r="M1369" s="10"/>
      <c r="N1369" s="10"/>
      <c r="O1369" s="10"/>
      <c r="P1369" s="10"/>
      <c r="Q1369" s="10"/>
      <c r="R1369" s="9"/>
      <c r="S1369" s="9"/>
      <c r="T1369" s="12"/>
      <c r="U1369" s="12"/>
      <c r="V1369" s="12"/>
      <c r="W1369" s="10"/>
      <c r="X1369" s="10"/>
      <c r="Y1369" s="9"/>
      <c r="Z1369" s="9"/>
      <c r="AA1369" s="9"/>
      <c r="AB1369" s="9"/>
    </row>
    <row r="1370" ht="30.0" customHeight="1">
      <c r="A1370" s="17" t="s">
        <v>1</v>
      </c>
      <c r="B1370" s="8"/>
      <c r="C1370" s="9"/>
      <c r="D1370" s="9"/>
      <c r="E1370" s="9"/>
      <c r="F1370" s="9"/>
      <c r="G1370" s="9"/>
      <c r="H1370" s="9"/>
      <c r="I1370" s="9"/>
      <c r="J1370" s="9"/>
      <c r="K1370" s="9"/>
      <c r="L1370" s="9"/>
      <c r="M1370" s="10"/>
      <c r="N1370" s="10"/>
      <c r="O1370" s="10"/>
      <c r="P1370" s="10"/>
      <c r="Q1370" s="10"/>
      <c r="R1370" s="9"/>
      <c r="S1370" s="9"/>
      <c r="T1370" s="12"/>
      <c r="U1370" s="12"/>
      <c r="V1370" s="12"/>
      <c r="W1370" s="10"/>
      <c r="X1370" s="10"/>
      <c r="Y1370" s="9"/>
      <c r="Z1370" s="9"/>
      <c r="AA1370" s="9"/>
      <c r="AB1370" s="9"/>
    </row>
    <row r="1371" ht="30.0" customHeight="1">
      <c r="A1371" s="17" t="s">
        <v>1</v>
      </c>
      <c r="B1371" s="8"/>
      <c r="C1371" s="9"/>
      <c r="D1371" s="9"/>
      <c r="E1371" s="9"/>
      <c r="F1371" s="9"/>
      <c r="G1371" s="9"/>
      <c r="H1371" s="9"/>
      <c r="I1371" s="9"/>
      <c r="J1371" s="9"/>
      <c r="K1371" s="9"/>
      <c r="L1371" s="9"/>
      <c r="M1371" s="10"/>
      <c r="N1371" s="10"/>
      <c r="O1371" s="10"/>
      <c r="P1371" s="10"/>
      <c r="Q1371" s="10"/>
      <c r="R1371" s="9"/>
      <c r="S1371" s="9"/>
      <c r="T1371" s="12"/>
      <c r="U1371" s="12"/>
      <c r="V1371" s="12"/>
      <c r="W1371" s="10"/>
      <c r="X1371" s="10"/>
      <c r="Y1371" s="9"/>
      <c r="Z1371" s="9"/>
      <c r="AA1371" s="9"/>
      <c r="AB1371" s="9"/>
    </row>
    <row r="1372" ht="30.0" customHeight="1">
      <c r="A1372" s="17" t="s">
        <v>1</v>
      </c>
      <c r="B1372" s="8"/>
      <c r="C1372" s="9"/>
      <c r="D1372" s="9"/>
      <c r="E1372" s="9"/>
      <c r="F1372" s="9"/>
      <c r="G1372" s="9"/>
      <c r="H1372" s="9"/>
      <c r="I1372" s="9"/>
      <c r="J1372" s="9"/>
      <c r="K1372" s="9"/>
      <c r="L1372" s="9"/>
      <c r="M1372" s="10"/>
      <c r="N1372" s="10"/>
      <c r="O1372" s="10"/>
      <c r="P1372" s="10"/>
      <c r="Q1372" s="10"/>
      <c r="R1372" s="9"/>
      <c r="S1372" s="9"/>
      <c r="T1372" s="12"/>
      <c r="U1372" s="12"/>
      <c r="V1372" s="12"/>
      <c r="W1372" s="10"/>
      <c r="X1372" s="10"/>
      <c r="Y1372" s="9"/>
      <c r="Z1372" s="9"/>
      <c r="AA1372" s="9"/>
      <c r="AB1372" s="9"/>
    </row>
    <row r="1373" ht="30.0" customHeight="1">
      <c r="A1373" s="17" t="s">
        <v>1</v>
      </c>
      <c r="B1373" s="8"/>
      <c r="C1373" s="9"/>
      <c r="D1373" s="9"/>
      <c r="E1373" s="9"/>
      <c r="F1373" s="9"/>
      <c r="G1373" s="9"/>
      <c r="H1373" s="9"/>
      <c r="I1373" s="9"/>
      <c r="J1373" s="9"/>
      <c r="K1373" s="9"/>
      <c r="L1373" s="9"/>
      <c r="M1373" s="10"/>
      <c r="N1373" s="10"/>
      <c r="O1373" s="10"/>
      <c r="P1373" s="10"/>
      <c r="Q1373" s="10"/>
      <c r="R1373" s="9"/>
      <c r="S1373" s="9"/>
      <c r="T1373" s="12"/>
      <c r="U1373" s="12"/>
      <c r="V1373" s="12"/>
      <c r="W1373" s="10"/>
      <c r="X1373" s="10"/>
      <c r="Y1373" s="9"/>
      <c r="Z1373" s="9"/>
      <c r="AA1373" s="9"/>
      <c r="AB1373" s="9"/>
    </row>
    <row r="1374" ht="30.0" customHeight="1">
      <c r="A1374" s="17" t="s">
        <v>1</v>
      </c>
      <c r="B1374" s="8"/>
      <c r="C1374" s="9"/>
      <c r="D1374" s="9"/>
      <c r="E1374" s="9"/>
      <c r="F1374" s="9"/>
      <c r="G1374" s="9"/>
      <c r="H1374" s="9"/>
      <c r="I1374" s="9"/>
      <c r="J1374" s="9"/>
      <c r="K1374" s="9"/>
      <c r="L1374" s="9"/>
      <c r="M1374" s="10"/>
      <c r="N1374" s="10"/>
      <c r="O1374" s="10"/>
      <c r="P1374" s="10"/>
      <c r="Q1374" s="10"/>
      <c r="R1374" s="9"/>
      <c r="S1374" s="9"/>
      <c r="T1374" s="12"/>
      <c r="U1374" s="12"/>
      <c r="V1374" s="12"/>
      <c r="W1374" s="10"/>
      <c r="X1374" s="10"/>
      <c r="Y1374" s="9"/>
      <c r="Z1374" s="9"/>
      <c r="AA1374" s="9"/>
      <c r="AB1374" s="9"/>
    </row>
    <row r="1375" ht="30.0" customHeight="1">
      <c r="A1375" s="17" t="s">
        <v>1</v>
      </c>
      <c r="B1375" s="8"/>
      <c r="C1375" s="9"/>
      <c r="D1375" s="9"/>
      <c r="E1375" s="9"/>
      <c r="F1375" s="9"/>
      <c r="G1375" s="9"/>
      <c r="H1375" s="9"/>
      <c r="I1375" s="9"/>
      <c r="J1375" s="9"/>
      <c r="K1375" s="9"/>
      <c r="L1375" s="9"/>
      <c r="M1375" s="10"/>
      <c r="N1375" s="10"/>
      <c r="O1375" s="10"/>
      <c r="P1375" s="10"/>
      <c r="Q1375" s="10"/>
      <c r="R1375" s="9"/>
      <c r="S1375" s="9"/>
      <c r="T1375" s="12"/>
      <c r="U1375" s="12"/>
      <c r="V1375" s="12"/>
      <c r="W1375" s="10"/>
      <c r="X1375" s="10"/>
      <c r="Y1375" s="9"/>
      <c r="Z1375" s="9"/>
      <c r="AA1375" s="9"/>
      <c r="AB1375" s="9"/>
    </row>
    <row r="1376" ht="30.0" customHeight="1">
      <c r="A1376" s="17" t="s">
        <v>1</v>
      </c>
      <c r="B1376" s="8"/>
      <c r="C1376" s="9"/>
      <c r="D1376" s="9"/>
      <c r="E1376" s="9"/>
      <c r="F1376" s="9"/>
      <c r="G1376" s="9"/>
      <c r="H1376" s="9"/>
      <c r="I1376" s="9"/>
      <c r="J1376" s="9"/>
      <c r="K1376" s="9"/>
      <c r="L1376" s="9"/>
      <c r="M1376" s="10"/>
      <c r="N1376" s="10"/>
      <c r="O1376" s="10"/>
      <c r="P1376" s="10"/>
      <c r="Q1376" s="10"/>
      <c r="R1376" s="9"/>
      <c r="S1376" s="9"/>
      <c r="T1376" s="12"/>
      <c r="U1376" s="12"/>
      <c r="V1376" s="12"/>
      <c r="W1376" s="10"/>
      <c r="X1376" s="10"/>
      <c r="Y1376" s="9"/>
      <c r="Z1376" s="9"/>
      <c r="AA1376" s="9"/>
      <c r="AB1376" s="9"/>
    </row>
    <row r="1377" ht="30.0" customHeight="1">
      <c r="A1377" s="17" t="s">
        <v>1</v>
      </c>
      <c r="B1377" s="8"/>
      <c r="C1377" s="9"/>
      <c r="D1377" s="9"/>
      <c r="E1377" s="9"/>
      <c r="F1377" s="9"/>
      <c r="G1377" s="9"/>
      <c r="H1377" s="9"/>
      <c r="I1377" s="9"/>
      <c r="J1377" s="9"/>
      <c r="K1377" s="9"/>
      <c r="L1377" s="9"/>
      <c r="M1377" s="10"/>
      <c r="N1377" s="10"/>
      <c r="O1377" s="10"/>
      <c r="P1377" s="10"/>
      <c r="Q1377" s="10"/>
      <c r="R1377" s="9"/>
      <c r="S1377" s="9"/>
      <c r="T1377" s="12"/>
      <c r="U1377" s="12"/>
      <c r="V1377" s="12"/>
      <c r="W1377" s="10"/>
      <c r="X1377" s="10"/>
      <c r="Y1377" s="9"/>
      <c r="Z1377" s="9"/>
      <c r="AA1377" s="9"/>
      <c r="AB1377" s="9"/>
    </row>
    <row r="1378" ht="30.0" customHeight="1">
      <c r="A1378" s="17" t="s">
        <v>1</v>
      </c>
      <c r="B1378" s="8"/>
      <c r="C1378" s="9"/>
      <c r="D1378" s="9"/>
      <c r="E1378" s="9"/>
      <c r="F1378" s="9"/>
      <c r="G1378" s="9"/>
      <c r="H1378" s="9"/>
      <c r="I1378" s="9"/>
      <c r="J1378" s="9"/>
      <c r="K1378" s="9"/>
      <c r="L1378" s="9"/>
      <c r="M1378" s="10"/>
      <c r="N1378" s="10"/>
      <c r="O1378" s="10"/>
      <c r="P1378" s="10"/>
      <c r="Q1378" s="10"/>
      <c r="R1378" s="9"/>
      <c r="S1378" s="9"/>
      <c r="T1378" s="12"/>
      <c r="U1378" s="12"/>
      <c r="V1378" s="12"/>
      <c r="W1378" s="10"/>
      <c r="X1378" s="10"/>
      <c r="Y1378" s="9"/>
      <c r="Z1378" s="9"/>
      <c r="AA1378" s="9"/>
      <c r="AB1378" s="9"/>
    </row>
    <row r="1379" ht="30.0" customHeight="1">
      <c r="A1379" s="17" t="s">
        <v>1</v>
      </c>
      <c r="B1379" s="8"/>
      <c r="C1379" s="9"/>
      <c r="D1379" s="9"/>
      <c r="E1379" s="9"/>
      <c r="F1379" s="9"/>
      <c r="G1379" s="9"/>
      <c r="H1379" s="9"/>
      <c r="I1379" s="9"/>
      <c r="J1379" s="9"/>
      <c r="K1379" s="9"/>
      <c r="L1379" s="9"/>
      <c r="M1379" s="10"/>
      <c r="N1379" s="10"/>
      <c r="O1379" s="10"/>
      <c r="P1379" s="10"/>
      <c r="Q1379" s="10"/>
      <c r="R1379" s="9"/>
      <c r="S1379" s="9"/>
      <c r="T1379" s="12"/>
      <c r="U1379" s="12"/>
      <c r="V1379" s="12"/>
      <c r="W1379" s="10"/>
      <c r="X1379" s="10"/>
      <c r="Y1379" s="9"/>
      <c r="Z1379" s="9"/>
      <c r="AA1379" s="9"/>
      <c r="AB1379" s="9"/>
    </row>
    <row r="1380" ht="30.0" customHeight="1">
      <c r="A1380" s="17" t="s">
        <v>1</v>
      </c>
      <c r="B1380" s="8"/>
      <c r="C1380" s="9"/>
      <c r="D1380" s="9"/>
      <c r="E1380" s="9"/>
      <c r="F1380" s="9"/>
      <c r="G1380" s="9"/>
      <c r="H1380" s="9"/>
      <c r="I1380" s="9"/>
      <c r="J1380" s="9"/>
      <c r="K1380" s="9"/>
      <c r="L1380" s="9"/>
      <c r="M1380" s="10"/>
      <c r="N1380" s="10"/>
      <c r="O1380" s="10"/>
      <c r="P1380" s="10"/>
      <c r="Q1380" s="10"/>
      <c r="R1380" s="9"/>
      <c r="S1380" s="9"/>
      <c r="T1380" s="12"/>
      <c r="U1380" s="12"/>
      <c r="V1380" s="12"/>
      <c r="W1380" s="10"/>
      <c r="X1380" s="10"/>
      <c r="Y1380" s="9"/>
      <c r="Z1380" s="9"/>
      <c r="AA1380" s="9"/>
      <c r="AB1380" s="9"/>
    </row>
    <row r="1381" ht="30.0" customHeight="1">
      <c r="A1381" s="17" t="s">
        <v>1</v>
      </c>
      <c r="B1381" s="8"/>
      <c r="C1381" s="9"/>
      <c r="D1381" s="9"/>
      <c r="E1381" s="9"/>
      <c r="F1381" s="9"/>
      <c r="G1381" s="9"/>
      <c r="H1381" s="9"/>
      <c r="I1381" s="9"/>
      <c r="J1381" s="9"/>
      <c r="K1381" s="9"/>
      <c r="L1381" s="9"/>
      <c r="M1381" s="10"/>
      <c r="N1381" s="10"/>
      <c r="O1381" s="10"/>
      <c r="P1381" s="10"/>
      <c r="Q1381" s="10"/>
      <c r="R1381" s="9"/>
      <c r="S1381" s="9"/>
      <c r="T1381" s="12"/>
      <c r="U1381" s="12"/>
      <c r="V1381" s="12"/>
      <c r="W1381" s="10"/>
      <c r="X1381" s="10"/>
      <c r="Y1381" s="9"/>
      <c r="Z1381" s="9"/>
      <c r="AA1381" s="9"/>
      <c r="AB1381" s="9"/>
    </row>
    <row r="1382" ht="30.0" customHeight="1">
      <c r="A1382" s="17" t="s">
        <v>1</v>
      </c>
      <c r="B1382" s="8"/>
      <c r="C1382" s="9"/>
      <c r="D1382" s="9"/>
      <c r="E1382" s="9"/>
      <c r="F1382" s="9"/>
      <c r="G1382" s="9"/>
      <c r="H1382" s="9"/>
      <c r="I1382" s="9"/>
      <c r="J1382" s="9"/>
      <c r="K1382" s="9"/>
      <c r="L1382" s="9"/>
      <c r="M1382" s="10"/>
      <c r="N1382" s="10"/>
      <c r="O1382" s="10"/>
      <c r="P1382" s="10"/>
      <c r="Q1382" s="10"/>
      <c r="R1382" s="9"/>
      <c r="S1382" s="9"/>
      <c r="T1382" s="12"/>
      <c r="U1382" s="12"/>
      <c r="V1382" s="12"/>
      <c r="W1382" s="10"/>
      <c r="X1382" s="10"/>
      <c r="Y1382" s="9"/>
      <c r="Z1382" s="9"/>
      <c r="AA1382" s="9"/>
      <c r="AB1382" s="9"/>
    </row>
    <row r="1383" ht="30.0" customHeight="1">
      <c r="A1383" s="17" t="s">
        <v>1</v>
      </c>
      <c r="B1383" s="8"/>
      <c r="C1383" s="9"/>
      <c r="D1383" s="9"/>
      <c r="E1383" s="9"/>
      <c r="F1383" s="9"/>
      <c r="G1383" s="9"/>
      <c r="H1383" s="9"/>
      <c r="I1383" s="9"/>
      <c r="J1383" s="9"/>
      <c r="K1383" s="9"/>
      <c r="L1383" s="9"/>
      <c r="M1383" s="10"/>
      <c r="N1383" s="10"/>
      <c r="O1383" s="10"/>
      <c r="P1383" s="10"/>
      <c r="Q1383" s="10"/>
      <c r="R1383" s="9"/>
      <c r="S1383" s="9"/>
      <c r="T1383" s="12"/>
      <c r="U1383" s="12"/>
      <c r="V1383" s="12"/>
      <c r="W1383" s="10"/>
      <c r="X1383" s="10"/>
      <c r="Y1383" s="9"/>
      <c r="Z1383" s="9"/>
      <c r="AA1383" s="9"/>
      <c r="AB1383" s="9"/>
    </row>
    <row r="1384" ht="30.0" customHeight="1">
      <c r="A1384" s="17" t="s">
        <v>1</v>
      </c>
      <c r="B1384" s="8"/>
      <c r="C1384" s="9"/>
      <c r="D1384" s="9"/>
      <c r="E1384" s="9"/>
      <c r="F1384" s="9"/>
      <c r="G1384" s="9"/>
      <c r="H1384" s="9"/>
      <c r="I1384" s="9"/>
      <c r="J1384" s="9"/>
      <c r="K1384" s="9"/>
      <c r="L1384" s="9"/>
      <c r="M1384" s="10"/>
      <c r="N1384" s="10"/>
      <c r="O1384" s="10"/>
      <c r="P1384" s="10"/>
      <c r="Q1384" s="10"/>
      <c r="R1384" s="9"/>
      <c r="S1384" s="9"/>
      <c r="T1384" s="12"/>
      <c r="U1384" s="12"/>
      <c r="V1384" s="12"/>
      <c r="W1384" s="10"/>
      <c r="X1384" s="10"/>
      <c r="Y1384" s="9"/>
      <c r="Z1384" s="9"/>
      <c r="AA1384" s="9"/>
      <c r="AB1384" s="9"/>
    </row>
    <row r="1385" ht="30.0" customHeight="1">
      <c r="A1385" s="17" t="s">
        <v>1</v>
      </c>
      <c r="B1385" s="8"/>
      <c r="C1385" s="9"/>
      <c r="D1385" s="9"/>
      <c r="E1385" s="9"/>
      <c r="F1385" s="9"/>
      <c r="G1385" s="9"/>
      <c r="H1385" s="9"/>
      <c r="I1385" s="9"/>
      <c r="J1385" s="9"/>
      <c r="K1385" s="9"/>
      <c r="L1385" s="9"/>
      <c r="M1385" s="10"/>
      <c r="N1385" s="10"/>
      <c r="O1385" s="10"/>
      <c r="P1385" s="10"/>
      <c r="Q1385" s="10"/>
      <c r="R1385" s="9"/>
      <c r="S1385" s="9"/>
      <c r="T1385" s="12"/>
      <c r="U1385" s="12"/>
      <c r="V1385" s="12"/>
      <c r="W1385" s="10"/>
      <c r="X1385" s="10"/>
      <c r="Y1385" s="9"/>
      <c r="Z1385" s="9"/>
      <c r="AA1385" s="9"/>
      <c r="AB1385" s="9"/>
    </row>
    <row r="1386" ht="30.0" customHeight="1">
      <c r="A1386" s="17" t="s">
        <v>1</v>
      </c>
      <c r="B1386" s="8"/>
      <c r="C1386" s="9"/>
      <c r="D1386" s="9"/>
      <c r="E1386" s="9"/>
      <c r="F1386" s="9"/>
      <c r="G1386" s="9"/>
      <c r="H1386" s="9"/>
      <c r="I1386" s="9"/>
      <c r="J1386" s="9"/>
      <c r="K1386" s="9"/>
      <c r="L1386" s="9"/>
      <c r="M1386" s="10"/>
      <c r="N1386" s="10"/>
      <c r="O1386" s="10"/>
      <c r="P1386" s="10"/>
      <c r="Q1386" s="10"/>
      <c r="R1386" s="9"/>
      <c r="S1386" s="9"/>
      <c r="T1386" s="12"/>
      <c r="U1386" s="12"/>
      <c r="V1386" s="12"/>
      <c r="W1386" s="10"/>
      <c r="X1386" s="10"/>
      <c r="Y1386" s="9"/>
      <c r="Z1386" s="9"/>
      <c r="AA1386" s="9"/>
      <c r="AB1386" s="9"/>
    </row>
    <row r="1387" ht="30.0" customHeight="1">
      <c r="A1387" s="17" t="s">
        <v>1</v>
      </c>
      <c r="B1387" s="8"/>
      <c r="C1387" s="9"/>
      <c r="D1387" s="9"/>
      <c r="E1387" s="9"/>
      <c r="F1387" s="9"/>
      <c r="G1387" s="9"/>
      <c r="H1387" s="9"/>
      <c r="I1387" s="9"/>
      <c r="J1387" s="9"/>
      <c r="K1387" s="9"/>
      <c r="L1387" s="9"/>
      <c r="M1387" s="10"/>
      <c r="N1387" s="10"/>
      <c r="O1387" s="10"/>
      <c r="P1387" s="10"/>
      <c r="Q1387" s="10"/>
      <c r="R1387" s="9"/>
      <c r="S1387" s="9"/>
      <c r="T1387" s="12"/>
      <c r="U1387" s="12"/>
      <c r="V1387" s="12"/>
      <c r="W1387" s="10"/>
      <c r="X1387" s="10"/>
      <c r="Y1387" s="9"/>
      <c r="Z1387" s="9"/>
      <c r="AA1387" s="9"/>
      <c r="AB1387" s="9"/>
    </row>
    <row r="1388" ht="30.0" customHeight="1">
      <c r="A1388" s="17" t="s">
        <v>1</v>
      </c>
      <c r="B1388" s="8"/>
      <c r="C1388" s="9"/>
      <c r="D1388" s="9"/>
      <c r="E1388" s="9"/>
      <c r="F1388" s="9"/>
      <c r="G1388" s="9"/>
      <c r="H1388" s="9"/>
      <c r="I1388" s="9"/>
      <c r="J1388" s="9"/>
      <c r="K1388" s="9"/>
      <c r="L1388" s="9"/>
      <c r="M1388" s="10"/>
      <c r="N1388" s="10"/>
      <c r="O1388" s="10"/>
      <c r="P1388" s="10"/>
      <c r="Q1388" s="10"/>
      <c r="R1388" s="9"/>
      <c r="S1388" s="9"/>
      <c r="T1388" s="12"/>
      <c r="U1388" s="12"/>
      <c r="V1388" s="12"/>
      <c r="W1388" s="10"/>
      <c r="X1388" s="10"/>
      <c r="Y1388" s="9"/>
      <c r="Z1388" s="9"/>
      <c r="AA1388" s="9"/>
      <c r="AB1388" s="9"/>
    </row>
    <row r="1389" ht="30.0" customHeight="1">
      <c r="A1389" s="17" t="s">
        <v>1</v>
      </c>
      <c r="B1389" s="8"/>
      <c r="C1389" s="9"/>
      <c r="D1389" s="9"/>
      <c r="E1389" s="9"/>
      <c r="F1389" s="9"/>
      <c r="G1389" s="9"/>
      <c r="H1389" s="9"/>
      <c r="I1389" s="9"/>
      <c r="J1389" s="9"/>
      <c r="K1389" s="9"/>
      <c r="L1389" s="9"/>
      <c r="M1389" s="10"/>
      <c r="N1389" s="10"/>
      <c r="O1389" s="10"/>
      <c r="P1389" s="10"/>
      <c r="Q1389" s="10"/>
      <c r="R1389" s="9"/>
      <c r="S1389" s="9"/>
      <c r="T1389" s="12"/>
      <c r="U1389" s="12"/>
      <c r="V1389" s="12"/>
      <c r="W1389" s="10"/>
      <c r="X1389" s="10"/>
      <c r="Y1389" s="9"/>
      <c r="Z1389" s="9"/>
      <c r="AA1389" s="9"/>
      <c r="AB1389" s="9"/>
    </row>
    <row r="1390" ht="30.0" customHeight="1">
      <c r="A1390" s="17" t="s">
        <v>1</v>
      </c>
      <c r="B1390" s="8"/>
      <c r="C1390" s="9"/>
      <c r="D1390" s="9"/>
      <c r="E1390" s="9"/>
      <c r="F1390" s="9"/>
      <c r="G1390" s="9"/>
      <c r="H1390" s="9"/>
      <c r="I1390" s="9"/>
      <c r="J1390" s="9"/>
      <c r="K1390" s="9"/>
      <c r="L1390" s="9"/>
      <c r="M1390" s="10"/>
      <c r="N1390" s="10"/>
      <c r="O1390" s="10"/>
      <c r="P1390" s="10"/>
      <c r="Q1390" s="10"/>
      <c r="R1390" s="9"/>
      <c r="S1390" s="9"/>
      <c r="T1390" s="12"/>
      <c r="U1390" s="12"/>
      <c r="V1390" s="12"/>
      <c r="W1390" s="10"/>
      <c r="X1390" s="10"/>
      <c r="Y1390" s="9"/>
      <c r="Z1390" s="9"/>
      <c r="AA1390" s="9"/>
      <c r="AB1390" s="9"/>
    </row>
    <row r="1391" ht="30.0" customHeight="1">
      <c r="A1391" s="17" t="s">
        <v>1</v>
      </c>
      <c r="B1391" s="8"/>
      <c r="C1391" s="9"/>
      <c r="D1391" s="9"/>
      <c r="E1391" s="9"/>
      <c r="F1391" s="9"/>
      <c r="G1391" s="9"/>
      <c r="H1391" s="9"/>
      <c r="I1391" s="9"/>
      <c r="J1391" s="9"/>
      <c r="K1391" s="9"/>
      <c r="L1391" s="9"/>
      <c r="M1391" s="10"/>
      <c r="N1391" s="10"/>
      <c r="O1391" s="10"/>
      <c r="P1391" s="10"/>
      <c r="Q1391" s="10"/>
      <c r="R1391" s="9"/>
      <c r="S1391" s="9"/>
      <c r="T1391" s="12"/>
      <c r="U1391" s="12"/>
      <c r="V1391" s="12"/>
      <c r="W1391" s="10"/>
      <c r="X1391" s="10"/>
      <c r="Y1391" s="9"/>
      <c r="Z1391" s="9"/>
      <c r="AA1391" s="9"/>
      <c r="AB1391" s="9"/>
    </row>
    <row r="1392" ht="30.0" customHeight="1">
      <c r="A1392" s="17" t="s">
        <v>1</v>
      </c>
      <c r="B1392" s="8"/>
      <c r="C1392" s="9"/>
      <c r="D1392" s="9"/>
      <c r="E1392" s="9"/>
      <c r="F1392" s="9"/>
      <c r="G1392" s="9"/>
      <c r="H1392" s="9"/>
      <c r="I1392" s="9"/>
      <c r="J1392" s="9"/>
      <c r="K1392" s="9"/>
      <c r="L1392" s="9"/>
      <c r="M1392" s="10"/>
      <c r="N1392" s="10"/>
      <c r="O1392" s="10"/>
      <c r="P1392" s="10"/>
      <c r="Q1392" s="10"/>
      <c r="R1392" s="9"/>
      <c r="S1392" s="9"/>
      <c r="T1392" s="12"/>
      <c r="U1392" s="12"/>
      <c r="V1392" s="12"/>
      <c r="W1392" s="10"/>
      <c r="X1392" s="10"/>
      <c r="Y1392" s="9"/>
      <c r="Z1392" s="9"/>
      <c r="AA1392" s="9"/>
      <c r="AB1392" s="9"/>
    </row>
    <row r="1393" ht="30.0" customHeight="1">
      <c r="A1393" s="17" t="s">
        <v>1</v>
      </c>
      <c r="B1393" s="8"/>
      <c r="C1393" s="9"/>
      <c r="D1393" s="9"/>
      <c r="E1393" s="9"/>
      <c r="F1393" s="9"/>
      <c r="G1393" s="9"/>
      <c r="H1393" s="9"/>
      <c r="I1393" s="9"/>
      <c r="J1393" s="9"/>
      <c r="K1393" s="9"/>
      <c r="L1393" s="9"/>
      <c r="M1393" s="10"/>
      <c r="N1393" s="10"/>
      <c r="O1393" s="10"/>
      <c r="P1393" s="10"/>
      <c r="Q1393" s="10"/>
      <c r="R1393" s="9"/>
      <c r="S1393" s="9"/>
      <c r="T1393" s="12"/>
      <c r="U1393" s="12"/>
      <c r="V1393" s="12"/>
      <c r="W1393" s="10"/>
      <c r="X1393" s="10"/>
      <c r="Y1393" s="9"/>
      <c r="Z1393" s="9"/>
      <c r="AA1393" s="9"/>
      <c r="AB1393" s="9"/>
    </row>
    <row r="1394" ht="30.0" customHeight="1">
      <c r="A1394" s="17" t="s">
        <v>1</v>
      </c>
      <c r="B1394" s="8"/>
      <c r="C1394" s="9"/>
      <c r="D1394" s="9"/>
      <c r="E1394" s="9"/>
      <c r="F1394" s="9"/>
      <c r="G1394" s="9"/>
      <c r="H1394" s="9"/>
      <c r="I1394" s="9"/>
      <c r="J1394" s="9"/>
      <c r="K1394" s="9"/>
      <c r="L1394" s="9"/>
      <c r="M1394" s="10"/>
      <c r="N1394" s="10"/>
      <c r="O1394" s="10"/>
      <c r="P1394" s="10"/>
      <c r="Q1394" s="10"/>
      <c r="R1394" s="9"/>
      <c r="S1394" s="9"/>
      <c r="T1394" s="12"/>
      <c r="U1394" s="12"/>
      <c r="V1394" s="12"/>
      <c r="W1394" s="10"/>
      <c r="X1394" s="10"/>
      <c r="Y1394" s="9"/>
      <c r="Z1394" s="9"/>
      <c r="AA1394" s="9"/>
      <c r="AB1394" s="9"/>
    </row>
    <row r="1395" ht="30.0" customHeight="1">
      <c r="A1395" s="17" t="s">
        <v>1</v>
      </c>
      <c r="B1395" s="8"/>
      <c r="C1395" s="9"/>
      <c r="D1395" s="9"/>
      <c r="E1395" s="9"/>
      <c r="F1395" s="9"/>
      <c r="G1395" s="9"/>
      <c r="H1395" s="9"/>
      <c r="I1395" s="9"/>
      <c r="J1395" s="9"/>
      <c r="K1395" s="9"/>
      <c r="L1395" s="9"/>
      <c r="M1395" s="10"/>
      <c r="N1395" s="10"/>
      <c r="O1395" s="10"/>
      <c r="P1395" s="10"/>
      <c r="Q1395" s="10"/>
      <c r="R1395" s="9"/>
      <c r="S1395" s="9"/>
      <c r="T1395" s="12"/>
      <c r="U1395" s="12"/>
      <c r="V1395" s="12"/>
      <c r="W1395" s="10"/>
      <c r="X1395" s="10"/>
      <c r="Y1395" s="9"/>
      <c r="Z1395" s="9"/>
      <c r="AA1395" s="9"/>
      <c r="AB1395" s="9"/>
    </row>
    <row r="1396" ht="30.0" customHeight="1">
      <c r="A1396" s="17" t="s">
        <v>1</v>
      </c>
      <c r="B1396" s="8"/>
      <c r="C1396" s="9"/>
      <c r="D1396" s="9"/>
      <c r="E1396" s="9"/>
      <c r="F1396" s="9"/>
      <c r="G1396" s="9"/>
      <c r="H1396" s="9"/>
      <c r="I1396" s="9"/>
      <c r="J1396" s="9"/>
      <c r="K1396" s="9"/>
      <c r="L1396" s="9"/>
      <c r="M1396" s="10"/>
      <c r="N1396" s="10"/>
      <c r="O1396" s="10"/>
      <c r="P1396" s="10"/>
      <c r="Q1396" s="10"/>
      <c r="R1396" s="9"/>
      <c r="S1396" s="9"/>
      <c r="T1396" s="12"/>
      <c r="U1396" s="12"/>
      <c r="V1396" s="12"/>
      <c r="W1396" s="10"/>
      <c r="X1396" s="10"/>
      <c r="Y1396" s="9"/>
      <c r="Z1396" s="9"/>
      <c r="AA1396" s="9"/>
      <c r="AB1396" s="9"/>
    </row>
    <row r="1397" ht="30.0" customHeight="1">
      <c r="A1397" s="17" t="s">
        <v>1</v>
      </c>
      <c r="B1397" s="8"/>
      <c r="C1397" s="9"/>
      <c r="D1397" s="9"/>
      <c r="E1397" s="9"/>
      <c r="F1397" s="9"/>
      <c r="G1397" s="9"/>
      <c r="H1397" s="9"/>
      <c r="I1397" s="9"/>
      <c r="J1397" s="9"/>
      <c r="K1397" s="9"/>
      <c r="L1397" s="9"/>
      <c r="M1397" s="10"/>
      <c r="N1397" s="10"/>
      <c r="O1397" s="10"/>
      <c r="P1397" s="10"/>
      <c r="Q1397" s="10"/>
      <c r="R1397" s="9"/>
      <c r="S1397" s="9"/>
      <c r="T1397" s="12"/>
      <c r="U1397" s="12"/>
      <c r="V1397" s="12"/>
      <c r="W1397" s="10"/>
      <c r="X1397" s="10"/>
      <c r="Y1397" s="9"/>
      <c r="Z1397" s="9"/>
      <c r="AA1397" s="9"/>
      <c r="AB1397" s="9"/>
    </row>
    <row r="1398" ht="30.0" customHeight="1">
      <c r="A1398" s="17" t="s">
        <v>1</v>
      </c>
      <c r="B1398" s="8"/>
      <c r="C1398" s="9"/>
      <c r="D1398" s="9"/>
      <c r="E1398" s="9"/>
      <c r="F1398" s="9"/>
      <c r="G1398" s="9"/>
      <c r="H1398" s="9"/>
      <c r="I1398" s="9"/>
      <c r="J1398" s="9"/>
      <c r="K1398" s="9"/>
      <c r="L1398" s="9"/>
      <c r="M1398" s="10"/>
      <c r="N1398" s="10"/>
      <c r="O1398" s="10"/>
      <c r="P1398" s="10"/>
      <c r="Q1398" s="10"/>
      <c r="R1398" s="9"/>
      <c r="S1398" s="9"/>
      <c r="T1398" s="12"/>
      <c r="U1398" s="12"/>
      <c r="V1398" s="12"/>
      <c r="W1398" s="10"/>
      <c r="X1398" s="10"/>
      <c r="Y1398" s="9"/>
      <c r="Z1398" s="9"/>
      <c r="AA1398" s="9"/>
      <c r="AB1398" s="9"/>
    </row>
    <row r="1399" ht="30.0" customHeight="1">
      <c r="A1399" s="17" t="s">
        <v>1</v>
      </c>
      <c r="B1399" s="8"/>
      <c r="C1399" s="9"/>
      <c r="D1399" s="9"/>
      <c r="E1399" s="9"/>
      <c r="F1399" s="9"/>
      <c r="G1399" s="9"/>
      <c r="H1399" s="9"/>
      <c r="I1399" s="9"/>
      <c r="J1399" s="9"/>
      <c r="K1399" s="9"/>
      <c r="L1399" s="9"/>
      <c r="M1399" s="10"/>
      <c r="N1399" s="10"/>
      <c r="O1399" s="10"/>
      <c r="P1399" s="10"/>
      <c r="Q1399" s="10"/>
      <c r="R1399" s="9"/>
      <c r="S1399" s="9"/>
      <c r="T1399" s="12"/>
      <c r="U1399" s="12"/>
      <c r="V1399" s="12"/>
      <c r="W1399" s="10"/>
      <c r="X1399" s="10"/>
      <c r="Y1399" s="9"/>
      <c r="Z1399" s="9"/>
      <c r="AA1399" s="9"/>
      <c r="AB1399" s="9"/>
    </row>
    <row r="1400" ht="30.0" customHeight="1">
      <c r="A1400" s="17" t="s">
        <v>1</v>
      </c>
      <c r="B1400" s="8"/>
      <c r="C1400" s="9"/>
      <c r="D1400" s="9"/>
      <c r="E1400" s="9"/>
      <c r="F1400" s="9"/>
      <c r="G1400" s="9"/>
      <c r="H1400" s="9"/>
      <c r="I1400" s="9"/>
      <c r="J1400" s="9"/>
      <c r="K1400" s="9"/>
      <c r="L1400" s="9"/>
      <c r="M1400" s="10"/>
      <c r="N1400" s="10"/>
      <c r="O1400" s="10"/>
      <c r="P1400" s="10"/>
      <c r="Q1400" s="10"/>
      <c r="R1400" s="9"/>
      <c r="S1400" s="9"/>
      <c r="T1400" s="12"/>
      <c r="U1400" s="12"/>
      <c r="V1400" s="12"/>
      <c r="W1400" s="10"/>
      <c r="X1400" s="10"/>
      <c r="Y1400" s="9"/>
      <c r="Z1400" s="9"/>
      <c r="AA1400" s="9"/>
      <c r="AB1400" s="9"/>
    </row>
    <row r="1401" ht="30.0" customHeight="1">
      <c r="A1401" s="17" t="s">
        <v>1</v>
      </c>
      <c r="B1401" s="8"/>
      <c r="C1401" s="9"/>
      <c r="D1401" s="9"/>
      <c r="E1401" s="9"/>
      <c r="F1401" s="9"/>
      <c r="G1401" s="9"/>
      <c r="H1401" s="9"/>
      <c r="I1401" s="9"/>
      <c r="J1401" s="9"/>
      <c r="K1401" s="9"/>
      <c r="L1401" s="9"/>
      <c r="M1401" s="10"/>
      <c r="N1401" s="10"/>
      <c r="O1401" s="10"/>
      <c r="P1401" s="10"/>
      <c r="Q1401" s="10"/>
      <c r="R1401" s="9"/>
      <c r="S1401" s="9"/>
      <c r="T1401" s="12"/>
      <c r="U1401" s="12"/>
      <c r="V1401" s="12"/>
      <c r="W1401" s="10"/>
      <c r="X1401" s="10"/>
      <c r="Y1401" s="9"/>
      <c r="Z1401" s="9"/>
      <c r="AA1401" s="9"/>
      <c r="AB1401" s="9"/>
    </row>
    <row r="1402" ht="30.0" customHeight="1">
      <c r="A1402" s="17" t="s">
        <v>1</v>
      </c>
      <c r="B1402" s="8"/>
      <c r="C1402" s="9"/>
      <c r="D1402" s="9"/>
      <c r="E1402" s="9"/>
      <c r="F1402" s="9"/>
      <c r="G1402" s="9"/>
      <c r="H1402" s="9"/>
      <c r="I1402" s="9"/>
      <c r="J1402" s="9"/>
      <c r="K1402" s="9"/>
      <c r="L1402" s="9"/>
      <c r="M1402" s="10"/>
      <c r="N1402" s="10"/>
      <c r="O1402" s="10"/>
      <c r="P1402" s="10"/>
      <c r="Q1402" s="10"/>
      <c r="R1402" s="9"/>
      <c r="S1402" s="9"/>
      <c r="T1402" s="12"/>
      <c r="U1402" s="12"/>
      <c r="V1402" s="12"/>
      <c r="W1402" s="10"/>
      <c r="X1402" s="10"/>
      <c r="Y1402" s="9"/>
      <c r="Z1402" s="9"/>
      <c r="AA1402" s="9"/>
      <c r="AB1402" s="9"/>
    </row>
    <row r="1403" ht="30.0" customHeight="1">
      <c r="A1403" s="17" t="s">
        <v>1</v>
      </c>
      <c r="B1403" s="8"/>
      <c r="C1403" s="9"/>
      <c r="D1403" s="9"/>
      <c r="E1403" s="9"/>
      <c r="F1403" s="9"/>
      <c r="G1403" s="9"/>
      <c r="H1403" s="9"/>
      <c r="I1403" s="9"/>
      <c r="J1403" s="9"/>
      <c r="K1403" s="9"/>
      <c r="L1403" s="9"/>
      <c r="M1403" s="10"/>
      <c r="N1403" s="10"/>
      <c r="O1403" s="10"/>
      <c r="P1403" s="10"/>
      <c r="Q1403" s="10"/>
      <c r="R1403" s="9"/>
      <c r="S1403" s="9"/>
      <c r="T1403" s="12"/>
      <c r="U1403" s="12"/>
      <c r="V1403" s="12"/>
      <c r="W1403" s="10"/>
      <c r="X1403" s="10"/>
      <c r="Y1403" s="9"/>
      <c r="Z1403" s="9"/>
      <c r="AA1403" s="9"/>
      <c r="AB1403" s="9"/>
    </row>
    <row r="1404" ht="30.0" customHeight="1">
      <c r="A1404" s="17" t="s">
        <v>1</v>
      </c>
      <c r="B1404" s="8"/>
      <c r="C1404" s="9"/>
      <c r="D1404" s="9"/>
      <c r="E1404" s="9"/>
      <c r="F1404" s="9"/>
      <c r="G1404" s="9"/>
      <c r="H1404" s="9"/>
      <c r="I1404" s="9"/>
      <c r="J1404" s="9"/>
      <c r="K1404" s="9"/>
      <c r="L1404" s="9"/>
      <c r="M1404" s="10"/>
      <c r="N1404" s="10"/>
      <c r="O1404" s="10"/>
      <c r="P1404" s="10"/>
      <c r="Q1404" s="10"/>
      <c r="R1404" s="9"/>
      <c r="S1404" s="9"/>
      <c r="T1404" s="12"/>
      <c r="U1404" s="12"/>
      <c r="V1404" s="12"/>
      <c r="W1404" s="10"/>
      <c r="X1404" s="10"/>
      <c r="Y1404" s="9"/>
      <c r="Z1404" s="9"/>
      <c r="AA1404" s="9"/>
      <c r="AB1404" s="9"/>
    </row>
    <row r="1405" ht="30.0" customHeight="1">
      <c r="A1405" s="17" t="s">
        <v>1</v>
      </c>
      <c r="B1405" s="8"/>
      <c r="C1405" s="9"/>
      <c r="D1405" s="9"/>
      <c r="E1405" s="9"/>
      <c r="F1405" s="9"/>
      <c r="G1405" s="9"/>
      <c r="H1405" s="9"/>
      <c r="I1405" s="9"/>
      <c r="J1405" s="9"/>
      <c r="K1405" s="9"/>
      <c r="L1405" s="9"/>
      <c r="M1405" s="10"/>
      <c r="N1405" s="10"/>
      <c r="O1405" s="10"/>
      <c r="P1405" s="10"/>
      <c r="Q1405" s="10"/>
      <c r="R1405" s="9"/>
      <c r="S1405" s="9"/>
      <c r="T1405" s="12"/>
      <c r="U1405" s="12"/>
      <c r="V1405" s="12"/>
      <c r="W1405" s="10"/>
      <c r="X1405" s="10"/>
      <c r="Y1405" s="9"/>
      <c r="Z1405" s="9"/>
      <c r="AA1405" s="9"/>
      <c r="AB1405" s="9"/>
    </row>
    <row r="1406" ht="30.0" customHeight="1">
      <c r="A1406" s="17" t="s">
        <v>1</v>
      </c>
      <c r="B1406" s="8"/>
      <c r="C1406" s="9"/>
      <c r="D1406" s="9"/>
      <c r="E1406" s="9"/>
      <c r="F1406" s="9"/>
      <c r="G1406" s="9"/>
      <c r="H1406" s="9"/>
      <c r="I1406" s="9"/>
      <c r="J1406" s="9"/>
      <c r="K1406" s="9"/>
      <c r="L1406" s="9"/>
      <c r="M1406" s="10"/>
      <c r="N1406" s="10"/>
      <c r="O1406" s="10"/>
      <c r="P1406" s="10"/>
      <c r="Q1406" s="10"/>
      <c r="R1406" s="9"/>
      <c r="S1406" s="9"/>
      <c r="T1406" s="12"/>
      <c r="U1406" s="12"/>
      <c r="V1406" s="12"/>
      <c r="W1406" s="10"/>
      <c r="X1406" s="10"/>
      <c r="Y1406" s="9"/>
      <c r="Z1406" s="9"/>
      <c r="AA1406" s="9"/>
      <c r="AB1406" s="9"/>
    </row>
    <row r="1407" ht="30.0" customHeight="1">
      <c r="A1407" s="17" t="s">
        <v>1</v>
      </c>
      <c r="B1407" s="8"/>
      <c r="C1407" s="9"/>
      <c r="D1407" s="9"/>
      <c r="E1407" s="9"/>
      <c r="F1407" s="9"/>
      <c r="G1407" s="9"/>
      <c r="H1407" s="9"/>
      <c r="I1407" s="9"/>
      <c r="J1407" s="9"/>
      <c r="K1407" s="9"/>
      <c r="L1407" s="9"/>
      <c r="M1407" s="10"/>
      <c r="N1407" s="10"/>
      <c r="O1407" s="10"/>
      <c r="P1407" s="10"/>
      <c r="Q1407" s="10"/>
      <c r="R1407" s="9"/>
      <c r="S1407" s="9"/>
      <c r="T1407" s="12"/>
      <c r="U1407" s="12"/>
      <c r="V1407" s="12"/>
      <c r="W1407" s="10"/>
      <c r="X1407" s="10"/>
      <c r="Y1407" s="9"/>
      <c r="Z1407" s="9"/>
      <c r="AA1407" s="9"/>
      <c r="AB1407" s="9"/>
    </row>
    <row r="1408" ht="30.0" customHeight="1">
      <c r="A1408" s="17" t="s">
        <v>1</v>
      </c>
      <c r="B1408" s="8"/>
      <c r="C1408" s="9"/>
      <c r="D1408" s="9"/>
      <c r="E1408" s="9"/>
      <c r="F1408" s="9"/>
      <c r="G1408" s="9"/>
      <c r="H1408" s="9"/>
      <c r="I1408" s="9"/>
      <c r="J1408" s="9"/>
      <c r="K1408" s="9"/>
      <c r="L1408" s="9"/>
      <c r="M1408" s="10"/>
      <c r="N1408" s="10"/>
      <c r="O1408" s="10"/>
      <c r="P1408" s="10"/>
      <c r="Q1408" s="10"/>
      <c r="R1408" s="9"/>
      <c r="S1408" s="9"/>
      <c r="T1408" s="12"/>
      <c r="U1408" s="12"/>
      <c r="V1408" s="12"/>
      <c r="W1408" s="10"/>
      <c r="X1408" s="10"/>
      <c r="Y1408" s="9"/>
      <c r="Z1408" s="9"/>
      <c r="AA1408" s="9"/>
      <c r="AB1408" s="9"/>
    </row>
    <row r="1409" ht="30.0" customHeight="1">
      <c r="A1409" s="17" t="s">
        <v>1</v>
      </c>
      <c r="B1409" s="8"/>
      <c r="C1409" s="9"/>
      <c r="D1409" s="9"/>
      <c r="E1409" s="9"/>
      <c r="F1409" s="9"/>
      <c r="G1409" s="9"/>
      <c r="H1409" s="9"/>
      <c r="I1409" s="9"/>
      <c r="J1409" s="9"/>
      <c r="K1409" s="9"/>
      <c r="L1409" s="9"/>
      <c r="M1409" s="10"/>
      <c r="N1409" s="10"/>
      <c r="O1409" s="10"/>
      <c r="P1409" s="10"/>
      <c r="Q1409" s="10"/>
      <c r="R1409" s="9"/>
      <c r="S1409" s="9"/>
      <c r="T1409" s="12"/>
      <c r="U1409" s="12"/>
      <c r="V1409" s="12"/>
      <c r="W1409" s="10"/>
      <c r="X1409" s="10"/>
      <c r="Y1409" s="9"/>
      <c r="Z1409" s="9"/>
      <c r="AA1409" s="9"/>
      <c r="AB1409" s="9"/>
    </row>
    <row r="1410" ht="30.0" customHeight="1">
      <c r="A1410" s="17" t="s">
        <v>1</v>
      </c>
      <c r="B1410" s="8"/>
      <c r="C1410" s="9"/>
      <c r="D1410" s="9"/>
      <c r="E1410" s="9"/>
      <c r="F1410" s="9"/>
      <c r="G1410" s="9"/>
      <c r="H1410" s="9"/>
      <c r="I1410" s="9"/>
      <c r="J1410" s="9"/>
      <c r="K1410" s="9"/>
      <c r="L1410" s="9"/>
      <c r="M1410" s="10"/>
      <c r="N1410" s="10"/>
      <c r="O1410" s="10"/>
      <c r="P1410" s="10"/>
      <c r="Q1410" s="10"/>
      <c r="R1410" s="9"/>
      <c r="S1410" s="9"/>
      <c r="T1410" s="12"/>
      <c r="U1410" s="12"/>
      <c r="V1410" s="12"/>
      <c r="W1410" s="10"/>
      <c r="X1410" s="10"/>
      <c r="Y1410" s="9"/>
      <c r="Z1410" s="9"/>
      <c r="AA1410" s="9"/>
      <c r="AB1410" s="9"/>
    </row>
    <row r="1411" ht="30.0" customHeight="1">
      <c r="A1411" s="17" t="s">
        <v>1</v>
      </c>
      <c r="B1411" s="8"/>
      <c r="C1411" s="9"/>
      <c r="D1411" s="9"/>
      <c r="E1411" s="9"/>
      <c r="F1411" s="9"/>
      <c r="G1411" s="9"/>
      <c r="H1411" s="9"/>
      <c r="I1411" s="9"/>
      <c r="J1411" s="9"/>
      <c r="K1411" s="9"/>
      <c r="L1411" s="9"/>
      <c r="M1411" s="10"/>
      <c r="N1411" s="10"/>
      <c r="O1411" s="10"/>
      <c r="P1411" s="10"/>
      <c r="Q1411" s="10"/>
      <c r="R1411" s="9"/>
      <c r="S1411" s="9"/>
      <c r="T1411" s="12"/>
      <c r="U1411" s="12"/>
      <c r="V1411" s="12"/>
      <c r="W1411" s="10"/>
      <c r="X1411" s="10"/>
      <c r="Y1411" s="9"/>
      <c r="Z1411" s="9"/>
      <c r="AA1411" s="9"/>
      <c r="AB1411" s="9"/>
    </row>
    <row r="1412" ht="30.0" customHeight="1">
      <c r="A1412" s="17" t="s">
        <v>1</v>
      </c>
      <c r="B1412" s="8"/>
      <c r="C1412" s="9"/>
      <c r="D1412" s="9"/>
      <c r="E1412" s="9"/>
      <c r="F1412" s="9"/>
      <c r="G1412" s="9"/>
      <c r="H1412" s="9"/>
      <c r="I1412" s="9"/>
      <c r="J1412" s="9"/>
      <c r="K1412" s="9"/>
      <c r="L1412" s="9"/>
      <c r="M1412" s="10"/>
      <c r="N1412" s="10"/>
      <c r="O1412" s="10"/>
      <c r="P1412" s="10"/>
      <c r="Q1412" s="10"/>
      <c r="R1412" s="9"/>
      <c r="S1412" s="9"/>
      <c r="T1412" s="12"/>
      <c r="U1412" s="12"/>
      <c r="V1412" s="12"/>
      <c r="W1412" s="10"/>
      <c r="X1412" s="10"/>
      <c r="Y1412" s="9"/>
      <c r="Z1412" s="9"/>
      <c r="AA1412" s="9"/>
      <c r="AB1412" s="9"/>
    </row>
    <row r="1413" ht="30.0" customHeight="1">
      <c r="A1413" s="17" t="s">
        <v>1</v>
      </c>
      <c r="B1413" s="8"/>
      <c r="C1413" s="9"/>
      <c r="D1413" s="9"/>
      <c r="E1413" s="9"/>
      <c r="F1413" s="9"/>
      <c r="G1413" s="9"/>
      <c r="H1413" s="9"/>
      <c r="I1413" s="9"/>
      <c r="J1413" s="9"/>
      <c r="K1413" s="9"/>
      <c r="L1413" s="9"/>
      <c r="M1413" s="10"/>
      <c r="N1413" s="10"/>
      <c r="O1413" s="10"/>
      <c r="P1413" s="10"/>
      <c r="Q1413" s="10"/>
      <c r="R1413" s="9"/>
      <c r="S1413" s="9"/>
      <c r="T1413" s="12"/>
      <c r="U1413" s="12"/>
      <c r="V1413" s="12"/>
      <c r="W1413" s="10"/>
      <c r="X1413" s="10"/>
      <c r="Y1413" s="9"/>
      <c r="Z1413" s="9"/>
      <c r="AA1413" s="9"/>
      <c r="AB1413" s="9"/>
    </row>
    <row r="1414" ht="30.0" customHeight="1">
      <c r="A1414" s="17" t="s">
        <v>1</v>
      </c>
      <c r="B1414" s="8"/>
      <c r="C1414" s="9"/>
      <c r="D1414" s="9"/>
      <c r="E1414" s="9"/>
      <c r="F1414" s="9"/>
      <c r="G1414" s="9"/>
      <c r="H1414" s="9"/>
      <c r="I1414" s="9"/>
      <c r="J1414" s="9"/>
      <c r="K1414" s="9"/>
      <c r="L1414" s="9"/>
      <c r="M1414" s="10"/>
      <c r="N1414" s="10"/>
      <c r="O1414" s="10"/>
      <c r="P1414" s="10"/>
      <c r="Q1414" s="10"/>
      <c r="R1414" s="9"/>
      <c r="S1414" s="9"/>
      <c r="T1414" s="12"/>
      <c r="U1414" s="12"/>
      <c r="V1414" s="12"/>
      <c r="W1414" s="10"/>
      <c r="X1414" s="10"/>
      <c r="Y1414" s="9"/>
      <c r="Z1414" s="9"/>
      <c r="AA1414" s="9"/>
      <c r="AB1414" s="9"/>
    </row>
    <row r="1415" ht="30.0" customHeight="1">
      <c r="A1415" s="17" t="s">
        <v>1</v>
      </c>
      <c r="B1415" s="8"/>
      <c r="C1415" s="9"/>
      <c r="D1415" s="9"/>
      <c r="E1415" s="9"/>
      <c r="F1415" s="9"/>
      <c r="G1415" s="9"/>
      <c r="H1415" s="9"/>
      <c r="I1415" s="9"/>
      <c r="J1415" s="9"/>
      <c r="K1415" s="9"/>
      <c r="L1415" s="9"/>
      <c r="M1415" s="10"/>
      <c r="N1415" s="10"/>
      <c r="O1415" s="10"/>
      <c r="P1415" s="10"/>
      <c r="Q1415" s="10"/>
      <c r="R1415" s="9"/>
      <c r="S1415" s="9"/>
      <c r="T1415" s="12"/>
      <c r="U1415" s="12"/>
      <c r="V1415" s="12"/>
      <c r="W1415" s="10"/>
      <c r="X1415" s="10"/>
      <c r="Y1415" s="9"/>
      <c r="Z1415" s="9"/>
      <c r="AA1415" s="9"/>
      <c r="AB1415" s="9"/>
    </row>
    <row r="1416" ht="30.0" customHeight="1">
      <c r="A1416" s="17" t="s">
        <v>1</v>
      </c>
      <c r="B1416" s="8"/>
      <c r="C1416" s="9"/>
      <c r="D1416" s="9"/>
      <c r="E1416" s="9"/>
      <c r="F1416" s="9"/>
      <c r="G1416" s="9"/>
      <c r="H1416" s="9"/>
      <c r="I1416" s="9"/>
      <c r="J1416" s="9"/>
      <c r="K1416" s="9"/>
      <c r="L1416" s="9"/>
      <c r="M1416" s="10"/>
      <c r="N1416" s="10"/>
      <c r="O1416" s="10"/>
      <c r="P1416" s="10"/>
      <c r="Q1416" s="10"/>
      <c r="R1416" s="9"/>
      <c r="S1416" s="9"/>
      <c r="T1416" s="12"/>
      <c r="U1416" s="12"/>
      <c r="V1416" s="12"/>
      <c r="W1416" s="10"/>
      <c r="X1416" s="10"/>
      <c r="Y1416" s="9"/>
      <c r="Z1416" s="9"/>
      <c r="AA1416" s="9"/>
      <c r="AB1416" s="9"/>
    </row>
    <row r="1417" ht="30.0" customHeight="1">
      <c r="A1417" s="17" t="s">
        <v>1</v>
      </c>
      <c r="B1417" s="8"/>
      <c r="C1417" s="9"/>
      <c r="D1417" s="9"/>
      <c r="E1417" s="9"/>
      <c r="F1417" s="9"/>
      <c r="G1417" s="9"/>
      <c r="H1417" s="9"/>
      <c r="I1417" s="9"/>
      <c r="J1417" s="9"/>
      <c r="K1417" s="9"/>
      <c r="L1417" s="9"/>
      <c r="M1417" s="10"/>
      <c r="N1417" s="10"/>
      <c r="O1417" s="10"/>
      <c r="P1417" s="10"/>
      <c r="Q1417" s="10"/>
      <c r="R1417" s="9"/>
      <c r="S1417" s="9"/>
      <c r="T1417" s="12"/>
      <c r="U1417" s="12"/>
      <c r="V1417" s="12"/>
      <c r="W1417" s="10"/>
      <c r="X1417" s="10"/>
      <c r="Y1417" s="9"/>
      <c r="Z1417" s="9"/>
      <c r="AA1417" s="9"/>
      <c r="AB1417" s="9"/>
    </row>
    <row r="1418" ht="30.0" customHeight="1">
      <c r="A1418" s="17" t="s">
        <v>1</v>
      </c>
      <c r="B1418" s="8"/>
      <c r="C1418" s="9"/>
      <c r="D1418" s="9"/>
      <c r="E1418" s="9"/>
      <c r="F1418" s="9"/>
      <c r="G1418" s="9"/>
      <c r="H1418" s="9"/>
      <c r="I1418" s="9"/>
      <c r="J1418" s="9"/>
      <c r="K1418" s="9"/>
      <c r="L1418" s="9"/>
      <c r="M1418" s="10"/>
      <c r="N1418" s="10"/>
      <c r="O1418" s="10"/>
      <c r="P1418" s="10"/>
      <c r="Q1418" s="10"/>
      <c r="R1418" s="9"/>
      <c r="S1418" s="9"/>
      <c r="T1418" s="12"/>
      <c r="U1418" s="12"/>
      <c r="V1418" s="12"/>
      <c r="W1418" s="10"/>
      <c r="X1418" s="10"/>
      <c r="Y1418" s="9"/>
      <c r="Z1418" s="9"/>
      <c r="AA1418" s="9"/>
      <c r="AB1418" s="9"/>
    </row>
    <row r="1419" ht="30.0" customHeight="1">
      <c r="A1419" s="17" t="s">
        <v>1</v>
      </c>
      <c r="B1419" s="8"/>
      <c r="C1419" s="9"/>
      <c r="D1419" s="9"/>
      <c r="E1419" s="9"/>
      <c r="F1419" s="9"/>
      <c r="G1419" s="9"/>
      <c r="H1419" s="9"/>
      <c r="I1419" s="9"/>
      <c r="J1419" s="9"/>
      <c r="K1419" s="9"/>
      <c r="L1419" s="9"/>
      <c r="M1419" s="10"/>
      <c r="N1419" s="10"/>
      <c r="O1419" s="10"/>
      <c r="P1419" s="10"/>
      <c r="Q1419" s="10"/>
      <c r="R1419" s="9"/>
      <c r="S1419" s="9"/>
      <c r="T1419" s="12"/>
      <c r="U1419" s="12"/>
      <c r="V1419" s="12"/>
      <c r="W1419" s="10"/>
      <c r="X1419" s="10"/>
      <c r="Y1419" s="9"/>
      <c r="Z1419" s="9"/>
      <c r="AA1419" s="9"/>
      <c r="AB1419" s="9"/>
    </row>
    <row r="1420" ht="30.0" customHeight="1">
      <c r="A1420" s="17" t="s">
        <v>1</v>
      </c>
      <c r="B1420" s="8"/>
      <c r="C1420" s="9"/>
      <c r="D1420" s="9"/>
      <c r="E1420" s="9"/>
      <c r="F1420" s="9"/>
      <c r="G1420" s="9"/>
      <c r="H1420" s="9"/>
      <c r="I1420" s="9"/>
      <c r="J1420" s="9"/>
      <c r="K1420" s="9"/>
      <c r="L1420" s="9"/>
      <c r="M1420" s="10"/>
      <c r="N1420" s="10"/>
      <c r="O1420" s="10"/>
      <c r="P1420" s="10"/>
      <c r="Q1420" s="10"/>
      <c r="R1420" s="9"/>
      <c r="S1420" s="9"/>
      <c r="T1420" s="12"/>
      <c r="U1420" s="12"/>
      <c r="V1420" s="12"/>
      <c r="W1420" s="10"/>
      <c r="X1420" s="10"/>
      <c r="Y1420" s="9"/>
      <c r="Z1420" s="9"/>
      <c r="AA1420" s="9"/>
      <c r="AB1420" s="9"/>
    </row>
    <row r="1421" ht="30.0" customHeight="1">
      <c r="A1421" s="17" t="s">
        <v>1</v>
      </c>
      <c r="B1421" s="8"/>
      <c r="C1421" s="9"/>
      <c r="D1421" s="9"/>
      <c r="E1421" s="9"/>
      <c r="F1421" s="9"/>
      <c r="G1421" s="9"/>
      <c r="H1421" s="9"/>
      <c r="I1421" s="9"/>
      <c r="J1421" s="9"/>
      <c r="K1421" s="9"/>
      <c r="L1421" s="9"/>
      <c r="M1421" s="10"/>
      <c r="N1421" s="10"/>
      <c r="O1421" s="10"/>
      <c r="P1421" s="10"/>
      <c r="Q1421" s="10"/>
      <c r="R1421" s="9"/>
      <c r="S1421" s="9"/>
      <c r="T1421" s="12"/>
      <c r="U1421" s="12"/>
      <c r="V1421" s="12"/>
      <c r="W1421" s="10"/>
      <c r="X1421" s="10"/>
      <c r="Y1421" s="9"/>
      <c r="Z1421" s="9"/>
      <c r="AA1421" s="9"/>
      <c r="AB1421" s="9"/>
    </row>
    <row r="1422" ht="30.0" customHeight="1">
      <c r="A1422" s="17" t="s">
        <v>1</v>
      </c>
      <c r="B1422" s="8"/>
      <c r="C1422" s="9"/>
      <c r="D1422" s="9"/>
      <c r="E1422" s="9"/>
      <c r="F1422" s="9"/>
      <c r="G1422" s="9"/>
      <c r="H1422" s="9"/>
      <c r="I1422" s="9"/>
      <c r="J1422" s="9"/>
      <c r="K1422" s="9"/>
      <c r="L1422" s="9"/>
      <c r="M1422" s="10"/>
      <c r="N1422" s="10"/>
      <c r="O1422" s="10"/>
      <c r="P1422" s="10"/>
      <c r="Q1422" s="10"/>
      <c r="R1422" s="9"/>
      <c r="S1422" s="9"/>
      <c r="T1422" s="12"/>
      <c r="U1422" s="12"/>
      <c r="V1422" s="12"/>
      <c r="W1422" s="10"/>
      <c r="X1422" s="10"/>
      <c r="Y1422" s="9"/>
      <c r="Z1422" s="9"/>
      <c r="AA1422" s="9"/>
      <c r="AB1422" s="9"/>
    </row>
    <row r="1423" ht="30.0" customHeight="1">
      <c r="A1423" s="17" t="s">
        <v>1</v>
      </c>
      <c r="B1423" s="8"/>
      <c r="C1423" s="9"/>
      <c r="D1423" s="9"/>
      <c r="E1423" s="9"/>
      <c r="F1423" s="9"/>
      <c r="G1423" s="9"/>
      <c r="H1423" s="9"/>
      <c r="I1423" s="9"/>
      <c r="J1423" s="9"/>
      <c r="K1423" s="9"/>
      <c r="L1423" s="9"/>
      <c r="M1423" s="10"/>
      <c r="N1423" s="10"/>
      <c r="O1423" s="10"/>
      <c r="P1423" s="10"/>
      <c r="Q1423" s="10"/>
      <c r="R1423" s="9"/>
      <c r="S1423" s="9"/>
      <c r="T1423" s="12"/>
      <c r="U1423" s="12"/>
      <c r="V1423" s="12"/>
      <c r="W1423" s="10"/>
      <c r="X1423" s="10"/>
      <c r="Y1423" s="9"/>
      <c r="Z1423" s="9"/>
      <c r="AA1423" s="9"/>
      <c r="AB1423" s="9"/>
    </row>
    <row r="1424" ht="30.0" customHeight="1">
      <c r="A1424" s="17" t="s">
        <v>1</v>
      </c>
      <c r="B1424" s="8"/>
      <c r="C1424" s="9"/>
      <c r="D1424" s="9"/>
      <c r="E1424" s="9"/>
      <c r="F1424" s="9"/>
      <c r="G1424" s="9"/>
      <c r="H1424" s="9"/>
      <c r="I1424" s="9"/>
      <c r="J1424" s="9"/>
      <c r="K1424" s="9"/>
      <c r="L1424" s="9"/>
      <c r="M1424" s="10"/>
      <c r="N1424" s="10"/>
      <c r="O1424" s="10"/>
      <c r="P1424" s="10"/>
      <c r="Q1424" s="10"/>
      <c r="R1424" s="9"/>
      <c r="S1424" s="9"/>
      <c r="T1424" s="12"/>
      <c r="U1424" s="12"/>
      <c r="V1424" s="12"/>
      <c r="W1424" s="10"/>
      <c r="X1424" s="10"/>
      <c r="Y1424" s="9"/>
      <c r="Z1424" s="9"/>
      <c r="AA1424" s="9"/>
      <c r="AB1424" s="9"/>
    </row>
    <row r="1425" ht="30.0" customHeight="1">
      <c r="A1425" s="17" t="s">
        <v>1</v>
      </c>
      <c r="B1425" s="8"/>
      <c r="C1425" s="9"/>
      <c r="D1425" s="9"/>
      <c r="E1425" s="9"/>
      <c r="F1425" s="9"/>
      <c r="G1425" s="9"/>
      <c r="H1425" s="9"/>
      <c r="I1425" s="9"/>
      <c r="J1425" s="9"/>
      <c r="K1425" s="9"/>
      <c r="L1425" s="9"/>
      <c r="M1425" s="10"/>
      <c r="N1425" s="10"/>
      <c r="O1425" s="10"/>
      <c r="P1425" s="10"/>
      <c r="Q1425" s="10"/>
      <c r="R1425" s="9"/>
      <c r="S1425" s="9"/>
      <c r="T1425" s="12"/>
      <c r="U1425" s="12"/>
      <c r="V1425" s="12"/>
      <c r="W1425" s="10"/>
      <c r="X1425" s="10"/>
      <c r="Y1425" s="9"/>
      <c r="Z1425" s="9"/>
      <c r="AA1425" s="9"/>
      <c r="AB1425" s="9"/>
    </row>
    <row r="1426" ht="30.0" customHeight="1">
      <c r="A1426" s="17" t="s">
        <v>1</v>
      </c>
      <c r="B1426" s="8"/>
      <c r="C1426" s="9"/>
      <c r="D1426" s="9"/>
      <c r="E1426" s="9"/>
      <c r="F1426" s="9"/>
      <c r="G1426" s="9"/>
      <c r="H1426" s="9"/>
      <c r="I1426" s="9"/>
      <c r="J1426" s="9"/>
      <c r="K1426" s="9"/>
      <c r="L1426" s="9"/>
      <c r="M1426" s="10"/>
      <c r="N1426" s="10"/>
      <c r="O1426" s="10"/>
      <c r="P1426" s="10"/>
      <c r="Q1426" s="10"/>
      <c r="R1426" s="9"/>
      <c r="S1426" s="9"/>
      <c r="T1426" s="12"/>
      <c r="U1426" s="12"/>
      <c r="V1426" s="12"/>
      <c r="W1426" s="10"/>
      <c r="X1426" s="10"/>
      <c r="Y1426" s="9"/>
      <c r="Z1426" s="9"/>
      <c r="AA1426" s="9"/>
      <c r="AB1426" s="9"/>
    </row>
    <row r="1427" ht="30.0" customHeight="1">
      <c r="A1427" s="17" t="s">
        <v>1</v>
      </c>
      <c r="B1427" s="8"/>
      <c r="C1427" s="9"/>
      <c r="D1427" s="9"/>
      <c r="E1427" s="9"/>
      <c r="F1427" s="9"/>
      <c r="G1427" s="9"/>
      <c r="H1427" s="9"/>
      <c r="I1427" s="9"/>
      <c r="J1427" s="9"/>
      <c r="K1427" s="9"/>
      <c r="L1427" s="9"/>
      <c r="M1427" s="10"/>
      <c r="N1427" s="10"/>
      <c r="O1427" s="10"/>
      <c r="P1427" s="10"/>
      <c r="Q1427" s="10"/>
      <c r="R1427" s="9"/>
      <c r="S1427" s="9"/>
      <c r="T1427" s="12"/>
      <c r="U1427" s="12"/>
      <c r="V1427" s="12"/>
      <c r="W1427" s="10"/>
      <c r="X1427" s="10"/>
      <c r="Y1427" s="9"/>
      <c r="Z1427" s="9"/>
      <c r="AA1427" s="9"/>
      <c r="AB1427" s="9"/>
    </row>
    <row r="1428" ht="30.0" customHeight="1">
      <c r="A1428" s="17" t="s">
        <v>1</v>
      </c>
      <c r="B1428" s="8"/>
      <c r="C1428" s="9"/>
      <c r="D1428" s="9"/>
      <c r="E1428" s="9"/>
      <c r="F1428" s="9"/>
      <c r="G1428" s="9"/>
      <c r="H1428" s="9"/>
      <c r="I1428" s="9"/>
      <c r="J1428" s="9"/>
      <c r="K1428" s="9"/>
      <c r="L1428" s="9"/>
      <c r="M1428" s="10"/>
      <c r="N1428" s="10"/>
      <c r="O1428" s="10"/>
      <c r="P1428" s="10"/>
      <c r="Q1428" s="10"/>
      <c r="R1428" s="9"/>
      <c r="S1428" s="9"/>
      <c r="T1428" s="12"/>
      <c r="U1428" s="12"/>
      <c r="V1428" s="12"/>
      <c r="W1428" s="10"/>
      <c r="X1428" s="10"/>
      <c r="Y1428" s="9"/>
      <c r="Z1428" s="9"/>
      <c r="AA1428" s="9"/>
      <c r="AB1428" s="9"/>
    </row>
    <row r="1429" ht="30.0" customHeight="1">
      <c r="A1429" s="17" t="s">
        <v>1</v>
      </c>
      <c r="B1429" s="8"/>
      <c r="C1429" s="9"/>
      <c r="D1429" s="9"/>
      <c r="E1429" s="9"/>
      <c r="F1429" s="9"/>
      <c r="G1429" s="9"/>
      <c r="H1429" s="9"/>
      <c r="I1429" s="9"/>
      <c r="J1429" s="9"/>
      <c r="K1429" s="9"/>
      <c r="L1429" s="9"/>
      <c r="M1429" s="10"/>
      <c r="N1429" s="10"/>
      <c r="O1429" s="10"/>
      <c r="P1429" s="10"/>
      <c r="Q1429" s="10"/>
      <c r="R1429" s="9"/>
      <c r="S1429" s="9"/>
      <c r="T1429" s="12"/>
      <c r="U1429" s="12"/>
      <c r="V1429" s="12"/>
      <c r="W1429" s="10"/>
      <c r="X1429" s="10"/>
      <c r="Y1429" s="9"/>
      <c r="Z1429" s="9"/>
      <c r="AA1429" s="9"/>
      <c r="AB1429" s="9"/>
    </row>
    <row r="1430" ht="30.0" customHeight="1">
      <c r="A1430" s="17" t="s">
        <v>1</v>
      </c>
      <c r="B1430" s="8"/>
      <c r="C1430" s="9"/>
      <c r="D1430" s="9"/>
      <c r="E1430" s="9"/>
      <c r="F1430" s="9"/>
      <c r="G1430" s="9"/>
      <c r="H1430" s="9"/>
      <c r="I1430" s="9"/>
      <c r="J1430" s="9"/>
      <c r="K1430" s="9"/>
      <c r="L1430" s="9"/>
      <c r="M1430" s="10"/>
      <c r="N1430" s="10"/>
      <c r="O1430" s="10"/>
      <c r="P1430" s="10"/>
      <c r="Q1430" s="10"/>
      <c r="R1430" s="9"/>
      <c r="S1430" s="9"/>
      <c r="T1430" s="12"/>
      <c r="U1430" s="12"/>
      <c r="V1430" s="12"/>
      <c r="W1430" s="10"/>
      <c r="X1430" s="10"/>
      <c r="Y1430" s="9"/>
      <c r="Z1430" s="9"/>
      <c r="AA1430" s="9"/>
      <c r="AB1430" s="9"/>
    </row>
    <row r="1431" ht="30.0" customHeight="1">
      <c r="A1431" s="17" t="s">
        <v>1</v>
      </c>
      <c r="B1431" s="8"/>
      <c r="C1431" s="9"/>
      <c r="D1431" s="9"/>
      <c r="E1431" s="9"/>
      <c r="F1431" s="9"/>
      <c r="G1431" s="9"/>
      <c r="H1431" s="9"/>
      <c r="I1431" s="9"/>
      <c r="J1431" s="9"/>
      <c r="K1431" s="9"/>
      <c r="L1431" s="9"/>
      <c r="M1431" s="10"/>
      <c r="N1431" s="10"/>
      <c r="O1431" s="10"/>
      <c r="P1431" s="10"/>
      <c r="Q1431" s="10"/>
      <c r="R1431" s="9"/>
      <c r="S1431" s="9"/>
      <c r="T1431" s="12"/>
      <c r="U1431" s="12"/>
      <c r="V1431" s="12"/>
      <c r="W1431" s="10"/>
      <c r="X1431" s="10"/>
      <c r="Y1431" s="9"/>
      <c r="Z1431" s="9"/>
      <c r="AA1431" s="9"/>
      <c r="AB1431" s="9"/>
    </row>
    <row r="1432" ht="30.0" customHeight="1">
      <c r="A1432" s="17" t="s">
        <v>1</v>
      </c>
      <c r="B1432" s="8"/>
      <c r="C1432" s="9"/>
      <c r="D1432" s="9"/>
      <c r="E1432" s="9"/>
      <c r="F1432" s="9"/>
      <c r="G1432" s="9"/>
      <c r="H1432" s="9"/>
      <c r="I1432" s="9"/>
      <c r="J1432" s="9"/>
      <c r="K1432" s="9"/>
      <c r="L1432" s="9"/>
      <c r="M1432" s="10"/>
      <c r="N1432" s="10"/>
      <c r="O1432" s="10"/>
      <c r="P1432" s="10"/>
      <c r="Q1432" s="10"/>
      <c r="R1432" s="9"/>
      <c r="S1432" s="9"/>
      <c r="T1432" s="12"/>
      <c r="U1432" s="12"/>
      <c r="V1432" s="12"/>
      <c r="W1432" s="10"/>
      <c r="X1432" s="10"/>
      <c r="Y1432" s="9"/>
      <c r="Z1432" s="9"/>
      <c r="AA1432" s="9"/>
      <c r="AB1432" s="9"/>
    </row>
    <row r="1433" ht="30.0" customHeight="1">
      <c r="A1433" s="17" t="s">
        <v>1</v>
      </c>
      <c r="B1433" s="8"/>
      <c r="C1433" s="9"/>
      <c r="D1433" s="9"/>
      <c r="E1433" s="9"/>
      <c r="F1433" s="9"/>
      <c r="G1433" s="9"/>
      <c r="H1433" s="9"/>
      <c r="I1433" s="9"/>
      <c r="J1433" s="9"/>
      <c r="K1433" s="9"/>
      <c r="L1433" s="9"/>
      <c r="M1433" s="10"/>
      <c r="N1433" s="10"/>
      <c r="O1433" s="10"/>
      <c r="P1433" s="10"/>
      <c r="Q1433" s="10"/>
      <c r="R1433" s="9"/>
      <c r="S1433" s="9"/>
      <c r="T1433" s="12"/>
      <c r="U1433" s="12"/>
      <c r="V1433" s="12"/>
      <c r="W1433" s="10"/>
      <c r="X1433" s="10"/>
      <c r="Y1433" s="9"/>
      <c r="Z1433" s="9"/>
      <c r="AA1433" s="9"/>
      <c r="AB1433" s="9"/>
    </row>
    <row r="1434" ht="30.0" customHeight="1">
      <c r="A1434" s="17" t="s">
        <v>1</v>
      </c>
      <c r="B1434" s="8"/>
      <c r="C1434" s="9"/>
      <c r="D1434" s="9"/>
      <c r="E1434" s="9"/>
      <c r="F1434" s="9"/>
      <c r="G1434" s="9"/>
      <c r="H1434" s="9"/>
      <c r="I1434" s="9"/>
      <c r="J1434" s="9"/>
      <c r="K1434" s="9"/>
      <c r="L1434" s="9"/>
      <c r="M1434" s="10"/>
      <c r="N1434" s="10"/>
      <c r="O1434" s="10"/>
      <c r="P1434" s="10"/>
      <c r="Q1434" s="10"/>
      <c r="R1434" s="9"/>
      <c r="S1434" s="9"/>
      <c r="T1434" s="12"/>
      <c r="U1434" s="12"/>
      <c r="V1434" s="12"/>
      <c r="W1434" s="10"/>
      <c r="X1434" s="10"/>
      <c r="Y1434" s="9"/>
      <c r="Z1434" s="9"/>
      <c r="AA1434" s="9"/>
      <c r="AB1434" s="9"/>
    </row>
    <row r="1435" ht="30.0" customHeight="1">
      <c r="A1435" s="17" t="s">
        <v>1</v>
      </c>
      <c r="B1435" s="8"/>
      <c r="C1435" s="9"/>
      <c r="D1435" s="9"/>
      <c r="E1435" s="9"/>
      <c r="F1435" s="9"/>
      <c r="G1435" s="9"/>
      <c r="H1435" s="9"/>
      <c r="I1435" s="9"/>
      <c r="J1435" s="9"/>
      <c r="K1435" s="9"/>
      <c r="L1435" s="9"/>
      <c r="M1435" s="10"/>
      <c r="N1435" s="10"/>
      <c r="O1435" s="10"/>
      <c r="P1435" s="10"/>
      <c r="Q1435" s="10"/>
      <c r="R1435" s="9"/>
      <c r="S1435" s="9"/>
      <c r="T1435" s="12"/>
      <c r="U1435" s="12"/>
      <c r="V1435" s="12"/>
      <c r="W1435" s="10"/>
      <c r="X1435" s="10"/>
      <c r="Y1435" s="9"/>
      <c r="Z1435" s="9"/>
      <c r="AA1435" s="9"/>
      <c r="AB1435" s="9"/>
    </row>
    <row r="1436" ht="30.0" customHeight="1">
      <c r="A1436" s="17" t="s">
        <v>1</v>
      </c>
      <c r="B1436" s="8"/>
      <c r="C1436" s="9"/>
      <c r="D1436" s="9"/>
      <c r="E1436" s="9"/>
      <c r="F1436" s="9"/>
      <c r="G1436" s="9"/>
      <c r="H1436" s="9"/>
      <c r="I1436" s="9"/>
      <c r="J1436" s="9"/>
      <c r="K1436" s="9"/>
      <c r="L1436" s="9"/>
      <c r="M1436" s="10"/>
      <c r="N1436" s="10"/>
      <c r="O1436" s="10"/>
      <c r="P1436" s="10"/>
      <c r="Q1436" s="10"/>
      <c r="R1436" s="9"/>
      <c r="S1436" s="9"/>
      <c r="T1436" s="12"/>
      <c r="U1436" s="12"/>
      <c r="V1436" s="12"/>
      <c r="W1436" s="10"/>
      <c r="X1436" s="10"/>
      <c r="Y1436" s="9"/>
      <c r="Z1436" s="9"/>
      <c r="AA1436" s="9"/>
      <c r="AB1436" s="9"/>
    </row>
    <row r="1437" ht="30.0" customHeight="1">
      <c r="A1437" s="17" t="s">
        <v>1</v>
      </c>
      <c r="B1437" s="8"/>
      <c r="C1437" s="9"/>
      <c r="D1437" s="9"/>
      <c r="E1437" s="9"/>
      <c r="F1437" s="9"/>
      <c r="G1437" s="9"/>
      <c r="H1437" s="9"/>
      <c r="I1437" s="9"/>
      <c r="J1437" s="9"/>
      <c r="K1437" s="9"/>
      <c r="L1437" s="9"/>
      <c r="M1437" s="10"/>
      <c r="N1437" s="10"/>
      <c r="O1437" s="10"/>
      <c r="P1437" s="10"/>
      <c r="Q1437" s="10"/>
      <c r="R1437" s="9"/>
      <c r="S1437" s="9"/>
      <c r="T1437" s="12"/>
      <c r="U1437" s="12"/>
      <c r="V1437" s="12"/>
      <c r="W1437" s="10"/>
      <c r="X1437" s="10"/>
      <c r="Y1437" s="9"/>
      <c r="Z1437" s="9"/>
      <c r="AA1437" s="9"/>
      <c r="AB1437" s="9"/>
    </row>
    <row r="1438" ht="30.0" customHeight="1">
      <c r="A1438" s="17" t="s">
        <v>1</v>
      </c>
      <c r="B1438" s="8"/>
      <c r="C1438" s="9"/>
      <c r="D1438" s="9"/>
      <c r="E1438" s="9"/>
      <c r="F1438" s="9"/>
      <c r="G1438" s="9"/>
      <c r="H1438" s="9"/>
      <c r="I1438" s="9"/>
      <c r="J1438" s="9"/>
      <c r="K1438" s="9"/>
      <c r="L1438" s="9"/>
      <c r="M1438" s="10"/>
      <c r="N1438" s="10"/>
      <c r="O1438" s="10"/>
      <c r="P1438" s="10"/>
      <c r="Q1438" s="10"/>
      <c r="R1438" s="9"/>
      <c r="S1438" s="9"/>
      <c r="T1438" s="12"/>
      <c r="U1438" s="12"/>
      <c r="V1438" s="12"/>
      <c r="W1438" s="10"/>
      <c r="X1438" s="10"/>
      <c r="Y1438" s="9"/>
      <c r="Z1438" s="9"/>
      <c r="AA1438" s="9"/>
      <c r="AB1438" s="9"/>
    </row>
    <row r="1439" ht="30.0" customHeight="1">
      <c r="A1439" s="17" t="s">
        <v>1</v>
      </c>
      <c r="B1439" s="8"/>
      <c r="C1439" s="9"/>
      <c r="D1439" s="9"/>
      <c r="E1439" s="9"/>
      <c r="F1439" s="9"/>
      <c r="G1439" s="9"/>
      <c r="H1439" s="9"/>
      <c r="I1439" s="9"/>
      <c r="J1439" s="9"/>
      <c r="K1439" s="9"/>
      <c r="L1439" s="9"/>
      <c r="M1439" s="10"/>
      <c r="N1439" s="10"/>
      <c r="O1439" s="10"/>
      <c r="P1439" s="10"/>
      <c r="Q1439" s="10"/>
      <c r="R1439" s="9"/>
      <c r="S1439" s="9"/>
      <c r="T1439" s="12"/>
      <c r="U1439" s="12"/>
      <c r="V1439" s="12"/>
      <c r="W1439" s="10"/>
      <c r="X1439" s="10"/>
      <c r="Y1439" s="9"/>
      <c r="Z1439" s="9"/>
      <c r="AA1439" s="9"/>
      <c r="AB1439" s="9"/>
    </row>
    <row r="1440" ht="30.0" customHeight="1">
      <c r="A1440" s="17" t="s">
        <v>1</v>
      </c>
      <c r="B1440" s="8"/>
      <c r="C1440" s="9"/>
      <c r="D1440" s="9"/>
      <c r="E1440" s="9"/>
      <c r="F1440" s="9"/>
      <c r="G1440" s="9"/>
      <c r="H1440" s="9"/>
      <c r="I1440" s="9"/>
      <c r="J1440" s="9"/>
      <c r="K1440" s="9"/>
      <c r="L1440" s="9"/>
      <c r="M1440" s="10"/>
      <c r="N1440" s="10"/>
      <c r="O1440" s="10"/>
      <c r="P1440" s="10"/>
      <c r="Q1440" s="10"/>
      <c r="R1440" s="9"/>
      <c r="S1440" s="9"/>
      <c r="T1440" s="12"/>
      <c r="U1440" s="12"/>
      <c r="V1440" s="12"/>
      <c r="W1440" s="10"/>
      <c r="X1440" s="10"/>
      <c r="Y1440" s="9"/>
      <c r="Z1440" s="9"/>
      <c r="AA1440" s="9"/>
      <c r="AB1440" s="9"/>
    </row>
    <row r="1441" ht="30.0" customHeight="1">
      <c r="A1441" s="17" t="s">
        <v>1</v>
      </c>
      <c r="B1441" s="8"/>
      <c r="C1441" s="9"/>
      <c r="D1441" s="9"/>
      <c r="E1441" s="9"/>
      <c r="F1441" s="9"/>
      <c r="G1441" s="9"/>
      <c r="H1441" s="9"/>
      <c r="I1441" s="9"/>
      <c r="J1441" s="9"/>
      <c r="K1441" s="9"/>
      <c r="L1441" s="9"/>
      <c r="M1441" s="10"/>
      <c r="N1441" s="10"/>
      <c r="O1441" s="10"/>
      <c r="P1441" s="10"/>
      <c r="Q1441" s="10"/>
      <c r="R1441" s="9"/>
      <c r="S1441" s="9"/>
      <c r="T1441" s="12"/>
      <c r="U1441" s="12"/>
      <c r="V1441" s="12"/>
      <c r="W1441" s="10"/>
      <c r="X1441" s="10"/>
      <c r="Y1441" s="9"/>
      <c r="Z1441" s="9"/>
      <c r="AA1441" s="9"/>
      <c r="AB1441" s="9"/>
    </row>
    <row r="1442" ht="30.0" customHeight="1">
      <c r="A1442" s="17" t="s">
        <v>1</v>
      </c>
      <c r="B1442" s="8"/>
      <c r="C1442" s="9"/>
      <c r="D1442" s="9"/>
      <c r="E1442" s="9"/>
      <c r="F1442" s="9"/>
      <c r="G1442" s="9"/>
      <c r="H1442" s="9"/>
      <c r="I1442" s="9"/>
      <c r="J1442" s="9"/>
      <c r="K1442" s="9"/>
      <c r="L1442" s="9"/>
      <c r="M1442" s="10"/>
      <c r="N1442" s="10"/>
      <c r="O1442" s="10"/>
      <c r="P1442" s="10"/>
      <c r="Q1442" s="10"/>
      <c r="R1442" s="9"/>
      <c r="S1442" s="9"/>
      <c r="T1442" s="12"/>
      <c r="U1442" s="12"/>
      <c r="V1442" s="12"/>
      <c r="W1442" s="10"/>
      <c r="X1442" s="10"/>
      <c r="Y1442" s="9"/>
      <c r="Z1442" s="9"/>
      <c r="AA1442" s="9"/>
      <c r="AB1442" s="9"/>
    </row>
    <row r="1443" ht="30.0" customHeight="1">
      <c r="A1443" s="17" t="s">
        <v>1</v>
      </c>
      <c r="B1443" s="8"/>
      <c r="C1443" s="9"/>
      <c r="D1443" s="9"/>
      <c r="E1443" s="9"/>
      <c r="F1443" s="9"/>
      <c r="G1443" s="9"/>
      <c r="H1443" s="9"/>
      <c r="I1443" s="9"/>
      <c r="J1443" s="9"/>
      <c r="K1443" s="9"/>
      <c r="L1443" s="9"/>
      <c r="M1443" s="10"/>
      <c r="N1443" s="10"/>
      <c r="O1443" s="10"/>
      <c r="P1443" s="10"/>
      <c r="Q1443" s="10"/>
      <c r="R1443" s="9"/>
      <c r="S1443" s="9"/>
      <c r="T1443" s="12"/>
      <c r="U1443" s="12"/>
      <c r="V1443" s="12"/>
      <c r="W1443" s="10"/>
      <c r="X1443" s="10"/>
      <c r="Y1443" s="9"/>
      <c r="Z1443" s="9"/>
      <c r="AA1443" s="9"/>
      <c r="AB1443" s="9"/>
    </row>
    <row r="1444" ht="30.0" customHeight="1">
      <c r="A1444" s="17" t="s">
        <v>1</v>
      </c>
      <c r="B1444" s="8"/>
      <c r="C1444" s="9"/>
      <c r="D1444" s="9"/>
      <c r="E1444" s="9"/>
      <c r="F1444" s="9"/>
      <c r="G1444" s="9"/>
      <c r="H1444" s="9"/>
      <c r="I1444" s="9"/>
      <c r="J1444" s="9"/>
      <c r="K1444" s="9"/>
      <c r="L1444" s="9"/>
      <c r="M1444" s="10"/>
      <c r="N1444" s="10"/>
      <c r="O1444" s="10"/>
      <c r="P1444" s="10"/>
      <c r="Q1444" s="10"/>
      <c r="R1444" s="9"/>
      <c r="S1444" s="9"/>
      <c r="T1444" s="12"/>
      <c r="U1444" s="12"/>
      <c r="V1444" s="12"/>
      <c r="W1444" s="10"/>
      <c r="X1444" s="10"/>
      <c r="Y1444" s="9"/>
      <c r="Z1444" s="9"/>
      <c r="AA1444" s="9"/>
      <c r="AB1444" s="9"/>
    </row>
    <row r="1445" ht="30.0" customHeight="1">
      <c r="A1445" s="17" t="s">
        <v>1</v>
      </c>
      <c r="B1445" s="8"/>
      <c r="C1445" s="9"/>
      <c r="D1445" s="9"/>
      <c r="E1445" s="9"/>
      <c r="F1445" s="9"/>
      <c r="G1445" s="9"/>
      <c r="H1445" s="9"/>
      <c r="I1445" s="9"/>
      <c r="J1445" s="9"/>
      <c r="K1445" s="9"/>
      <c r="L1445" s="9"/>
      <c r="M1445" s="10"/>
      <c r="N1445" s="10"/>
      <c r="O1445" s="10"/>
      <c r="P1445" s="10"/>
      <c r="Q1445" s="10"/>
      <c r="R1445" s="9"/>
      <c r="S1445" s="9"/>
      <c r="T1445" s="12"/>
      <c r="U1445" s="12"/>
      <c r="V1445" s="12"/>
      <c r="W1445" s="10"/>
      <c r="X1445" s="10"/>
      <c r="Y1445" s="9"/>
      <c r="Z1445" s="9"/>
      <c r="AA1445" s="9"/>
      <c r="AB1445" s="9"/>
    </row>
    <row r="1446" ht="30.0" customHeight="1">
      <c r="A1446" s="17" t="s">
        <v>1</v>
      </c>
      <c r="B1446" s="8"/>
      <c r="C1446" s="9"/>
      <c r="D1446" s="9"/>
      <c r="E1446" s="9"/>
      <c r="F1446" s="9"/>
      <c r="G1446" s="9"/>
      <c r="H1446" s="9"/>
      <c r="I1446" s="9"/>
      <c r="J1446" s="9"/>
      <c r="K1446" s="9"/>
      <c r="L1446" s="9"/>
      <c r="M1446" s="10"/>
      <c r="N1446" s="10"/>
      <c r="O1446" s="10"/>
      <c r="P1446" s="10"/>
      <c r="Q1446" s="10"/>
      <c r="R1446" s="9"/>
      <c r="S1446" s="9"/>
      <c r="T1446" s="12"/>
      <c r="U1446" s="12"/>
      <c r="V1446" s="12"/>
      <c r="W1446" s="10"/>
      <c r="X1446" s="10"/>
      <c r="Y1446" s="9"/>
      <c r="Z1446" s="9"/>
      <c r="AA1446" s="9"/>
      <c r="AB1446" s="9"/>
    </row>
    <row r="1447" ht="30.0" customHeight="1">
      <c r="A1447" s="17" t="s">
        <v>1</v>
      </c>
      <c r="B1447" s="8"/>
      <c r="C1447" s="9"/>
      <c r="D1447" s="9"/>
      <c r="E1447" s="9"/>
      <c r="F1447" s="9"/>
      <c r="G1447" s="9"/>
      <c r="H1447" s="9"/>
      <c r="I1447" s="9"/>
      <c r="J1447" s="9"/>
      <c r="K1447" s="9"/>
      <c r="L1447" s="9"/>
      <c r="M1447" s="10"/>
      <c r="N1447" s="10"/>
      <c r="O1447" s="10"/>
      <c r="P1447" s="10"/>
      <c r="Q1447" s="10"/>
      <c r="R1447" s="9"/>
      <c r="S1447" s="9"/>
      <c r="T1447" s="12"/>
      <c r="U1447" s="12"/>
      <c r="V1447" s="12"/>
      <c r="W1447" s="10"/>
      <c r="X1447" s="10"/>
      <c r="Y1447" s="9"/>
      <c r="Z1447" s="9"/>
      <c r="AA1447" s="9"/>
      <c r="AB1447" s="9"/>
    </row>
    <row r="1448" ht="30.0" customHeight="1">
      <c r="A1448" s="17" t="s">
        <v>1</v>
      </c>
      <c r="B1448" s="8"/>
      <c r="C1448" s="9"/>
      <c r="D1448" s="9"/>
      <c r="E1448" s="9"/>
      <c r="F1448" s="9"/>
      <c r="G1448" s="9"/>
      <c r="H1448" s="9"/>
      <c r="I1448" s="9"/>
      <c r="J1448" s="9"/>
      <c r="K1448" s="9"/>
      <c r="L1448" s="9"/>
      <c r="M1448" s="10"/>
      <c r="N1448" s="10"/>
      <c r="O1448" s="10"/>
      <c r="P1448" s="10"/>
      <c r="Q1448" s="10"/>
      <c r="R1448" s="9"/>
      <c r="S1448" s="9"/>
      <c r="T1448" s="12"/>
      <c r="U1448" s="12"/>
      <c r="V1448" s="12"/>
      <c r="W1448" s="10"/>
      <c r="X1448" s="10"/>
      <c r="Y1448" s="9"/>
      <c r="Z1448" s="9"/>
      <c r="AA1448" s="9"/>
      <c r="AB1448" s="9"/>
    </row>
    <row r="1449" ht="30.0" customHeight="1">
      <c r="A1449" s="17" t="s">
        <v>1</v>
      </c>
      <c r="B1449" s="8"/>
      <c r="C1449" s="9"/>
      <c r="D1449" s="9"/>
      <c r="E1449" s="9"/>
      <c r="F1449" s="9"/>
      <c r="G1449" s="9"/>
      <c r="H1449" s="9"/>
      <c r="I1449" s="9"/>
      <c r="J1449" s="9"/>
      <c r="K1449" s="9"/>
      <c r="L1449" s="9"/>
      <c r="M1449" s="10"/>
      <c r="N1449" s="10"/>
      <c r="O1449" s="10"/>
      <c r="P1449" s="10"/>
      <c r="Q1449" s="10"/>
      <c r="R1449" s="9"/>
      <c r="S1449" s="9"/>
      <c r="T1449" s="12"/>
      <c r="U1449" s="12"/>
      <c r="V1449" s="12"/>
      <c r="W1449" s="10"/>
      <c r="X1449" s="10"/>
      <c r="Y1449" s="9"/>
      <c r="Z1449" s="9"/>
      <c r="AA1449" s="9"/>
      <c r="AB1449" s="9"/>
    </row>
    <row r="1450" ht="30.0" customHeight="1">
      <c r="A1450" s="17" t="s">
        <v>1</v>
      </c>
      <c r="B1450" s="8"/>
      <c r="C1450" s="9"/>
      <c r="D1450" s="9"/>
      <c r="E1450" s="9"/>
      <c r="F1450" s="9"/>
      <c r="G1450" s="9"/>
      <c r="H1450" s="9"/>
      <c r="I1450" s="9"/>
      <c r="J1450" s="9"/>
      <c r="K1450" s="9"/>
      <c r="L1450" s="9"/>
      <c r="M1450" s="10"/>
      <c r="N1450" s="10"/>
      <c r="O1450" s="10"/>
      <c r="P1450" s="10"/>
      <c r="Q1450" s="10"/>
      <c r="R1450" s="9"/>
      <c r="S1450" s="9"/>
      <c r="T1450" s="12"/>
      <c r="U1450" s="12"/>
      <c r="V1450" s="12"/>
      <c r="W1450" s="10"/>
      <c r="X1450" s="10"/>
      <c r="Y1450" s="9"/>
      <c r="Z1450" s="9"/>
      <c r="AA1450" s="9"/>
      <c r="AB1450" s="9"/>
    </row>
    <row r="1451" ht="30.0" customHeight="1">
      <c r="A1451" s="17" t="s">
        <v>1</v>
      </c>
      <c r="B1451" s="8"/>
      <c r="C1451" s="9"/>
      <c r="D1451" s="9"/>
      <c r="E1451" s="9"/>
      <c r="F1451" s="9"/>
      <c r="G1451" s="9"/>
      <c r="H1451" s="9"/>
      <c r="I1451" s="9"/>
      <c r="J1451" s="9"/>
      <c r="K1451" s="9"/>
      <c r="L1451" s="9"/>
      <c r="M1451" s="10"/>
      <c r="N1451" s="10"/>
      <c r="O1451" s="10"/>
      <c r="P1451" s="10"/>
      <c r="Q1451" s="10"/>
      <c r="R1451" s="9"/>
      <c r="S1451" s="9"/>
      <c r="T1451" s="12"/>
      <c r="U1451" s="12"/>
      <c r="V1451" s="12"/>
      <c r="W1451" s="10"/>
      <c r="X1451" s="10"/>
      <c r="Y1451" s="9"/>
      <c r="Z1451" s="9"/>
      <c r="AA1451" s="9"/>
      <c r="AB1451" s="9"/>
    </row>
    <row r="1452" ht="30.0" customHeight="1">
      <c r="A1452" s="17" t="s">
        <v>1</v>
      </c>
      <c r="B1452" s="8"/>
      <c r="C1452" s="9"/>
      <c r="D1452" s="9"/>
      <c r="E1452" s="9"/>
      <c r="F1452" s="9"/>
      <c r="G1452" s="9"/>
      <c r="H1452" s="9"/>
      <c r="I1452" s="9"/>
      <c r="J1452" s="9"/>
      <c r="K1452" s="9"/>
      <c r="L1452" s="9"/>
      <c r="M1452" s="10"/>
      <c r="N1452" s="10"/>
      <c r="O1452" s="10"/>
      <c r="P1452" s="10"/>
      <c r="Q1452" s="10"/>
      <c r="R1452" s="9"/>
      <c r="S1452" s="9"/>
      <c r="T1452" s="12"/>
      <c r="U1452" s="12"/>
      <c r="V1452" s="12"/>
      <c r="W1452" s="10"/>
      <c r="X1452" s="10"/>
      <c r="Y1452" s="9"/>
      <c r="Z1452" s="9"/>
      <c r="AA1452" s="9"/>
      <c r="AB1452" s="9"/>
    </row>
    <row r="1453" ht="30.0" customHeight="1">
      <c r="A1453" s="17" t="s">
        <v>1</v>
      </c>
      <c r="B1453" s="8"/>
      <c r="C1453" s="9"/>
      <c r="D1453" s="9"/>
      <c r="E1453" s="9"/>
      <c r="F1453" s="9"/>
      <c r="G1453" s="9"/>
      <c r="H1453" s="9"/>
      <c r="I1453" s="9"/>
      <c r="J1453" s="9"/>
      <c r="K1453" s="9"/>
      <c r="L1453" s="9"/>
      <c r="M1453" s="10"/>
      <c r="N1453" s="10"/>
      <c r="O1453" s="10"/>
      <c r="P1453" s="10"/>
      <c r="Q1453" s="10"/>
      <c r="R1453" s="9"/>
      <c r="S1453" s="9"/>
      <c r="T1453" s="12"/>
      <c r="U1453" s="12"/>
      <c r="V1453" s="12"/>
      <c r="W1453" s="10"/>
      <c r="X1453" s="10"/>
      <c r="Y1453" s="9"/>
      <c r="Z1453" s="9"/>
      <c r="AA1453" s="9"/>
      <c r="AB1453" s="9"/>
    </row>
    <row r="1454" ht="30.0" customHeight="1">
      <c r="A1454" s="17" t="s">
        <v>1</v>
      </c>
      <c r="B1454" s="8"/>
      <c r="C1454" s="9"/>
      <c r="D1454" s="9"/>
      <c r="E1454" s="9"/>
      <c r="F1454" s="9"/>
      <c r="G1454" s="9"/>
      <c r="H1454" s="9"/>
      <c r="I1454" s="9"/>
      <c r="J1454" s="9"/>
      <c r="K1454" s="9"/>
      <c r="L1454" s="9"/>
      <c r="M1454" s="10"/>
      <c r="N1454" s="10"/>
      <c r="O1454" s="10"/>
      <c r="P1454" s="10"/>
      <c r="Q1454" s="10"/>
      <c r="R1454" s="9"/>
      <c r="S1454" s="9"/>
      <c r="T1454" s="12"/>
      <c r="U1454" s="12"/>
      <c r="V1454" s="12"/>
      <c r="W1454" s="10"/>
      <c r="X1454" s="10"/>
      <c r="Y1454" s="9"/>
      <c r="Z1454" s="9"/>
      <c r="AA1454" s="9"/>
      <c r="AB1454" s="9"/>
    </row>
    <row r="1455" ht="30.0" customHeight="1">
      <c r="A1455" s="17" t="s">
        <v>1</v>
      </c>
      <c r="B1455" s="8"/>
      <c r="C1455" s="9"/>
      <c r="D1455" s="9"/>
      <c r="E1455" s="9"/>
      <c r="F1455" s="9"/>
      <c r="G1455" s="9"/>
      <c r="H1455" s="9"/>
      <c r="I1455" s="9"/>
      <c r="J1455" s="9"/>
      <c r="K1455" s="9"/>
      <c r="L1455" s="9"/>
      <c r="M1455" s="10"/>
      <c r="N1455" s="10"/>
      <c r="O1455" s="10"/>
      <c r="P1455" s="10"/>
      <c r="Q1455" s="10"/>
      <c r="R1455" s="9"/>
      <c r="S1455" s="9"/>
      <c r="T1455" s="12"/>
      <c r="U1455" s="12"/>
      <c r="V1455" s="12"/>
      <c r="W1455" s="10"/>
      <c r="X1455" s="10"/>
      <c r="Y1455" s="9"/>
      <c r="Z1455" s="9"/>
      <c r="AA1455" s="9"/>
      <c r="AB1455" s="9"/>
    </row>
    <row r="1456" ht="30.0" customHeight="1">
      <c r="A1456" s="17" t="s">
        <v>1</v>
      </c>
      <c r="B1456" s="8"/>
      <c r="C1456" s="9"/>
      <c r="D1456" s="9"/>
      <c r="E1456" s="9"/>
      <c r="F1456" s="9"/>
      <c r="G1456" s="9"/>
      <c r="H1456" s="9"/>
      <c r="I1456" s="9"/>
      <c r="J1456" s="9"/>
      <c r="K1456" s="9"/>
      <c r="L1456" s="9"/>
      <c r="M1456" s="10"/>
      <c r="N1456" s="10"/>
      <c r="O1456" s="10"/>
      <c r="P1456" s="10"/>
      <c r="Q1456" s="10"/>
      <c r="R1456" s="9"/>
      <c r="S1456" s="9"/>
      <c r="T1456" s="12"/>
      <c r="U1456" s="12"/>
      <c r="V1456" s="12"/>
      <c r="W1456" s="10"/>
      <c r="X1456" s="10"/>
      <c r="Y1456" s="9"/>
      <c r="Z1456" s="9"/>
      <c r="AA1456" s="9"/>
      <c r="AB1456" s="9"/>
    </row>
    <row r="1457" ht="30.0" customHeight="1">
      <c r="A1457" s="17" t="s">
        <v>1</v>
      </c>
      <c r="B1457" s="8"/>
      <c r="C1457" s="9"/>
      <c r="D1457" s="9"/>
      <c r="E1457" s="9"/>
      <c r="F1457" s="9"/>
      <c r="G1457" s="9"/>
      <c r="H1457" s="9"/>
      <c r="I1457" s="9"/>
      <c r="J1457" s="9"/>
      <c r="K1457" s="9"/>
      <c r="L1457" s="9"/>
      <c r="M1457" s="10"/>
      <c r="N1457" s="10"/>
      <c r="O1457" s="10"/>
      <c r="P1457" s="10"/>
      <c r="Q1457" s="10"/>
      <c r="R1457" s="9"/>
      <c r="S1457" s="9"/>
      <c r="T1457" s="12"/>
      <c r="U1457" s="12"/>
      <c r="V1457" s="12"/>
      <c r="W1457" s="10"/>
      <c r="X1457" s="10"/>
      <c r="Y1457" s="9"/>
      <c r="Z1457" s="9"/>
      <c r="AA1457" s="9"/>
      <c r="AB1457" s="9"/>
    </row>
    <row r="1458" ht="30.0" customHeight="1">
      <c r="A1458" s="17" t="s">
        <v>1</v>
      </c>
      <c r="B1458" s="8"/>
      <c r="C1458" s="9"/>
      <c r="D1458" s="9"/>
      <c r="E1458" s="9"/>
      <c r="F1458" s="9"/>
      <c r="G1458" s="9"/>
      <c r="H1458" s="9"/>
      <c r="I1458" s="9"/>
      <c r="J1458" s="9"/>
      <c r="K1458" s="9"/>
      <c r="L1458" s="9"/>
      <c r="M1458" s="10"/>
      <c r="N1458" s="10"/>
      <c r="O1458" s="10"/>
      <c r="P1458" s="10"/>
      <c r="Q1458" s="10"/>
      <c r="R1458" s="9"/>
      <c r="S1458" s="9"/>
      <c r="T1458" s="12"/>
      <c r="U1458" s="12"/>
      <c r="V1458" s="12"/>
      <c r="W1458" s="10"/>
      <c r="X1458" s="10"/>
      <c r="Y1458" s="9"/>
      <c r="Z1458" s="9"/>
      <c r="AA1458" s="9"/>
      <c r="AB1458" s="9"/>
    </row>
    <row r="1459" ht="30.0" customHeight="1">
      <c r="A1459" s="17" t="s">
        <v>1</v>
      </c>
      <c r="B1459" s="8"/>
      <c r="C1459" s="9"/>
      <c r="D1459" s="9"/>
      <c r="E1459" s="9"/>
      <c r="F1459" s="9"/>
      <c r="G1459" s="9"/>
      <c r="H1459" s="9"/>
      <c r="I1459" s="9"/>
      <c r="J1459" s="9"/>
      <c r="K1459" s="9"/>
      <c r="L1459" s="9"/>
      <c r="M1459" s="10"/>
      <c r="N1459" s="10"/>
      <c r="O1459" s="10"/>
      <c r="P1459" s="10"/>
      <c r="Q1459" s="10"/>
      <c r="R1459" s="9"/>
      <c r="S1459" s="9"/>
      <c r="T1459" s="12"/>
      <c r="U1459" s="12"/>
      <c r="V1459" s="12"/>
      <c r="W1459" s="10"/>
      <c r="X1459" s="10"/>
      <c r="Y1459" s="9"/>
      <c r="Z1459" s="9"/>
      <c r="AA1459" s="9"/>
      <c r="AB1459" s="9"/>
    </row>
    <row r="1460" ht="30.0" customHeight="1">
      <c r="A1460" s="17" t="s">
        <v>1</v>
      </c>
      <c r="B1460" s="8"/>
      <c r="C1460" s="9"/>
      <c r="D1460" s="9"/>
      <c r="E1460" s="9"/>
      <c r="F1460" s="9"/>
      <c r="G1460" s="9"/>
      <c r="H1460" s="9"/>
      <c r="I1460" s="9"/>
      <c r="J1460" s="9"/>
      <c r="K1460" s="9"/>
      <c r="L1460" s="9"/>
      <c r="M1460" s="10"/>
      <c r="N1460" s="10"/>
      <c r="O1460" s="10"/>
      <c r="P1460" s="10"/>
      <c r="Q1460" s="10"/>
      <c r="R1460" s="9"/>
      <c r="S1460" s="9"/>
      <c r="T1460" s="12"/>
      <c r="U1460" s="12"/>
      <c r="V1460" s="12"/>
      <c r="W1460" s="10"/>
      <c r="X1460" s="10"/>
      <c r="Y1460" s="9"/>
      <c r="Z1460" s="9"/>
      <c r="AA1460" s="9"/>
      <c r="AB1460" s="9"/>
    </row>
    <row r="1461" ht="30.0" customHeight="1">
      <c r="A1461" s="17" t="s">
        <v>1</v>
      </c>
      <c r="B1461" s="8"/>
      <c r="C1461" s="9"/>
      <c r="D1461" s="9"/>
      <c r="E1461" s="9"/>
      <c r="F1461" s="9"/>
      <c r="G1461" s="9"/>
      <c r="H1461" s="9"/>
      <c r="I1461" s="9"/>
      <c r="J1461" s="9"/>
      <c r="K1461" s="9"/>
      <c r="L1461" s="9"/>
      <c r="M1461" s="10"/>
      <c r="N1461" s="10"/>
      <c r="O1461" s="10"/>
      <c r="P1461" s="10"/>
      <c r="Q1461" s="10"/>
      <c r="R1461" s="9"/>
      <c r="S1461" s="9"/>
      <c r="T1461" s="12"/>
      <c r="U1461" s="12"/>
      <c r="V1461" s="12"/>
      <c r="W1461" s="10"/>
      <c r="X1461" s="10"/>
      <c r="Y1461" s="9"/>
      <c r="Z1461" s="9"/>
      <c r="AA1461" s="9"/>
      <c r="AB1461" s="9"/>
    </row>
    <row r="1462" ht="30.0" customHeight="1">
      <c r="A1462" s="17" t="s">
        <v>1</v>
      </c>
      <c r="B1462" s="8"/>
      <c r="C1462" s="9"/>
      <c r="D1462" s="9"/>
      <c r="E1462" s="9"/>
      <c r="F1462" s="9"/>
      <c r="G1462" s="9"/>
      <c r="H1462" s="9"/>
      <c r="I1462" s="9"/>
      <c r="J1462" s="9"/>
      <c r="K1462" s="9"/>
      <c r="L1462" s="9"/>
      <c r="M1462" s="10"/>
      <c r="N1462" s="10"/>
      <c r="O1462" s="10"/>
      <c r="P1462" s="10"/>
      <c r="Q1462" s="10"/>
      <c r="R1462" s="9"/>
      <c r="S1462" s="9"/>
      <c r="T1462" s="12"/>
      <c r="U1462" s="12"/>
      <c r="V1462" s="12"/>
      <c r="W1462" s="10"/>
      <c r="X1462" s="10"/>
      <c r="Y1462" s="9"/>
      <c r="Z1462" s="9"/>
      <c r="AA1462" s="9"/>
      <c r="AB1462" s="9"/>
    </row>
    <row r="1463" ht="30.0" customHeight="1">
      <c r="A1463" s="17" t="s">
        <v>1</v>
      </c>
      <c r="B1463" s="8"/>
      <c r="C1463" s="9"/>
      <c r="D1463" s="9"/>
      <c r="E1463" s="9"/>
      <c r="F1463" s="9"/>
      <c r="G1463" s="9"/>
      <c r="H1463" s="9"/>
      <c r="I1463" s="9"/>
      <c r="J1463" s="9"/>
      <c r="K1463" s="9"/>
      <c r="L1463" s="9"/>
      <c r="M1463" s="10"/>
      <c r="N1463" s="10"/>
      <c r="O1463" s="10"/>
      <c r="P1463" s="10"/>
      <c r="Q1463" s="10"/>
      <c r="R1463" s="9"/>
      <c r="S1463" s="9"/>
      <c r="T1463" s="12"/>
      <c r="U1463" s="12"/>
      <c r="V1463" s="12"/>
      <c r="W1463" s="10"/>
      <c r="X1463" s="10"/>
      <c r="Y1463" s="9"/>
      <c r="Z1463" s="9"/>
      <c r="AA1463" s="9"/>
      <c r="AB1463" s="9"/>
    </row>
    <row r="1464" ht="30.0" customHeight="1">
      <c r="A1464" s="17" t="s">
        <v>1</v>
      </c>
      <c r="B1464" s="8"/>
      <c r="C1464" s="9"/>
      <c r="D1464" s="9"/>
      <c r="E1464" s="9"/>
      <c r="F1464" s="9"/>
      <c r="G1464" s="9"/>
      <c r="H1464" s="9"/>
      <c r="I1464" s="9"/>
      <c r="J1464" s="9"/>
      <c r="K1464" s="9"/>
      <c r="L1464" s="9"/>
      <c r="M1464" s="10"/>
      <c r="N1464" s="10"/>
      <c r="O1464" s="10"/>
      <c r="P1464" s="10"/>
      <c r="Q1464" s="10"/>
      <c r="R1464" s="9"/>
      <c r="S1464" s="9"/>
      <c r="T1464" s="12"/>
      <c r="U1464" s="12"/>
      <c r="V1464" s="12"/>
      <c r="W1464" s="10"/>
      <c r="X1464" s="10"/>
      <c r="Y1464" s="9"/>
      <c r="Z1464" s="9"/>
      <c r="AA1464" s="9"/>
      <c r="AB1464" s="9"/>
    </row>
    <row r="1465" ht="30.0" customHeight="1">
      <c r="A1465" s="17" t="s">
        <v>1</v>
      </c>
      <c r="B1465" s="8"/>
      <c r="C1465" s="9"/>
      <c r="D1465" s="9"/>
      <c r="E1465" s="9"/>
      <c r="F1465" s="9"/>
      <c r="G1465" s="9"/>
      <c r="H1465" s="9"/>
      <c r="I1465" s="9"/>
      <c r="J1465" s="9"/>
      <c r="K1465" s="9"/>
      <c r="L1465" s="9"/>
      <c r="M1465" s="10"/>
      <c r="N1465" s="10"/>
      <c r="O1465" s="10"/>
      <c r="P1465" s="10"/>
      <c r="Q1465" s="10"/>
      <c r="R1465" s="9"/>
      <c r="S1465" s="9"/>
      <c r="T1465" s="12"/>
      <c r="U1465" s="12"/>
      <c r="V1465" s="12"/>
      <c r="W1465" s="10"/>
      <c r="X1465" s="10"/>
      <c r="Y1465" s="9"/>
      <c r="Z1465" s="9"/>
      <c r="AA1465" s="9"/>
      <c r="AB1465" s="9"/>
    </row>
    <row r="1466" ht="30.0" customHeight="1">
      <c r="A1466" s="17" t="s">
        <v>1</v>
      </c>
      <c r="B1466" s="8"/>
      <c r="C1466" s="9"/>
      <c r="D1466" s="9"/>
      <c r="E1466" s="9"/>
      <c r="F1466" s="9"/>
      <c r="G1466" s="9"/>
      <c r="H1466" s="9"/>
      <c r="I1466" s="9"/>
      <c r="J1466" s="9"/>
      <c r="K1466" s="9"/>
      <c r="L1466" s="9"/>
      <c r="M1466" s="10"/>
      <c r="N1466" s="10"/>
      <c r="O1466" s="10"/>
      <c r="P1466" s="10"/>
      <c r="Q1466" s="10"/>
      <c r="R1466" s="9"/>
      <c r="S1466" s="9"/>
      <c r="T1466" s="12"/>
      <c r="U1466" s="12"/>
      <c r="V1466" s="12"/>
      <c r="W1466" s="10"/>
      <c r="X1466" s="10"/>
      <c r="Y1466" s="9"/>
      <c r="Z1466" s="9"/>
      <c r="AA1466" s="9"/>
      <c r="AB1466" s="9"/>
    </row>
    <row r="1467" ht="30.0" customHeight="1">
      <c r="A1467" s="17" t="s">
        <v>1</v>
      </c>
      <c r="B1467" s="8"/>
      <c r="C1467" s="9"/>
      <c r="D1467" s="9"/>
      <c r="E1467" s="9"/>
      <c r="F1467" s="9"/>
      <c r="G1467" s="9"/>
      <c r="H1467" s="9"/>
      <c r="I1467" s="9"/>
      <c r="J1467" s="9"/>
      <c r="K1467" s="9"/>
      <c r="L1467" s="9"/>
      <c r="M1467" s="10"/>
      <c r="N1467" s="10"/>
      <c r="O1467" s="10"/>
      <c r="P1467" s="10"/>
      <c r="Q1467" s="10"/>
      <c r="R1467" s="9"/>
      <c r="S1467" s="9"/>
      <c r="T1467" s="12"/>
      <c r="U1467" s="12"/>
      <c r="V1467" s="12"/>
      <c r="W1467" s="10"/>
      <c r="X1467" s="10"/>
      <c r="Y1467" s="9"/>
      <c r="Z1467" s="9"/>
      <c r="AA1467" s="9"/>
      <c r="AB1467" s="9"/>
    </row>
    <row r="1468" ht="30.0" customHeight="1">
      <c r="A1468" s="17" t="s">
        <v>1</v>
      </c>
      <c r="B1468" s="8"/>
      <c r="C1468" s="9"/>
      <c r="D1468" s="9"/>
      <c r="E1468" s="9"/>
      <c r="F1468" s="9"/>
      <c r="G1468" s="9"/>
      <c r="H1468" s="9"/>
      <c r="I1468" s="9"/>
      <c r="J1468" s="9"/>
      <c r="K1468" s="9"/>
      <c r="L1468" s="9"/>
      <c r="M1468" s="10"/>
      <c r="N1468" s="10"/>
      <c r="O1468" s="10"/>
      <c r="P1468" s="10"/>
      <c r="Q1468" s="10"/>
      <c r="R1468" s="9"/>
      <c r="S1468" s="9"/>
      <c r="T1468" s="12"/>
      <c r="U1468" s="12"/>
      <c r="V1468" s="12"/>
      <c r="W1468" s="10"/>
      <c r="X1468" s="10"/>
      <c r="Y1468" s="9"/>
      <c r="Z1468" s="9"/>
      <c r="AA1468" s="9"/>
      <c r="AB1468" s="9"/>
    </row>
    <row r="1469" ht="30.0" customHeight="1">
      <c r="A1469" s="17" t="s">
        <v>1</v>
      </c>
      <c r="B1469" s="8"/>
      <c r="C1469" s="9"/>
      <c r="D1469" s="9"/>
      <c r="E1469" s="9"/>
      <c r="F1469" s="9"/>
      <c r="G1469" s="9"/>
      <c r="H1469" s="9"/>
      <c r="I1469" s="9"/>
      <c r="J1469" s="9"/>
      <c r="K1469" s="9"/>
      <c r="L1469" s="9"/>
      <c r="M1469" s="10"/>
      <c r="N1469" s="10"/>
      <c r="O1469" s="10"/>
      <c r="P1469" s="10"/>
      <c r="Q1469" s="10"/>
      <c r="R1469" s="9"/>
      <c r="S1469" s="9"/>
      <c r="T1469" s="12"/>
      <c r="U1469" s="12"/>
      <c r="V1469" s="12"/>
      <c r="W1469" s="10"/>
      <c r="X1469" s="10"/>
      <c r="Y1469" s="9"/>
      <c r="Z1469" s="9"/>
      <c r="AA1469" s="9"/>
      <c r="AB1469" s="9"/>
    </row>
    <row r="1470" ht="30.0" customHeight="1">
      <c r="A1470" s="17" t="s">
        <v>1</v>
      </c>
      <c r="B1470" s="8"/>
      <c r="C1470" s="9"/>
      <c r="D1470" s="9"/>
      <c r="E1470" s="9"/>
      <c r="F1470" s="9"/>
      <c r="G1470" s="9"/>
      <c r="H1470" s="9"/>
      <c r="I1470" s="9"/>
      <c r="J1470" s="9"/>
      <c r="K1470" s="9"/>
      <c r="L1470" s="9"/>
      <c r="M1470" s="10"/>
      <c r="N1470" s="10"/>
      <c r="O1470" s="10"/>
      <c r="P1470" s="10"/>
      <c r="Q1470" s="10"/>
      <c r="R1470" s="9"/>
      <c r="S1470" s="9"/>
      <c r="T1470" s="12"/>
      <c r="U1470" s="12"/>
      <c r="V1470" s="12"/>
      <c r="W1470" s="10"/>
      <c r="X1470" s="10"/>
      <c r="Y1470" s="9"/>
      <c r="Z1470" s="9"/>
      <c r="AA1470" s="9"/>
      <c r="AB1470" s="9"/>
    </row>
    <row r="1471" ht="30.0" customHeight="1">
      <c r="A1471" s="17" t="s">
        <v>1</v>
      </c>
      <c r="B1471" s="8"/>
      <c r="C1471" s="9"/>
      <c r="D1471" s="9"/>
      <c r="E1471" s="9"/>
      <c r="F1471" s="9"/>
      <c r="G1471" s="9"/>
      <c r="H1471" s="9"/>
      <c r="I1471" s="9"/>
      <c r="J1471" s="9"/>
      <c r="K1471" s="9"/>
      <c r="L1471" s="9"/>
      <c r="M1471" s="10"/>
      <c r="N1471" s="10"/>
      <c r="O1471" s="10"/>
      <c r="P1471" s="10"/>
      <c r="Q1471" s="10"/>
      <c r="R1471" s="9"/>
      <c r="S1471" s="9"/>
      <c r="T1471" s="12"/>
      <c r="U1471" s="12"/>
      <c r="V1471" s="12"/>
      <c r="W1471" s="10"/>
      <c r="X1471" s="10"/>
      <c r="Y1471" s="9"/>
      <c r="Z1471" s="9"/>
      <c r="AA1471" s="9"/>
      <c r="AB1471" s="9"/>
    </row>
    <row r="1472" ht="30.0" customHeight="1">
      <c r="A1472" s="17" t="s">
        <v>1</v>
      </c>
      <c r="B1472" s="8"/>
      <c r="C1472" s="9"/>
      <c r="D1472" s="9"/>
      <c r="E1472" s="9"/>
      <c r="F1472" s="9"/>
      <c r="G1472" s="9"/>
      <c r="H1472" s="9"/>
      <c r="I1472" s="9"/>
      <c r="J1472" s="9"/>
      <c r="K1472" s="9"/>
      <c r="L1472" s="9"/>
      <c r="M1472" s="10"/>
      <c r="N1472" s="10"/>
      <c r="O1472" s="10"/>
      <c r="P1472" s="10"/>
      <c r="Q1472" s="10"/>
      <c r="R1472" s="9"/>
      <c r="S1472" s="9"/>
      <c r="T1472" s="12"/>
      <c r="U1472" s="12"/>
      <c r="V1472" s="12"/>
      <c r="W1472" s="10"/>
      <c r="X1472" s="10"/>
      <c r="Y1472" s="9"/>
      <c r="Z1472" s="9"/>
      <c r="AA1472" s="9"/>
      <c r="AB1472" s="9"/>
    </row>
    <row r="1473" ht="30.0" customHeight="1">
      <c r="A1473" s="17" t="s">
        <v>1</v>
      </c>
      <c r="B1473" s="8"/>
      <c r="C1473" s="9"/>
      <c r="D1473" s="9"/>
      <c r="E1473" s="9"/>
      <c r="F1473" s="9"/>
      <c r="G1473" s="9"/>
      <c r="H1473" s="9"/>
      <c r="I1473" s="9"/>
      <c r="J1473" s="9"/>
      <c r="K1473" s="9"/>
      <c r="L1473" s="9"/>
      <c r="M1473" s="10"/>
      <c r="N1473" s="10"/>
      <c r="O1473" s="10"/>
      <c r="P1473" s="10"/>
      <c r="Q1473" s="10"/>
      <c r="R1473" s="9"/>
      <c r="S1473" s="9"/>
      <c r="T1473" s="12"/>
      <c r="U1473" s="12"/>
      <c r="V1473" s="12"/>
      <c r="W1473" s="10"/>
      <c r="X1473" s="10"/>
      <c r="Y1473" s="9"/>
      <c r="Z1473" s="9"/>
      <c r="AA1473" s="9"/>
      <c r="AB1473" s="9"/>
    </row>
    <row r="1474" ht="30.0" customHeight="1">
      <c r="A1474" s="17" t="s">
        <v>1</v>
      </c>
      <c r="B1474" s="8"/>
      <c r="C1474" s="9"/>
      <c r="D1474" s="9"/>
      <c r="E1474" s="9"/>
      <c r="F1474" s="9"/>
      <c r="G1474" s="9"/>
      <c r="H1474" s="9"/>
      <c r="I1474" s="9"/>
      <c r="J1474" s="9"/>
      <c r="K1474" s="9"/>
      <c r="L1474" s="9"/>
      <c r="M1474" s="10"/>
      <c r="N1474" s="10"/>
      <c r="O1474" s="10"/>
      <c r="P1474" s="10"/>
      <c r="Q1474" s="10"/>
      <c r="R1474" s="9"/>
      <c r="S1474" s="9"/>
      <c r="T1474" s="12"/>
      <c r="U1474" s="12"/>
      <c r="V1474" s="12"/>
      <c r="W1474" s="10"/>
      <c r="X1474" s="10"/>
      <c r="Y1474" s="9"/>
      <c r="Z1474" s="9"/>
      <c r="AA1474" s="9"/>
      <c r="AB1474" s="9"/>
    </row>
    <row r="1475" ht="30.0" customHeight="1">
      <c r="A1475" s="17" t="s">
        <v>1</v>
      </c>
      <c r="B1475" s="8"/>
      <c r="C1475" s="9"/>
      <c r="D1475" s="9"/>
      <c r="E1475" s="9"/>
      <c r="F1475" s="9"/>
      <c r="G1475" s="9"/>
      <c r="H1475" s="9"/>
      <c r="I1475" s="9"/>
      <c r="J1475" s="9"/>
      <c r="K1475" s="9"/>
      <c r="L1475" s="9"/>
      <c r="M1475" s="10"/>
      <c r="N1475" s="10"/>
      <c r="O1475" s="10"/>
      <c r="P1475" s="10"/>
      <c r="Q1475" s="10"/>
      <c r="R1475" s="9"/>
      <c r="S1475" s="9"/>
      <c r="T1475" s="12"/>
      <c r="U1475" s="12"/>
      <c r="V1475" s="12"/>
      <c r="W1475" s="10"/>
      <c r="X1475" s="10"/>
      <c r="Y1475" s="9"/>
      <c r="Z1475" s="9"/>
      <c r="AA1475" s="9"/>
      <c r="AB1475" s="9"/>
    </row>
    <row r="1476" ht="30.0" customHeight="1">
      <c r="A1476" s="17" t="s">
        <v>1</v>
      </c>
      <c r="B1476" s="8"/>
      <c r="C1476" s="9"/>
      <c r="D1476" s="9"/>
      <c r="E1476" s="9"/>
      <c r="F1476" s="9"/>
      <c r="G1476" s="9"/>
      <c r="H1476" s="9"/>
      <c r="I1476" s="9"/>
      <c r="J1476" s="9"/>
      <c r="K1476" s="9"/>
      <c r="L1476" s="9"/>
      <c r="M1476" s="10"/>
      <c r="N1476" s="10"/>
      <c r="O1476" s="10"/>
      <c r="P1476" s="10"/>
      <c r="Q1476" s="10"/>
      <c r="R1476" s="9"/>
      <c r="S1476" s="9"/>
      <c r="T1476" s="12"/>
      <c r="U1476" s="12"/>
      <c r="V1476" s="12"/>
      <c r="W1476" s="10"/>
      <c r="X1476" s="10"/>
      <c r="Y1476" s="9"/>
      <c r="Z1476" s="9"/>
      <c r="AA1476" s="9"/>
      <c r="AB1476" s="9"/>
    </row>
    <row r="1477" ht="30.0" customHeight="1">
      <c r="A1477" s="17" t="s">
        <v>1</v>
      </c>
      <c r="B1477" s="8"/>
      <c r="C1477" s="9"/>
      <c r="D1477" s="9"/>
      <c r="E1477" s="9"/>
      <c r="F1477" s="9"/>
      <c r="G1477" s="9"/>
      <c r="H1477" s="9"/>
      <c r="I1477" s="9"/>
      <c r="J1477" s="9"/>
      <c r="K1477" s="9"/>
      <c r="L1477" s="9"/>
      <c r="M1477" s="10"/>
      <c r="N1477" s="10"/>
      <c r="O1477" s="10"/>
      <c r="P1477" s="10"/>
      <c r="Q1477" s="10"/>
      <c r="R1477" s="9"/>
      <c r="S1477" s="9"/>
      <c r="T1477" s="12"/>
      <c r="U1477" s="12"/>
      <c r="V1477" s="12"/>
      <c r="W1477" s="10"/>
      <c r="X1477" s="10"/>
      <c r="Y1477" s="9"/>
      <c r="Z1477" s="9"/>
      <c r="AA1477" s="9"/>
      <c r="AB1477" s="9"/>
    </row>
    <row r="1478" ht="30.0" customHeight="1">
      <c r="A1478" s="17" t="s">
        <v>1</v>
      </c>
      <c r="B1478" s="8"/>
      <c r="C1478" s="9"/>
      <c r="D1478" s="9"/>
      <c r="E1478" s="9"/>
      <c r="F1478" s="9"/>
      <c r="G1478" s="9"/>
      <c r="H1478" s="9"/>
      <c r="I1478" s="9"/>
      <c r="J1478" s="9"/>
      <c r="K1478" s="9"/>
      <c r="L1478" s="9"/>
      <c r="M1478" s="10"/>
      <c r="N1478" s="10"/>
      <c r="O1478" s="10"/>
      <c r="P1478" s="10"/>
      <c r="Q1478" s="10"/>
      <c r="R1478" s="9"/>
      <c r="S1478" s="9"/>
      <c r="T1478" s="12"/>
      <c r="U1478" s="12"/>
      <c r="V1478" s="12"/>
      <c r="W1478" s="10"/>
      <c r="X1478" s="10"/>
      <c r="Y1478" s="9"/>
      <c r="Z1478" s="9"/>
      <c r="AA1478" s="9"/>
      <c r="AB1478" s="9"/>
    </row>
    <row r="1479" ht="30.0" customHeight="1">
      <c r="A1479" s="17" t="s">
        <v>1</v>
      </c>
      <c r="B1479" s="8"/>
      <c r="C1479" s="9"/>
      <c r="D1479" s="9"/>
      <c r="E1479" s="9"/>
      <c r="F1479" s="9"/>
      <c r="G1479" s="9"/>
      <c r="H1479" s="9"/>
      <c r="I1479" s="9"/>
      <c r="J1479" s="9"/>
      <c r="K1479" s="9"/>
      <c r="L1479" s="9"/>
      <c r="M1479" s="10"/>
      <c r="N1479" s="10"/>
      <c r="O1479" s="10"/>
      <c r="P1479" s="10"/>
      <c r="Q1479" s="10"/>
      <c r="R1479" s="9"/>
      <c r="S1479" s="9"/>
      <c r="T1479" s="12"/>
      <c r="U1479" s="12"/>
      <c r="V1479" s="12"/>
      <c r="W1479" s="10"/>
      <c r="X1479" s="10"/>
      <c r="Y1479" s="9"/>
      <c r="Z1479" s="9"/>
      <c r="AA1479" s="9"/>
      <c r="AB1479" s="9"/>
    </row>
    <row r="1480" ht="30.0" customHeight="1">
      <c r="A1480" s="17" t="s">
        <v>1</v>
      </c>
      <c r="B1480" s="8"/>
      <c r="C1480" s="9"/>
      <c r="D1480" s="9"/>
      <c r="E1480" s="9"/>
      <c r="F1480" s="9"/>
      <c r="G1480" s="9"/>
      <c r="H1480" s="9"/>
      <c r="I1480" s="9"/>
      <c r="J1480" s="9"/>
      <c r="K1480" s="9"/>
      <c r="L1480" s="9"/>
      <c r="M1480" s="10"/>
      <c r="N1480" s="10"/>
      <c r="O1480" s="10"/>
      <c r="P1480" s="10"/>
      <c r="Q1480" s="10"/>
      <c r="R1480" s="9"/>
      <c r="S1480" s="9"/>
      <c r="T1480" s="12"/>
      <c r="U1480" s="12"/>
      <c r="V1480" s="12"/>
      <c r="W1480" s="10"/>
      <c r="X1480" s="10"/>
      <c r="Y1480" s="9"/>
      <c r="Z1480" s="9"/>
      <c r="AA1480" s="9"/>
      <c r="AB1480" s="9"/>
    </row>
    <row r="1481" ht="30.0" customHeight="1">
      <c r="A1481" s="17" t="s">
        <v>1</v>
      </c>
      <c r="B1481" s="8"/>
      <c r="C1481" s="9"/>
      <c r="D1481" s="9"/>
      <c r="E1481" s="9"/>
      <c r="F1481" s="9"/>
      <c r="G1481" s="9"/>
      <c r="H1481" s="9"/>
      <c r="I1481" s="9"/>
      <c r="J1481" s="9"/>
      <c r="K1481" s="9"/>
      <c r="L1481" s="9"/>
      <c r="M1481" s="10"/>
      <c r="N1481" s="10"/>
      <c r="O1481" s="10"/>
      <c r="P1481" s="10"/>
      <c r="Q1481" s="10"/>
      <c r="R1481" s="9"/>
      <c r="S1481" s="9"/>
      <c r="T1481" s="12"/>
      <c r="U1481" s="12"/>
      <c r="V1481" s="12"/>
      <c r="W1481" s="10"/>
      <c r="X1481" s="10"/>
      <c r="Y1481" s="9"/>
      <c r="Z1481" s="9"/>
      <c r="AA1481" s="9"/>
      <c r="AB1481" s="9"/>
    </row>
    <row r="1482" ht="30.0" customHeight="1">
      <c r="A1482" s="17" t="s">
        <v>1</v>
      </c>
      <c r="B1482" s="8"/>
      <c r="C1482" s="9"/>
      <c r="D1482" s="9"/>
      <c r="E1482" s="9"/>
      <c r="F1482" s="9"/>
      <c r="G1482" s="9"/>
      <c r="H1482" s="9"/>
      <c r="I1482" s="9"/>
      <c r="J1482" s="9"/>
      <c r="K1482" s="9"/>
      <c r="L1482" s="9"/>
      <c r="M1482" s="10"/>
      <c r="N1482" s="10"/>
      <c r="O1482" s="10"/>
      <c r="P1482" s="10"/>
      <c r="Q1482" s="10"/>
      <c r="R1482" s="9"/>
      <c r="S1482" s="9"/>
      <c r="T1482" s="12"/>
      <c r="U1482" s="12"/>
      <c r="V1482" s="12"/>
      <c r="W1482" s="10"/>
      <c r="X1482" s="10"/>
      <c r="Y1482" s="9"/>
      <c r="Z1482" s="9"/>
      <c r="AA1482" s="9"/>
      <c r="AB1482" s="9"/>
    </row>
    <row r="1483" ht="30.0" customHeight="1">
      <c r="A1483" s="17" t="s">
        <v>1</v>
      </c>
      <c r="B1483" s="8"/>
      <c r="C1483" s="9"/>
      <c r="D1483" s="9"/>
      <c r="E1483" s="9"/>
      <c r="F1483" s="9"/>
      <c r="G1483" s="9"/>
      <c r="H1483" s="9"/>
      <c r="I1483" s="9"/>
      <c r="J1483" s="9"/>
      <c r="K1483" s="9"/>
      <c r="L1483" s="9"/>
      <c r="M1483" s="10"/>
      <c r="N1483" s="10"/>
      <c r="O1483" s="10"/>
      <c r="P1483" s="10"/>
      <c r="Q1483" s="10"/>
      <c r="R1483" s="9"/>
      <c r="S1483" s="9"/>
      <c r="T1483" s="12"/>
      <c r="U1483" s="12"/>
      <c r="V1483" s="12"/>
      <c r="W1483" s="10"/>
      <c r="X1483" s="10"/>
      <c r="Y1483" s="9"/>
      <c r="Z1483" s="9"/>
      <c r="AA1483" s="9"/>
      <c r="AB1483" s="9"/>
    </row>
    <row r="1484" ht="30.0" customHeight="1">
      <c r="A1484" s="17" t="s">
        <v>1</v>
      </c>
      <c r="B1484" s="8"/>
      <c r="C1484" s="9"/>
      <c r="D1484" s="9"/>
      <c r="E1484" s="9"/>
      <c r="F1484" s="9"/>
      <c r="G1484" s="9"/>
      <c r="H1484" s="9"/>
      <c r="I1484" s="9"/>
      <c r="J1484" s="9"/>
      <c r="K1484" s="9"/>
      <c r="L1484" s="9"/>
      <c r="M1484" s="10"/>
      <c r="N1484" s="10"/>
      <c r="O1484" s="10"/>
      <c r="P1484" s="10"/>
      <c r="Q1484" s="10"/>
      <c r="R1484" s="9"/>
      <c r="S1484" s="9"/>
      <c r="T1484" s="12"/>
      <c r="U1484" s="12"/>
      <c r="V1484" s="12"/>
      <c r="W1484" s="10"/>
      <c r="X1484" s="10"/>
      <c r="Y1484" s="9"/>
      <c r="Z1484" s="9"/>
      <c r="AA1484" s="9"/>
      <c r="AB1484" s="9"/>
    </row>
    <row r="1485" ht="30.0" customHeight="1">
      <c r="A1485" s="17" t="s">
        <v>1</v>
      </c>
      <c r="B1485" s="8"/>
      <c r="C1485" s="9"/>
      <c r="D1485" s="9"/>
      <c r="E1485" s="9"/>
      <c r="F1485" s="9"/>
      <c r="G1485" s="9"/>
      <c r="H1485" s="9"/>
      <c r="I1485" s="9"/>
      <c r="J1485" s="9"/>
      <c r="K1485" s="9"/>
      <c r="L1485" s="9"/>
      <c r="M1485" s="10"/>
      <c r="N1485" s="10"/>
      <c r="O1485" s="10"/>
      <c r="P1485" s="10"/>
      <c r="Q1485" s="10"/>
      <c r="R1485" s="9"/>
      <c r="S1485" s="9"/>
      <c r="T1485" s="12"/>
      <c r="U1485" s="12"/>
      <c r="V1485" s="12"/>
      <c r="W1485" s="10"/>
      <c r="X1485" s="10"/>
      <c r="Y1485" s="9"/>
      <c r="Z1485" s="9"/>
      <c r="AA1485" s="9"/>
      <c r="AB1485" s="9"/>
    </row>
    <row r="1486" ht="30.0" customHeight="1">
      <c r="A1486" s="17" t="s">
        <v>1</v>
      </c>
      <c r="B1486" s="8"/>
      <c r="C1486" s="9"/>
      <c r="D1486" s="9"/>
      <c r="E1486" s="9"/>
      <c r="F1486" s="9"/>
      <c r="G1486" s="9"/>
      <c r="H1486" s="9"/>
      <c r="I1486" s="9"/>
      <c r="J1486" s="9"/>
      <c r="K1486" s="9"/>
      <c r="L1486" s="9"/>
      <c r="M1486" s="10"/>
      <c r="N1486" s="10"/>
      <c r="O1486" s="10"/>
      <c r="P1486" s="10"/>
      <c r="Q1486" s="10"/>
      <c r="R1486" s="9"/>
      <c r="S1486" s="9"/>
      <c r="T1486" s="12"/>
      <c r="U1486" s="12"/>
      <c r="V1486" s="12"/>
      <c r="W1486" s="10"/>
      <c r="X1486" s="10"/>
      <c r="Y1486" s="9"/>
      <c r="Z1486" s="9"/>
      <c r="AA1486" s="9"/>
      <c r="AB1486" s="9"/>
    </row>
    <row r="1487" ht="30.0" customHeight="1">
      <c r="A1487" s="17" t="s">
        <v>1</v>
      </c>
      <c r="B1487" s="8"/>
      <c r="C1487" s="9"/>
      <c r="D1487" s="9"/>
      <c r="E1487" s="9"/>
      <c r="F1487" s="9"/>
      <c r="G1487" s="9"/>
      <c r="H1487" s="9"/>
      <c r="I1487" s="9"/>
      <c r="J1487" s="9"/>
      <c r="K1487" s="9"/>
      <c r="L1487" s="9"/>
      <c r="M1487" s="10"/>
      <c r="N1487" s="10"/>
      <c r="O1487" s="10"/>
      <c r="P1487" s="10"/>
      <c r="Q1487" s="10"/>
      <c r="R1487" s="9"/>
      <c r="S1487" s="9"/>
      <c r="T1487" s="12"/>
      <c r="U1487" s="12"/>
      <c r="V1487" s="12"/>
      <c r="W1487" s="10"/>
      <c r="X1487" s="10"/>
      <c r="Y1487" s="9"/>
      <c r="Z1487" s="9"/>
      <c r="AA1487" s="9"/>
      <c r="AB1487" s="9"/>
    </row>
    <row r="1488" ht="30.0" customHeight="1">
      <c r="A1488" s="17" t="s">
        <v>1</v>
      </c>
      <c r="B1488" s="8"/>
      <c r="C1488" s="9"/>
      <c r="D1488" s="9"/>
      <c r="E1488" s="9"/>
      <c r="F1488" s="9"/>
      <c r="G1488" s="9"/>
      <c r="H1488" s="9"/>
      <c r="I1488" s="9"/>
      <c r="J1488" s="9"/>
      <c r="K1488" s="9"/>
      <c r="L1488" s="9"/>
      <c r="M1488" s="10"/>
      <c r="N1488" s="10"/>
      <c r="O1488" s="10"/>
      <c r="P1488" s="10"/>
      <c r="Q1488" s="10"/>
      <c r="R1488" s="9"/>
      <c r="S1488" s="9"/>
      <c r="T1488" s="12"/>
      <c r="U1488" s="12"/>
      <c r="V1488" s="12"/>
      <c r="W1488" s="10"/>
      <c r="X1488" s="10"/>
      <c r="Y1488" s="9"/>
      <c r="Z1488" s="9"/>
      <c r="AA1488" s="9"/>
      <c r="AB1488" s="9"/>
    </row>
    <row r="1489" ht="30.0" customHeight="1">
      <c r="A1489" s="17" t="s">
        <v>1</v>
      </c>
      <c r="B1489" s="8"/>
      <c r="C1489" s="9"/>
      <c r="D1489" s="9"/>
      <c r="E1489" s="9"/>
      <c r="F1489" s="9"/>
      <c r="G1489" s="9"/>
      <c r="H1489" s="9"/>
      <c r="I1489" s="9"/>
      <c r="J1489" s="9"/>
      <c r="K1489" s="9"/>
      <c r="L1489" s="9"/>
      <c r="M1489" s="10"/>
      <c r="N1489" s="10"/>
      <c r="O1489" s="10"/>
      <c r="P1489" s="10"/>
      <c r="Q1489" s="10"/>
      <c r="R1489" s="9"/>
      <c r="S1489" s="9"/>
      <c r="T1489" s="12"/>
      <c r="U1489" s="12"/>
      <c r="V1489" s="12"/>
      <c r="W1489" s="10"/>
      <c r="X1489" s="10"/>
      <c r="Y1489" s="9"/>
      <c r="Z1489" s="9"/>
      <c r="AA1489" s="9"/>
      <c r="AB1489" s="9"/>
    </row>
    <row r="1490" ht="30.0" customHeight="1">
      <c r="A1490" s="17" t="s">
        <v>1</v>
      </c>
      <c r="B1490" s="8"/>
      <c r="C1490" s="9"/>
      <c r="D1490" s="9"/>
      <c r="E1490" s="9"/>
      <c r="F1490" s="9"/>
      <c r="G1490" s="9"/>
      <c r="H1490" s="9"/>
      <c r="I1490" s="9"/>
      <c r="J1490" s="9"/>
      <c r="K1490" s="9"/>
      <c r="L1490" s="9"/>
      <c r="M1490" s="10"/>
      <c r="N1490" s="10"/>
      <c r="O1490" s="10"/>
      <c r="P1490" s="10"/>
      <c r="Q1490" s="10"/>
      <c r="R1490" s="9"/>
      <c r="S1490" s="9"/>
      <c r="T1490" s="12"/>
      <c r="U1490" s="12"/>
      <c r="V1490" s="12"/>
      <c r="W1490" s="10"/>
      <c r="X1490" s="10"/>
      <c r="Y1490" s="9"/>
      <c r="Z1490" s="9"/>
      <c r="AA1490" s="9"/>
      <c r="AB1490" s="9"/>
    </row>
    <row r="1491" ht="30.0" customHeight="1">
      <c r="A1491" s="17" t="s">
        <v>1</v>
      </c>
      <c r="B1491" s="8"/>
      <c r="C1491" s="9"/>
      <c r="D1491" s="9"/>
      <c r="E1491" s="9"/>
      <c r="F1491" s="9"/>
      <c r="G1491" s="9"/>
      <c r="H1491" s="9"/>
      <c r="I1491" s="9"/>
      <c r="J1491" s="9"/>
      <c r="K1491" s="9"/>
      <c r="L1491" s="9"/>
      <c r="M1491" s="10"/>
      <c r="N1491" s="10"/>
      <c r="O1491" s="10"/>
      <c r="P1491" s="10"/>
      <c r="Q1491" s="10"/>
      <c r="R1491" s="9"/>
      <c r="S1491" s="9"/>
      <c r="T1491" s="12"/>
      <c r="U1491" s="12"/>
      <c r="V1491" s="12"/>
      <c r="W1491" s="10"/>
      <c r="X1491" s="10"/>
      <c r="Y1491" s="9"/>
      <c r="Z1491" s="9"/>
      <c r="AA1491" s="9"/>
      <c r="AB1491" s="9"/>
    </row>
    <row r="1492" ht="30.0" customHeight="1">
      <c r="A1492" s="17" t="s">
        <v>1</v>
      </c>
      <c r="B1492" s="8"/>
      <c r="C1492" s="9"/>
      <c r="D1492" s="9"/>
      <c r="E1492" s="9"/>
      <c r="F1492" s="9"/>
      <c r="G1492" s="9"/>
      <c r="H1492" s="9"/>
      <c r="I1492" s="9"/>
      <c r="J1492" s="9"/>
      <c r="K1492" s="9"/>
      <c r="L1492" s="9"/>
      <c r="M1492" s="10"/>
      <c r="N1492" s="10"/>
      <c r="O1492" s="10"/>
      <c r="P1492" s="10"/>
      <c r="Q1492" s="10"/>
      <c r="R1492" s="9"/>
      <c r="S1492" s="9"/>
      <c r="T1492" s="12"/>
      <c r="U1492" s="12"/>
      <c r="V1492" s="12"/>
      <c r="W1492" s="10"/>
      <c r="X1492" s="10"/>
      <c r="Y1492" s="9"/>
      <c r="Z1492" s="9"/>
      <c r="AA1492" s="9"/>
      <c r="AB1492" s="9"/>
    </row>
    <row r="1493" ht="30.0" customHeight="1">
      <c r="A1493" s="17" t="s">
        <v>1</v>
      </c>
      <c r="B1493" s="8"/>
      <c r="C1493" s="9"/>
      <c r="D1493" s="9"/>
      <c r="E1493" s="9"/>
      <c r="F1493" s="9"/>
      <c r="G1493" s="9"/>
      <c r="H1493" s="9"/>
      <c r="I1493" s="9"/>
      <c r="J1493" s="9"/>
      <c r="K1493" s="9"/>
      <c r="L1493" s="9"/>
      <c r="M1493" s="10"/>
      <c r="N1493" s="10"/>
      <c r="O1493" s="10"/>
      <c r="P1493" s="10"/>
      <c r="Q1493" s="10"/>
      <c r="R1493" s="9"/>
      <c r="S1493" s="9"/>
      <c r="T1493" s="12"/>
      <c r="U1493" s="12"/>
      <c r="V1493" s="12"/>
      <c r="W1493" s="10"/>
      <c r="X1493" s="10"/>
      <c r="Y1493" s="9"/>
      <c r="Z1493" s="9"/>
      <c r="AA1493" s="9"/>
      <c r="AB1493" s="9"/>
    </row>
    <row r="1494" ht="30.0" customHeight="1">
      <c r="A1494" s="17" t="s">
        <v>1</v>
      </c>
      <c r="B1494" s="8"/>
      <c r="C1494" s="9"/>
      <c r="D1494" s="9"/>
      <c r="E1494" s="9"/>
      <c r="F1494" s="9"/>
      <c r="G1494" s="9"/>
      <c r="H1494" s="9"/>
      <c r="I1494" s="9"/>
      <c r="J1494" s="9"/>
      <c r="K1494" s="9"/>
      <c r="L1494" s="9"/>
      <c r="M1494" s="10"/>
      <c r="N1494" s="10"/>
      <c r="O1494" s="10"/>
      <c r="P1494" s="10"/>
      <c r="Q1494" s="10"/>
      <c r="R1494" s="9"/>
      <c r="S1494" s="9"/>
      <c r="T1494" s="12"/>
      <c r="U1494" s="12"/>
      <c r="V1494" s="12"/>
      <c r="W1494" s="10"/>
      <c r="X1494" s="10"/>
      <c r="Y1494" s="9"/>
      <c r="Z1494" s="9"/>
      <c r="AA1494" s="9"/>
      <c r="AB1494" s="9"/>
    </row>
    <row r="1495" ht="30.0" customHeight="1">
      <c r="A1495" s="17" t="s">
        <v>1</v>
      </c>
      <c r="B1495" s="8"/>
      <c r="C1495" s="9"/>
      <c r="D1495" s="9"/>
      <c r="E1495" s="9"/>
      <c r="F1495" s="9"/>
      <c r="G1495" s="9"/>
      <c r="H1495" s="9"/>
      <c r="I1495" s="9"/>
      <c r="J1495" s="9"/>
      <c r="K1495" s="9"/>
      <c r="L1495" s="9"/>
      <c r="M1495" s="10"/>
      <c r="N1495" s="10"/>
      <c r="O1495" s="10"/>
      <c r="P1495" s="10"/>
      <c r="Q1495" s="10"/>
      <c r="R1495" s="9"/>
      <c r="S1495" s="9"/>
      <c r="T1495" s="12"/>
      <c r="U1495" s="12"/>
      <c r="V1495" s="12"/>
      <c r="W1495" s="10"/>
      <c r="X1495" s="10"/>
      <c r="Y1495" s="9"/>
      <c r="Z1495" s="9"/>
      <c r="AA1495" s="9"/>
      <c r="AB1495" s="9"/>
    </row>
    <row r="1496" ht="30.0" customHeight="1">
      <c r="A1496" s="17" t="s">
        <v>1</v>
      </c>
      <c r="B1496" s="8"/>
      <c r="C1496" s="9"/>
      <c r="D1496" s="9"/>
      <c r="E1496" s="9"/>
      <c r="F1496" s="9"/>
      <c r="G1496" s="9"/>
      <c r="H1496" s="9"/>
      <c r="I1496" s="9"/>
      <c r="J1496" s="9"/>
      <c r="K1496" s="9"/>
      <c r="L1496" s="9"/>
      <c r="M1496" s="10"/>
      <c r="N1496" s="10"/>
      <c r="O1496" s="10"/>
      <c r="P1496" s="10"/>
      <c r="Q1496" s="10"/>
      <c r="R1496" s="9"/>
      <c r="S1496" s="9"/>
      <c r="T1496" s="12"/>
      <c r="U1496" s="12"/>
      <c r="V1496" s="12"/>
      <c r="W1496" s="10"/>
      <c r="X1496" s="10"/>
      <c r="Y1496" s="9"/>
      <c r="Z1496" s="9"/>
      <c r="AA1496" s="9"/>
      <c r="AB1496" s="9"/>
    </row>
    <row r="1497" ht="30.0" customHeight="1">
      <c r="A1497" s="17" t="s">
        <v>1</v>
      </c>
      <c r="B1497" s="8"/>
      <c r="C1497" s="9"/>
      <c r="D1497" s="9"/>
      <c r="E1497" s="9"/>
      <c r="F1497" s="9"/>
      <c r="G1497" s="9"/>
      <c r="H1497" s="9"/>
      <c r="I1497" s="9"/>
      <c r="J1497" s="9"/>
      <c r="K1497" s="9"/>
      <c r="L1497" s="9"/>
      <c r="M1497" s="10"/>
      <c r="N1497" s="10"/>
      <c r="O1497" s="10"/>
      <c r="P1497" s="10"/>
      <c r="Q1497" s="10"/>
      <c r="R1497" s="9"/>
      <c r="S1497" s="9"/>
      <c r="T1497" s="12"/>
      <c r="U1497" s="12"/>
      <c r="V1497" s="12"/>
      <c r="W1497" s="10"/>
      <c r="X1497" s="10"/>
      <c r="Y1497" s="9"/>
      <c r="Z1497" s="9"/>
      <c r="AA1497" s="9"/>
      <c r="AB1497" s="9"/>
    </row>
    <row r="1498" ht="30.0" customHeight="1">
      <c r="A1498" s="17" t="s">
        <v>1</v>
      </c>
      <c r="B1498" s="8"/>
      <c r="C1498" s="9"/>
      <c r="D1498" s="9"/>
      <c r="E1498" s="9"/>
      <c r="F1498" s="9"/>
      <c r="G1498" s="9"/>
      <c r="H1498" s="9"/>
      <c r="I1498" s="9"/>
      <c r="J1498" s="9"/>
      <c r="K1498" s="9"/>
      <c r="L1498" s="9"/>
      <c r="M1498" s="10"/>
      <c r="N1498" s="10"/>
      <c r="O1498" s="10"/>
      <c r="P1498" s="10"/>
      <c r="Q1498" s="10"/>
      <c r="R1498" s="9"/>
      <c r="S1498" s="9"/>
      <c r="T1498" s="12"/>
      <c r="U1498" s="12"/>
      <c r="V1498" s="12"/>
      <c r="W1498" s="10"/>
      <c r="X1498" s="10"/>
      <c r="Y1498" s="9"/>
      <c r="Z1498" s="9"/>
      <c r="AA1498" s="9"/>
      <c r="AB1498" s="9"/>
    </row>
    <row r="1499" ht="30.0" customHeight="1">
      <c r="A1499" s="17" t="s">
        <v>1</v>
      </c>
      <c r="B1499" s="8"/>
      <c r="C1499" s="9"/>
      <c r="D1499" s="9"/>
      <c r="E1499" s="9"/>
      <c r="F1499" s="9"/>
      <c r="G1499" s="9"/>
      <c r="H1499" s="9"/>
      <c r="I1499" s="9"/>
      <c r="J1499" s="9"/>
      <c r="K1499" s="9"/>
      <c r="L1499" s="9"/>
      <c r="M1499" s="10"/>
      <c r="N1499" s="10"/>
      <c r="O1499" s="10"/>
      <c r="P1499" s="10"/>
      <c r="Q1499" s="10"/>
      <c r="R1499" s="9"/>
      <c r="S1499" s="9"/>
      <c r="T1499" s="12"/>
      <c r="U1499" s="12"/>
      <c r="V1499" s="12"/>
      <c r="W1499" s="10"/>
      <c r="X1499" s="10"/>
      <c r="Y1499" s="9"/>
      <c r="Z1499" s="9"/>
      <c r="AA1499" s="9"/>
      <c r="AB1499" s="9"/>
    </row>
    <row r="1500" ht="30.0" customHeight="1">
      <c r="A1500" s="17" t="s">
        <v>1</v>
      </c>
      <c r="B1500" s="8"/>
      <c r="C1500" s="9"/>
      <c r="D1500" s="9"/>
      <c r="E1500" s="9"/>
      <c r="F1500" s="9"/>
      <c r="G1500" s="9"/>
      <c r="H1500" s="9"/>
      <c r="I1500" s="9"/>
      <c r="J1500" s="9"/>
      <c r="K1500" s="9"/>
      <c r="L1500" s="9"/>
      <c r="M1500" s="10"/>
      <c r="N1500" s="10"/>
      <c r="O1500" s="10"/>
      <c r="P1500" s="10"/>
      <c r="Q1500" s="10"/>
      <c r="R1500" s="9"/>
      <c r="S1500" s="9"/>
      <c r="T1500" s="12"/>
      <c r="U1500" s="12"/>
      <c r="V1500" s="12"/>
      <c r="W1500" s="10"/>
      <c r="X1500" s="10"/>
      <c r="Y1500" s="9"/>
      <c r="Z1500" s="9"/>
      <c r="AA1500" s="9"/>
      <c r="AB1500" s="9"/>
    </row>
    <row r="1501" ht="30.0" customHeight="1">
      <c r="A1501" s="17" t="s">
        <v>1</v>
      </c>
      <c r="B1501" s="8"/>
      <c r="C1501" s="9"/>
      <c r="D1501" s="9"/>
      <c r="E1501" s="9"/>
      <c r="F1501" s="9"/>
      <c r="G1501" s="9"/>
      <c r="H1501" s="9"/>
      <c r="I1501" s="9"/>
      <c r="J1501" s="9"/>
      <c r="K1501" s="9"/>
      <c r="L1501" s="9"/>
      <c r="M1501" s="10"/>
      <c r="N1501" s="10"/>
      <c r="O1501" s="10"/>
      <c r="P1501" s="10"/>
      <c r="Q1501" s="10"/>
      <c r="R1501" s="9"/>
      <c r="S1501" s="9"/>
      <c r="T1501" s="12"/>
      <c r="U1501" s="12"/>
      <c r="V1501" s="12"/>
      <c r="W1501" s="10"/>
      <c r="X1501" s="10"/>
      <c r="Y1501" s="9"/>
      <c r="Z1501" s="9"/>
      <c r="AA1501" s="9"/>
      <c r="AB1501" s="9"/>
    </row>
    <row r="1502" ht="30.0" customHeight="1">
      <c r="A1502" s="17" t="s">
        <v>1</v>
      </c>
      <c r="B1502" s="8"/>
      <c r="C1502" s="9"/>
      <c r="D1502" s="9"/>
      <c r="E1502" s="9"/>
      <c r="F1502" s="9"/>
      <c r="G1502" s="9"/>
      <c r="H1502" s="9"/>
      <c r="I1502" s="9"/>
      <c r="J1502" s="9"/>
      <c r="K1502" s="9"/>
      <c r="L1502" s="9"/>
      <c r="M1502" s="10"/>
      <c r="N1502" s="10"/>
      <c r="O1502" s="10"/>
      <c r="P1502" s="10"/>
      <c r="Q1502" s="10"/>
      <c r="R1502" s="9"/>
      <c r="S1502" s="9"/>
      <c r="T1502" s="12"/>
      <c r="U1502" s="12"/>
      <c r="V1502" s="12"/>
      <c r="W1502" s="10"/>
      <c r="X1502" s="10"/>
      <c r="Y1502" s="9"/>
      <c r="Z1502" s="9"/>
      <c r="AA1502" s="9"/>
      <c r="AB1502" s="9"/>
    </row>
    <row r="1503" ht="30.0" customHeight="1">
      <c r="A1503" s="17" t="s">
        <v>1</v>
      </c>
      <c r="B1503" s="8"/>
      <c r="C1503" s="9"/>
      <c r="D1503" s="9"/>
      <c r="E1503" s="9"/>
      <c r="F1503" s="9"/>
      <c r="G1503" s="9"/>
      <c r="H1503" s="9"/>
      <c r="I1503" s="9"/>
      <c r="J1503" s="9"/>
      <c r="K1503" s="9"/>
      <c r="L1503" s="9"/>
      <c r="M1503" s="10"/>
      <c r="N1503" s="10"/>
      <c r="O1503" s="10"/>
      <c r="P1503" s="10"/>
      <c r="Q1503" s="10"/>
      <c r="R1503" s="9"/>
      <c r="S1503" s="9"/>
      <c r="T1503" s="12"/>
      <c r="U1503" s="12"/>
      <c r="V1503" s="12"/>
      <c r="W1503" s="10"/>
      <c r="X1503" s="10"/>
      <c r="Y1503" s="9"/>
      <c r="Z1503" s="9"/>
      <c r="AA1503" s="9"/>
      <c r="AB1503" s="9"/>
    </row>
    <row r="1504" ht="30.0" customHeight="1">
      <c r="A1504" s="17" t="s">
        <v>1</v>
      </c>
      <c r="B1504" s="8"/>
      <c r="C1504" s="9"/>
      <c r="D1504" s="9"/>
      <c r="E1504" s="9"/>
      <c r="F1504" s="9"/>
      <c r="G1504" s="9"/>
      <c r="H1504" s="9"/>
      <c r="I1504" s="9"/>
      <c r="J1504" s="9"/>
      <c r="K1504" s="9"/>
      <c r="L1504" s="9"/>
      <c r="M1504" s="10"/>
      <c r="N1504" s="10"/>
      <c r="O1504" s="10"/>
      <c r="P1504" s="10"/>
      <c r="Q1504" s="10"/>
      <c r="R1504" s="9"/>
      <c r="S1504" s="9"/>
      <c r="T1504" s="12"/>
      <c r="U1504" s="12"/>
      <c r="V1504" s="12"/>
      <c r="W1504" s="10"/>
      <c r="X1504" s="10"/>
      <c r="Y1504" s="9"/>
      <c r="Z1504" s="9"/>
      <c r="AA1504" s="9"/>
      <c r="AB1504" s="9"/>
    </row>
    <row r="1505" ht="30.0" customHeight="1">
      <c r="A1505" s="17" t="s">
        <v>1</v>
      </c>
      <c r="B1505" s="8"/>
      <c r="C1505" s="9"/>
      <c r="D1505" s="9"/>
      <c r="E1505" s="9"/>
      <c r="F1505" s="9"/>
      <c r="G1505" s="9"/>
      <c r="H1505" s="9"/>
      <c r="I1505" s="9"/>
      <c r="J1505" s="9"/>
      <c r="K1505" s="9"/>
      <c r="L1505" s="9"/>
      <c r="M1505" s="10"/>
      <c r="N1505" s="10"/>
      <c r="O1505" s="10"/>
      <c r="P1505" s="10"/>
      <c r="Q1505" s="10"/>
      <c r="R1505" s="9"/>
      <c r="S1505" s="9"/>
      <c r="T1505" s="12"/>
      <c r="U1505" s="12"/>
      <c r="V1505" s="12"/>
      <c r="W1505" s="10"/>
      <c r="X1505" s="10"/>
      <c r="Y1505" s="9"/>
      <c r="Z1505" s="9"/>
      <c r="AA1505" s="9"/>
      <c r="AB1505" s="9"/>
    </row>
    <row r="1506" ht="30.0" customHeight="1">
      <c r="A1506" s="17" t="s">
        <v>1</v>
      </c>
      <c r="B1506" s="8"/>
      <c r="C1506" s="9"/>
      <c r="D1506" s="9"/>
      <c r="E1506" s="9"/>
      <c r="F1506" s="9"/>
      <c r="G1506" s="9"/>
      <c r="H1506" s="9"/>
      <c r="I1506" s="9"/>
      <c r="J1506" s="9"/>
      <c r="K1506" s="9"/>
      <c r="L1506" s="9"/>
      <c r="M1506" s="10"/>
      <c r="N1506" s="10"/>
      <c r="O1506" s="10"/>
      <c r="P1506" s="10"/>
      <c r="Q1506" s="10"/>
      <c r="R1506" s="9"/>
      <c r="S1506" s="9"/>
      <c r="T1506" s="12"/>
      <c r="U1506" s="12"/>
      <c r="V1506" s="12"/>
      <c r="W1506" s="10"/>
      <c r="X1506" s="10"/>
      <c r="Y1506" s="9"/>
      <c r="Z1506" s="9"/>
      <c r="AA1506" s="9"/>
      <c r="AB1506" s="9"/>
    </row>
    <row r="1507" ht="30.0" customHeight="1">
      <c r="A1507" s="17" t="s">
        <v>1</v>
      </c>
      <c r="B1507" s="8"/>
      <c r="C1507" s="9"/>
      <c r="D1507" s="9"/>
      <c r="E1507" s="9"/>
      <c r="F1507" s="9"/>
      <c r="G1507" s="9"/>
      <c r="H1507" s="9"/>
      <c r="I1507" s="9"/>
      <c r="J1507" s="9"/>
      <c r="K1507" s="9"/>
      <c r="L1507" s="9"/>
      <c r="M1507" s="10"/>
      <c r="N1507" s="10"/>
      <c r="O1507" s="10"/>
      <c r="P1507" s="10"/>
      <c r="Q1507" s="10"/>
      <c r="R1507" s="9"/>
      <c r="S1507" s="9"/>
      <c r="T1507" s="12"/>
      <c r="U1507" s="12"/>
      <c r="V1507" s="12"/>
      <c r="W1507" s="10"/>
      <c r="X1507" s="10"/>
      <c r="Y1507" s="9"/>
      <c r="Z1507" s="9"/>
      <c r="AA1507" s="9"/>
      <c r="AB1507" s="9"/>
    </row>
    <row r="1508" ht="30.0" customHeight="1">
      <c r="A1508" s="17" t="s">
        <v>1</v>
      </c>
      <c r="B1508" s="8"/>
      <c r="C1508" s="9"/>
      <c r="D1508" s="9"/>
      <c r="E1508" s="9"/>
      <c r="F1508" s="9"/>
      <c r="G1508" s="9"/>
      <c r="H1508" s="9"/>
      <c r="I1508" s="9"/>
      <c r="J1508" s="9"/>
      <c r="K1508" s="9"/>
      <c r="L1508" s="9"/>
      <c r="M1508" s="10"/>
      <c r="N1508" s="10"/>
      <c r="O1508" s="10"/>
      <c r="P1508" s="10"/>
      <c r="Q1508" s="10"/>
      <c r="R1508" s="9"/>
      <c r="S1508" s="9"/>
      <c r="T1508" s="12"/>
      <c r="U1508" s="12"/>
      <c r="V1508" s="12"/>
      <c r="W1508" s="10"/>
      <c r="X1508" s="10"/>
      <c r="Y1508" s="9"/>
      <c r="Z1508" s="9"/>
      <c r="AA1508" s="9"/>
      <c r="AB1508" s="9"/>
    </row>
    <row r="1509" ht="30.0" customHeight="1">
      <c r="A1509" s="17" t="s">
        <v>1</v>
      </c>
      <c r="B1509" s="8"/>
      <c r="C1509" s="9"/>
      <c r="D1509" s="9"/>
      <c r="E1509" s="9"/>
      <c r="F1509" s="9"/>
      <c r="G1509" s="9"/>
      <c r="H1509" s="9"/>
      <c r="I1509" s="9"/>
      <c r="J1509" s="9"/>
      <c r="K1509" s="9"/>
      <c r="L1509" s="9"/>
      <c r="M1509" s="10"/>
      <c r="N1509" s="10"/>
      <c r="O1509" s="10"/>
      <c r="P1509" s="10"/>
      <c r="Q1509" s="10"/>
      <c r="R1509" s="9"/>
      <c r="S1509" s="9"/>
      <c r="T1509" s="12"/>
      <c r="U1509" s="12"/>
      <c r="V1509" s="12"/>
      <c r="W1509" s="10"/>
      <c r="X1509" s="10"/>
      <c r="Y1509" s="9"/>
      <c r="Z1509" s="9"/>
      <c r="AA1509" s="9"/>
      <c r="AB1509" s="9"/>
    </row>
    <row r="1510" ht="30.0" customHeight="1">
      <c r="A1510" s="17" t="s">
        <v>1</v>
      </c>
      <c r="B1510" s="8"/>
      <c r="C1510" s="9"/>
      <c r="D1510" s="9"/>
      <c r="E1510" s="9"/>
      <c r="F1510" s="9"/>
      <c r="G1510" s="9"/>
      <c r="H1510" s="9"/>
      <c r="I1510" s="9"/>
      <c r="J1510" s="9"/>
      <c r="K1510" s="9"/>
      <c r="L1510" s="9"/>
      <c r="M1510" s="10"/>
      <c r="N1510" s="10"/>
      <c r="O1510" s="10"/>
      <c r="P1510" s="10"/>
      <c r="Q1510" s="10"/>
      <c r="R1510" s="9"/>
      <c r="S1510" s="9"/>
      <c r="T1510" s="12"/>
      <c r="U1510" s="12"/>
      <c r="V1510" s="12"/>
      <c r="W1510" s="10"/>
      <c r="X1510" s="10"/>
      <c r="Y1510" s="9"/>
      <c r="Z1510" s="9"/>
      <c r="AA1510" s="9"/>
      <c r="AB1510" s="9"/>
    </row>
    <row r="1511" ht="30.0" customHeight="1">
      <c r="A1511" s="17" t="s">
        <v>1</v>
      </c>
      <c r="B1511" s="8"/>
      <c r="C1511" s="9"/>
      <c r="D1511" s="9"/>
      <c r="E1511" s="9"/>
      <c r="F1511" s="9"/>
      <c r="G1511" s="9"/>
      <c r="H1511" s="9"/>
      <c r="I1511" s="9"/>
      <c r="J1511" s="9"/>
      <c r="K1511" s="9"/>
      <c r="L1511" s="9"/>
      <c r="M1511" s="10"/>
      <c r="N1511" s="10"/>
      <c r="O1511" s="10"/>
      <c r="P1511" s="10"/>
      <c r="Q1511" s="10"/>
      <c r="R1511" s="9"/>
      <c r="S1511" s="9"/>
      <c r="T1511" s="12"/>
      <c r="U1511" s="12"/>
      <c r="V1511" s="12"/>
      <c r="W1511" s="10"/>
      <c r="X1511" s="10"/>
      <c r="Y1511" s="9"/>
      <c r="Z1511" s="9"/>
      <c r="AA1511" s="9"/>
      <c r="AB1511" s="9"/>
    </row>
    <row r="1512" ht="30.0" customHeight="1">
      <c r="A1512" s="17" t="s">
        <v>1</v>
      </c>
      <c r="B1512" s="8"/>
      <c r="C1512" s="9"/>
      <c r="D1512" s="9"/>
      <c r="E1512" s="9"/>
      <c r="F1512" s="9"/>
      <c r="G1512" s="9"/>
      <c r="H1512" s="9"/>
      <c r="I1512" s="9"/>
      <c r="J1512" s="9"/>
      <c r="K1512" s="9"/>
      <c r="L1512" s="9"/>
      <c r="M1512" s="10"/>
      <c r="N1512" s="10"/>
      <c r="O1512" s="10"/>
      <c r="P1512" s="10"/>
      <c r="Q1512" s="10"/>
      <c r="R1512" s="9"/>
      <c r="S1512" s="9"/>
      <c r="T1512" s="12"/>
      <c r="U1512" s="12"/>
      <c r="V1512" s="12"/>
      <c r="W1512" s="10"/>
      <c r="X1512" s="10"/>
      <c r="Y1512" s="9"/>
      <c r="Z1512" s="9"/>
      <c r="AA1512" s="9"/>
      <c r="AB1512" s="9"/>
    </row>
    <row r="1513" ht="30.0" customHeight="1">
      <c r="A1513" s="17" t="s">
        <v>1</v>
      </c>
      <c r="B1513" s="8"/>
      <c r="C1513" s="9"/>
      <c r="D1513" s="9"/>
      <c r="E1513" s="9"/>
      <c r="F1513" s="9"/>
      <c r="G1513" s="9"/>
      <c r="H1513" s="9"/>
      <c r="I1513" s="9"/>
      <c r="J1513" s="9"/>
      <c r="K1513" s="9"/>
      <c r="L1513" s="9"/>
      <c r="M1513" s="10"/>
      <c r="N1513" s="10"/>
      <c r="O1513" s="10"/>
      <c r="P1513" s="10"/>
      <c r="Q1513" s="10"/>
      <c r="R1513" s="9"/>
      <c r="S1513" s="9"/>
      <c r="T1513" s="12"/>
      <c r="U1513" s="12"/>
      <c r="V1513" s="12"/>
      <c r="W1513" s="10"/>
      <c r="X1513" s="10"/>
      <c r="Y1513" s="9"/>
      <c r="Z1513" s="9"/>
      <c r="AA1513" s="9"/>
      <c r="AB1513" s="9"/>
    </row>
    <row r="1514" ht="30.0" customHeight="1">
      <c r="A1514" s="17" t="s">
        <v>1</v>
      </c>
      <c r="B1514" s="8"/>
      <c r="C1514" s="9"/>
      <c r="D1514" s="9"/>
      <c r="E1514" s="9"/>
      <c r="F1514" s="9"/>
      <c r="G1514" s="9"/>
      <c r="H1514" s="9"/>
      <c r="I1514" s="9"/>
      <c r="J1514" s="9"/>
      <c r="K1514" s="9"/>
      <c r="L1514" s="9"/>
      <c r="M1514" s="10"/>
      <c r="N1514" s="10"/>
      <c r="O1514" s="10"/>
      <c r="P1514" s="10"/>
      <c r="Q1514" s="10"/>
      <c r="R1514" s="9"/>
      <c r="S1514" s="9"/>
      <c r="T1514" s="12"/>
      <c r="U1514" s="12"/>
      <c r="V1514" s="12"/>
      <c r="W1514" s="10"/>
      <c r="X1514" s="10"/>
      <c r="Y1514" s="9"/>
      <c r="Z1514" s="9"/>
      <c r="AA1514" s="9"/>
      <c r="AB1514" s="9"/>
    </row>
    <row r="1515" ht="30.0" customHeight="1">
      <c r="A1515" s="17" t="s">
        <v>1</v>
      </c>
      <c r="B1515" s="8"/>
      <c r="C1515" s="9"/>
      <c r="D1515" s="9"/>
      <c r="E1515" s="9"/>
      <c r="F1515" s="9"/>
      <c r="G1515" s="9"/>
      <c r="H1515" s="9"/>
      <c r="I1515" s="9"/>
      <c r="J1515" s="9"/>
      <c r="K1515" s="9"/>
      <c r="L1515" s="9"/>
      <c r="M1515" s="10"/>
      <c r="N1515" s="10"/>
      <c r="O1515" s="10"/>
      <c r="P1515" s="10"/>
      <c r="Q1515" s="10"/>
      <c r="R1515" s="9"/>
      <c r="S1515" s="9"/>
      <c r="T1515" s="12"/>
      <c r="U1515" s="12"/>
      <c r="V1515" s="12"/>
      <c r="W1515" s="10"/>
      <c r="X1515" s="10"/>
      <c r="Y1515" s="9"/>
      <c r="Z1515" s="9"/>
      <c r="AA1515" s="9"/>
      <c r="AB1515" s="9"/>
    </row>
    <row r="1516" ht="30.0" customHeight="1">
      <c r="A1516" s="17" t="s">
        <v>1</v>
      </c>
      <c r="B1516" s="8"/>
      <c r="C1516" s="9"/>
      <c r="D1516" s="9"/>
      <c r="E1516" s="9"/>
      <c r="F1516" s="9"/>
      <c r="G1516" s="9"/>
      <c r="H1516" s="9"/>
      <c r="I1516" s="9"/>
      <c r="J1516" s="9"/>
      <c r="K1516" s="9"/>
      <c r="L1516" s="9"/>
      <c r="M1516" s="10"/>
      <c r="N1516" s="10"/>
      <c r="O1516" s="10"/>
      <c r="P1516" s="10"/>
      <c r="Q1516" s="10"/>
      <c r="R1516" s="9"/>
      <c r="S1516" s="9"/>
      <c r="T1516" s="12"/>
      <c r="U1516" s="12"/>
      <c r="V1516" s="12"/>
      <c r="W1516" s="10"/>
      <c r="X1516" s="10"/>
      <c r="Y1516" s="9"/>
      <c r="Z1516" s="9"/>
      <c r="AA1516" s="9"/>
      <c r="AB1516" s="9"/>
    </row>
    <row r="1517" ht="30.0" customHeight="1">
      <c r="A1517" s="17" t="s">
        <v>1</v>
      </c>
      <c r="B1517" s="8"/>
      <c r="C1517" s="9"/>
      <c r="D1517" s="9"/>
      <c r="E1517" s="9"/>
      <c r="F1517" s="9"/>
      <c r="G1517" s="9"/>
      <c r="H1517" s="9"/>
      <c r="I1517" s="9"/>
      <c r="J1517" s="9"/>
      <c r="K1517" s="9"/>
      <c r="L1517" s="9"/>
      <c r="M1517" s="10"/>
      <c r="N1517" s="10"/>
      <c r="O1517" s="10"/>
      <c r="P1517" s="10"/>
      <c r="Q1517" s="10"/>
      <c r="R1517" s="9"/>
      <c r="S1517" s="9"/>
      <c r="T1517" s="12"/>
      <c r="U1517" s="12"/>
      <c r="V1517" s="12"/>
      <c r="W1517" s="10"/>
      <c r="X1517" s="10"/>
      <c r="Y1517" s="9"/>
      <c r="Z1517" s="9"/>
      <c r="AA1517" s="9"/>
      <c r="AB1517" s="9"/>
    </row>
    <row r="1518" ht="30.0" customHeight="1">
      <c r="A1518" s="17" t="s">
        <v>1</v>
      </c>
      <c r="B1518" s="8"/>
      <c r="C1518" s="9"/>
      <c r="D1518" s="9"/>
      <c r="E1518" s="9"/>
      <c r="F1518" s="9"/>
      <c r="G1518" s="9"/>
      <c r="H1518" s="9"/>
      <c r="I1518" s="9"/>
      <c r="J1518" s="9"/>
      <c r="K1518" s="9"/>
      <c r="L1518" s="9"/>
      <c r="M1518" s="10"/>
      <c r="N1518" s="10"/>
      <c r="O1518" s="10"/>
      <c r="P1518" s="10"/>
      <c r="Q1518" s="10"/>
      <c r="R1518" s="9"/>
      <c r="S1518" s="9"/>
      <c r="T1518" s="12"/>
      <c r="U1518" s="12"/>
      <c r="V1518" s="12"/>
      <c r="W1518" s="10"/>
      <c r="X1518" s="10"/>
      <c r="Y1518" s="9"/>
      <c r="Z1518" s="9"/>
      <c r="AA1518" s="9"/>
      <c r="AB1518" s="9"/>
    </row>
    <row r="1519" ht="30.0" customHeight="1">
      <c r="A1519" s="17" t="s">
        <v>1</v>
      </c>
      <c r="B1519" s="8"/>
      <c r="C1519" s="9"/>
      <c r="D1519" s="9"/>
      <c r="E1519" s="9"/>
      <c r="F1519" s="9"/>
      <c r="G1519" s="9"/>
      <c r="H1519" s="9"/>
      <c r="I1519" s="9"/>
      <c r="J1519" s="9"/>
      <c r="K1519" s="9"/>
      <c r="L1519" s="9"/>
      <c r="M1519" s="10"/>
      <c r="N1519" s="10"/>
      <c r="O1519" s="10"/>
      <c r="P1519" s="10"/>
      <c r="Q1519" s="10"/>
      <c r="R1519" s="9"/>
      <c r="S1519" s="9"/>
      <c r="T1519" s="12"/>
      <c r="U1519" s="12"/>
      <c r="V1519" s="12"/>
      <c r="W1519" s="10"/>
      <c r="X1519" s="10"/>
      <c r="Y1519" s="9"/>
      <c r="Z1519" s="9"/>
      <c r="AA1519" s="9"/>
      <c r="AB1519" s="9"/>
    </row>
    <row r="1520" ht="30.0" customHeight="1">
      <c r="A1520" s="17" t="s">
        <v>1</v>
      </c>
      <c r="B1520" s="8"/>
      <c r="C1520" s="9"/>
      <c r="D1520" s="9"/>
      <c r="E1520" s="9"/>
      <c r="F1520" s="9"/>
      <c r="G1520" s="9"/>
      <c r="H1520" s="9"/>
      <c r="I1520" s="9"/>
      <c r="J1520" s="9"/>
      <c r="K1520" s="9"/>
      <c r="L1520" s="9"/>
      <c r="M1520" s="10"/>
      <c r="N1520" s="10"/>
      <c r="O1520" s="10"/>
      <c r="P1520" s="10"/>
      <c r="Q1520" s="10"/>
      <c r="R1520" s="9"/>
      <c r="S1520" s="9"/>
      <c r="T1520" s="12"/>
      <c r="U1520" s="12"/>
      <c r="V1520" s="12"/>
      <c r="W1520" s="10"/>
      <c r="X1520" s="10"/>
      <c r="Y1520" s="9"/>
      <c r="Z1520" s="9"/>
      <c r="AA1520" s="9"/>
      <c r="AB1520" s="9"/>
    </row>
    <row r="1521" ht="30.0" customHeight="1">
      <c r="A1521" s="17" t="s">
        <v>1</v>
      </c>
      <c r="B1521" s="8"/>
      <c r="C1521" s="9"/>
      <c r="D1521" s="9"/>
      <c r="E1521" s="9"/>
      <c r="F1521" s="9"/>
      <c r="G1521" s="9"/>
      <c r="H1521" s="9"/>
      <c r="I1521" s="9"/>
      <c r="J1521" s="9"/>
      <c r="K1521" s="9"/>
      <c r="L1521" s="9"/>
      <c r="M1521" s="10"/>
      <c r="N1521" s="10"/>
      <c r="O1521" s="10"/>
      <c r="P1521" s="10"/>
      <c r="Q1521" s="10"/>
      <c r="R1521" s="9"/>
      <c r="S1521" s="9"/>
      <c r="T1521" s="12"/>
      <c r="U1521" s="12"/>
      <c r="V1521" s="12"/>
      <c r="W1521" s="10"/>
      <c r="X1521" s="10"/>
      <c r="Y1521" s="9"/>
      <c r="Z1521" s="9"/>
      <c r="AA1521" s="9"/>
      <c r="AB1521" s="9"/>
    </row>
    <row r="1522" ht="30.0" customHeight="1">
      <c r="A1522" s="17" t="s">
        <v>1</v>
      </c>
      <c r="B1522" s="8"/>
      <c r="C1522" s="9"/>
      <c r="D1522" s="9"/>
      <c r="E1522" s="9"/>
      <c r="F1522" s="9"/>
      <c r="G1522" s="9"/>
      <c r="H1522" s="9"/>
      <c r="I1522" s="9"/>
      <c r="J1522" s="9"/>
      <c r="K1522" s="9"/>
      <c r="L1522" s="9"/>
      <c r="M1522" s="10"/>
      <c r="N1522" s="10"/>
      <c r="O1522" s="10"/>
      <c r="P1522" s="10"/>
      <c r="Q1522" s="10"/>
      <c r="R1522" s="9"/>
      <c r="S1522" s="9"/>
      <c r="T1522" s="12"/>
      <c r="U1522" s="12"/>
      <c r="V1522" s="12"/>
      <c r="W1522" s="10"/>
      <c r="X1522" s="10"/>
      <c r="Y1522" s="9"/>
      <c r="Z1522" s="9"/>
      <c r="AA1522" s="9"/>
      <c r="AB1522" s="9"/>
    </row>
    <row r="1523" ht="30.0" customHeight="1">
      <c r="A1523" s="17" t="s">
        <v>1</v>
      </c>
      <c r="B1523" s="8"/>
      <c r="C1523" s="9"/>
      <c r="D1523" s="9"/>
      <c r="E1523" s="9"/>
      <c r="F1523" s="9"/>
      <c r="G1523" s="9"/>
      <c r="H1523" s="9"/>
      <c r="I1523" s="9"/>
      <c r="J1523" s="9"/>
      <c r="K1523" s="9"/>
      <c r="L1523" s="9"/>
      <c r="M1523" s="10"/>
      <c r="N1523" s="10"/>
      <c r="O1523" s="10"/>
      <c r="P1523" s="10"/>
      <c r="Q1523" s="10"/>
      <c r="R1523" s="9"/>
      <c r="S1523" s="9"/>
      <c r="T1523" s="12"/>
      <c r="U1523" s="12"/>
      <c r="V1523" s="12"/>
      <c r="W1523" s="10"/>
      <c r="X1523" s="10"/>
      <c r="Y1523" s="9"/>
      <c r="Z1523" s="9"/>
      <c r="AA1523" s="9"/>
      <c r="AB1523" s="9"/>
    </row>
    <row r="1524" ht="30.0" customHeight="1">
      <c r="A1524" s="17" t="s">
        <v>1</v>
      </c>
      <c r="B1524" s="8"/>
      <c r="C1524" s="9"/>
      <c r="D1524" s="9"/>
      <c r="E1524" s="9"/>
      <c r="F1524" s="9"/>
      <c r="G1524" s="9"/>
      <c r="H1524" s="9"/>
      <c r="I1524" s="9"/>
      <c r="J1524" s="9"/>
      <c r="K1524" s="9"/>
      <c r="L1524" s="9"/>
      <c r="M1524" s="10"/>
      <c r="N1524" s="10"/>
      <c r="O1524" s="10"/>
      <c r="P1524" s="10"/>
      <c r="Q1524" s="10"/>
      <c r="R1524" s="9"/>
      <c r="S1524" s="9"/>
      <c r="T1524" s="12"/>
      <c r="U1524" s="12"/>
      <c r="V1524" s="12"/>
      <c r="W1524" s="10"/>
      <c r="X1524" s="10"/>
      <c r="Y1524" s="9"/>
      <c r="Z1524" s="9"/>
      <c r="AA1524" s="9"/>
      <c r="AB1524" s="9"/>
    </row>
    <row r="1525" ht="30.0" customHeight="1">
      <c r="A1525" s="17" t="s">
        <v>1</v>
      </c>
      <c r="B1525" s="8"/>
      <c r="C1525" s="9"/>
      <c r="D1525" s="9"/>
      <c r="E1525" s="9"/>
      <c r="F1525" s="9"/>
      <c r="G1525" s="9"/>
      <c r="H1525" s="9"/>
      <c r="I1525" s="9"/>
      <c r="J1525" s="9"/>
      <c r="K1525" s="9"/>
      <c r="L1525" s="9"/>
      <c r="M1525" s="10"/>
      <c r="N1525" s="10"/>
      <c r="O1525" s="10"/>
      <c r="P1525" s="10"/>
      <c r="Q1525" s="10"/>
      <c r="R1525" s="9"/>
      <c r="S1525" s="9"/>
      <c r="T1525" s="12"/>
      <c r="U1525" s="12"/>
      <c r="V1525" s="12"/>
      <c r="W1525" s="10"/>
      <c r="X1525" s="10"/>
      <c r="Y1525" s="9"/>
      <c r="Z1525" s="9"/>
      <c r="AA1525" s="9"/>
      <c r="AB1525" s="9"/>
    </row>
    <row r="1526" ht="30.0" customHeight="1">
      <c r="A1526" s="17" t="s">
        <v>1</v>
      </c>
      <c r="B1526" s="8"/>
      <c r="C1526" s="9"/>
      <c r="D1526" s="9"/>
      <c r="E1526" s="9"/>
      <c r="F1526" s="9"/>
      <c r="G1526" s="9"/>
      <c r="H1526" s="9"/>
      <c r="I1526" s="9"/>
      <c r="J1526" s="9"/>
      <c r="K1526" s="9"/>
      <c r="L1526" s="9"/>
      <c r="M1526" s="10"/>
      <c r="N1526" s="10"/>
      <c r="O1526" s="10"/>
      <c r="P1526" s="10"/>
      <c r="Q1526" s="10"/>
      <c r="R1526" s="9"/>
      <c r="S1526" s="9"/>
      <c r="T1526" s="12"/>
      <c r="U1526" s="12"/>
      <c r="V1526" s="12"/>
      <c r="W1526" s="10"/>
      <c r="X1526" s="10"/>
      <c r="Y1526" s="9"/>
      <c r="Z1526" s="9"/>
      <c r="AA1526" s="9"/>
      <c r="AB1526" s="9"/>
    </row>
    <row r="1527" ht="30.0" customHeight="1">
      <c r="A1527" s="17" t="s">
        <v>1</v>
      </c>
      <c r="B1527" s="8"/>
      <c r="C1527" s="9"/>
      <c r="D1527" s="9"/>
      <c r="E1527" s="9"/>
      <c r="F1527" s="9"/>
      <c r="G1527" s="9"/>
      <c r="H1527" s="9"/>
      <c r="I1527" s="9"/>
      <c r="J1527" s="9"/>
      <c r="K1527" s="9"/>
      <c r="L1527" s="9"/>
      <c r="M1527" s="10"/>
      <c r="N1527" s="10"/>
      <c r="O1527" s="10"/>
      <c r="P1527" s="10"/>
      <c r="Q1527" s="10"/>
      <c r="R1527" s="9"/>
      <c r="S1527" s="9"/>
      <c r="T1527" s="12"/>
      <c r="U1527" s="12"/>
      <c r="V1527" s="12"/>
      <c r="W1527" s="10"/>
      <c r="X1527" s="10"/>
      <c r="Y1527" s="9"/>
      <c r="Z1527" s="9"/>
      <c r="AA1527" s="9"/>
      <c r="AB1527" s="9"/>
    </row>
    <row r="1528" ht="30.0" customHeight="1">
      <c r="A1528" s="17" t="s">
        <v>1</v>
      </c>
      <c r="B1528" s="8"/>
      <c r="C1528" s="9"/>
      <c r="D1528" s="9"/>
      <c r="E1528" s="9"/>
      <c r="F1528" s="9"/>
      <c r="G1528" s="9"/>
      <c r="H1528" s="9"/>
      <c r="I1528" s="9"/>
      <c r="J1528" s="9"/>
      <c r="K1528" s="9"/>
      <c r="L1528" s="9"/>
      <c r="M1528" s="10"/>
      <c r="N1528" s="10"/>
      <c r="O1528" s="10"/>
      <c r="P1528" s="10"/>
      <c r="Q1528" s="10"/>
      <c r="R1528" s="9"/>
      <c r="S1528" s="9"/>
      <c r="T1528" s="12"/>
      <c r="U1528" s="12"/>
      <c r="V1528" s="12"/>
      <c r="W1528" s="10"/>
      <c r="X1528" s="10"/>
      <c r="Y1528" s="9"/>
      <c r="Z1528" s="9"/>
      <c r="AA1528" s="9"/>
      <c r="AB1528" s="9"/>
    </row>
    <row r="1529" ht="30.0" customHeight="1">
      <c r="A1529" s="17" t="s">
        <v>1</v>
      </c>
      <c r="B1529" s="8"/>
      <c r="C1529" s="9"/>
      <c r="D1529" s="9"/>
      <c r="E1529" s="9"/>
      <c r="F1529" s="9"/>
      <c r="G1529" s="9"/>
      <c r="H1529" s="9"/>
      <c r="I1529" s="9"/>
      <c r="J1529" s="9"/>
      <c r="K1529" s="9"/>
      <c r="L1529" s="9"/>
      <c r="M1529" s="10"/>
      <c r="N1529" s="10"/>
      <c r="O1529" s="10"/>
      <c r="P1529" s="10"/>
      <c r="Q1529" s="10"/>
      <c r="R1529" s="9"/>
      <c r="S1529" s="9"/>
      <c r="T1529" s="12"/>
      <c r="U1529" s="12"/>
      <c r="V1529" s="12"/>
      <c r="W1529" s="10"/>
      <c r="X1529" s="10"/>
      <c r="Y1529" s="9"/>
      <c r="Z1529" s="9"/>
      <c r="AA1529" s="9"/>
      <c r="AB1529" s="9"/>
    </row>
    <row r="1530" ht="30.0" customHeight="1">
      <c r="A1530" s="17" t="s">
        <v>1</v>
      </c>
      <c r="B1530" s="8"/>
      <c r="C1530" s="9"/>
      <c r="D1530" s="9"/>
      <c r="E1530" s="9"/>
      <c r="F1530" s="9"/>
      <c r="G1530" s="9"/>
      <c r="H1530" s="9"/>
      <c r="I1530" s="9"/>
      <c r="J1530" s="9"/>
      <c r="K1530" s="9"/>
      <c r="L1530" s="9"/>
      <c r="M1530" s="10"/>
      <c r="N1530" s="10"/>
      <c r="O1530" s="10"/>
      <c r="P1530" s="10"/>
      <c r="Q1530" s="10"/>
      <c r="R1530" s="9"/>
      <c r="S1530" s="9"/>
      <c r="T1530" s="12"/>
      <c r="U1530" s="12"/>
      <c r="V1530" s="12"/>
      <c r="W1530" s="10"/>
      <c r="X1530" s="10"/>
      <c r="Y1530" s="9"/>
      <c r="Z1530" s="9"/>
      <c r="AA1530" s="9"/>
      <c r="AB1530" s="9"/>
    </row>
    <row r="1531" ht="30.0" customHeight="1">
      <c r="A1531" s="17" t="s">
        <v>1</v>
      </c>
      <c r="B1531" s="8"/>
      <c r="C1531" s="9"/>
      <c r="D1531" s="9"/>
      <c r="E1531" s="9"/>
      <c r="F1531" s="9"/>
      <c r="G1531" s="9"/>
      <c r="H1531" s="9"/>
      <c r="I1531" s="9"/>
      <c r="J1531" s="9"/>
      <c r="K1531" s="9"/>
      <c r="L1531" s="9"/>
      <c r="M1531" s="10"/>
      <c r="N1531" s="10"/>
      <c r="O1531" s="10"/>
      <c r="P1531" s="10"/>
      <c r="Q1531" s="10"/>
      <c r="R1531" s="9"/>
      <c r="S1531" s="9"/>
      <c r="T1531" s="12"/>
      <c r="U1531" s="12"/>
      <c r="V1531" s="12"/>
      <c r="W1531" s="10"/>
      <c r="X1531" s="10"/>
      <c r="Y1531" s="9"/>
      <c r="Z1531" s="9"/>
      <c r="AA1531" s="9"/>
      <c r="AB1531" s="9"/>
    </row>
    <row r="1532" ht="30.0" customHeight="1">
      <c r="A1532" s="17" t="s">
        <v>1</v>
      </c>
      <c r="B1532" s="8"/>
      <c r="C1532" s="9"/>
      <c r="D1532" s="9"/>
      <c r="E1532" s="9"/>
      <c r="F1532" s="9"/>
      <c r="G1532" s="9"/>
      <c r="H1532" s="9"/>
      <c r="I1532" s="9"/>
      <c r="J1532" s="9"/>
      <c r="K1532" s="9"/>
      <c r="L1532" s="9"/>
      <c r="M1532" s="10"/>
      <c r="N1532" s="10"/>
      <c r="O1532" s="10"/>
      <c r="P1532" s="10"/>
      <c r="Q1532" s="10"/>
      <c r="R1532" s="9"/>
      <c r="S1532" s="9"/>
      <c r="T1532" s="12"/>
      <c r="U1532" s="12"/>
      <c r="V1532" s="12"/>
      <c r="W1532" s="10"/>
      <c r="X1532" s="10"/>
      <c r="Y1532" s="9"/>
      <c r="Z1532" s="9"/>
      <c r="AA1532" s="9"/>
      <c r="AB1532" s="9"/>
    </row>
    <row r="1533" ht="30.0" customHeight="1">
      <c r="A1533" s="17" t="s">
        <v>1</v>
      </c>
      <c r="B1533" s="8"/>
      <c r="C1533" s="9"/>
      <c r="D1533" s="9"/>
      <c r="E1533" s="9"/>
      <c r="F1533" s="9"/>
      <c r="G1533" s="9"/>
      <c r="H1533" s="9"/>
      <c r="I1533" s="9"/>
      <c r="J1533" s="9"/>
      <c r="K1533" s="9"/>
      <c r="L1533" s="9"/>
      <c r="M1533" s="10"/>
      <c r="N1533" s="10"/>
      <c r="O1533" s="10"/>
      <c r="P1533" s="10"/>
      <c r="Q1533" s="10"/>
      <c r="R1533" s="9"/>
      <c r="S1533" s="9"/>
      <c r="T1533" s="12"/>
      <c r="U1533" s="12"/>
      <c r="V1533" s="12"/>
      <c r="W1533" s="10"/>
      <c r="X1533" s="10"/>
      <c r="Y1533" s="9"/>
      <c r="Z1533" s="9"/>
      <c r="AA1533" s="9"/>
      <c r="AB1533" s="9"/>
    </row>
    <row r="1534" ht="30.0" customHeight="1">
      <c r="A1534" s="17" t="s">
        <v>1</v>
      </c>
      <c r="B1534" s="8"/>
      <c r="C1534" s="9"/>
      <c r="D1534" s="9"/>
      <c r="E1534" s="9"/>
      <c r="F1534" s="9"/>
      <c r="G1534" s="9"/>
      <c r="H1534" s="9"/>
      <c r="I1534" s="9"/>
      <c r="J1534" s="9"/>
      <c r="K1534" s="9"/>
      <c r="L1534" s="9"/>
      <c r="M1534" s="10"/>
      <c r="N1534" s="10"/>
      <c r="O1534" s="10"/>
      <c r="P1534" s="10"/>
      <c r="Q1534" s="10"/>
      <c r="R1534" s="9"/>
      <c r="S1534" s="9"/>
      <c r="T1534" s="12"/>
      <c r="U1534" s="12"/>
      <c r="V1534" s="12"/>
      <c r="W1534" s="10"/>
      <c r="X1534" s="10"/>
      <c r="Y1534" s="9"/>
      <c r="Z1534" s="9"/>
      <c r="AA1534" s="9"/>
      <c r="AB1534" s="9"/>
    </row>
    <row r="1535" ht="30.0" customHeight="1">
      <c r="A1535" s="17" t="s">
        <v>1</v>
      </c>
      <c r="B1535" s="8"/>
      <c r="C1535" s="9"/>
      <c r="D1535" s="9"/>
      <c r="E1535" s="9"/>
      <c r="F1535" s="9"/>
      <c r="G1535" s="9"/>
      <c r="H1535" s="9"/>
      <c r="I1535" s="9"/>
      <c r="J1535" s="9"/>
      <c r="K1535" s="9"/>
      <c r="L1535" s="9"/>
      <c r="M1535" s="10"/>
      <c r="N1535" s="10"/>
      <c r="O1535" s="10"/>
      <c r="P1535" s="10"/>
      <c r="Q1535" s="10"/>
      <c r="R1535" s="9"/>
      <c r="S1535" s="9"/>
      <c r="T1535" s="12"/>
      <c r="U1535" s="12"/>
      <c r="V1535" s="12"/>
      <c r="W1535" s="10"/>
      <c r="X1535" s="10"/>
      <c r="Y1535" s="9"/>
      <c r="Z1535" s="9"/>
      <c r="AA1535" s="9"/>
      <c r="AB1535" s="9"/>
    </row>
    <row r="1536" ht="30.0" customHeight="1">
      <c r="A1536" s="17" t="s">
        <v>1</v>
      </c>
      <c r="B1536" s="8"/>
      <c r="C1536" s="9"/>
      <c r="D1536" s="9"/>
      <c r="E1536" s="9"/>
      <c r="F1536" s="9"/>
      <c r="G1536" s="9"/>
      <c r="H1536" s="9"/>
      <c r="I1536" s="9"/>
      <c r="J1536" s="9"/>
      <c r="K1536" s="9"/>
      <c r="L1536" s="9"/>
      <c r="M1536" s="10"/>
      <c r="N1536" s="10"/>
      <c r="O1536" s="10"/>
      <c r="P1536" s="10"/>
      <c r="Q1536" s="10"/>
      <c r="R1536" s="9"/>
      <c r="S1536" s="9"/>
      <c r="T1536" s="12"/>
      <c r="U1536" s="12"/>
      <c r="V1536" s="12"/>
      <c r="W1536" s="10"/>
      <c r="X1536" s="10"/>
      <c r="Y1536" s="9"/>
      <c r="Z1536" s="9"/>
      <c r="AA1536" s="9"/>
      <c r="AB1536" s="9"/>
    </row>
    <row r="1537" ht="30.0" customHeight="1">
      <c r="A1537" s="17" t="s">
        <v>1</v>
      </c>
      <c r="B1537" s="8"/>
      <c r="C1537" s="9"/>
      <c r="D1537" s="9"/>
      <c r="E1537" s="9"/>
      <c r="F1537" s="9"/>
      <c r="G1537" s="9"/>
      <c r="H1537" s="9"/>
      <c r="I1537" s="9"/>
      <c r="J1537" s="9"/>
      <c r="K1537" s="9"/>
      <c r="L1537" s="9"/>
      <c r="M1537" s="10"/>
      <c r="N1537" s="10"/>
      <c r="O1537" s="10"/>
      <c r="P1537" s="10"/>
      <c r="Q1537" s="10"/>
      <c r="R1537" s="9"/>
      <c r="S1537" s="9"/>
      <c r="T1537" s="12"/>
      <c r="U1537" s="12"/>
      <c r="V1537" s="12"/>
      <c r="W1537" s="10"/>
      <c r="X1537" s="10"/>
      <c r="Y1537" s="9"/>
      <c r="Z1537" s="9"/>
      <c r="AA1537" s="9"/>
      <c r="AB1537" s="9"/>
    </row>
    <row r="1538" ht="30.0" customHeight="1">
      <c r="A1538" s="17" t="s">
        <v>1</v>
      </c>
      <c r="B1538" s="8"/>
      <c r="C1538" s="9"/>
      <c r="D1538" s="9"/>
      <c r="E1538" s="9"/>
      <c r="F1538" s="9"/>
      <c r="G1538" s="9"/>
      <c r="H1538" s="9"/>
      <c r="I1538" s="9"/>
      <c r="J1538" s="9"/>
      <c r="K1538" s="9"/>
      <c r="L1538" s="9"/>
      <c r="M1538" s="10"/>
      <c r="N1538" s="10"/>
      <c r="O1538" s="10"/>
      <c r="P1538" s="10"/>
      <c r="Q1538" s="10"/>
      <c r="R1538" s="9"/>
      <c r="S1538" s="9"/>
      <c r="T1538" s="12"/>
      <c r="U1538" s="12"/>
      <c r="V1538" s="12"/>
      <c r="W1538" s="10"/>
      <c r="X1538" s="10"/>
      <c r="Y1538" s="9"/>
      <c r="Z1538" s="9"/>
      <c r="AA1538" s="9"/>
      <c r="AB1538" s="9"/>
    </row>
    <row r="1539" ht="30.0" customHeight="1">
      <c r="A1539" s="17" t="s">
        <v>1</v>
      </c>
      <c r="B1539" s="8"/>
      <c r="C1539" s="9"/>
      <c r="D1539" s="9"/>
      <c r="E1539" s="9"/>
      <c r="F1539" s="9"/>
      <c r="G1539" s="9"/>
      <c r="H1539" s="9"/>
      <c r="I1539" s="9"/>
      <c r="J1539" s="9"/>
      <c r="K1539" s="9"/>
      <c r="L1539" s="9"/>
      <c r="M1539" s="10"/>
      <c r="N1539" s="10"/>
      <c r="O1539" s="10"/>
      <c r="P1539" s="10"/>
      <c r="Q1539" s="10"/>
      <c r="R1539" s="9"/>
      <c r="S1539" s="9"/>
      <c r="T1539" s="12"/>
      <c r="U1539" s="12"/>
      <c r="V1539" s="12"/>
      <c r="W1539" s="10"/>
      <c r="X1539" s="10"/>
      <c r="Y1539" s="9"/>
      <c r="Z1539" s="9"/>
      <c r="AA1539" s="9"/>
      <c r="AB1539" s="9"/>
    </row>
    <row r="1540" ht="30.0" customHeight="1">
      <c r="A1540" s="17" t="s">
        <v>1</v>
      </c>
      <c r="B1540" s="8"/>
      <c r="C1540" s="9"/>
      <c r="D1540" s="9"/>
      <c r="E1540" s="9"/>
      <c r="F1540" s="9"/>
      <c r="G1540" s="9"/>
      <c r="H1540" s="9"/>
      <c r="I1540" s="9"/>
      <c r="J1540" s="9"/>
      <c r="K1540" s="9"/>
      <c r="L1540" s="9"/>
      <c r="M1540" s="10"/>
      <c r="N1540" s="10"/>
      <c r="O1540" s="10"/>
      <c r="P1540" s="10"/>
      <c r="Q1540" s="10"/>
      <c r="R1540" s="9"/>
      <c r="S1540" s="9"/>
      <c r="T1540" s="12"/>
      <c r="U1540" s="12"/>
      <c r="V1540" s="12"/>
      <c r="W1540" s="10"/>
      <c r="X1540" s="10"/>
      <c r="Y1540" s="9"/>
      <c r="Z1540" s="9"/>
      <c r="AA1540" s="9"/>
      <c r="AB1540" s="9"/>
    </row>
    <row r="1541" ht="30.0" customHeight="1">
      <c r="A1541" s="17" t="s">
        <v>1</v>
      </c>
      <c r="B1541" s="8"/>
      <c r="C1541" s="9"/>
      <c r="D1541" s="9"/>
      <c r="E1541" s="9"/>
      <c r="F1541" s="9"/>
      <c r="G1541" s="9"/>
      <c r="H1541" s="9"/>
      <c r="I1541" s="9"/>
      <c r="J1541" s="9"/>
      <c r="K1541" s="9"/>
      <c r="L1541" s="9"/>
      <c r="M1541" s="10"/>
      <c r="N1541" s="10"/>
      <c r="O1541" s="10"/>
      <c r="P1541" s="10"/>
      <c r="Q1541" s="10"/>
      <c r="R1541" s="9"/>
      <c r="S1541" s="9"/>
      <c r="T1541" s="12"/>
      <c r="U1541" s="12"/>
      <c r="V1541" s="12"/>
      <c r="W1541" s="10"/>
      <c r="X1541" s="10"/>
      <c r="Y1541" s="9"/>
      <c r="Z1541" s="9"/>
      <c r="AA1541" s="9"/>
      <c r="AB1541" s="9"/>
    </row>
    <row r="1542" ht="30.0" customHeight="1">
      <c r="A1542" s="17" t="s">
        <v>1</v>
      </c>
      <c r="B1542" s="8"/>
      <c r="C1542" s="9"/>
      <c r="D1542" s="9"/>
      <c r="E1542" s="9"/>
      <c r="F1542" s="9"/>
      <c r="G1542" s="9"/>
      <c r="H1542" s="9"/>
      <c r="I1542" s="9"/>
      <c r="J1542" s="9"/>
      <c r="K1542" s="9"/>
      <c r="L1542" s="9"/>
      <c r="M1542" s="10"/>
      <c r="N1542" s="10"/>
      <c r="O1542" s="10"/>
      <c r="P1542" s="10"/>
      <c r="Q1542" s="10"/>
      <c r="R1542" s="9"/>
      <c r="S1542" s="9"/>
      <c r="T1542" s="12"/>
      <c r="U1542" s="12"/>
      <c r="V1542" s="12"/>
      <c r="W1542" s="10"/>
      <c r="X1542" s="10"/>
      <c r="Y1542" s="9"/>
      <c r="Z1542" s="9"/>
      <c r="AA1542" s="9"/>
      <c r="AB1542" s="9"/>
    </row>
    <row r="1543" ht="30.0" customHeight="1">
      <c r="A1543" s="17" t="s">
        <v>1</v>
      </c>
      <c r="B1543" s="8"/>
      <c r="C1543" s="9"/>
      <c r="D1543" s="9"/>
      <c r="E1543" s="9"/>
      <c r="F1543" s="9"/>
      <c r="G1543" s="9"/>
      <c r="H1543" s="9"/>
      <c r="I1543" s="9"/>
      <c r="J1543" s="9"/>
      <c r="K1543" s="9"/>
      <c r="L1543" s="9"/>
      <c r="M1543" s="10"/>
      <c r="N1543" s="10"/>
      <c r="O1543" s="10"/>
      <c r="P1543" s="10"/>
      <c r="Q1543" s="10"/>
      <c r="R1543" s="9"/>
      <c r="S1543" s="9"/>
      <c r="T1543" s="12"/>
      <c r="U1543" s="12"/>
      <c r="V1543" s="12"/>
      <c r="W1543" s="10"/>
      <c r="X1543" s="10"/>
      <c r="Y1543" s="9"/>
      <c r="Z1543" s="9"/>
      <c r="AA1543" s="9"/>
      <c r="AB1543" s="9"/>
    </row>
    <row r="1544" ht="30.0" customHeight="1">
      <c r="A1544" s="17" t="s">
        <v>1</v>
      </c>
      <c r="B1544" s="8"/>
      <c r="C1544" s="9"/>
      <c r="D1544" s="9"/>
      <c r="E1544" s="9"/>
      <c r="F1544" s="9"/>
      <c r="G1544" s="9"/>
      <c r="H1544" s="9"/>
      <c r="I1544" s="9"/>
      <c r="J1544" s="9"/>
      <c r="K1544" s="9"/>
      <c r="L1544" s="9"/>
      <c r="M1544" s="10"/>
      <c r="N1544" s="10"/>
      <c r="O1544" s="10"/>
      <c r="P1544" s="10"/>
      <c r="Q1544" s="10"/>
      <c r="R1544" s="9"/>
      <c r="S1544" s="9"/>
      <c r="T1544" s="12"/>
      <c r="U1544" s="12"/>
      <c r="V1544" s="12"/>
      <c r="W1544" s="10"/>
      <c r="X1544" s="10"/>
      <c r="Y1544" s="9"/>
      <c r="Z1544" s="9"/>
      <c r="AA1544" s="9"/>
      <c r="AB1544" s="9"/>
    </row>
    <row r="1545" ht="30.0" customHeight="1">
      <c r="A1545" s="17" t="s">
        <v>1</v>
      </c>
      <c r="B1545" s="8"/>
      <c r="C1545" s="9"/>
      <c r="D1545" s="9"/>
      <c r="E1545" s="9"/>
      <c r="F1545" s="9"/>
      <c r="G1545" s="9"/>
      <c r="H1545" s="9"/>
      <c r="I1545" s="9"/>
      <c r="J1545" s="9"/>
      <c r="K1545" s="9"/>
      <c r="L1545" s="9"/>
      <c r="M1545" s="10"/>
      <c r="N1545" s="10"/>
      <c r="O1545" s="10"/>
      <c r="P1545" s="10"/>
      <c r="Q1545" s="10"/>
      <c r="R1545" s="9"/>
      <c r="S1545" s="9"/>
      <c r="T1545" s="12"/>
      <c r="U1545" s="12"/>
      <c r="V1545" s="12"/>
      <c r="W1545" s="10"/>
      <c r="X1545" s="10"/>
      <c r="Y1545" s="9"/>
      <c r="Z1545" s="9"/>
      <c r="AA1545" s="9"/>
      <c r="AB1545" s="9"/>
    </row>
    <row r="1546" ht="30.0" customHeight="1">
      <c r="A1546" s="17" t="s">
        <v>1</v>
      </c>
      <c r="B1546" s="8"/>
      <c r="C1546" s="9"/>
      <c r="D1546" s="9"/>
      <c r="E1546" s="9"/>
      <c r="F1546" s="9"/>
      <c r="G1546" s="9"/>
      <c r="H1546" s="9"/>
      <c r="I1546" s="9"/>
      <c r="J1546" s="9"/>
      <c r="K1546" s="9"/>
      <c r="L1546" s="9"/>
      <c r="M1546" s="10"/>
      <c r="N1546" s="10"/>
      <c r="O1546" s="10"/>
      <c r="P1546" s="10"/>
      <c r="Q1546" s="10"/>
      <c r="R1546" s="9"/>
      <c r="S1546" s="9"/>
      <c r="T1546" s="12"/>
      <c r="U1546" s="12"/>
      <c r="V1546" s="12"/>
      <c r="W1546" s="10"/>
      <c r="X1546" s="10"/>
      <c r="Y1546" s="9"/>
      <c r="Z1546" s="9"/>
      <c r="AA1546" s="9"/>
      <c r="AB1546" s="9"/>
    </row>
    <row r="1547" ht="30.0" customHeight="1">
      <c r="A1547" s="17" t="s">
        <v>1</v>
      </c>
      <c r="B1547" s="8"/>
      <c r="C1547" s="9"/>
      <c r="D1547" s="9"/>
      <c r="E1547" s="9"/>
      <c r="F1547" s="9"/>
      <c r="G1547" s="9"/>
      <c r="H1547" s="9"/>
      <c r="I1547" s="9"/>
      <c r="J1547" s="9"/>
      <c r="K1547" s="9"/>
      <c r="L1547" s="9"/>
      <c r="M1547" s="10"/>
      <c r="N1547" s="10"/>
      <c r="O1547" s="10"/>
      <c r="P1547" s="10"/>
      <c r="Q1547" s="10"/>
      <c r="R1547" s="9"/>
      <c r="S1547" s="9"/>
      <c r="T1547" s="12"/>
      <c r="U1547" s="12"/>
      <c r="V1547" s="12"/>
      <c r="W1547" s="10"/>
      <c r="X1547" s="10"/>
      <c r="Y1547" s="9"/>
      <c r="Z1547" s="9"/>
      <c r="AA1547" s="9"/>
      <c r="AB1547" s="9"/>
    </row>
    <row r="1548" ht="30.0" customHeight="1">
      <c r="A1548" s="17" t="s">
        <v>1</v>
      </c>
      <c r="B1548" s="8"/>
      <c r="C1548" s="9"/>
      <c r="D1548" s="9"/>
      <c r="E1548" s="9"/>
      <c r="F1548" s="9"/>
      <c r="G1548" s="9"/>
      <c r="H1548" s="9"/>
      <c r="I1548" s="9"/>
      <c r="J1548" s="9"/>
      <c r="K1548" s="9"/>
      <c r="L1548" s="9"/>
      <c r="M1548" s="10"/>
      <c r="N1548" s="10"/>
      <c r="O1548" s="10"/>
      <c r="P1548" s="10"/>
      <c r="Q1548" s="10"/>
      <c r="R1548" s="9"/>
      <c r="S1548" s="9"/>
      <c r="T1548" s="12"/>
      <c r="U1548" s="12"/>
      <c r="V1548" s="12"/>
      <c r="W1548" s="10"/>
      <c r="X1548" s="10"/>
      <c r="Y1548" s="9"/>
      <c r="Z1548" s="9"/>
      <c r="AA1548" s="9"/>
      <c r="AB1548" s="9"/>
    </row>
    <row r="1549" ht="30.0" customHeight="1">
      <c r="A1549" s="17" t="s">
        <v>1</v>
      </c>
      <c r="B1549" s="8"/>
      <c r="C1549" s="9"/>
      <c r="D1549" s="9"/>
      <c r="E1549" s="9"/>
      <c r="F1549" s="9"/>
      <c r="G1549" s="9"/>
      <c r="H1549" s="9"/>
      <c r="I1549" s="9"/>
      <c r="J1549" s="9"/>
      <c r="K1549" s="9"/>
      <c r="L1549" s="9"/>
      <c r="M1549" s="10"/>
      <c r="N1549" s="10"/>
      <c r="O1549" s="10"/>
      <c r="P1549" s="10"/>
      <c r="Q1549" s="10"/>
      <c r="R1549" s="9"/>
      <c r="S1549" s="9"/>
      <c r="T1549" s="12"/>
      <c r="U1549" s="12"/>
      <c r="V1549" s="12"/>
      <c r="W1549" s="10"/>
      <c r="X1549" s="10"/>
      <c r="Y1549" s="9"/>
      <c r="Z1549" s="9"/>
      <c r="AA1549" s="9"/>
      <c r="AB1549" s="9"/>
    </row>
    <row r="1550" ht="30.0" customHeight="1">
      <c r="A1550" s="17" t="s">
        <v>1</v>
      </c>
      <c r="B1550" s="8"/>
      <c r="C1550" s="9"/>
      <c r="D1550" s="9"/>
      <c r="E1550" s="9"/>
      <c r="F1550" s="9"/>
      <c r="G1550" s="9"/>
      <c r="H1550" s="9"/>
      <c r="I1550" s="9"/>
      <c r="J1550" s="9"/>
      <c r="K1550" s="9"/>
      <c r="L1550" s="9"/>
      <c r="M1550" s="10"/>
      <c r="N1550" s="10"/>
      <c r="O1550" s="10"/>
      <c r="P1550" s="10"/>
      <c r="Q1550" s="10"/>
      <c r="R1550" s="9"/>
      <c r="S1550" s="9"/>
      <c r="T1550" s="12"/>
      <c r="U1550" s="12"/>
      <c r="V1550" s="12"/>
      <c r="W1550" s="10"/>
      <c r="X1550" s="10"/>
      <c r="Y1550" s="9"/>
      <c r="Z1550" s="9"/>
      <c r="AA1550" s="9"/>
      <c r="AB1550" s="9"/>
    </row>
    <row r="1551" ht="30.0" customHeight="1">
      <c r="A1551" s="17" t="s">
        <v>1</v>
      </c>
      <c r="B1551" s="8"/>
      <c r="C1551" s="9"/>
      <c r="D1551" s="9"/>
      <c r="E1551" s="9"/>
      <c r="F1551" s="9"/>
      <c r="G1551" s="9"/>
      <c r="H1551" s="9"/>
      <c r="I1551" s="9"/>
      <c r="J1551" s="9"/>
      <c r="K1551" s="9"/>
      <c r="L1551" s="9"/>
      <c r="M1551" s="10"/>
      <c r="N1551" s="10"/>
      <c r="O1551" s="10"/>
      <c r="P1551" s="10"/>
      <c r="Q1551" s="10"/>
      <c r="R1551" s="9"/>
      <c r="S1551" s="9"/>
      <c r="T1551" s="12"/>
      <c r="U1551" s="12"/>
      <c r="V1551" s="12"/>
      <c r="W1551" s="10"/>
      <c r="X1551" s="10"/>
      <c r="Y1551" s="9"/>
      <c r="Z1551" s="9"/>
      <c r="AA1551" s="9"/>
      <c r="AB1551" s="9"/>
    </row>
    <row r="1552" ht="30.0" customHeight="1">
      <c r="A1552" s="17" t="s">
        <v>1</v>
      </c>
      <c r="B1552" s="8"/>
      <c r="C1552" s="9"/>
      <c r="D1552" s="9"/>
      <c r="E1552" s="9"/>
      <c r="F1552" s="9"/>
      <c r="G1552" s="9"/>
      <c r="H1552" s="9"/>
      <c r="I1552" s="9"/>
      <c r="J1552" s="9"/>
      <c r="K1552" s="9"/>
      <c r="L1552" s="9"/>
      <c r="M1552" s="10"/>
      <c r="N1552" s="10"/>
      <c r="O1552" s="10"/>
      <c r="P1552" s="10"/>
      <c r="Q1552" s="10"/>
      <c r="R1552" s="9"/>
      <c r="S1552" s="9"/>
      <c r="T1552" s="12"/>
      <c r="U1552" s="12"/>
      <c r="V1552" s="12"/>
      <c r="W1552" s="10"/>
      <c r="X1552" s="10"/>
      <c r="Y1552" s="9"/>
      <c r="Z1552" s="9"/>
      <c r="AA1552" s="9"/>
      <c r="AB1552" s="9"/>
    </row>
    <row r="1553" ht="30.0" customHeight="1">
      <c r="A1553" s="17" t="s">
        <v>1</v>
      </c>
      <c r="B1553" s="8"/>
      <c r="C1553" s="9"/>
      <c r="D1553" s="9"/>
      <c r="E1553" s="9"/>
      <c r="F1553" s="9"/>
      <c r="G1553" s="9"/>
      <c r="H1553" s="9"/>
      <c r="I1553" s="9"/>
      <c r="J1553" s="9"/>
      <c r="K1553" s="9"/>
      <c r="L1553" s="9"/>
      <c r="M1553" s="10"/>
      <c r="N1553" s="10"/>
      <c r="O1553" s="10"/>
      <c r="P1553" s="10"/>
      <c r="Q1553" s="10"/>
      <c r="R1553" s="9"/>
      <c r="S1553" s="9"/>
      <c r="T1553" s="12"/>
      <c r="U1553" s="12"/>
      <c r="V1553" s="12"/>
      <c r="W1553" s="10"/>
      <c r="X1553" s="10"/>
      <c r="Y1553" s="9"/>
      <c r="Z1553" s="9"/>
      <c r="AA1553" s="9"/>
      <c r="AB1553" s="9"/>
    </row>
    <row r="1554" ht="30.0" customHeight="1">
      <c r="A1554" s="17" t="s">
        <v>1</v>
      </c>
      <c r="B1554" s="8"/>
      <c r="C1554" s="9"/>
      <c r="D1554" s="9"/>
      <c r="E1554" s="9"/>
      <c r="F1554" s="9"/>
      <c r="G1554" s="9"/>
      <c r="H1554" s="9"/>
      <c r="I1554" s="9"/>
      <c r="J1554" s="9"/>
      <c r="K1554" s="9"/>
      <c r="L1554" s="9"/>
      <c r="M1554" s="10"/>
      <c r="N1554" s="10"/>
      <c r="O1554" s="10"/>
      <c r="P1554" s="10"/>
      <c r="Q1554" s="10"/>
      <c r="R1554" s="9"/>
      <c r="S1554" s="9"/>
      <c r="T1554" s="12"/>
      <c r="U1554" s="12"/>
      <c r="V1554" s="12"/>
      <c r="W1554" s="10"/>
      <c r="X1554" s="10"/>
      <c r="Y1554" s="9"/>
      <c r="Z1554" s="9"/>
      <c r="AA1554" s="9"/>
      <c r="AB1554" s="9"/>
    </row>
    <row r="1555" ht="30.0" customHeight="1">
      <c r="A1555" s="17" t="s">
        <v>1</v>
      </c>
      <c r="B1555" s="8"/>
      <c r="C1555" s="9"/>
      <c r="D1555" s="9"/>
      <c r="E1555" s="9"/>
      <c r="F1555" s="9"/>
      <c r="G1555" s="9"/>
      <c r="H1555" s="9"/>
      <c r="I1555" s="9"/>
      <c r="J1555" s="9"/>
      <c r="K1555" s="9"/>
      <c r="L1555" s="9"/>
      <c r="M1555" s="10"/>
      <c r="N1555" s="10"/>
      <c r="O1555" s="10"/>
      <c r="P1555" s="10"/>
      <c r="Q1555" s="10"/>
      <c r="R1555" s="9"/>
      <c r="S1555" s="9"/>
      <c r="T1555" s="12"/>
      <c r="U1555" s="12"/>
      <c r="V1555" s="12"/>
      <c r="W1555" s="10"/>
      <c r="X1555" s="10"/>
      <c r="Y1555" s="9"/>
      <c r="Z1555" s="9"/>
      <c r="AA1555" s="9"/>
      <c r="AB1555" s="9"/>
    </row>
    <row r="1556" ht="30.0" customHeight="1">
      <c r="A1556" s="17" t="s">
        <v>1</v>
      </c>
      <c r="B1556" s="8"/>
      <c r="C1556" s="9"/>
      <c r="D1556" s="9"/>
      <c r="E1556" s="9"/>
      <c r="F1556" s="9"/>
      <c r="G1556" s="9"/>
      <c r="H1556" s="9"/>
      <c r="I1556" s="9"/>
      <c r="J1556" s="9"/>
      <c r="K1556" s="9"/>
      <c r="L1556" s="9"/>
      <c r="M1556" s="10"/>
      <c r="N1556" s="10"/>
      <c r="O1556" s="10"/>
      <c r="P1556" s="10"/>
      <c r="Q1556" s="10"/>
      <c r="R1556" s="9"/>
      <c r="S1556" s="9"/>
      <c r="T1556" s="12"/>
      <c r="U1556" s="12"/>
      <c r="V1556" s="12"/>
      <c r="W1556" s="10"/>
      <c r="X1556" s="10"/>
      <c r="Y1556" s="9"/>
      <c r="Z1556" s="9"/>
      <c r="AA1556" s="9"/>
      <c r="AB1556" s="9"/>
    </row>
    <row r="1557" ht="30.0" customHeight="1">
      <c r="A1557" s="17" t="s">
        <v>1</v>
      </c>
      <c r="B1557" s="8"/>
      <c r="C1557" s="9"/>
      <c r="D1557" s="9"/>
      <c r="E1557" s="9"/>
      <c r="F1557" s="9"/>
      <c r="G1557" s="9"/>
      <c r="H1557" s="9"/>
      <c r="I1557" s="9"/>
      <c r="J1557" s="9"/>
      <c r="K1557" s="9"/>
      <c r="L1557" s="9"/>
      <c r="M1557" s="10"/>
      <c r="N1557" s="10"/>
      <c r="O1557" s="10"/>
      <c r="P1557" s="10"/>
      <c r="Q1557" s="10"/>
      <c r="R1557" s="9"/>
      <c r="S1557" s="9"/>
      <c r="T1557" s="12"/>
      <c r="U1557" s="12"/>
      <c r="V1557" s="12"/>
      <c r="W1557" s="10"/>
      <c r="X1557" s="10"/>
      <c r="Y1557" s="9"/>
      <c r="Z1557" s="9"/>
      <c r="AA1557" s="9"/>
      <c r="AB1557" s="9"/>
    </row>
    <row r="1558" ht="30.0" customHeight="1">
      <c r="A1558" s="17" t="s">
        <v>1</v>
      </c>
      <c r="B1558" s="8"/>
      <c r="C1558" s="9"/>
      <c r="D1558" s="9"/>
      <c r="E1558" s="9"/>
      <c r="F1558" s="9"/>
      <c r="G1558" s="9"/>
      <c r="H1558" s="9"/>
      <c r="I1558" s="9"/>
      <c r="J1558" s="9"/>
      <c r="K1558" s="9"/>
      <c r="L1558" s="9"/>
      <c r="M1558" s="10"/>
      <c r="N1558" s="10"/>
      <c r="O1558" s="10"/>
      <c r="P1558" s="10"/>
      <c r="Q1558" s="10"/>
      <c r="R1558" s="9"/>
      <c r="S1558" s="9"/>
      <c r="T1558" s="12"/>
      <c r="U1558" s="12"/>
      <c r="V1558" s="12"/>
      <c r="W1558" s="10"/>
      <c r="X1558" s="10"/>
      <c r="Y1558" s="9"/>
      <c r="Z1558" s="9"/>
      <c r="AA1558" s="9"/>
      <c r="AB1558" s="9"/>
    </row>
    <row r="1559" ht="30.0" customHeight="1">
      <c r="A1559" s="17" t="s">
        <v>1</v>
      </c>
      <c r="B1559" s="8"/>
      <c r="C1559" s="9"/>
      <c r="D1559" s="9"/>
      <c r="E1559" s="9"/>
      <c r="F1559" s="9"/>
      <c r="G1559" s="9"/>
      <c r="H1559" s="9"/>
      <c r="I1559" s="9"/>
      <c r="J1559" s="9"/>
      <c r="K1559" s="9"/>
      <c r="L1559" s="9"/>
      <c r="M1559" s="10"/>
      <c r="N1559" s="10"/>
      <c r="O1559" s="10"/>
      <c r="P1559" s="10"/>
      <c r="Q1559" s="10"/>
      <c r="R1559" s="9"/>
      <c r="S1559" s="9"/>
      <c r="T1559" s="12"/>
      <c r="U1559" s="12"/>
      <c r="V1559" s="12"/>
      <c r="W1559" s="10"/>
      <c r="X1559" s="10"/>
      <c r="Y1559" s="9"/>
      <c r="Z1559" s="9"/>
      <c r="AA1559" s="9"/>
      <c r="AB1559" s="9"/>
    </row>
    <row r="1560" ht="30.0" customHeight="1">
      <c r="A1560" s="17" t="s">
        <v>1</v>
      </c>
      <c r="B1560" s="8"/>
      <c r="C1560" s="9"/>
      <c r="D1560" s="9"/>
      <c r="E1560" s="9"/>
      <c r="F1560" s="9"/>
      <c r="G1560" s="9"/>
      <c r="H1560" s="9"/>
      <c r="I1560" s="9"/>
      <c r="J1560" s="9"/>
      <c r="K1560" s="9"/>
      <c r="L1560" s="9"/>
      <c r="M1560" s="10"/>
      <c r="N1560" s="10"/>
      <c r="O1560" s="10"/>
      <c r="P1560" s="10"/>
      <c r="Q1560" s="10"/>
      <c r="R1560" s="9"/>
      <c r="S1560" s="9"/>
      <c r="T1560" s="12"/>
      <c r="U1560" s="12"/>
      <c r="V1560" s="12"/>
      <c r="W1560" s="10"/>
      <c r="X1560" s="10"/>
      <c r="Y1560" s="9"/>
      <c r="Z1560" s="9"/>
      <c r="AA1560" s="9"/>
      <c r="AB1560" s="9"/>
    </row>
    <row r="1561" ht="30.0" customHeight="1">
      <c r="A1561" s="17" t="s">
        <v>1</v>
      </c>
      <c r="B1561" s="8"/>
      <c r="C1561" s="9"/>
      <c r="D1561" s="9"/>
      <c r="E1561" s="9"/>
      <c r="F1561" s="9"/>
      <c r="G1561" s="9"/>
      <c r="H1561" s="9"/>
      <c r="I1561" s="9"/>
      <c r="J1561" s="9"/>
      <c r="K1561" s="9"/>
      <c r="L1561" s="9"/>
      <c r="M1561" s="10"/>
      <c r="N1561" s="10"/>
      <c r="O1561" s="10"/>
      <c r="P1561" s="10"/>
      <c r="Q1561" s="10"/>
      <c r="R1561" s="9"/>
      <c r="S1561" s="9"/>
      <c r="T1561" s="12"/>
      <c r="U1561" s="12"/>
      <c r="V1561" s="12"/>
      <c r="W1561" s="10"/>
      <c r="X1561" s="10"/>
      <c r="Y1561" s="9"/>
      <c r="Z1561" s="9"/>
      <c r="AA1561" s="9"/>
      <c r="AB1561" s="9"/>
    </row>
    <row r="1562" ht="30.0" customHeight="1">
      <c r="A1562" s="17" t="s">
        <v>1</v>
      </c>
      <c r="B1562" s="8"/>
      <c r="C1562" s="9"/>
      <c r="D1562" s="9"/>
      <c r="E1562" s="9"/>
      <c r="F1562" s="9"/>
      <c r="G1562" s="9"/>
      <c r="H1562" s="9"/>
      <c r="I1562" s="9"/>
      <c r="J1562" s="9"/>
      <c r="K1562" s="9"/>
      <c r="L1562" s="9"/>
      <c r="M1562" s="10"/>
      <c r="N1562" s="10"/>
      <c r="O1562" s="10"/>
      <c r="P1562" s="10"/>
      <c r="Q1562" s="10"/>
      <c r="R1562" s="9"/>
      <c r="S1562" s="9"/>
      <c r="T1562" s="12"/>
      <c r="U1562" s="12"/>
      <c r="V1562" s="12"/>
      <c r="W1562" s="10"/>
      <c r="X1562" s="10"/>
      <c r="Y1562" s="9"/>
      <c r="Z1562" s="9"/>
      <c r="AA1562" s="9"/>
      <c r="AB1562" s="9"/>
    </row>
    <row r="1563" ht="30.0" customHeight="1">
      <c r="A1563" s="17" t="s">
        <v>1</v>
      </c>
      <c r="B1563" s="8"/>
      <c r="C1563" s="9"/>
      <c r="D1563" s="9"/>
      <c r="E1563" s="9"/>
      <c r="F1563" s="9"/>
      <c r="G1563" s="9"/>
      <c r="H1563" s="9"/>
      <c r="I1563" s="9"/>
      <c r="J1563" s="9"/>
      <c r="K1563" s="9"/>
      <c r="L1563" s="9"/>
      <c r="M1563" s="10"/>
      <c r="N1563" s="10"/>
      <c r="O1563" s="10"/>
      <c r="P1563" s="10"/>
      <c r="Q1563" s="10"/>
      <c r="R1563" s="9"/>
      <c r="S1563" s="9"/>
      <c r="T1563" s="12"/>
      <c r="U1563" s="12"/>
      <c r="V1563" s="12"/>
      <c r="W1563" s="10"/>
      <c r="X1563" s="10"/>
      <c r="Y1563" s="9"/>
      <c r="Z1563" s="9"/>
      <c r="AA1563" s="9"/>
      <c r="AB1563" s="9"/>
    </row>
    <row r="1564" ht="30.0" customHeight="1">
      <c r="A1564" s="17" t="s">
        <v>1</v>
      </c>
      <c r="B1564" s="8"/>
      <c r="C1564" s="9"/>
      <c r="D1564" s="9"/>
      <c r="E1564" s="9"/>
      <c r="F1564" s="9"/>
      <c r="G1564" s="9"/>
      <c r="H1564" s="9"/>
      <c r="I1564" s="9"/>
      <c r="J1564" s="9"/>
      <c r="K1564" s="9"/>
      <c r="L1564" s="9"/>
      <c r="M1564" s="10"/>
      <c r="N1564" s="10"/>
      <c r="O1564" s="10"/>
      <c r="P1564" s="10"/>
      <c r="Q1564" s="10"/>
      <c r="R1564" s="9"/>
      <c r="S1564" s="9"/>
      <c r="T1564" s="12"/>
      <c r="U1564" s="12"/>
      <c r="V1564" s="12"/>
      <c r="W1564" s="10"/>
      <c r="X1564" s="10"/>
      <c r="Y1564" s="9"/>
      <c r="Z1564" s="9"/>
      <c r="AA1564" s="9"/>
      <c r="AB1564" s="9"/>
    </row>
    <row r="1565" ht="30.0" customHeight="1">
      <c r="A1565" s="17" t="s">
        <v>1</v>
      </c>
      <c r="B1565" s="8"/>
      <c r="C1565" s="9"/>
      <c r="D1565" s="9"/>
      <c r="E1565" s="9"/>
      <c r="F1565" s="9"/>
      <c r="G1565" s="9"/>
      <c r="H1565" s="9"/>
      <c r="I1565" s="9"/>
      <c r="J1565" s="9"/>
      <c r="K1565" s="9"/>
      <c r="L1565" s="9"/>
      <c r="M1565" s="10"/>
      <c r="N1565" s="10"/>
      <c r="O1565" s="10"/>
      <c r="P1565" s="10"/>
      <c r="Q1565" s="10"/>
      <c r="R1565" s="9"/>
      <c r="S1565" s="9"/>
      <c r="T1565" s="12"/>
      <c r="U1565" s="12"/>
      <c r="V1565" s="12"/>
      <c r="W1565" s="10"/>
      <c r="X1565" s="10"/>
      <c r="Y1565" s="9"/>
      <c r="Z1565" s="9"/>
      <c r="AA1565" s="9"/>
      <c r="AB1565" s="9"/>
    </row>
    <row r="1566" ht="30.0" customHeight="1">
      <c r="A1566" s="17" t="s">
        <v>1</v>
      </c>
      <c r="B1566" s="8"/>
      <c r="C1566" s="9"/>
      <c r="D1566" s="9"/>
      <c r="E1566" s="9"/>
      <c r="F1566" s="9"/>
      <c r="G1566" s="9"/>
      <c r="H1566" s="9"/>
      <c r="I1566" s="9"/>
      <c r="J1566" s="9"/>
      <c r="K1566" s="9"/>
      <c r="L1566" s="9"/>
      <c r="M1566" s="10"/>
      <c r="N1566" s="10"/>
      <c r="O1566" s="10"/>
      <c r="P1566" s="10"/>
      <c r="Q1566" s="10"/>
      <c r="R1566" s="9"/>
      <c r="S1566" s="9"/>
      <c r="T1566" s="12"/>
      <c r="U1566" s="12"/>
      <c r="V1566" s="12"/>
      <c r="W1566" s="10"/>
      <c r="X1566" s="10"/>
      <c r="Y1566" s="9"/>
      <c r="Z1566" s="9"/>
      <c r="AA1566" s="9"/>
      <c r="AB1566" s="9"/>
    </row>
    <row r="1567" ht="30.0" customHeight="1">
      <c r="A1567" s="17" t="s">
        <v>1</v>
      </c>
      <c r="B1567" s="8"/>
      <c r="C1567" s="9"/>
      <c r="D1567" s="9"/>
      <c r="E1567" s="9"/>
      <c r="F1567" s="9"/>
      <c r="G1567" s="9"/>
      <c r="H1567" s="9"/>
      <c r="I1567" s="9"/>
      <c r="J1567" s="9"/>
      <c r="K1567" s="9"/>
      <c r="L1567" s="9"/>
      <c r="M1567" s="10"/>
      <c r="N1567" s="10"/>
      <c r="O1567" s="10"/>
      <c r="P1567" s="10"/>
      <c r="Q1567" s="10"/>
      <c r="R1567" s="9"/>
      <c r="S1567" s="9"/>
      <c r="T1567" s="12"/>
      <c r="U1567" s="12"/>
      <c r="V1567" s="12"/>
      <c r="W1567" s="10"/>
      <c r="X1567" s="10"/>
      <c r="Y1567" s="9"/>
      <c r="Z1567" s="9"/>
      <c r="AA1567" s="9"/>
      <c r="AB1567" s="9"/>
    </row>
    <row r="1568" ht="30.0" customHeight="1">
      <c r="A1568" s="17" t="s">
        <v>1</v>
      </c>
      <c r="B1568" s="8"/>
      <c r="C1568" s="9"/>
      <c r="D1568" s="9"/>
      <c r="E1568" s="9"/>
      <c r="F1568" s="9"/>
      <c r="G1568" s="9"/>
      <c r="H1568" s="9"/>
      <c r="I1568" s="9"/>
      <c r="J1568" s="9"/>
      <c r="K1568" s="9"/>
      <c r="L1568" s="9"/>
      <c r="M1568" s="10"/>
      <c r="N1568" s="10"/>
      <c r="O1568" s="10"/>
      <c r="P1568" s="10"/>
      <c r="Q1568" s="10"/>
      <c r="R1568" s="9"/>
      <c r="S1568" s="9"/>
      <c r="T1568" s="12"/>
      <c r="U1568" s="12"/>
      <c r="V1568" s="12"/>
      <c r="W1568" s="10"/>
      <c r="X1568" s="10"/>
      <c r="Y1568" s="9"/>
      <c r="Z1568" s="9"/>
      <c r="AA1568" s="9"/>
      <c r="AB1568" s="9"/>
    </row>
    <row r="1569" ht="30.0" customHeight="1">
      <c r="A1569" s="17" t="s">
        <v>1</v>
      </c>
      <c r="B1569" s="8"/>
      <c r="C1569" s="9"/>
      <c r="D1569" s="9"/>
      <c r="E1569" s="9"/>
      <c r="F1569" s="9"/>
      <c r="G1569" s="9"/>
      <c r="H1569" s="9"/>
      <c r="I1569" s="9"/>
      <c r="J1569" s="9"/>
      <c r="K1569" s="9"/>
      <c r="L1569" s="9"/>
      <c r="M1569" s="10"/>
      <c r="N1569" s="10"/>
      <c r="O1569" s="10"/>
      <c r="P1569" s="10"/>
      <c r="Q1569" s="10"/>
      <c r="R1569" s="9"/>
      <c r="S1569" s="9"/>
      <c r="T1569" s="12"/>
      <c r="U1569" s="12"/>
      <c r="V1569" s="12"/>
      <c r="W1569" s="10"/>
      <c r="X1569" s="10"/>
      <c r="Y1569" s="9"/>
      <c r="Z1569" s="9"/>
      <c r="AA1569" s="9"/>
      <c r="AB1569" s="9"/>
    </row>
    <row r="1570" ht="30.0" customHeight="1">
      <c r="A1570" s="17" t="s">
        <v>1</v>
      </c>
      <c r="B1570" s="8"/>
      <c r="C1570" s="9"/>
      <c r="D1570" s="9"/>
      <c r="E1570" s="9"/>
      <c r="F1570" s="9"/>
      <c r="G1570" s="9"/>
      <c r="H1570" s="9"/>
      <c r="I1570" s="9"/>
      <c r="J1570" s="9"/>
      <c r="K1570" s="9"/>
      <c r="L1570" s="9"/>
      <c r="M1570" s="10"/>
      <c r="N1570" s="10"/>
      <c r="O1570" s="10"/>
      <c r="P1570" s="10"/>
      <c r="Q1570" s="10"/>
      <c r="R1570" s="9"/>
      <c r="S1570" s="9"/>
      <c r="T1570" s="12"/>
      <c r="U1570" s="12"/>
      <c r="V1570" s="12"/>
      <c r="W1570" s="10"/>
      <c r="X1570" s="10"/>
      <c r="Y1570" s="9"/>
      <c r="Z1570" s="9"/>
      <c r="AA1570" s="9"/>
      <c r="AB1570" s="9"/>
    </row>
    <row r="1571" ht="30.0" customHeight="1">
      <c r="A1571" s="17" t="s">
        <v>1</v>
      </c>
      <c r="B1571" s="8"/>
      <c r="C1571" s="9"/>
      <c r="D1571" s="9"/>
      <c r="E1571" s="9"/>
      <c r="F1571" s="9"/>
      <c r="G1571" s="9"/>
      <c r="H1571" s="9"/>
      <c r="I1571" s="9"/>
      <c r="J1571" s="9"/>
      <c r="K1571" s="9"/>
      <c r="L1571" s="9"/>
      <c r="M1571" s="10"/>
      <c r="N1571" s="10"/>
      <c r="O1571" s="10"/>
      <c r="P1571" s="10"/>
      <c r="Q1571" s="10"/>
      <c r="R1571" s="9"/>
      <c r="S1571" s="9"/>
      <c r="T1571" s="12"/>
      <c r="U1571" s="12"/>
      <c r="V1571" s="12"/>
      <c r="W1571" s="10"/>
      <c r="X1571" s="10"/>
      <c r="Y1571" s="9"/>
      <c r="Z1571" s="9"/>
      <c r="AA1571" s="9"/>
      <c r="AB1571" s="9"/>
    </row>
    <row r="1572" ht="30.0" customHeight="1">
      <c r="A1572" s="17" t="s">
        <v>1</v>
      </c>
      <c r="B1572" s="8"/>
      <c r="C1572" s="9"/>
      <c r="D1572" s="9"/>
      <c r="E1572" s="9"/>
      <c r="F1572" s="9"/>
      <c r="G1572" s="9"/>
      <c r="H1572" s="9"/>
      <c r="I1572" s="9"/>
      <c r="J1572" s="9"/>
      <c r="K1572" s="9"/>
      <c r="L1572" s="9"/>
      <c r="M1572" s="10"/>
      <c r="N1572" s="10"/>
      <c r="O1572" s="10"/>
      <c r="P1572" s="10"/>
      <c r="Q1572" s="10"/>
      <c r="R1572" s="9"/>
      <c r="S1572" s="9"/>
      <c r="T1572" s="12"/>
      <c r="U1572" s="12"/>
      <c r="V1572" s="12"/>
      <c r="W1572" s="10"/>
      <c r="X1572" s="10"/>
      <c r="Y1572" s="9"/>
      <c r="Z1572" s="9"/>
      <c r="AA1572" s="9"/>
      <c r="AB1572" s="9"/>
    </row>
    <row r="1573" ht="30.0" customHeight="1">
      <c r="A1573" s="17" t="s">
        <v>1</v>
      </c>
      <c r="B1573" s="8"/>
      <c r="C1573" s="9"/>
      <c r="D1573" s="9"/>
      <c r="E1573" s="9"/>
      <c r="F1573" s="9"/>
      <c r="G1573" s="9"/>
      <c r="H1573" s="9"/>
      <c r="I1573" s="9"/>
      <c r="J1573" s="9"/>
      <c r="K1573" s="9"/>
      <c r="L1573" s="9"/>
      <c r="M1573" s="10"/>
      <c r="N1573" s="10"/>
      <c r="O1573" s="10"/>
      <c r="P1573" s="10"/>
      <c r="Q1573" s="10"/>
      <c r="R1573" s="9"/>
      <c r="S1573" s="9"/>
      <c r="T1573" s="12"/>
      <c r="U1573" s="12"/>
      <c r="V1573" s="12"/>
      <c r="W1573" s="10"/>
      <c r="X1573" s="10"/>
      <c r="Y1573" s="9"/>
      <c r="Z1573" s="9"/>
      <c r="AA1573" s="9"/>
      <c r="AB1573" s="9"/>
    </row>
    <row r="1574" ht="30.0" customHeight="1">
      <c r="A1574" s="17" t="s">
        <v>1</v>
      </c>
      <c r="B1574" s="8"/>
      <c r="C1574" s="9"/>
      <c r="D1574" s="9"/>
      <c r="E1574" s="9"/>
      <c r="F1574" s="9"/>
      <c r="G1574" s="9"/>
      <c r="H1574" s="9"/>
      <c r="I1574" s="9"/>
      <c r="J1574" s="9"/>
      <c r="K1574" s="9"/>
      <c r="L1574" s="9"/>
      <c r="M1574" s="10"/>
      <c r="N1574" s="10"/>
      <c r="O1574" s="10"/>
      <c r="P1574" s="10"/>
      <c r="Q1574" s="10"/>
      <c r="R1574" s="9"/>
      <c r="S1574" s="9"/>
      <c r="T1574" s="12"/>
      <c r="U1574" s="12"/>
      <c r="V1574" s="12"/>
      <c r="W1574" s="10"/>
      <c r="X1574" s="10"/>
      <c r="Y1574" s="9"/>
      <c r="Z1574" s="9"/>
      <c r="AA1574" s="9"/>
      <c r="AB1574" s="9"/>
    </row>
    <row r="1575" ht="30.0" customHeight="1">
      <c r="A1575" s="17" t="s">
        <v>1</v>
      </c>
      <c r="B1575" s="8"/>
      <c r="C1575" s="9"/>
      <c r="D1575" s="9"/>
      <c r="E1575" s="9"/>
      <c r="F1575" s="9"/>
      <c r="G1575" s="9"/>
      <c r="H1575" s="9"/>
      <c r="I1575" s="9"/>
      <c r="J1575" s="9"/>
      <c r="K1575" s="9"/>
      <c r="L1575" s="9"/>
      <c r="M1575" s="10"/>
      <c r="N1575" s="10"/>
      <c r="O1575" s="10"/>
      <c r="P1575" s="10"/>
      <c r="Q1575" s="10"/>
      <c r="R1575" s="9"/>
      <c r="S1575" s="9"/>
      <c r="T1575" s="12"/>
      <c r="U1575" s="12"/>
      <c r="V1575" s="12"/>
      <c r="W1575" s="10"/>
      <c r="X1575" s="10"/>
      <c r="Y1575" s="9"/>
      <c r="Z1575" s="9"/>
      <c r="AA1575" s="9"/>
      <c r="AB1575" s="9"/>
    </row>
    <row r="1576" ht="30.0" customHeight="1">
      <c r="A1576" s="17" t="s">
        <v>1</v>
      </c>
      <c r="B1576" s="8"/>
      <c r="C1576" s="9"/>
      <c r="D1576" s="9"/>
      <c r="E1576" s="9"/>
      <c r="F1576" s="9"/>
      <c r="G1576" s="9"/>
      <c r="H1576" s="9"/>
      <c r="I1576" s="9"/>
      <c r="J1576" s="9"/>
      <c r="K1576" s="9"/>
      <c r="L1576" s="9"/>
      <c r="M1576" s="10"/>
      <c r="N1576" s="10"/>
      <c r="O1576" s="10"/>
      <c r="P1576" s="10"/>
      <c r="Q1576" s="10"/>
      <c r="R1576" s="9"/>
      <c r="S1576" s="9"/>
      <c r="T1576" s="12"/>
      <c r="U1576" s="12"/>
      <c r="V1576" s="12"/>
      <c r="W1576" s="10"/>
      <c r="X1576" s="10"/>
      <c r="Y1576" s="9"/>
      <c r="Z1576" s="9"/>
      <c r="AA1576" s="9"/>
      <c r="AB1576" s="9"/>
    </row>
    <row r="1577" ht="30.0" customHeight="1">
      <c r="A1577" s="17" t="s">
        <v>1</v>
      </c>
      <c r="B1577" s="8"/>
      <c r="C1577" s="9"/>
      <c r="D1577" s="9"/>
      <c r="E1577" s="9"/>
      <c r="F1577" s="9"/>
      <c r="G1577" s="9"/>
      <c r="H1577" s="9"/>
      <c r="I1577" s="9"/>
      <c r="J1577" s="9"/>
      <c r="K1577" s="9"/>
      <c r="L1577" s="9"/>
      <c r="M1577" s="10"/>
      <c r="N1577" s="10"/>
      <c r="O1577" s="10"/>
      <c r="P1577" s="10"/>
      <c r="Q1577" s="10"/>
      <c r="R1577" s="9"/>
      <c r="S1577" s="9"/>
      <c r="T1577" s="12"/>
      <c r="U1577" s="12"/>
      <c r="V1577" s="12"/>
      <c r="W1577" s="10"/>
      <c r="X1577" s="10"/>
      <c r="Y1577" s="9"/>
      <c r="Z1577" s="9"/>
      <c r="AA1577" s="9"/>
      <c r="AB1577" s="9"/>
    </row>
    <row r="1578" ht="30.0" customHeight="1">
      <c r="A1578" s="17" t="s">
        <v>1</v>
      </c>
      <c r="B1578" s="8"/>
      <c r="C1578" s="9"/>
      <c r="D1578" s="9"/>
      <c r="E1578" s="9"/>
      <c r="F1578" s="9"/>
      <c r="G1578" s="9"/>
      <c r="H1578" s="9"/>
      <c r="I1578" s="9"/>
      <c r="J1578" s="9"/>
      <c r="K1578" s="9"/>
      <c r="L1578" s="9"/>
      <c r="M1578" s="10"/>
      <c r="N1578" s="10"/>
      <c r="O1578" s="10"/>
      <c r="P1578" s="10"/>
      <c r="Q1578" s="10"/>
      <c r="R1578" s="9"/>
      <c r="S1578" s="9"/>
      <c r="T1578" s="12"/>
      <c r="U1578" s="12"/>
      <c r="V1578" s="12"/>
      <c r="W1578" s="10"/>
      <c r="X1578" s="10"/>
      <c r="Y1578" s="9"/>
      <c r="Z1578" s="9"/>
      <c r="AA1578" s="9"/>
      <c r="AB1578" s="9"/>
    </row>
    <row r="1579" ht="30.0" customHeight="1">
      <c r="A1579" s="17" t="s">
        <v>1</v>
      </c>
      <c r="B1579" s="8"/>
      <c r="C1579" s="9"/>
      <c r="D1579" s="9"/>
      <c r="E1579" s="9"/>
      <c r="F1579" s="9"/>
      <c r="G1579" s="9"/>
      <c r="H1579" s="9"/>
      <c r="I1579" s="9"/>
      <c r="J1579" s="9"/>
      <c r="K1579" s="9"/>
      <c r="L1579" s="9"/>
      <c r="M1579" s="10"/>
      <c r="N1579" s="10"/>
      <c r="O1579" s="10"/>
      <c r="P1579" s="10"/>
      <c r="Q1579" s="10"/>
      <c r="R1579" s="9"/>
      <c r="S1579" s="9"/>
      <c r="T1579" s="12"/>
      <c r="U1579" s="12"/>
      <c r="V1579" s="12"/>
      <c r="W1579" s="10"/>
      <c r="X1579" s="10"/>
      <c r="Y1579" s="9"/>
      <c r="Z1579" s="9"/>
      <c r="AA1579" s="9"/>
      <c r="AB1579" s="9"/>
    </row>
    <row r="1580" ht="30.0" customHeight="1">
      <c r="A1580" s="17" t="s">
        <v>1</v>
      </c>
      <c r="B1580" s="8"/>
      <c r="C1580" s="9"/>
      <c r="D1580" s="9"/>
      <c r="E1580" s="9"/>
      <c r="F1580" s="9"/>
      <c r="G1580" s="9"/>
      <c r="H1580" s="9"/>
      <c r="I1580" s="9"/>
      <c r="J1580" s="9"/>
      <c r="K1580" s="9"/>
      <c r="L1580" s="9"/>
      <c r="M1580" s="10"/>
      <c r="N1580" s="10"/>
      <c r="O1580" s="10"/>
      <c r="P1580" s="10"/>
      <c r="Q1580" s="10"/>
      <c r="R1580" s="9"/>
      <c r="S1580" s="9"/>
      <c r="T1580" s="12"/>
      <c r="U1580" s="12"/>
      <c r="V1580" s="12"/>
      <c r="W1580" s="10"/>
      <c r="X1580" s="10"/>
      <c r="Y1580" s="9"/>
      <c r="Z1580" s="9"/>
      <c r="AA1580" s="9"/>
      <c r="AB1580" s="9"/>
    </row>
    <row r="1581" ht="30.0" customHeight="1">
      <c r="A1581" s="17" t="s">
        <v>1</v>
      </c>
      <c r="B1581" s="8"/>
      <c r="C1581" s="9"/>
      <c r="D1581" s="9"/>
      <c r="E1581" s="9"/>
      <c r="F1581" s="9"/>
      <c r="G1581" s="9"/>
      <c r="H1581" s="9"/>
      <c r="I1581" s="9"/>
      <c r="J1581" s="9"/>
      <c r="K1581" s="9"/>
      <c r="L1581" s="9"/>
      <c r="M1581" s="10"/>
      <c r="N1581" s="10"/>
      <c r="O1581" s="10"/>
      <c r="P1581" s="10"/>
      <c r="Q1581" s="10"/>
      <c r="R1581" s="9"/>
      <c r="S1581" s="9"/>
      <c r="T1581" s="12"/>
      <c r="U1581" s="12"/>
      <c r="V1581" s="12"/>
      <c r="W1581" s="10"/>
      <c r="X1581" s="10"/>
      <c r="Y1581" s="9"/>
      <c r="Z1581" s="9"/>
      <c r="AA1581" s="9"/>
      <c r="AB1581" s="9"/>
    </row>
    <row r="1582" ht="30.0" customHeight="1">
      <c r="A1582" s="17" t="s">
        <v>1</v>
      </c>
      <c r="B1582" s="8"/>
      <c r="C1582" s="9"/>
      <c r="D1582" s="9"/>
      <c r="E1582" s="9"/>
      <c r="F1582" s="9"/>
      <c r="G1582" s="9"/>
      <c r="H1582" s="9"/>
      <c r="I1582" s="9"/>
      <c r="J1582" s="9"/>
      <c r="K1582" s="9"/>
      <c r="L1582" s="9"/>
      <c r="M1582" s="10"/>
      <c r="N1582" s="10"/>
      <c r="O1582" s="10"/>
      <c r="P1582" s="10"/>
      <c r="Q1582" s="10"/>
      <c r="R1582" s="9"/>
      <c r="S1582" s="9"/>
      <c r="T1582" s="12"/>
      <c r="U1582" s="12"/>
      <c r="V1582" s="12"/>
      <c r="W1582" s="10"/>
      <c r="X1582" s="10"/>
      <c r="Y1582" s="9"/>
      <c r="Z1582" s="9"/>
      <c r="AA1582" s="9"/>
      <c r="AB1582" s="9"/>
    </row>
    <row r="1583" ht="30.0" customHeight="1">
      <c r="A1583" s="17" t="s">
        <v>1</v>
      </c>
      <c r="B1583" s="8"/>
      <c r="C1583" s="9"/>
      <c r="D1583" s="9"/>
      <c r="E1583" s="9"/>
      <c r="F1583" s="9"/>
      <c r="G1583" s="9"/>
      <c r="H1583" s="9"/>
      <c r="I1583" s="9"/>
      <c r="J1583" s="9"/>
      <c r="K1583" s="9"/>
      <c r="L1583" s="9"/>
      <c r="M1583" s="10"/>
      <c r="N1583" s="10"/>
      <c r="O1583" s="10"/>
      <c r="P1583" s="10"/>
      <c r="Q1583" s="10"/>
      <c r="R1583" s="9"/>
      <c r="S1583" s="9"/>
      <c r="T1583" s="12"/>
      <c r="U1583" s="12"/>
      <c r="V1583" s="12"/>
      <c r="W1583" s="10"/>
      <c r="X1583" s="10"/>
      <c r="Y1583" s="9"/>
      <c r="Z1583" s="9"/>
      <c r="AA1583" s="9"/>
      <c r="AB1583" s="9"/>
    </row>
    <row r="1584" ht="30.0" customHeight="1">
      <c r="A1584" s="17" t="s">
        <v>1</v>
      </c>
      <c r="B1584" s="8"/>
      <c r="C1584" s="9"/>
      <c r="D1584" s="9"/>
      <c r="E1584" s="9"/>
      <c r="F1584" s="9"/>
      <c r="G1584" s="9"/>
      <c r="H1584" s="9"/>
      <c r="I1584" s="9"/>
      <c r="J1584" s="9"/>
      <c r="K1584" s="9"/>
      <c r="L1584" s="9"/>
      <c r="M1584" s="10"/>
      <c r="N1584" s="10"/>
      <c r="O1584" s="10"/>
      <c r="P1584" s="10"/>
      <c r="Q1584" s="10"/>
      <c r="R1584" s="9"/>
      <c r="S1584" s="9"/>
      <c r="T1584" s="12"/>
      <c r="U1584" s="12"/>
      <c r="V1584" s="12"/>
      <c r="W1584" s="10"/>
      <c r="X1584" s="10"/>
      <c r="Y1584" s="9"/>
      <c r="Z1584" s="9"/>
      <c r="AA1584" s="9"/>
      <c r="AB1584" s="9"/>
    </row>
    <row r="1585" ht="30.0" customHeight="1">
      <c r="A1585" s="17" t="s">
        <v>1</v>
      </c>
      <c r="B1585" s="8"/>
      <c r="C1585" s="9"/>
      <c r="D1585" s="9"/>
      <c r="E1585" s="9"/>
      <c r="F1585" s="9"/>
      <c r="G1585" s="9"/>
      <c r="H1585" s="9"/>
      <c r="I1585" s="9"/>
      <c r="J1585" s="9"/>
      <c r="K1585" s="9"/>
      <c r="L1585" s="9"/>
      <c r="M1585" s="10"/>
      <c r="N1585" s="10"/>
      <c r="O1585" s="10"/>
      <c r="P1585" s="10"/>
      <c r="Q1585" s="10"/>
      <c r="R1585" s="9"/>
      <c r="S1585" s="9"/>
      <c r="T1585" s="12"/>
      <c r="U1585" s="12"/>
      <c r="V1585" s="12"/>
      <c r="W1585" s="10"/>
      <c r="X1585" s="10"/>
      <c r="Y1585" s="9"/>
      <c r="Z1585" s="9"/>
      <c r="AA1585" s="9"/>
      <c r="AB1585" s="9"/>
    </row>
    <row r="1586" ht="30.0" customHeight="1">
      <c r="A1586" s="17" t="s">
        <v>1</v>
      </c>
      <c r="B1586" s="8"/>
      <c r="C1586" s="9"/>
      <c r="D1586" s="9"/>
      <c r="E1586" s="9"/>
      <c r="F1586" s="9"/>
      <c r="G1586" s="9"/>
      <c r="H1586" s="9"/>
      <c r="I1586" s="9"/>
      <c r="J1586" s="9"/>
      <c r="K1586" s="9"/>
      <c r="L1586" s="9"/>
      <c r="M1586" s="10"/>
      <c r="N1586" s="10"/>
      <c r="O1586" s="10"/>
      <c r="P1586" s="10"/>
      <c r="Q1586" s="10"/>
      <c r="R1586" s="9"/>
      <c r="S1586" s="9"/>
      <c r="T1586" s="12"/>
      <c r="U1586" s="12"/>
      <c r="V1586" s="12"/>
      <c r="W1586" s="10"/>
      <c r="X1586" s="10"/>
      <c r="Y1586" s="9"/>
      <c r="Z1586" s="9"/>
      <c r="AA1586" s="9"/>
      <c r="AB1586" s="9"/>
    </row>
    <row r="1587" ht="30.0" customHeight="1">
      <c r="A1587" s="17" t="s">
        <v>1</v>
      </c>
      <c r="B1587" s="8"/>
      <c r="C1587" s="9"/>
      <c r="D1587" s="9"/>
      <c r="E1587" s="9"/>
      <c r="F1587" s="9"/>
      <c r="G1587" s="9"/>
      <c r="H1587" s="9"/>
      <c r="I1587" s="9"/>
      <c r="J1587" s="9"/>
      <c r="K1587" s="9"/>
      <c r="L1587" s="9"/>
      <c r="M1587" s="10"/>
      <c r="N1587" s="10"/>
      <c r="O1587" s="10"/>
      <c r="P1587" s="10"/>
      <c r="Q1587" s="10"/>
      <c r="R1587" s="9"/>
      <c r="S1587" s="9"/>
      <c r="T1587" s="12"/>
      <c r="U1587" s="12"/>
      <c r="V1587" s="12"/>
      <c r="W1587" s="10"/>
      <c r="X1587" s="10"/>
      <c r="Y1587" s="9"/>
      <c r="Z1587" s="9"/>
      <c r="AA1587" s="9"/>
      <c r="AB1587" s="9"/>
    </row>
    <row r="1588" ht="30.0" customHeight="1">
      <c r="A1588" s="17" t="s">
        <v>1</v>
      </c>
      <c r="B1588" s="8"/>
      <c r="C1588" s="9"/>
      <c r="D1588" s="9"/>
      <c r="E1588" s="9"/>
      <c r="F1588" s="9"/>
      <c r="G1588" s="9"/>
      <c r="H1588" s="9"/>
      <c r="I1588" s="9"/>
      <c r="J1588" s="9"/>
      <c r="K1588" s="9"/>
      <c r="L1588" s="9"/>
      <c r="M1588" s="10"/>
      <c r="N1588" s="10"/>
      <c r="O1588" s="10"/>
      <c r="P1588" s="10"/>
      <c r="Q1588" s="10"/>
      <c r="R1588" s="9"/>
      <c r="S1588" s="9"/>
      <c r="T1588" s="12"/>
      <c r="U1588" s="12"/>
      <c r="V1588" s="12"/>
      <c r="W1588" s="10"/>
      <c r="X1588" s="10"/>
      <c r="Y1588" s="9"/>
      <c r="Z1588" s="9"/>
      <c r="AA1588" s="9"/>
      <c r="AB1588" s="9"/>
    </row>
    <row r="1589" ht="30.0" customHeight="1">
      <c r="A1589" s="17" t="s">
        <v>1</v>
      </c>
      <c r="B1589" s="8"/>
      <c r="C1589" s="9"/>
      <c r="D1589" s="9"/>
      <c r="E1589" s="9"/>
      <c r="F1589" s="9"/>
      <c r="G1589" s="9"/>
      <c r="H1589" s="9"/>
      <c r="I1589" s="9"/>
      <c r="J1589" s="9"/>
      <c r="K1589" s="9"/>
      <c r="L1589" s="9"/>
      <c r="M1589" s="10"/>
      <c r="N1589" s="10"/>
      <c r="O1589" s="10"/>
      <c r="P1589" s="10"/>
      <c r="Q1589" s="10"/>
      <c r="R1589" s="9"/>
      <c r="S1589" s="9"/>
      <c r="T1589" s="12"/>
      <c r="U1589" s="12"/>
      <c r="V1589" s="12"/>
      <c r="W1589" s="10"/>
      <c r="X1589" s="10"/>
      <c r="Y1589" s="9"/>
      <c r="Z1589" s="9"/>
      <c r="AA1589" s="9"/>
      <c r="AB1589" s="9"/>
    </row>
    <row r="1590" ht="30.0" customHeight="1">
      <c r="A1590" s="17" t="s">
        <v>1</v>
      </c>
      <c r="B1590" s="8"/>
      <c r="C1590" s="9"/>
      <c r="D1590" s="9"/>
      <c r="E1590" s="9"/>
      <c r="F1590" s="9"/>
      <c r="G1590" s="9"/>
      <c r="H1590" s="9"/>
      <c r="I1590" s="9"/>
      <c r="J1590" s="9"/>
      <c r="K1590" s="9"/>
      <c r="L1590" s="9"/>
      <c r="M1590" s="10"/>
      <c r="N1590" s="10"/>
      <c r="O1590" s="10"/>
      <c r="P1590" s="10"/>
      <c r="Q1590" s="10"/>
      <c r="R1590" s="9"/>
      <c r="S1590" s="9"/>
      <c r="T1590" s="12"/>
      <c r="U1590" s="12"/>
      <c r="V1590" s="12"/>
      <c r="W1590" s="10"/>
      <c r="X1590" s="10"/>
      <c r="Y1590" s="9"/>
      <c r="Z1590" s="9"/>
      <c r="AA1590" s="9"/>
      <c r="AB1590" s="9"/>
    </row>
    <row r="1591" ht="30.0" customHeight="1">
      <c r="A1591" s="17" t="s">
        <v>1</v>
      </c>
      <c r="B1591" s="8"/>
      <c r="C1591" s="9"/>
      <c r="D1591" s="9"/>
      <c r="E1591" s="9"/>
      <c r="F1591" s="9"/>
      <c r="G1591" s="9"/>
      <c r="H1591" s="9"/>
      <c r="I1591" s="9"/>
      <c r="J1591" s="9"/>
      <c r="K1591" s="9"/>
      <c r="L1591" s="9"/>
      <c r="M1591" s="10"/>
      <c r="N1591" s="10"/>
      <c r="O1591" s="10"/>
      <c r="P1591" s="10"/>
      <c r="Q1591" s="10"/>
      <c r="R1591" s="9"/>
      <c r="S1591" s="9"/>
      <c r="T1591" s="12"/>
      <c r="U1591" s="12"/>
      <c r="V1591" s="12"/>
      <c r="W1591" s="10"/>
      <c r="X1591" s="10"/>
      <c r="Y1591" s="9"/>
      <c r="Z1591" s="9"/>
      <c r="AA1591" s="9"/>
      <c r="AB1591" s="9"/>
    </row>
    <row r="1592" ht="30.0" customHeight="1">
      <c r="A1592" s="17" t="s">
        <v>1</v>
      </c>
      <c r="B1592" s="8"/>
      <c r="C1592" s="9"/>
      <c r="D1592" s="9"/>
      <c r="E1592" s="9"/>
      <c r="F1592" s="9"/>
      <c r="G1592" s="9"/>
      <c r="H1592" s="9"/>
      <c r="I1592" s="9"/>
      <c r="J1592" s="9"/>
      <c r="K1592" s="9"/>
      <c r="L1592" s="9"/>
      <c r="M1592" s="10"/>
      <c r="N1592" s="10"/>
      <c r="O1592" s="10"/>
      <c r="P1592" s="10"/>
      <c r="Q1592" s="10"/>
      <c r="R1592" s="9"/>
      <c r="S1592" s="9"/>
      <c r="T1592" s="12"/>
      <c r="U1592" s="12"/>
      <c r="V1592" s="12"/>
      <c r="W1592" s="10"/>
      <c r="X1592" s="10"/>
      <c r="Y1592" s="9"/>
      <c r="Z1592" s="9"/>
      <c r="AA1592" s="9"/>
      <c r="AB1592" s="9"/>
    </row>
    <row r="1593" ht="30.0" customHeight="1">
      <c r="A1593" s="17" t="s">
        <v>1</v>
      </c>
      <c r="B1593" s="8"/>
      <c r="C1593" s="9"/>
      <c r="D1593" s="9"/>
      <c r="E1593" s="9"/>
      <c r="F1593" s="9"/>
      <c r="G1593" s="9"/>
      <c r="H1593" s="9"/>
      <c r="I1593" s="9"/>
      <c r="J1593" s="9"/>
      <c r="K1593" s="9"/>
      <c r="L1593" s="9"/>
      <c r="M1593" s="10"/>
      <c r="N1593" s="10"/>
      <c r="O1593" s="10"/>
      <c r="P1593" s="10"/>
      <c r="Q1593" s="10"/>
      <c r="R1593" s="9"/>
      <c r="S1593" s="9"/>
      <c r="T1593" s="12"/>
      <c r="U1593" s="12"/>
      <c r="V1593" s="12"/>
      <c r="W1593" s="10"/>
      <c r="X1593" s="10"/>
      <c r="Y1593" s="9"/>
      <c r="Z1593" s="9"/>
      <c r="AA1593" s="9"/>
      <c r="AB1593" s="9"/>
    </row>
    <row r="1594" ht="30.0" customHeight="1">
      <c r="A1594" s="17" t="s">
        <v>1</v>
      </c>
      <c r="B1594" s="8"/>
      <c r="C1594" s="9"/>
      <c r="D1594" s="9"/>
      <c r="E1594" s="9"/>
      <c r="F1594" s="9"/>
      <c r="G1594" s="9"/>
      <c r="H1594" s="9"/>
      <c r="I1594" s="9"/>
      <c r="J1594" s="9"/>
      <c r="K1594" s="9"/>
      <c r="L1594" s="9"/>
      <c r="M1594" s="10"/>
      <c r="N1594" s="10"/>
      <c r="O1594" s="10"/>
      <c r="P1594" s="10"/>
      <c r="Q1594" s="10"/>
      <c r="R1594" s="9"/>
      <c r="S1594" s="9"/>
      <c r="T1594" s="12"/>
      <c r="U1594" s="12"/>
      <c r="V1594" s="12"/>
      <c r="W1594" s="10"/>
      <c r="X1594" s="10"/>
      <c r="Y1594" s="9"/>
      <c r="Z1594" s="9"/>
      <c r="AA1594" s="9"/>
      <c r="AB1594" s="9"/>
    </row>
    <row r="1595" ht="30.0" customHeight="1">
      <c r="A1595" s="17" t="s">
        <v>1</v>
      </c>
      <c r="B1595" s="8"/>
      <c r="C1595" s="9"/>
      <c r="D1595" s="9"/>
      <c r="E1595" s="9"/>
      <c r="F1595" s="9"/>
      <c r="G1595" s="9"/>
      <c r="H1595" s="9"/>
      <c r="I1595" s="9"/>
      <c r="J1595" s="9"/>
      <c r="K1595" s="9"/>
      <c r="L1595" s="9"/>
      <c r="M1595" s="10"/>
      <c r="N1595" s="10"/>
      <c r="O1595" s="10"/>
      <c r="P1595" s="10"/>
      <c r="Q1595" s="10"/>
      <c r="R1595" s="9"/>
      <c r="S1595" s="9"/>
      <c r="T1595" s="12"/>
      <c r="U1595" s="12"/>
      <c r="V1595" s="12"/>
      <c r="W1595" s="10"/>
      <c r="X1595" s="10"/>
      <c r="Y1595" s="9"/>
      <c r="Z1595" s="9"/>
      <c r="AA1595" s="9"/>
      <c r="AB1595" s="9"/>
    </row>
    <row r="1596" ht="30.0" customHeight="1">
      <c r="A1596" s="17" t="s">
        <v>1</v>
      </c>
      <c r="B1596" s="8"/>
      <c r="C1596" s="9"/>
      <c r="D1596" s="9"/>
      <c r="E1596" s="9"/>
      <c r="F1596" s="9"/>
      <c r="G1596" s="9"/>
      <c r="H1596" s="9"/>
      <c r="I1596" s="9"/>
      <c r="J1596" s="9"/>
      <c r="K1596" s="9"/>
      <c r="L1596" s="9"/>
      <c r="M1596" s="10"/>
      <c r="N1596" s="10"/>
      <c r="O1596" s="10"/>
      <c r="P1596" s="10"/>
      <c r="Q1596" s="10"/>
      <c r="R1596" s="9"/>
      <c r="S1596" s="9"/>
      <c r="T1596" s="12"/>
      <c r="U1596" s="12"/>
      <c r="V1596" s="12"/>
      <c r="W1596" s="10"/>
      <c r="X1596" s="10"/>
      <c r="Y1596" s="9"/>
      <c r="Z1596" s="9"/>
      <c r="AA1596" s="9"/>
      <c r="AB1596" s="9"/>
    </row>
    <row r="1597" ht="30.0" customHeight="1">
      <c r="A1597" s="17" t="s">
        <v>1</v>
      </c>
      <c r="B1597" s="8"/>
      <c r="C1597" s="9"/>
      <c r="D1597" s="9"/>
      <c r="E1597" s="9"/>
      <c r="F1597" s="9"/>
      <c r="G1597" s="9"/>
      <c r="H1597" s="9"/>
      <c r="I1597" s="9"/>
      <c r="J1597" s="9"/>
      <c r="K1597" s="9"/>
      <c r="L1597" s="9"/>
      <c r="M1597" s="10"/>
      <c r="N1597" s="10"/>
      <c r="O1597" s="10"/>
      <c r="P1597" s="10"/>
      <c r="Q1597" s="10"/>
      <c r="R1597" s="9"/>
      <c r="S1597" s="9"/>
      <c r="T1597" s="12"/>
      <c r="U1597" s="12"/>
      <c r="V1597" s="12"/>
      <c r="W1597" s="10"/>
      <c r="X1597" s="10"/>
      <c r="Y1597" s="9"/>
      <c r="Z1597" s="9"/>
      <c r="AA1597" s="9"/>
      <c r="AB1597" s="9"/>
    </row>
    <row r="1598" ht="30.0" customHeight="1">
      <c r="A1598" s="17" t="s">
        <v>1</v>
      </c>
      <c r="B1598" s="8"/>
      <c r="C1598" s="9"/>
      <c r="D1598" s="9"/>
      <c r="E1598" s="9"/>
      <c r="F1598" s="9"/>
      <c r="G1598" s="9"/>
      <c r="H1598" s="9"/>
      <c r="I1598" s="9"/>
      <c r="J1598" s="9"/>
      <c r="K1598" s="9"/>
      <c r="L1598" s="9"/>
      <c r="M1598" s="10"/>
      <c r="N1598" s="10"/>
      <c r="O1598" s="10"/>
      <c r="P1598" s="10"/>
      <c r="Q1598" s="10"/>
      <c r="R1598" s="9"/>
      <c r="S1598" s="9"/>
      <c r="T1598" s="12"/>
      <c r="U1598" s="12"/>
      <c r="V1598" s="12"/>
      <c r="W1598" s="10"/>
      <c r="X1598" s="10"/>
      <c r="Y1598" s="9"/>
      <c r="Z1598" s="9"/>
      <c r="AA1598" s="9"/>
      <c r="AB1598" s="9"/>
    </row>
    <row r="1599" ht="30.0" customHeight="1">
      <c r="A1599" s="17" t="s">
        <v>1</v>
      </c>
      <c r="B1599" s="8"/>
      <c r="C1599" s="9"/>
      <c r="D1599" s="9"/>
      <c r="E1599" s="9"/>
      <c r="F1599" s="9"/>
      <c r="G1599" s="9"/>
      <c r="H1599" s="9"/>
      <c r="I1599" s="9"/>
      <c r="J1599" s="9"/>
      <c r="K1599" s="9"/>
      <c r="L1599" s="9"/>
      <c r="M1599" s="10"/>
      <c r="N1599" s="10"/>
      <c r="O1599" s="10"/>
      <c r="P1599" s="10"/>
      <c r="Q1599" s="10"/>
      <c r="R1599" s="9"/>
      <c r="S1599" s="9"/>
      <c r="T1599" s="12"/>
      <c r="U1599" s="12"/>
      <c r="V1599" s="12"/>
      <c r="W1599" s="10"/>
      <c r="X1599" s="10"/>
      <c r="Y1599" s="9"/>
      <c r="Z1599" s="9"/>
      <c r="AA1599" s="9"/>
      <c r="AB1599" s="9"/>
    </row>
    <row r="1600" ht="30.0" customHeight="1">
      <c r="A1600" s="17" t="s">
        <v>1</v>
      </c>
      <c r="B1600" s="8"/>
      <c r="C1600" s="9"/>
      <c r="D1600" s="9"/>
      <c r="E1600" s="9"/>
      <c r="F1600" s="9"/>
      <c r="G1600" s="9"/>
      <c r="H1600" s="9"/>
      <c r="I1600" s="9"/>
      <c r="J1600" s="9"/>
      <c r="K1600" s="9"/>
      <c r="L1600" s="9"/>
      <c r="M1600" s="10"/>
      <c r="N1600" s="10"/>
      <c r="O1600" s="10"/>
      <c r="P1600" s="10"/>
      <c r="Q1600" s="10"/>
      <c r="R1600" s="9"/>
      <c r="S1600" s="9"/>
      <c r="T1600" s="12"/>
      <c r="U1600" s="12"/>
      <c r="V1600" s="12"/>
      <c r="W1600" s="10"/>
      <c r="X1600" s="10"/>
      <c r="Y1600" s="9"/>
      <c r="Z1600" s="9"/>
      <c r="AA1600" s="9"/>
      <c r="AB1600" s="9"/>
    </row>
    <row r="1601" ht="30.0" customHeight="1">
      <c r="A1601" s="17" t="s">
        <v>1</v>
      </c>
      <c r="B1601" s="8"/>
      <c r="C1601" s="9"/>
      <c r="D1601" s="9"/>
      <c r="E1601" s="9"/>
      <c r="F1601" s="9"/>
      <c r="G1601" s="9"/>
      <c r="H1601" s="9"/>
      <c r="I1601" s="9"/>
      <c r="J1601" s="9"/>
      <c r="K1601" s="9"/>
      <c r="L1601" s="9"/>
      <c r="M1601" s="10"/>
      <c r="N1601" s="10"/>
      <c r="O1601" s="10"/>
      <c r="P1601" s="10"/>
      <c r="Q1601" s="10"/>
      <c r="R1601" s="9"/>
      <c r="S1601" s="9"/>
      <c r="T1601" s="12"/>
      <c r="U1601" s="12"/>
      <c r="V1601" s="12"/>
      <c r="W1601" s="10"/>
      <c r="X1601" s="10"/>
      <c r="Y1601" s="9"/>
      <c r="Z1601" s="9"/>
      <c r="AA1601" s="9"/>
      <c r="AB1601" s="9"/>
    </row>
    <row r="1602" ht="30.0" customHeight="1">
      <c r="A1602" s="17" t="s">
        <v>1</v>
      </c>
      <c r="B1602" s="8"/>
      <c r="C1602" s="9"/>
      <c r="D1602" s="9"/>
      <c r="E1602" s="9"/>
      <c r="F1602" s="9"/>
      <c r="G1602" s="9"/>
      <c r="H1602" s="9"/>
      <c r="I1602" s="9"/>
      <c r="J1602" s="9"/>
      <c r="K1602" s="9"/>
      <c r="L1602" s="9"/>
      <c r="M1602" s="10"/>
      <c r="N1602" s="10"/>
      <c r="O1602" s="10"/>
      <c r="P1602" s="10"/>
      <c r="Q1602" s="10"/>
      <c r="R1602" s="9"/>
      <c r="S1602" s="9"/>
      <c r="T1602" s="12"/>
      <c r="U1602" s="12"/>
      <c r="V1602" s="12"/>
      <c r="W1602" s="10"/>
      <c r="X1602" s="10"/>
      <c r="Y1602" s="9"/>
      <c r="Z1602" s="9"/>
      <c r="AA1602" s="9"/>
      <c r="AB1602" s="9"/>
    </row>
    <row r="1603" ht="30.0" customHeight="1">
      <c r="A1603" s="17" t="s">
        <v>1</v>
      </c>
      <c r="B1603" s="8"/>
      <c r="C1603" s="9"/>
      <c r="D1603" s="9"/>
      <c r="E1603" s="9"/>
      <c r="F1603" s="9"/>
      <c r="G1603" s="9"/>
      <c r="H1603" s="9"/>
      <c r="I1603" s="9"/>
      <c r="J1603" s="9"/>
      <c r="K1603" s="9"/>
      <c r="L1603" s="9"/>
      <c r="M1603" s="10"/>
      <c r="N1603" s="10"/>
      <c r="O1603" s="10"/>
      <c r="P1603" s="10"/>
      <c r="Q1603" s="10"/>
      <c r="R1603" s="9"/>
      <c r="S1603" s="9"/>
      <c r="T1603" s="12"/>
      <c r="U1603" s="12"/>
      <c r="V1603" s="12"/>
      <c r="W1603" s="10"/>
      <c r="X1603" s="10"/>
      <c r="Y1603" s="9"/>
      <c r="Z1603" s="9"/>
      <c r="AA1603" s="9"/>
      <c r="AB1603" s="9"/>
    </row>
    <row r="1604" ht="30.0" customHeight="1">
      <c r="A1604" s="17" t="s">
        <v>1</v>
      </c>
      <c r="B1604" s="8"/>
      <c r="C1604" s="9"/>
      <c r="D1604" s="9"/>
      <c r="E1604" s="9"/>
      <c r="F1604" s="9"/>
      <c r="G1604" s="9"/>
      <c r="H1604" s="9"/>
      <c r="I1604" s="9"/>
      <c r="J1604" s="9"/>
      <c r="K1604" s="9"/>
      <c r="L1604" s="9"/>
      <c r="M1604" s="10"/>
      <c r="N1604" s="10"/>
      <c r="O1604" s="10"/>
      <c r="P1604" s="10"/>
      <c r="Q1604" s="10"/>
      <c r="R1604" s="9"/>
      <c r="S1604" s="9"/>
      <c r="T1604" s="12"/>
      <c r="U1604" s="12"/>
      <c r="V1604" s="12"/>
      <c r="W1604" s="10"/>
      <c r="X1604" s="10"/>
      <c r="Y1604" s="9"/>
      <c r="Z1604" s="9"/>
      <c r="AA1604" s="9"/>
      <c r="AB1604" s="9"/>
    </row>
    <row r="1605" ht="30.0" customHeight="1">
      <c r="A1605" s="17" t="s">
        <v>1</v>
      </c>
      <c r="B1605" s="8"/>
      <c r="C1605" s="9"/>
      <c r="D1605" s="9"/>
      <c r="E1605" s="9"/>
      <c r="F1605" s="9"/>
      <c r="G1605" s="9"/>
      <c r="H1605" s="9"/>
      <c r="I1605" s="9"/>
      <c r="J1605" s="9"/>
      <c r="K1605" s="9"/>
      <c r="L1605" s="9"/>
      <c r="M1605" s="10"/>
      <c r="N1605" s="10"/>
      <c r="O1605" s="10"/>
      <c r="P1605" s="10"/>
      <c r="Q1605" s="10"/>
      <c r="R1605" s="9"/>
      <c r="S1605" s="9"/>
      <c r="T1605" s="12"/>
      <c r="U1605" s="12"/>
      <c r="V1605" s="12"/>
      <c r="W1605" s="10"/>
      <c r="X1605" s="10"/>
      <c r="Y1605" s="9"/>
      <c r="Z1605" s="9"/>
      <c r="AA1605" s="9"/>
      <c r="AB1605" s="9"/>
    </row>
    <row r="1606" ht="30.0" customHeight="1">
      <c r="A1606" s="17" t="s">
        <v>1</v>
      </c>
      <c r="B1606" s="8"/>
      <c r="C1606" s="9"/>
      <c r="D1606" s="9"/>
      <c r="E1606" s="9"/>
      <c r="F1606" s="9"/>
      <c r="G1606" s="9"/>
      <c r="H1606" s="9"/>
      <c r="I1606" s="9"/>
      <c r="J1606" s="9"/>
      <c r="K1606" s="9"/>
      <c r="L1606" s="9"/>
      <c r="M1606" s="10"/>
      <c r="N1606" s="10"/>
      <c r="O1606" s="10"/>
      <c r="P1606" s="10"/>
      <c r="Q1606" s="10"/>
      <c r="R1606" s="9"/>
      <c r="S1606" s="9"/>
      <c r="T1606" s="12"/>
      <c r="U1606" s="12"/>
      <c r="V1606" s="12"/>
      <c r="W1606" s="10"/>
      <c r="X1606" s="10"/>
      <c r="Y1606" s="9"/>
      <c r="Z1606" s="9"/>
      <c r="AA1606" s="9"/>
      <c r="AB1606" s="9"/>
    </row>
    <row r="1607" ht="30.0" customHeight="1">
      <c r="A1607" s="17" t="s">
        <v>1</v>
      </c>
      <c r="B1607" s="8"/>
      <c r="C1607" s="9"/>
      <c r="D1607" s="9"/>
      <c r="E1607" s="9"/>
      <c r="F1607" s="9"/>
      <c r="G1607" s="9"/>
      <c r="H1607" s="9"/>
      <c r="I1607" s="9"/>
      <c r="J1607" s="9"/>
      <c r="K1607" s="9"/>
      <c r="L1607" s="9"/>
      <c r="M1607" s="10"/>
      <c r="N1607" s="10"/>
      <c r="O1607" s="10"/>
      <c r="P1607" s="10"/>
      <c r="Q1607" s="10"/>
      <c r="R1607" s="9"/>
      <c r="S1607" s="9"/>
      <c r="T1607" s="12"/>
      <c r="U1607" s="12"/>
      <c r="V1607" s="12"/>
      <c r="W1607" s="10"/>
      <c r="X1607" s="10"/>
      <c r="Y1607" s="9"/>
      <c r="Z1607" s="9"/>
      <c r="AA1607" s="9"/>
      <c r="AB1607" s="9"/>
    </row>
    <row r="1608" ht="30.0" customHeight="1">
      <c r="A1608" s="17" t="s">
        <v>1</v>
      </c>
      <c r="B1608" s="8"/>
      <c r="C1608" s="9"/>
      <c r="D1608" s="9"/>
      <c r="E1608" s="9"/>
      <c r="F1608" s="9"/>
      <c r="G1608" s="9"/>
      <c r="H1608" s="9"/>
      <c r="I1608" s="9"/>
      <c r="J1608" s="9"/>
      <c r="K1608" s="9"/>
      <c r="L1608" s="9"/>
      <c r="M1608" s="10"/>
      <c r="N1608" s="10"/>
      <c r="O1608" s="10"/>
      <c r="P1608" s="10"/>
      <c r="Q1608" s="10"/>
      <c r="R1608" s="9"/>
      <c r="S1608" s="9"/>
      <c r="T1608" s="12"/>
      <c r="U1608" s="12"/>
      <c r="V1608" s="12"/>
      <c r="W1608" s="10"/>
      <c r="X1608" s="10"/>
      <c r="Y1608" s="9"/>
      <c r="Z1608" s="9"/>
      <c r="AA1608" s="9"/>
      <c r="AB1608" s="9"/>
    </row>
    <row r="1609" ht="30.0" customHeight="1">
      <c r="A1609" s="17" t="s">
        <v>1</v>
      </c>
      <c r="B1609" s="8"/>
      <c r="C1609" s="9"/>
      <c r="D1609" s="9"/>
      <c r="E1609" s="9"/>
      <c r="F1609" s="9"/>
      <c r="G1609" s="9"/>
      <c r="H1609" s="9"/>
      <c r="I1609" s="9"/>
      <c r="J1609" s="9"/>
      <c r="K1609" s="9"/>
      <c r="L1609" s="9"/>
      <c r="M1609" s="10"/>
      <c r="N1609" s="10"/>
      <c r="O1609" s="10"/>
      <c r="P1609" s="10"/>
      <c r="Q1609" s="10"/>
      <c r="R1609" s="9"/>
      <c r="S1609" s="9"/>
      <c r="T1609" s="12"/>
      <c r="U1609" s="12"/>
      <c r="V1609" s="12"/>
      <c r="W1609" s="10"/>
      <c r="X1609" s="10"/>
      <c r="Y1609" s="9"/>
      <c r="Z1609" s="9"/>
      <c r="AA1609" s="9"/>
      <c r="AB1609" s="9"/>
    </row>
    <row r="1610" ht="30.0" customHeight="1">
      <c r="A1610" s="17" t="s">
        <v>1</v>
      </c>
      <c r="B1610" s="8"/>
      <c r="C1610" s="9"/>
      <c r="D1610" s="9"/>
      <c r="E1610" s="9"/>
      <c r="F1610" s="9"/>
      <c r="G1610" s="9"/>
      <c r="H1610" s="9"/>
      <c r="I1610" s="9"/>
      <c r="J1610" s="9"/>
      <c r="K1610" s="9"/>
      <c r="L1610" s="9"/>
      <c r="M1610" s="10"/>
      <c r="N1610" s="10"/>
      <c r="O1610" s="10"/>
      <c r="P1610" s="10"/>
      <c r="Q1610" s="10"/>
      <c r="R1610" s="9"/>
      <c r="S1610" s="9"/>
      <c r="T1610" s="12"/>
      <c r="U1610" s="12"/>
      <c r="V1610" s="12"/>
      <c r="W1610" s="10"/>
      <c r="X1610" s="10"/>
      <c r="Y1610" s="9"/>
      <c r="Z1610" s="9"/>
      <c r="AA1610" s="9"/>
      <c r="AB1610" s="9"/>
    </row>
    <row r="1611" ht="30.0" customHeight="1">
      <c r="A1611" s="17" t="s">
        <v>1</v>
      </c>
      <c r="B1611" s="8"/>
      <c r="C1611" s="9"/>
      <c r="D1611" s="9"/>
      <c r="E1611" s="9"/>
      <c r="F1611" s="9"/>
      <c r="G1611" s="9"/>
      <c r="H1611" s="9"/>
      <c r="I1611" s="9"/>
      <c r="J1611" s="9"/>
      <c r="K1611" s="9"/>
      <c r="L1611" s="9"/>
      <c r="M1611" s="10"/>
      <c r="N1611" s="10"/>
      <c r="O1611" s="10"/>
      <c r="P1611" s="10"/>
      <c r="Q1611" s="10"/>
      <c r="R1611" s="9"/>
      <c r="S1611" s="9"/>
      <c r="T1611" s="12"/>
      <c r="U1611" s="12"/>
      <c r="V1611" s="12"/>
      <c r="W1611" s="10"/>
      <c r="X1611" s="10"/>
      <c r="Y1611" s="9"/>
      <c r="Z1611" s="9"/>
      <c r="AA1611" s="9"/>
      <c r="AB1611" s="9"/>
    </row>
    <row r="1612" ht="30.0" customHeight="1">
      <c r="A1612" s="17" t="s">
        <v>1</v>
      </c>
      <c r="B1612" s="8"/>
      <c r="C1612" s="9"/>
      <c r="D1612" s="9"/>
      <c r="E1612" s="9"/>
      <c r="F1612" s="9"/>
      <c r="G1612" s="9"/>
      <c r="H1612" s="9"/>
      <c r="I1612" s="9"/>
      <c r="J1612" s="9"/>
      <c r="K1612" s="9"/>
      <c r="L1612" s="9"/>
      <c r="M1612" s="10"/>
      <c r="N1612" s="10"/>
      <c r="O1612" s="10"/>
      <c r="P1612" s="10"/>
      <c r="Q1612" s="10"/>
      <c r="R1612" s="9"/>
      <c r="S1612" s="9"/>
      <c r="T1612" s="12"/>
      <c r="U1612" s="12"/>
      <c r="V1612" s="12"/>
      <c r="W1612" s="10"/>
      <c r="X1612" s="10"/>
      <c r="Y1612" s="9"/>
      <c r="Z1612" s="9"/>
      <c r="AA1612" s="9"/>
      <c r="AB1612" s="9"/>
    </row>
    <row r="1613" ht="30.0" customHeight="1">
      <c r="A1613" s="17" t="s">
        <v>1</v>
      </c>
      <c r="B1613" s="8"/>
      <c r="C1613" s="9"/>
      <c r="D1613" s="9"/>
      <c r="E1613" s="9"/>
      <c r="F1613" s="9"/>
      <c r="G1613" s="9"/>
      <c r="H1613" s="9"/>
      <c r="I1613" s="9"/>
      <c r="J1613" s="9"/>
      <c r="K1613" s="9"/>
      <c r="L1613" s="9"/>
      <c r="M1613" s="10"/>
      <c r="N1613" s="10"/>
      <c r="O1613" s="10"/>
      <c r="P1613" s="10"/>
      <c r="Q1613" s="10"/>
      <c r="R1613" s="9"/>
      <c r="S1613" s="9"/>
      <c r="T1613" s="12"/>
      <c r="U1613" s="12"/>
      <c r="V1613" s="12"/>
      <c r="W1613" s="10"/>
      <c r="X1613" s="10"/>
      <c r="Y1613" s="9"/>
      <c r="Z1613" s="9"/>
      <c r="AA1613" s="9"/>
      <c r="AB1613" s="9"/>
    </row>
    <row r="1614" ht="30.0" customHeight="1">
      <c r="A1614" s="17" t="s">
        <v>1</v>
      </c>
      <c r="B1614" s="8"/>
      <c r="C1614" s="9"/>
      <c r="D1614" s="9"/>
      <c r="E1614" s="9"/>
      <c r="F1614" s="9"/>
      <c r="G1614" s="9"/>
      <c r="H1614" s="9"/>
      <c r="I1614" s="9"/>
      <c r="J1614" s="9"/>
      <c r="K1614" s="9"/>
      <c r="L1614" s="9"/>
      <c r="M1614" s="10"/>
      <c r="N1614" s="10"/>
      <c r="O1614" s="10"/>
      <c r="P1614" s="10"/>
      <c r="Q1614" s="10"/>
      <c r="R1614" s="9"/>
      <c r="S1614" s="9"/>
      <c r="T1614" s="12"/>
      <c r="U1614" s="12"/>
      <c r="V1614" s="12"/>
      <c r="W1614" s="10"/>
      <c r="X1614" s="10"/>
      <c r="Y1614" s="9"/>
      <c r="Z1614" s="9"/>
      <c r="AA1614" s="9"/>
      <c r="AB1614" s="9"/>
    </row>
    <row r="1615" ht="30.0" customHeight="1">
      <c r="A1615" s="17" t="s">
        <v>1</v>
      </c>
      <c r="B1615" s="8"/>
      <c r="C1615" s="9"/>
      <c r="D1615" s="9"/>
      <c r="E1615" s="9"/>
      <c r="F1615" s="9"/>
      <c r="G1615" s="9"/>
      <c r="H1615" s="9"/>
      <c r="I1615" s="9"/>
      <c r="J1615" s="9"/>
      <c r="K1615" s="9"/>
      <c r="L1615" s="9"/>
      <c r="M1615" s="10"/>
      <c r="N1615" s="10"/>
      <c r="O1615" s="10"/>
      <c r="P1615" s="10"/>
      <c r="Q1615" s="10"/>
      <c r="R1615" s="9"/>
      <c r="S1615" s="9"/>
      <c r="T1615" s="12"/>
      <c r="U1615" s="12"/>
      <c r="V1615" s="12"/>
      <c r="W1615" s="10"/>
      <c r="X1615" s="10"/>
      <c r="Y1615" s="9"/>
      <c r="Z1615" s="9"/>
      <c r="AA1615" s="9"/>
      <c r="AB1615" s="9"/>
    </row>
    <row r="1616" ht="30.0" customHeight="1">
      <c r="A1616" s="17" t="s">
        <v>1</v>
      </c>
      <c r="B1616" s="8"/>
      <c r="C1616" s="9"/>
      <c r="D1616" s="9"/>
      <c r="E1616" s="9"/>
      <c r="F1616" s="9"/>
      <c r="G1616" s="9"/>
      <c r="H1616" s="9"/>
      <c r="I1616" s="9"/>
      <c r="J1616" s="9"/>
      <c r="K1616" s="9"/>
      <c r="L1616" s="9"/>
      <c r="M1616" s="10"/>
      <c r="N1616" s="10"/>
      <c r="O1616" s="10"/>
      <c r="P1616" s="10"/>
      <c r="Q1616" s="10"/>
      <c r="R1616" s="9"/>
      <c r="S1616" s="9"/>
      <c r="T1616" s="12"/>
      <c r="U1616" s="12"/>
      <c r="V1616" s="12"/>
      <c r="W1616" s="10"/>
      <c r="X1616" s="10"/>
      <c r="Y1616" s="9"/>
      <c r="Z1616" s="9"/>
      <c r="AA1616" s="9"/>
      <c r="AB1616" s="9"/>
    </row>
    <row r="1617" ht="30.0" customHeight="1">
      <c r="A1617" s="17" t="s">
        <v>1</v>
      </c>
      <c r="B1617" s="8"/>
      <c r="C1617" s="9"/>
      <c r="D1617" s="9"/>
      <c r="E1617" s="9"/>
      <c r="F1617" s="9"/>
      <c r="G1617" s="9"/>
      <c r="H1617" s="9"/>
      <c r="I1617" s="9"/>
      <c r="J1617" s="9"/>
      <c r="K1617" s="9"/>
      <c r="L1617" s="9"/>
      <c r="M1617" s="10"/>
      <c r="N1617" s="10"/>
      <c r="O1617" s="10"/>
      <c r="P1617" s="10"/>
      <c r="Q1617" s="10"/>
      <c r="R1617" s="9"/>
      <c r="S1617" s="9"/>
      <c r="T1617" s="12"/>
      <c r="U1617" s="12"/>
      <c r="V1617" s="12"/>
      <c r="W1617" s="10"/>
      <c r="X1617" s="10"/>
      <c r="Y1617" s="9"/>
      <c r="Z1617" s="9"/>
      <c r="AA1617" s="9"/>
      <c r="AB1617" s="9"/>
    </row>
    <row r="1618" ht="30.0" customHeight="1">
      <c r="A1618" s="17" t="s">
        <v>1</v>
      </c>
      <c r="B1618" s="8"/>
      <c r="C1618" s="9"/>
      <c r="D1618" s="9"/>
      <c r="E1618" s="9"/>
      <c r="F1618" s="9"/>
      <c r="G1618" s="9"/>
      <c r="H1618" s="9"/>
      <c r="I1618" s="9"/>
      <c r="J1618" s="9"/>
      <c r="K1618" s="9"/>
      <c r="L1618" s="9"/>
      <c r="M1618" s="10"/>
      <c r="N1618" s="10"/>
      <c r="O1618" s="10"/>
      <c r="P1618" s="10"/>
      <c r="Q1618" s="10"/>
      <c r="R1618" s="9"/>
      <c r="S1618" s="9"/>
      <c r="T1618" s="12"/>
      <c r="U1618" s="12"/>
      <c r="V1618" s="12"/>
      <c r="W1618" s="10"/>
      <c r="X1618" s="10"/>
      <c r="Y1618" s="9"/>
      <c r="Z1618" s="9"/>
      <c r="AA1618" s="9"/>
      <c r="AB1618" s="9"/>
    </row>
    <row r="1619" ht="30.0" customHeight="1">
      <c r="A1619" s="17" t="s">
        <v>1</v>
      </c>
      <c r="B1619" s="8"/>
      <c r="C1619" s="9"/>
      <c r="D1619" s="9"/>
      <c r="E1619" s="9"/>
      <c r="F1619" s="9"/>
      <c r="G1619" s="9"/>
      <c r="H1619" s="9"/>
      <c r="I1619" s="9"/>
      <c r="J1619" s="9"/>
      <c r="K1619" s="9"/>
      <c r="L1619" s="9"/>
      <c r="M1619" s="10"/>
      <c r="N1619" s="10"/>
      <c r="O1619" s="10"/>
      <c r="P1619" s="10"/>
      <c r="Q1619" s="10"/>
      <c r="R1619" s="9"/>
      <c r="S1619" s="9"/>
      <c r="T1619" s="12"/>
      <c r="U1619" s="12"/>
      <c r="V1619" s="12"/>
      <c r="W1619" s="10"/>
      <c r="X1619" s="10"/>
      <c r="Y1619" s="9"/>
      <c r="Z1619" s="9"/>
      <c r="AA1619" s="9"/>
      <c r="AB1619" s="9"/>
    </row>
    <row r="1620" ht="30.0" customHeight="1">
      <c r="A1620" s="17" t="s">
        <v>1</v>
      </c>
      <c r="B1620" s="8"/>
      <c r="C1620" s="9"/>
      <c r="D1620" s="9"/>
      <c r="E1620" s="9"/>
      <c r="F1620" s="9"/>
      <c r="G1620" s="9"/>
      <c r="H1620" s="9"/>
      <c r="I1620" s="9"/>
      <c r="J1620" s="9"/>
      <c r="K1620" s="9"/>
      <c r="L1620" s="9"/>
      <c r="M1620" s="10"/>
      <c r="N1620" s="10"/>
      <c r="O1620" s="10"/>
      <c r="P1620" s="10"/>
      <c r="Q1620" s="10"/>
      <c r="R1620" s="9"/>
      <c r="S1620" s="9"/>
      <c r="T1620" s="12"/>
      <c r="U1620" s="12"/>
      <c r="V1620" s="12"/>
      <c r="W1620" s="10"/>
      <c r="X1620" s="10"/>
      <c r="Y1620" s="9"/>
      <c r="Z1620" s="9"/>
      <c r="AA1620" s="9"/>
      <c r="AB1620" s="9"/>
    </row>
    <row r="1621" ht="30.0" customHeight="1">
      <c r="A1621" s="17" t="s">
        <v>1</v>
      </c>
      <c r="B1621" s="8"/>
      <c r="C1621" s="9"/>
      <c r="D1621" s="9"/>
      <c r="E1621" s="9"/>
      <c r="F1621" s="9"/>
      <c r="G1621" s="9"/>
      <c r="H1621" s="9"/>
      <c r="I1621" s="9"/>
      <c r="J1621" s="9"/>
      <c r="K1621" s="9"/>
      <c r="L1621" s="9"/>
      <c r="M1621" s="10"/>
      <c r="N1621" s="10"/>
      <c r="O1621" s="10"/>
      <c r="P1621" s="10"/>
      <c r="Q1621" s="10"/>
      <c r="R1621" s="9"/>
      <c r="S1621" s="9"/>
      <c r="T1621" s="12"/>
      <c r="U1621" s="12"/>
      <c r="V1621" s="12"/>
      <c r="W1621" s="10"/>
      <c r="X1621" s="10"/>
      <c r="Y1621" s="9"/>
      <c r="Z1621" s="9"/>
      <c r="AA1621" s="9"/>
      <c r="AB1621" s="9"/>
    </row>
    <row r="1622" ht="30.0" customHeight="1">
      <c r="A1622" s="17" t="s">
        <v>1</v>
      </c>
      <c r="B1622" s="8"/>
      <c r="C1622" s="9"/>
      <c r="D1622" s="9"/>
      <c r="E1622" s="9"/>
      <c r="F1622" s="9"/>
      <c r="G1622" s="9"/>
      <c r="H1622" s="9"/>
      <c r="I1622" s="9"/>
      <c r="J1622" s="9"/>
      <c r="K1622" s="9"/>
      <c r="L1622" s="9"/>
      <c r="M1622" s="10"/>
      <c r="N1622" s="10"/>
      <c r="O1622" s="10"/>
      <c r="P1622" s="10"/>
      <c r="Q1622" s="10"/>
      <c r="R1622" s="9"/>
      <c r="S1622" s="9"/>
      <c r="T1622" s="12"/>
      <c r="U1622" s="12"/>
      <c r="V1622" s="12"/>
      <c r="W1622" s="10"/>
      <c r="X1622" s="10"/>
      <c r="Y1622" s="9"/>
      <c r="Z1622" s="9"/>
      <c r="AA1622" s="9"/>
      <c r="AB1622" s="9"/>
    </row>
    <row r="1623" ht="30.0" customHeight="1">
      <c r="A1623" s="17" t="s">
        <v>1</v>
      </c>
      <c r="B1623" s="8"/>
      <c r="C1623" s="9"/>
      <c r="D1623" s="9"/>
      <c r="E1623" s="9"/>
      <c r="F1623" s="9"/>
      <c r="G1623" s="9"/>
      <c r="H1623" s="9"/>
      <c r="I1623" s="9"/>
      <c r="J1623" s="9"/>
      <c r="K1623" s="9"/>
      <c r="L1623" s="9"/>
      <c r="M1623" s="10"/>
      <c r="N1623" s="10"/>
      <c r="O1623" s="10"/>
      <c r="P1623" s="10"/>
      <c r="Q1623" s="10"/>
      <c r="R1623" s="9"/>
      <c r="S1623" s="9"/>
      <c r="T1623" s="12"/>
      <c r="U1623" s="12"/>
      <c r="V1623" s="12"/>
      <c r="W1623" s="10"/>
      <c r="X1623" s="10"/>
      <c r="Y1623" s="9"/>
      <c r="Z1623" s="9"/>
      <c r="AA1623" s="9"/>
      <c r="AB1623" s="9"/>
    </row>
    <row r="1624" ht="30.0" customHeight="1">
      <c r="A1624" s="17" t="s">
        <v>1</v>
      </c>
      <c r="B1624" s="8"/>
      <c r="C1624" s="9"/>
      <c r="D1624" s="9"/>
      <c r="E1624" s="9"/>
      <c r="F1624" s="9"/>
      <c r="G1624" s="9"/>
      <c r="H1624" s="9"/>
      <c r="I1624" s="9"/>
      <c r="J1624" s="9"/>
      <c r="K1624" s="9"/>
      <c r="L1624" s="9"/>
      <c r="M1624" s="10"/>
      <c r="N1624" s="10"/>
      <c r="O1624" s="10"/>
      <c r="P1624" s="10"/>
      <c r="Q1624" s="10"/>
      <c r="R1624" s="9"/>
      <c r="S1624" s="9"/>
      <c r="T1624" s="12"/>
      <c r="U1624" s="12"/>
      <c r="V1624" s="12"/>
      <c r="W1624" s="10"/>
      <c r="X1624" s="10"/>
      <c r="Y1624" s="9"/>
      <c r="Z1624" s="9"/>
      <c r="AA1624" s="9"/>
      <c r="AB1624" s="9"/>
    </row>
    <row r="1625" ht="30.0" customHeight="1">
      <c r="A1625" s="17" t="s">
        <v>1</v>
      </c>
      <c r="B1625" s="8"/>
      <c r="C1625" s="9"/>
      <c r="D1625" s="9"/>
      <c r="E1625" s="9"/>
      <c r="F1625" s="9"/>
      <c r="G1625" s="9"/>
      <c r="H1625" s="9"/>
      <c r="I1625" s="9"/>
      <c r="J1625" s="9"/>
      <c r="K1625" s="9"/>
      <c r="L1625" s="9"/>
      <c r="M1625" s="10"/>
      <c r="N1625" s="10"/>
      <c r="O1625" s="10"/>
      <c r="P1625" s="10"/>
      <c r="Q1625" s="10"/>
      <c r="R1625" s="9"/>
      <c r="S1625" s="9"/>
      <c r="T1625" s="12"/>
      <c r="U1625" s="12"/>
      <c r="V1625" s="12"/>
      <c r="W1625" s="10"/>
      <c r="X1625" s="10"/>
      <c r="Y1625" s="9"/>
      <c r="Z1625" s="9"/>
      <c r="AA1625" s="9"/>
      <c r="AB1625" s="9"/>
    </row>
    <row r="1626" ht="30.0" customHeight="1">
      <c r="A1626" s="17" t="s">
        <v>1</v>
      </c>
      <c r="B1626" s="8"/>
      <c r="C1626" s="9"/>
      <c r="D1626" s="9"/>
      <c r="E1626" s="9"/>
      <c r="F1626" s="9"/>
      <c r="G1626" s="9"/>
      <c r="H1626" s="9"/>
      <c r="I1626" s="9"/>
      <c r="J1626" s="9"/>
      <c r="K1626" s="9"/>
      <c r="L1626" s="9"/>
      <c r="M1626" s="10"/>
      <c r="N1626" s="10"/>
      <c r="O1626" s="10"/>
      <c r="P1626" s="10"/>
      <c r="Q1626" s="10"/>
      <c r="R1626" s="9"/>
      <c r="S1626" s="9"/>
      <c r="T1626" s="12"/>
      <c r="U1626" s="12"/>
      <c r="V1626" s="12"/>
      <c r="W1626" s="10"/>
      <c r="X1626" s="10"/>
      <c r="Y1626" s="9"/>
      <c r="Z1626" s="9"/>
      <c r="AA1626" s="9"/>
      <c r="AB1626" s="9"/>
    </row>
    <row r="1627" ht="30.0" customHeight="1">
      <c r="A1627" s="17" t="s">
        <v>1</v>
      </c>
      <c r="B1627" s="8"/>
      <c r="C1627" s="9"/>
      <c r="D1627" s="9"/>
      <c r="E1627" s="9"/>
      <c r="F1627" s="9"/>
      <c r="G1627" s="9"/>
      <c r="H1627" s="9"/>
      <c r="I1627" s="9"/>
      <c r="J1627" s="9"/>
      <c r="K1627" s="9"/>
      <c r="L1627" s="9"/>
      <c r="M1627" s="10"/>
      <c r="N1627" s="10"/>
      <c r="O1627" s="10"/>
      <c r="P1627" s="10"/>
      <c r="Q1627" s="10"/>
      <c r="R1627" s="9"/>
      <c r="S1627" s="9"/>
      <c r="T1627" s="12"/>
      <c r="U1627" s="12"/>
      <c r="V1627" s="12"/>
      <c r="W1627" s="10"/>
      <c r="X1627" s="10"/>
      <c r="Y1627" s="9"/>
      <c r="Z1627" s="9"/>
      <c r="AA1627" s="9"/>
      <c r="AB1627" s="9"/>
    </row>
    <row r="1628" ht="30.0" customHeight="1">
      <c r="A1628" s="17" t="s">
        <v>1</v>
      </c>
      <c r="B1628" s="8"/>
      <c r="C1628" s="9"/>
      <c r="D1628" s="9"/>
      <c r="E1628" s="9"/>
      <c r="F1628" s="9"/>
      <c r="G1628" s="9"/>
      <c r="H1628" s="9"/>
      <c r="I1628" s="9"/>
      <c r="J1628" s="9"/>
      <c r="K1628" s="9"/>
      <c r="L1628" s="9"/>
      <c r="M1628" s="10"/>
      <c r="N1628" s="10"/>
      <c r="O1628" s="10"/>
      <c r="P1628" s="10"/>
      <c r="Q1628" s="10"/>
      <c r="R1628" s="9"/>
      <c r="S1628" s="9"/>
      <c r="T1628" s="12"/>
      <c r="U1628" s="12"/>
      <c r="V1628" s="12"/>
      <c r="W1628" s="10"/>
      <c r="X1628" s="10"/>
      <c r="Y1628" s="9"/>
      <c r="Z1628" s="9"/>
      <c r="AA1628" s="9"/>
      <c r="AB1628" s="9"/>
    </row>
    <row r="1629" ht="30.0" customHeight="1">
      <c r="A1629" s="17" t="s">
        <v>1</v>
      </c>
      <c r="B1629" s="8"/>
      <c r="C1629" s="9"/>
      <c r="D1629" s="9"/>
      <c r="E1629" s="9"/>
      <c r="F1629" s="9"/>
      <c r="G1629" s="9"/>
      <c r="H1629" s="9"/>
      <c r="I1629" s="9"/>
      <c r="J1629" s="9"/>
      <c r="K1629" s="9"/>
      <c r="L1629" s="9"/>
      <c r="M1629" s="10"/>
      <c r="N1629" s="10"/>
      <c r="O1629" s="10"/>
      <c r="P1629" s="10"/>
      <c r="Q1629" s="10"/>
      <c r="R1629" s="9"/>
      <c r="S1629" s="9"/>
      <c r="T1629" s="12"/>
      <c r="U1629" s="12"/>
      <c r="V1629" s="12"/>
      <c r="W1629" s="10"/>
      <c r="X1629" s="10"/>
      <c r="Y1629" s="9"/>
      <c r="Z1629" s="9"/>
      <c r="AA1629" s="9"/>
      <c r="AB1629" s="9"/>
    </row>
    <row r="1630" ht="30.0" customHeight="1">
      <c r="A1630" s="17" t="s">
        <v>1</v>
      </c>
      <c r="B1630" s="8"/>
      <c r="C1630" s="9"/>
      <c r="D1630" s="9"/>
      <c r="E1630" s="9"/>
      <c r="F1630" s="9"/>
      <c r="G1630" s="9"/>
      <c r="H1630" s="9"/>
      <c r="I1630" s="9"/>
      <c r="J1630" s="9"/>
      <c r="K1630" s="9"/>
      <c r="L1630" s="9"/>
      <c r="M1630" s="10"/>
      <c r="N1630" s="10"/>
      <c r="O1630" s="10"/>
      <c r="P1630" s="10"/>
      <c r="Q1630" s="10"/>
      <c r="R1630" s="9"/>
      <c r="S1630" s="9"/>
      <c r="T1630" s="12"/>
      <c r="U1630" s="12"/>
      <c r="V1630" s="12"/>
      <c r="W1630" s="10"/>
      <c r="X1630" s="10"/>
      <c r="Y1630" s="9"/>
      <c r="Z1630" s="9"/>
      <c r="AA1630" s="9"/>
      <c r="AB1630" s="9"/>
    </row>
    <row r="1631" ht="30.0" customHeight="1">
      <c r="A1631" s="17" t="s">
        <v>1</v>
      </c>
      <c r="B1631" s="8"/>
      <c r="C1631" s="9"/>
      <c r="D1631" s="9"/>
      <c r="E1631" s="9"/>
      <c r="F1631" s="9"/>
      <c r="G1631" s="9"/>
      <c r="H1631" s="9"/>
      <c r="I1631" s="9"/>
      <c r="J1631" s="9"/>
      <c r="K1631" s="9"/>
      <c r="L1631" s="9"/>
      <c r="M1631" s="10"/>
      <c r="N1631" s="10"/>
      <c r="O1631" s="10"/>
      <c r="P1631" s="10"/>
      <c r="Q1631" s="10"/>
      <c r="R1631" s="9"/>
      <c r="S1631" s="9"/>
      <c r="T1631" s="12"/>
      <c r="U1631" s="12"/>
      <c r="V1631" s="12"/>
      <c r="W1631" s="10"/>
      <c r="X1631" s="10"/>
      <c r="Y1631" s="9"/>
      <c r="Z1631" s="9"/>
      <c r="AA1631" s="9"/>
      <c r="AB1631" s="9"/>
    </row>
    <row r="1632" ht="30.0" customHeight="1">
      <c r="A1632" s="17" t="s">
        <v>1</v>
      </c>
      <c r="B1632" s="8"/>
      <c r="C1632" s="9"/>
      <c r="D1632" s="9"/>
      <c r="E1632" s="9"/>
      <c r="F1632" s="9"/>
      <c r="G1632" s="9"/>
      <c r="H1632" s="9"/>
      <c r="I1632" s="9"/>
      <c r="J1632" s="9"/>
      <c r="K1632" s="9"/>
      <c r="L1632" s="9"/>
      <c r="M1632" s="10"/>
      <c r="N1632" s="10"/>
      <c r="O1632" s="10"/>
      <c r="P1632" s="10"/>
      <c r="Q1632" s="10"/>
      <c r="R1632" s="9"/>
      <c r="S1632" s="9"/>
      <c r="T1632" s="12"/>
      <c r="U1632" s="12"/>
      <c r="V1632" s="12"/>
      <c r="W1632" s="10"/>
      <c r="X1632" s="10"/>
      <c r="Y1632" s="9"/>
      <c r="Z1632" s="9"/>
      <c r="AA1632" s="9"/>
      <c r="AB1632" s="9"/>
    </row>
    <row r="1633" ht="30.0" customHeight="1">
      <c r="A1633" s="17" t="s">
        <v>1</v>
      </c>
      <c r="B1633" s="8"/>
      <c r="C1633" s="9"/>
      <c r="D1633" s="9"/>
      <c r="E1633" s="9"/>
      <c r="F1633" s="9"/>
      <c r="G1633" s="9"/>
      <c r="H1633" s="9"/>
      <c r="I1633" s="9"/>
      <c r="J1633" s="9"/>
      <c r="K1633" s="9"/>
      <c r="L1633" s="9"/>
      <c r="M1633" s="10"/>
      <c r="N1633" s="10"/>
      <c r="O1633" s="10"/>
      <c r="P1633" s="10"/>
      <c r="Q1633" s="10"/>
      <c r="R1633" s="9"/>
      <c r="S1633" s="9"/>
      <c r="T1633" s="12"/>
      <c r="U1633" s="12"/>
      <c r="V1633" s="12"/>
      <c r="W1633" s="10"/>
      <c r="X1633" s="10"/>
      <c r="Y1633" s="9"/>
      <c r="Z1633" s="9"/>
      <c r="AA1633" s="9"/>
      <c r="AB1633" s="9"/>
    </row>
    <row r="1634" ht="30.0" customHeight="1">
      <c r="A1634" s="17" t="s">
        <v>1</v>
      </c>
      <c r="B1634" s="8"/>
      <c r="C1634" s="9"/>
      <c r="D1634" s="9"/>
      <c r="E1634" s="9"/>
      <c r="F1634" s="9"/>
      <c r="G1634" s="9"/>
      <c r="H1634" s="9"/>
      <c r="I1634" s="9"/>
      <c r="J1634" s="9"/>
      <c r="K1634" s="9"/>
      <c r="L1634" s="9"/>
      <c r="M1634" s="10"/>
      <c r="N1634" s="10"/>
      <c r="O1634" s="10"/>
      <c r="P1634" s="10"/>
      <c r="Q1634" s="10"/>
      <c r="R1634" s="9"/>
      <c r="S1634" s="9"/>
      <c r="T1634" s="12"/>
      <c r="U1634" s="12"/>
      <c r="V1634" s="12"/>
      <c r="W1634" s="10"/>
      <c r="X1634" s="10"/>
      <c r="Y1634" s="9"/>
      <c r="Z1634" s="9"/>
      <c r="AA1634" s="9"/>
      <c r="AB1634" s="9"/>
    </row>
    <row r="1635" ht="30.0" customHeight="1">
      <c r="A1635" s="17" t="s">
        <v>1</v>
      </c>
      <c r="B1635" s="8"/>
      <c r="C1635" s="9"/>
      <c r="D1635" s="9"/>
      <c r="E1635" s="9"/>
      <c r="F1635" s="9"/>
      <c r="G1635" s="9"/>
      <c r="H1635" s="9"/>
      <c r="I1635" s="9"/>
      <c r="J1635" s="9"/>
      <c r="K1635" s="9"/>
      <c r="L1635" s="9"/>
      <c r="M1635" s="10"/>
      <c r="N1635" s="10"/>
      <c r="O1635" s="10"/>
      <c r="P1635" s="10"/>
      <c r="Q1635" s="10"/>
      <c r="R1635" s="9"/>
      <c r="S1635" s="9"/>
      <c r="T1635" s="12"/>
      <c r="U1635" s="12"/>
      <c r="V1635" s="12"/>
      <c r="W1635" s="10"/>
      <c r="X1635" s="10"/>
      <c r="Y1635" s="9"/>
      <c r="Z1635" s="9"/>
      <c r="AA1635" s="9"/>
      <c r="AB1635" s="9"/>
    </row>
    <row r="1636" ht="30.0" customHeight="1">
      <c r="A1636" s="17" t="s">
        <v>1</v>
      </c>
      <c r="B1636" s="8"/>
      <c r="C1636" s="9"/>
      <c r="D1636" s="9"/>
      <c r="E1636" s="9"/>
      <c r="F1636" s="9"/>
      <c r="G1636" s="9"/>
      <c r="H1636" s="9"/>
      <c r="I1636" s="9"/>
      <c r="J1636" s="9"/>
      <c r="K1636" s="9"/>
      <c r="L1636" s="9"/>
      <c r="M1636" s="10"/>
      <c r="N1636" s="10"/>
      <c r="O1636" s="10"/>
      <c r="P1636" s="10"/>
      <c r="Q1636" s="10"/>
      <c r="R1636" s="9"/>
      <c r="S1636" s="9"/>
      <c r="T1636" s="12"/>
      <c r="U1636" s="12"/>
      <c r="V1636" s="12"/>
      <c r="W1636" s="10"/>
      <c r="X1636" s="10"/>
      <c r="Y1636" s="9"/>
      <c r="Z1636" s="9"/>
      <c r="AA1636" s="9"/>
      <c r="AB1636" s="9"/>
    </row>
    <row r="1637" ht="30.0" customHeight="1">
      <c r="A1637" s="17" t="s">
        <v>1</v>
      </c>
      <c r="B1637" s="8"/>
      <c r="C1637" s="9"/>
      <c r="D1637" s="9"/>
      <c r="E1637" s="9"/>
      <c r="F1637" s="9"/>
      <c r="G1637" s="9"/>
      <c r="H1637" s="9"/>
      <c r="I1637" s="9"/>
      <c r="J1637" s="9"/>
      <c r="K1637" s="9"/>
      <c r="L1637" s="9"/>
      <c r="M1637" s="10"/>
      <c r="N1637" s="10"/>
      <c r="O1637" s="10"/>
      <c r="P1637" s="10"/>
      <c r="Q1637" s="10"/>
      <c r="R1637" s="9"/>
      <c r="S1637" s="9"/>
      <c r="T1637" s="12"/>
      <c r="U1637" s="12"/>
      <c r="V1637" s="12"/>
      <c r="W1637" s="10"/>
      <c r="X1637" s="10"/>
      <c r="Y1637" s="9"/>
      <c r="Z1637" s="9"/>
      <c r="AA1637" s="9"/>
      <c r="AB1637" s="9"/>
    </row>
    <row r="1638" ht="30.0" customHeight="1">
      <c r="A1638" s="17" t="s">
        <v>1</v>
      </c>
      <c r="B1638" s="8"/>
      <c r="C1638" s="9"/>
      <c r="D1638" s="9"/>
      <c r="E1638" s="9"/>
      <c r="F1638" s="9"/>
      <c r="G1638" s="9"/>
      <c r="H1638" s="9"/>
      <c r="I1638" s="9"/>
      <c r="J1638" s="9"/>
      <c r="K1638" s="9"/>
      <c r="L1638" s="9"/>
      <c r="M1638" s="10"/>
      <c r="N1638" s="10"/>
      <c r="O1638" s="10"/>
      <c r="P1638" s="10"/>
      <c r="Q1638" s="10"/>
      <c r="R1638" s="9"/>
      <c r="S1638" s="9"/>
      <c r="T1638" s="12"/>
      <c r="U1638" s="12"/>
      <c r="V1638" s="12"/>
      <c r="W1638" s="10"/>
      <c r="X1638" s="10"/>
      <c r="Y1638" s="9"/>
      <c r="Z1638" s="9"/>
      <c r="AA1638" s="9"/>
      <c r="AB1638" s="9"/>
    </row>
    <row r="1639" ht="30.0" customHeight="1">
      <c r="A1639" s="17" t="s">
        <v>1</v>
      </c>
      <c r="B1639" s="8"/>
      <c r="C1639" s="9"/>
      <c r="D1639" s="9"/>
      <c r="E1639" s="9"/>
      <c r="F1639" s="9"/>
      <c r="G1639" s="9"/>
      <c r="H1639" s="9"/>
      <c r="I1639" s="9"/>
      <c r="J1639" s="9"/>
      <c r="K1639" s="9"/>
      <c r="L1639" s="9"/>
      <c r="M1639" s="10"/>
      <c r="N1639" s="10"/>
      <c r="O1639" s="10"/>
      <c r="P1639" s="10"/>
      <c r="Q1639" s="10"/>
      <c r="R1639" s="9"/>
      <c r="S1639" s="9"/>
      <c r="T1639" s="12"/>
      <c r="U1639" s="12"/>
      <c r="V1639" s="12"/>
      <c r="W1639" s="10"/>
      <c r="X1639" s="10"/>
      <c r="Y1639" s="9"/>
      <c r="Z1639" s="9"/>
      <c r="AA1639" s="9"/>
      <c r="AB1639" s="9"/>
    </row>
    <row r="1640" ht="30.0" customHeight="1">
      <c r="A1640" s="17" t="s">
        <v>1</v>
      </c>
      <c r="B1640" s="8"/>
      <c r="C1640" s="9"/>
      <c r="D1640" s="9"/>
      <c r="E1640" s="9"/>
      <c r="F1640" s="9"/>
      <c r="G1640" s="9"/>
      <c r="H1640" s="9"/>
      <c r="I1640" s="9"/>
      <c r="J1640" s="9"/>
      <c r="K1640" s="9"/>
      <c r="L1640" s="9"/>
      <c r="M1640" s="10"/>
      <c r="N1640" s="10"/>
      <c r="O1640" s="10"/>
      <c r="P1640" s="10"/>
      <c r="Q1640" s="10"/>
      <c r="R1640" s="9"/>
      <c r="S1640" s="9"/>
      <c r="T1640" s="12"/>
      <c r="U1640" s="12"/>
      <c r="V1640" s="12"/>
      <c r="W1640" s="10"/>
      <c r="X1640" s="10"/>
      <c r="Y1640" s="9"/>
      <c r="Z1640" s="9"/>
      <c r="AA1640" s="9"/>
      <c r="AB1640" s="9"/>
    </row>
    <row r="1641" ht="30.0" customHeight="1">
      <c r="A1641" s="17" t="s">
        <v>1</v>
      </c>
      <c r="B1641" s="8"/>
      <c r="C1641" s="9"/>
      <c r="D1641" s="9"/>
      <c r="E1641" s="9"/>
      <c r="F1641" s="9"/>
      <c r="G1641" s="9"/>
      <c r="H1641" s="9"/>
      <c r="I1641" s="9"/>
      <c r="J1641" s="9"/>
      <c r="K1641" s="9"/>
      <c r="L1641" s="9"/>
      <c r="M1641" s="10"/>
      <c r="N1641" s="10"/>
      <c r="O1641" s="10"/>
      <c r="P1641" s="10"/>
      <c r="Q1641" s="10"/>
      <c r="R1641" s="9"/>
      <c r="S1641" s="9"/>
      <c r="T1641" s="12"/>
      <c r="U1641" s="12"/>
      <c r="V1641" s="12"/>
      <c r="W1641" s="10"/>
      <c r="X1641" s="10"/>
      <c r="Y1641" s="9"/>
      <c r="Z1641" s="9"/>
      <c r="AA1641" s="9"/>
      <c r="AB1641" s="9"/>
    </row>
    <row r="1642" ht="30.0" customHeight="1">
      <c r="A1642" s="17" t="s">
        <v>1</v>
      </c>
      <c r="B1642" s="8"/>
      <c r="C1642" s="9"/>
      <c r="D1642" s="9"/>
      <c r="E1642" s="9"/>
      <c r="F1642" s="9"/>
      <c r="G1642" s="9"/>
      <c r="H1642" s="9"/>
      <c r="I1642" s="9"/>
      <c r="J1642" s="9"/>
      <c r="K1642" s="9"/>
      <c r="L1642" s="9"/>
      <c r="M1642" s="10"/>
      <c r="N1642" s="10"/>
      <c r="O1642" s="10"/>
      <c r="P1642" s="10"/>
      <c r="Q1642" s="10"/>
      <c r="R1642" s="9"/>
      <c r="S1642" s="9"/>
      <c r="T1642" s="12"/>
      <c r="U1642" s="12"/>
      <c r="V1642" s="12"/>
      <c r="W1642" s="10"/>
      <c r="X1642" s="10"/>
      <c r="Y1642" s="9"/>
      <c r="Z1642" s="9"/>
      <c r="AA1642" s="9"/>
      <c r="AB1642" s="9"/>
    </row>
    <row r="1643" ht="30.0" customHeight="1">
      <c r="A1643" s="17" t="s">
        <v>1</v>
      </c>
      <c r="B1643" s="8"/>
      <c r="C1643" s="9"/>
      <c r="D1643" s="9"/>
      <c r="E1643" s="9"/>
      <c r="F1643" s="9"/>
      <c r="G1643" s="9"/>
      <c r="H1643" s="9"/>
      <c r="I1643" s="9"/>
      <c r="J1643" s="9"/>
      <c r="K1643" s="9"/>
      <c r="L1643" s="9"/>
      <c r="M1643" s="10"/>
      <c r="N1643" s="10"/>
      <c r="O1643" s="10"/>
      <c r="P1643" s="10"/>
      <c r="Q1643" s="10"/>
      <c r="R1643" s="9"/>
      <c r="S1643" s="9"/>
      <c r="T1643" s="12"/>
      <c r="U1643" s="12"/>
      <c r="V1643" s="12"/>
      <c r="W1643" s="10"/>
      <c r="X1643" s="10"/>
      <c r="Y1643" s="9"/>
      <c r="Z1643" s="9"/>
      <c r="AA1643" s="9"/>
      <c r="AB1643" s="9"/>
    </row>
    <row r="1644" ht="30.0" customHeight="1">
      <c r="A1644" s="17" t="s">
        <v>1</v>
      </c>
      <c r="B1644" s="8"/>
      <c r="C1644" s="9"/>
      <c r="D1644" s="9"/>
      <c r="E1644" s="9"/>
      <c r="F1644" s="9"/>
      <c r="G1644" s="9"/>
      <c r="H1644" s="9"/>
      <c r="I1644" s="9"/>
      <c r="J1644" s="9"/>
      <c r="K1644" s="9"/>
      <c r="L1644" s="9"/>
      <c r="M1644" s="10"/>
      <c r="N1644" s="10"/>
      <c r="O1644" s="10"/>
      <c r="P1644" s="10"/>
      <c r="Q1644" s="10"/>
      <c r="R1644" s="9"/>
      <c r="S1644" s="9"/>
      <c r="T1644" s="12"/>
      <c r="U1644" s="12"/>
      <c r="V1644" s="12"/>
      <c r="W1644" s="10"/>
      <c r="X1644" s="10"/>
      <c r="Y1644" s="9"/>
      <c r="Z1644" s="9"/>
      <c r="AA1644" s="9"/>
      <c r="AB1644" s="9"/>
    </row>
    <row r="1645" ht="30.0" customHeight="1">
      <c r="A1645" s="17" t="s">
        <v>1</v>
      </c>
      <c r="B1645" s="8"/>
      <c r="C1645" s="9"/>
      <c r="D1645" s="9"/>
      <c r="E1645" s="9"/>
      <c r="F1645" s="9"/>
      <c r="G1645" s="9"/>
      <c r="H1645" s="9"/>
      <c r="I1645" s="9"/>
      <c r="J1645" s="9"/>
      <c r="K1645" s="9"/>
      <c r="L1645" s="9"/>
      <c r="M1645" s="10"/>
      <c r="N1645" s="10"/>
      <c r="O1645" s="10"/>
      <c r="P1645" s="10"/>
      <c r="Q1645" s="10"/>
      <c r="R1645" s="9"/>
      <c r="S1645" s="9"/>
      <c r="T1645" s="12"/>
      <c r="U1645" s="12"/>
      <c r="V1645" s="12"/>
      <c r="W1645" s="10"/>
      <c r="X1645" s="10"/>
      <c r="Y1645" s="9"/>
      <c r="Z1645" s="9"/>
      <c r="AA1645" s="9"/>
      <c r="AB1645" s="9"/>
    </row>
    <row r="1646" ht="30.0" customHeight="1">
      <c r="A1646" s="17" t="s">
        <v>1</v>
      </c>
      <c r="B1646" s="8"/>
      <c r="C1646" s="9"/>
      <c r="D1646" s="9"/>
      <c r="E1646" s="9"/>
      <c r="F1646" s="9"/>
      <c r="G1646" s="9"/>
      <c r="H1646" s="9"/>
      <c r="I1646" s="9"/>
      <c r="J1646" s="9"/>
      <c r="K1646" s="9"/>
      <c r="L1646" s="9"/>
      <c r="M1646" s="10"/>
      <c r="N1646" s="10"/>
      <c r="O1646" s="10"/>
      <c r="P1646" s="10"/>
      <c r="Q1646" s="10"/>
      <c r="R1646" s="9"/>
      <c r="S1646" s="9"/>
      <c r="T1646" s="12"/>
      <c r="U1646" s="12"/>
      <c r="V1646" s="12"/>
      <c r="W1646" s="10"/>
      <c r="X1646" s="10"/>
      <c r="Y1646" s="9"/>
      <c r="Z1646" s="9"/>
      <c r="AA1646" s="9"/>
      <c r="AB1646" s="9"/>
    </row>
    <row r="1647" ht="30.0" customHeight="1">
      <c r="A1647" s="17" t="s">
        <v>1</v>
      </c>
      <c r="B1647" s="8"/>
      <c r="C1647" s="9"/>
      <c r="D1647" s="9"/>
      <c r="E1647" s="9"/>
      <c r="F1647" s="9"/>
      <c r="G1647" s="9"/>
      <c r="H1647" s="9"/>
      <c r="I1647" s="9"/>
      <c r="J1647" s="9"/>
      <c r="K1647" s="9"/>
      <c r="L1647" s="9"/>
      <c r="M1647" s="10"/>
      <c r="N1647" s="10"/>
      <c r="O1647" s="10"/>
      <c r="P1647" s="10"/>
      <c r="Q1647" s="10"/>
      <c r="R1647" s="9"/>
      <c r="S1647" s="9"/>
      <c r="T1647" s="12"/>
      <c r="U1647" s="12"/>
      <c r="V1647" s="12"/>
      <c r="W1647" s="10"/>
      <c r="X1647" s="10"/>
      <c r="Y1647" s="9"/>
      <c r="Z1647" s="9"/>
      <c r="AA1647" s="9"/>
      <c r="AB1647" s="9"/>
    </row>
    <row r="1648" ht="30.0" customHeight="1">
      <c r="A1648" s="17" t="s">
        <v>1</v>
      </c>
      <c r="B1648" s="8"/>
      <c r="C1648" s="9"/>
      <c r="D1648" s="9"/>
      <c r="E1648" s="9"/>
      <c r="F1648" s="9"/>
      <c r="G1648" s="9"/>
      <c r="H1648" s="9"/>
      <c r="I1648" s="9"/>
      <c r="J1648" s="9"/>
      <c r="K1648" s="9"/>
      <c r="L1648" s="9"/>
      <c r="M1648" s="10"/>
      <c r="N1648" s="10"/>
      <c r="O1648" s="10"/>
      <c r="P1648" s="10"/>
      <c r="Q1648" s="10"/>
      <c r="R1648" s="9"/>
      <c r="S1648" s="9"/>
      <c r="T1648" s="12"/>
      <c r="U1648" s="12"/>
      <c r="V1648" s="12"/>
      <c r="W1648" s="10"/>
      <c r="X1648" s="10"/>
      <c r="Y1648" s="9"/>
      <c r="Z1648" s="9"/>
      <c r="AA1648" s="9"/>
      <c r="AB1648" s="9"/>
    </row>
    <row r="1649" ht="30.0" customHeight="1">
      <c r="A1649" s="17" t="s">
        <v>1</v>
      </c>
      <c r="B1649" s="8"/>
      <c r="C1649" s="9"/>
      <c r="D1649" s="9"/>
      <c r="E1649" s="9"/>
      <c r="F1649" s="9"/>
      <c r="G1649" s="9"/>
      <c r="H1649" s="9"/>
      <c r="I1649" s="9"/>
      <c r="J1649" s="9"/>
      <c r="K1649" s="9"/>
      <c r="L1649" s="9"/>
      <c r="M1649" s="10"/>
      <c r="N1649" s="10"/>
      <c r="O1649" s="10"/>
      <c r="P1649" s="10"/>
      <c r="Q1649" s="10"/>
      <c r="R1649" s="9"/>
      <c r="S1649" s="9"/>
      <c r="T1649" s="12"/>
      <c r="U1649" s="12"/>
      <c r="V1649" s="12"/>
      <c r="W1649" s="10"/>
      <c r="X1649" s="10"/>
      <c r="Y1649" s="9"/>
      <c r="Z1649" s="9"/>
      <c r="AA1649" s="9"/>
      <c r="AB1649" s="9"/>
    </row>
    <row r="1650" ht="30.0" customHeight="1">
      <c r="A1650" s="17" t="s">
        <v>1</v>
      </c>
      <c r="B1650" s="8"/>
      <c r="C1650" s="9"/>
      <c r="D1650" s="9"/>
      <c r="E1650" s="9"/>
      <c r="F1650" s="9"/>
      <c r="G1650" s="9"/>
      <c r="H1650" s="9"/>
      <c r="I1650" s="9"/>
      <c r="J1650" s="9"/>
      <c r="K1650" s="9"/>
      <c r="L1650" s="9"/>
      <c r="M1650" s="10"/>
      <c r="N1650" s="10"/>
      <c r="O1650" s="10"/>
      <c r="P1650" s="10"/>
      <c r="Q1650" s="10"/>
      <c r="R1650" s="9"/>
      <c r="S1650" s="9"/>
      <c r="T1650" s="12"/>
      <c r="U1650" s="12"/>
      <c r="V1650" s="12"/>
      <c r="W1650" s="10"/>
      <c r="X1650" s="10"/>
      <c r="Y1650" s="9"/>
      <c r="Z1650" s="9"/>
      <c r="AA1650" s="9"/>
      <c r="AB1650" s="9"/>
    </row>
    <row r="1651" ht="30.0" customHeight="1">
      <c r="A1651" s="17" t="s">
        <v>1</v>
      </c>
      <c r="B1651" s="8"/>
      <c r="C1651" s="9"/>
      <c r="D1651" s="9"/>
      <c r="E1651" s="9"/>
      <c r="F1651" s="9"/>
      <c r="G1651" s="9"/>
      <c r="H1651" s="9"/>
      <c r="I1651" s="9"/>
      <c r="J1651" s="9"/>
      <c r="K1651" s="9"/>
      <c r="L1651" s="9"/>
      <c r="M1651" s="10"/>
      <c r="N1651" s="10"/>
      <c r="O1651" s="10"/>
      <c r="P1651" s="10"/>
      <c r="Q1651" s="10"/>
      <c r="R1651" s="9"/>
      <c r="S1651" s="9"/>
      <c r="T1651" s="12"/>
      <c r="U1651" s="12"/>
      <c r="V1651" s="12"/>
      <c r="W1651" s="10"/>
      <c r="X1651" s="10"/>
      <c r="Y1651" s="9"/>
      <c r="Z1651" s="9"/>
      <c r="AA1651" s="9"/>
      <c r="AB1651" s="9"/>
    </row>
    <row r="1652" ht="30.0" customHeight="1">
      <c r="A1652" s="17" t="s">
        <v>1</v>
      </c>
      <c r="B1652" s="8"/>
      <c r="C1652" s="9"/>
      <c r="D1652" s="9"/>
      <c r="E1652" s="9"/>
      <c r="F1652" s="9"/>
      <c r="G1652" s="9"/>
      <c r="H1652" s="9"/>
      <c r="I1652" s="9"/>
      <c r="J1652" s="9"/>
      <c r="K1652" s="9"/>
      <c r="L1652" s="9"/>
      <c r="M1652" s="10"/>
      <c r="N1652" s="10"/>
      <c r="O1652" s="10"/>
      <c r="P1652" s="10"/>
      <c r="Q1652" s="10"/>
      <c r="R1652" s="9"/>
      <c r="S1652" s="9"/>
      <c r="T1652" s="12"/>
      <c r="U1652" s="12"/>
      <c r="V1652" s="12"/>
      <c r="W1652" s="10"/>
      <c r="X1652" s="10"/>
      <c r="Y1652" s="9"/>
      <c r="Z1652" s="9"/>
      <c r="AA1652" s="9"/>
      <c r="AB1652" s="9"/>
    </row>
    <row r="1653" ht="30.0" customHeight="1">
      <c r="A1653" s="17" t="s">
        <v>1</v>
      </c>
      <c r="B1653" s="8"/>
      <c r="C1653" s="9"/>
      <c r="D1653" s="9"/>
      <c r="E1653" s="9"/>
      <c r="F1653" s="9"/>
      <c r="G1653" s="9"/>
      <c r="H1653" s="9"/>
      <c r="I1653" s="9"/>
      <c r="J1653" s="9"/>
      <c r="K1653" s="9"/>
      <c r="L1653" s="9"/>
      <c r="M1653" s="10"/>
      <c r="N1653" s="10"/>
      <c r="O1653" s="10"/>
      <c r="P1653" s="10"/>
      <c r="Q1653" s="10"/>
      <c r="R1653" s="9"/>
      <c r="S1653" s="9"/>
      <c r="T1653" s="12"/>
      <c r="U1653" s="12"/>
      <c r="V1653" s="12"/>
      <c r="W1653" s="10"/>
      <c r="X1653" s="10"/>
      <c r="Y1653" s="9"/>
      <c r="Z1653" s="9"/>
      <c r="AA1653" s="9"/>
      <c r="AB1653" s="9"/>
    </row>
    <row r="1654" ht="30.0" customHeight="1">
      <c r="A1654" s="17" t="s">
        <v>1</v>
      </c>
      <c r="B1654" s="8"/>
      <c r="C1654" s="9"/>
      <c r="D1654" s="9"/>
      <c r="E1654" s="9"/>
      <c r="F1654" s="9"/>
      <c r="G1654" s="9"/>
      <c r="H1654" s="9"/>
      <c r="I1654" s="9"/>
      <c r="J1654" s="9"/>
      <c r="K1654" s="9"/>
      <c r="L1654" s="9"/>
      <c r="M1654" s="10"/>
      <c r="N1654" s="10"/>
      <c r="O1654" s="10"/>
      <c r="P1654" s="10"/>
      <c r="Q1654" s="10"/>
      <c r="R1654" s="9"/>
      <c r="S1654" s="9"/>
      <c r="T1654" s="12"/>
      <c r="U1654" s="12"/>
      <c r="V1654" s="12"/>
      <c r="W1654" s="10"/>
      <c r="X1654" s="10"/>
      <c r="Y1654" s="9"/>
      <c r="Z1654" s="9"/>
      <c r="AA1654" s="9"/>
      <c r="AB1654" s="9"/>
    </row>
    <row r="1655" ht="30.0" customHeight="1">
      <c r="A1655" s="17" t="s">
        <v>1</v>
      </c>
      <c r="B1655" s="8"/>
      <c r="C1655" s="9"/>
      <c r="D1655" s="9"/>
      <c r="E1655" s="9"/>
      <c r="F1655" s="9"/>
      <c r="G1655" s="9"/>
      <c r="H1655" s="9"/>
      <c r="I1655" s="9"/>
      <c r="J1655" s="9"/>
      <c r="K1655" s="9"/>
      <c r="L1655" s="9"/>
      <c r="M1655" s="10"/>
      <c r="N1655" s="10"/>
      <c r="O1655" s="10"/>
      <c r="P1655" s="10"/>
      <c r="Q1655" s="10"/>
      <c r="R1655" s="9"/>
      <c r="S1655" s="9"/>
      <c r="T1655" s="12"/>
      <c r="U1655" s="12"/>
      <c r="V1655" s="12"/>
      <c r="W1655" s="10"/>
      <c r="X1655" s="10"/>
      <c r="Y1655" s="9"/>
      <c r="Z1655" s="9"/>
      <c r="AA1655" s="9"/>
      <c r="AB1655" s="9"/>
    </row>
    <row r="1656" ht="30.0" customHeight="1">
      <c r="A1656" s="17" t="s">
        <v>1</v>
      </c>
      <c r="B1656" s="8"/>
      <c r="C1656" s="9"/>
      <c r="D1656" s="9"/>
      <c r="E1656" s="9"/>
      <c r="F1656" s="9"/>
      <c r="G1656" s="9"/>
      <c r="H1656" s="9"/>
      <c r="I1656" s="9"/>
      <c r="J1656" s="9"/>
      <c r="K1656" s="9"/>
      <c r="L1656" s="9"/>
      <c r="M1656" s="10"/>
      <c r="N1656" s="10"/>
      <c r="O1656" s="10"/>
      <c r="P1656" s="10"/>
      <c r="Q1656" s="10"/>
      <c r="R1656" s="9"/>
      <c r="S1656" s="9"/>
      <c r="T1656" s="12"/>
      <c r="U1656" s="12"/>
      <c r="V1656" s="12"/>
      <c r="W1656" s="10"/>
      <c r="X1656" s="10"/>
      <c r="Y1656" s="9"/>
      <c r="Z1656" s="9"/>
      <c r="AA1656" s="9"/>
      <c r="AB1656" s="9"/>
    </row>
    <row r="1657" ht="30.0" customHeight="1">
      <c r="A1657" s="17" t="s">
        <v>1</v>
      </c>
      <c r="B1657" s="8"/>
      <c r="C1657" s="9"/>
      <c r="D1657" s="9"/>
      <c r="E1657" s="9"/>
      <c r="F1657" s="9"/>
      <c r="G1657" s="9"/>
      <c r="H1657" s="9"/>
      <c r="I1657" s="9"/>
      <c r="J1657" s="9"/>
      <c r="K1657" s="9"/>
      <c r="L1657" s="9"/>
      <c r="M1657" s="10"/>
      <c r="N1657" s="10"/>
      <c r="O1657" s="10"/>
      <c r="P1657" s="10"/>
      <c r="Q1657" s="10"/>
      <c r="R1657" s="9"/>
      <c r="S1657" s="9"/>
      <c r="T1657" s="12"/>
      <c r="U1657" s="12"/>
      <c r="V1657" s="12"/>
      <c r="W1657" s="10"/>
      <c r="X1657" s="10"/>
      <c r="Y1657" s="9"/>
      <c r="Z1657" s="9"/>
      <c r="AA1657" s="9"/>
      <c r="AB1657" s="9"/>
    </row>
    <row r="1658" ht="30.0" customHeight="1">
      <c r="A1658" s="17" t="s">
        <v>1</v>
      </c>
      <c r="B1658" s="8"/>
      <c r="C1658" s="9"/>
      <c r="D1658" s="9"/>
      <c r="E1658" s="9"/>
      <c r="F1658" s="9"/>
      <c r="G1658" s="9"/>
      <c r="H1658" s="9"/>
      <c r="I1658" s="9"/>
      <c r="J1658" s="9"/>
      <c r="K1658" s="9"/>
      <c r="L1658" s="9"/>
      <c r="M1658" s="10"/>
      <c r="N1658" s="10"/>
      <c r="O1658" s="10"/>
      <c r="P1658" s="10"/>
      <c r="Q1658" s="10"/>
      <c r="R1658" s="9"/>
      <c r="S1658" s="9"/>
      <c r="T1658" s="12"/>
      <c r="U1658" s="12"/>
      <c r="V1658" s="12"/>
      <c r="W1658" s="10"/>
      <c r="X1658" s="10"/>
      <c r="Y1658" s="9"/>
      <c r="Z1658" s="9"/>
      <c r="AA1658" s="9"/>
      <c r="AB1658" s="9"/>
    </row>
    <row r="1659" ht="30.0" customHeight="1">
      <c r="A1659" s="17" t="s">
        <v>1</v>
      </c>
      <c r="B1659" s="8"/>
      <c r="C1659" s="9"/>
      <c r="D1659" s="9"/>
      <c r="E1659" s="9"/>
      <c r="F1659" s="9"/>
      <c r="G1659" s="9"/>
      <c r="H1659" s="9"/>
      <c r="I1659" s="9"/>
      <c r="J1659" s="9"/>
      <c r="K1659" s="9"/>
      <c r="L1659" s="9"/>
      <c r="M1659" s="10"/>
      <c r="N1659" s="10"/>
      <c r="O1659" s="10"/>
      <c r="P1659" s="10"/>
      <c r="Q1659" s="10"/>
      <c r="R1659" s="9"/>
      <c r="S1659" s="9"/>
      <c r="T1659" s="12"/>
      <c r="U1659" s="12"/>
      <c r="V1659" s="12"/>
      <c r="W1659" s="10"/>
      <c r="X1659" s="10"/>
      <c r="Y1659" s="9"/>
      <c r="Z1659" s="9"/>
      <c r="AA1659" s="9"/>
      <c r="AB1659" s="9"/>
    </row>
    <row r="1660" ht="30.0" customHeight="1">
      <c r="A1660" s="17" t="s">
        <v>1</v>
      </c>
      <c r="B1660" s="8"/>
      <c r="C1660" s="9"/>
      <c r="D1660" s="9"/>
      <c r="E1660" s="9"/>
      <c r="F1660" s="9"/>
      <c r="G1660" s="9"/>
      <c r="H1660" s="9"/>
      <c r="I1660" s="9"/>
      <c r="J1660" s="9"/>
      <c r="K1660" s="9"/>
      <c r="L1660" s="9"/>
      <c r="M1660" s="10"/>
      <c r="N1660" s="10"/>
      <c r="O1660" s="10"/>
      <c r="P1660" s="10"/>
      <c r="Q1660" s="10"/>
      <c r="R1660" s="9"/>
      <c r="S1660" s="9"/>
      <c r="T1660" s="12"/>
      <c r="U1660" s="12"/>
      <c r="V1660" s="12"/>
      <c r="W1660" s="10"/>
      <c r="X1660" s="10"/>
      <c r="Y1660" s="9"/>
      <c r="Z1660" s="9"/>
      <c r="AA1660" s="9"/>
      <c r="AB1660" s="9"/>
    </row>
    <row r="1661" ht="30.0" customHeight="1">
      <c r="A1661" s="17" t="s">
        <v>1</v>
      </c>
      <c r="B1661" s="8"/>
      <c r="C1661" s="9"/>
      <c r="D1661" s="9"/>
      <c r="E1661" s="9"/>
      <c r="F1661" s="9"/>
      <c r="G1661" s="9"/>
      <c r="H1661" s="9"/>
      <c r="I1661" s="9"/>
      <c r="J1661" s="9"/>
      <c r="K1661" s="9"/>
      <c r="L1661" s="9"/>
      <c r="M1661" s="10"/>
      <c r="N1661" s="10"/>
      <c r="O1661" s="10"/>
      <c r="P1661" s="10"/>
      <c r="Q1661" s="10"/>
      <c r="R1661" s="9"/>
      <c r="S1661" s="9"/>
      <c r="T1661" s="12"/>
      <c r="U1661" s="12"/>
      <c r="V1661" s="12"/>
      <c r="W1661" s="10"/>
      <c r="X1661" s="10"/>
      <c r="Y1661" s="9"/>
      <c r="Z1661" s="9"/>
      <c r="AA1661" s="9"/>
      <c r="AB1661" s="9"/>
    </row>
    <row r="1662" ht="30.0" customHeight="1">
      <c r="A1662" s="17" t="s">
        <v>1</v>
      </c>
      <c r="B1662" s="8"/>
      <c r="C1662" s="9"/>
      <c r="D1662" s="9"/>
      <c r="E1662" s="9"/>
      <c r="F1662" s="9"/>
      <c r="G1662" s="9"/>
      <c r="H1662" s="9"/>
      <c r="I1662" s="9"/>
      <c r="J1662" s="9"/>
      <c r="K1662" s="9"/>
      <c r="L1662" s="9"/>
      <c r="M1662" s="10"/>
      <c r="N1662" s="10"/>
      <c r="O1662" s="10"/>
      <c r="P1662" s="10"/>
      <c r="Q1662" s="10"/>
      <c r="R1662" s="9"/>
      <c r="S1662" s="9"/>
      <c r="T1662" s="12"/>
      <c r="U1662" s="12"/>
      <c r="V1662" s="12"/>
      <c r="W1662" s="10"/>
      <c r="X1662" s="10"/>
      <c r="Y1662" s="9"/>
      <c r="Z1662" s="9"/>
      <c r="AA1662" s="9"/>
      <c r="AB1662" s="9"/>
    </row>
    <row r="1663" ht="30.0" customHeight="1">
      <c r="A1663" s="17" t="s">
        <v>1</v>
      </c>
      <c r="B1663" s="8"/>
      <c r="C1663" s="9"/>
      <c r="D1663" s="9"/>
      <c r="E1663" s="9"/>
      <c r="F1663" s="9"/>
      <c r="G1663" s="9"/>
      <c r="H1663" s="9"/>
      <c r="I1663" s="9"/>
      <c r="J1663" s="9"/>
      <c r="K1663" s="9"/>
      <c r="L1663" s="9"/>
      <c r="M1663" s="10"/>
      <c r="N1663" s="10"/>
      <c r="O1663" s="10"/>
      <c r="P1663" s="10"/>
      <c r="Q1663" s="10"/>
      <c r="R1663" s="9"/>
      <c r="S1663" s="9"/>
      <c r="T1663" s="12"/>
      <c r="U1663" s="12"/>
      <c r="V1663" s="12"/>
      <c r="W1663" s="10"/>
      <c r="X1663" s="10"/>
      <c r="Y1663" s="9"/>
      <c r="Z1663" s="9"/>
      <c r="AA1663" s="9"/>
      <c r="AB1663" s="9"/>
    </row>
    <row r="1664" ht="30.0" customHeight="1">
      <c r="A1664" s="17" t="s">
        <v>1</v>
      </c>
      <c r="B1664" s="8"/>
      <c r="C1664" s="9"/>
      <c r="D1664" s="9"/>
      <c r="E1664" s="9"/>
      <c r="F1664" s="9"/>
      <c r="G1664" s="9"/>
      <c r="H1664" s="9"/>
      <c r="I1664" s="9"/>
      <c r="J1664" s="9"/>
      <c r="K1664" s="9"/>
      <c r="L1664" s="9"/>
      <c r="M1664" s="10"/>
      <c r="N1664" s="10"/>
      <c r="O1664" s="10"/>
      <c r="P1664" s="10"/>
      <c r="Q1664" s="10"/>
      <c r="R1664" s="9"/>
      <c r="S1664" s="9"/>
      <c r="T1664" s="12"/>
      <c r="U1664" s="12"/>
      <c r="V1664" s="12"/>
      <c r="W1664" s="10"/>
      <c r="X1664" s="10"/>
      <c r="Y1664" s="9"/>
      <c r="Z1664" s="9"/>
      <c r="AA1664" s="9"/>
      <c r="AB1664" s="9"/>
    </row>
    <row r="1665" ht="30.0" customHeight="1">
      <c r="A1665" s="17" t="s">
        <v>1</v>
      </c>
      <c r="B1665" s="8"/>
      <c r="C1665" s="9"/>
      <c r="D1665" s="9"/>
      <c r="E1665" s="9"/>
      <c r="F1665" s="9"/>
      <c r="G1665" s="9"/>
      <c r="H1665" s="9"/>
      <c r="I1665" s="9"/>
      <c r="J1665" s="9"/>
      <c r="K1665" s="9"/>
      <c r="L1665" s="9"/>
      <c r="M1665" s="10"/>
      <c r="N1665" s="10"/>
      <c r="O1665" s="10"/>
      <c r="P1665" s="10"/>
      <c r="Q1665" s="10"/>
      <c r="R1665" s="9"/>
      <c r="S1665" s="9"/>
      <c r="T1665" s="12"/>
      <c r="U1665" s="12"/>
      <c r="V1665" s="12"/>
      <c r="W1665" s="10"/>
      <c r="X1665" s="10"/>
      <c r="Y1665" s="9"/>
      <c r="Z1665" s="9"/>
      <c r="AA1665" s="9"/>
      <c r="AB1665" s="9"/>
    </row>
    <row r="1666" ht="30.0" customHeight="1">
      <c r="A1666" s="17" t="s">
        <v>1</v>
      </c>
      <c r="B1666" s="8"/>
      <c r="C1666" s="9"/>
      <c r="D1666" s="9"/>
      <c r="E1666" s="9"/>
      <c r="F1666" s="9"/>
      <c r="G1666" s="9"/>
      <c r="H1666" s="9"/>
      <c r="I1666" s="9"/>
      <c r="J1666" s="9"/>
      <c r="K1666" s="9"/>
      <c r="L1666" s="9"/>
      <c r="M1666" s="10"/>
      <c r="N1666" s="10"/>
      <c r="O1666" s="10"/>
      <c r="P1666" s="10"/>
      <c r="Q1666" s="10"/>
      <c r="R1666" s="9"/>
      <c r="S1666" s="9"/>
      <c r="T1666" s="12"/>
      <c r="U1666" s="12"/>
      <c r="V1666" s="12"/>
      <c r="W1666" s="10"/>
      <c r="X1666" s="10"/>
      <c r="Y1666" s="9"/>
      <c r="Z1666" s="9"/>
      <c r="AA1666" s="9"/>
      <c r="AB1666" s="9"/>
    </row>
    <row r="1667" ht="30.0" customHeight="1">
      <c r="A1667" s="17" t="s">
        <v>1</v>
      </c>
      <c r="B1667" s="8"/>
      <c r="C1667" s="9"/>
      <c r="D1667" s="9"/>
      <c r="E1667" s="9"/>
      <c r="F1667" s="9"/>
      <c r="G1667" s="9"/>
      <c r="H1667" s="9"/>
      <c r="I1667" s="9"/>
      <c r="J1667" s="9"/>
      <c r="K1667" s="9"/>
      <c r="L1667" s="9"/>
      <c r="M1667" s="10"/>
      <c r="N1667" s="10"/>
      <c r="O1667" s="10"/>
      <c r="P1667" s="10"/>
      <c r="Q1667" s="10"/>
      <c r="R1667" s="9"/>
      <c r="S1667" s="9"/>
      <c r="T1667" s="12"/>
      <c r="U1667" s="12"/>
      <c r="V1667" s="12"/>
      <c r="W1667" s="10"/>
      <c r="X1667" s="10"/>
      <c r="Y1667" s="9"/>
      <c r="Z1667" s="9"/>
      <c r="AA1667" s="9"/>
      <c r="AB1667" s="9"/>
    </row>
    <row r="1668" ht="30.0" customHeight="1">
      <c r="A1668" s="17" t="s">
        <v>1</v>
      </c>
      <c r="B1668" s="8"/>
      <c r="C1668" s="9"/>
      <c r="D1668" s="9"/>
      <c r="E1668" s="9"/>
      <c r="F1668" s="9"/>
      <c r="G1668" s="9"/>
      <c r="H1668" s="9"/>
      <c r="I1668" s="9"/>
      <c r="J1668" s="9"/>
      <c r="K1668" s="9"/>
      <c r="L1668" s="9"/>
      <c r="M1668" s="10"/>
      <c r="N1668" s="10"/>
      <c r="O1668" s="10"/>
      <c r="P1668" s="10"/>
      <c r="Q1668" s="10"/>
      <c r="R1668" s="9"/>
      <c r="S1668" s="9"/>
      <c r="T1668" s="12"/>
      <c r="U1668" s="12"/>
      <c r="V1668" s="12"/>
      <c r="W1668" s="10"/>
      <c r="X1668" s="10"/>
      <c r="Y1668" s="9"/>
      <c r="Z1668" s="9"/>
      <c r="AA1668" s="9"/>
      <c r="AB1668" s="9"/>
    </row>
    <row r="1669" ht="30.0" customHeight="1">
      <c r="A1669" s="17" t="s">
        <v>1</v>
      </c>
      <c r="B1669" s="8"/>
      <c r="C1669" s="9"/>
      <c r="D1669" s="9"/>
      <c r="E1669" s="9"/>
      <c r="F1669" s="9"/>
      <c r="G1669" s="9"/>
      <c r="H1669" s="9"/>
      <c r="I1669" s="9"/>
      <c r="J1669" s="9"/>
      <c r="K1669" s="9"/>
      <c r="L1669" s="9"/>
      <c r="M1669" s="10"/>
      <c r="N1669" s="10"/>
      <c r="O1669" s="10"/>
      <c r="P1669" s="10"/>
      <c r="Q1669" s="10"/>
      <c r="R1669" s="9"/>
      <c r="S1669" s="9"/>
      <c r="T1669" s="12"/>
      <c r="U1669" s="12"/>
      <c r="V1669" s="12"/>
      <c r="W1669" s="10"/>
      <c r="X1669" s="10"/>
      <c r="Y1669" s="9"/>
      <c r="Z1669" s="9"/>
      <c r="AA1669" s="9"/>
      <c r="AB1669" s="9"/>
    </row>
    <row r="1670" ht="30.0" customHeight="1">
      <c r="A1670" s="17" t="s">
        <v>1</v>
      </c>
      <c r="B1670" s="8"/>
      <c r="C1670" s="9"/>
      <c r="D1670" s="9"/>
      <c r="E1670" s="9"/>
      <c r="F1670" s="9"/>
      <c r="G1670" s="9"/>
      <c r="H1670" s="9"/>
      <c r="I1670" s="9"/>
      <c r="J1670" s="9"/>
      <c r="K1670" s="9"/>
      <c r="L1670" s="9"/>
      <c r="M1670" s="10"/>
      <c r="N1670" s="10"/>
      <c r="O1670" s="10"/>
      <c r="P1670" s="10"/>
      <c r="Q1670" s="10"/>
      <c r="R1670" s="9"/>
      <c r="S1670" s="9"/>
      <c r="T1670" s="12"/>
      <c r="U1670" s="12"/>
      <c r="V1670" s="12"/>
      <c r="W1670" s="10"/>
      <c r="X1670" s="10"/>
      <c r="Y1670" s="9"/>
      <c r="Z1670" s="9"/>
      <c r="AA1670" s="9"/>
      <c r="AB1670" s="9"/>
    </row>
    <row r="1671" ht="30.0" customHeight="1">
      <c r="A1671" s="17" t="s">
        <v>1</v>
      </c>
      <c r="B1671" s="8"/>
      <c r="C1671" s="9"/>
      <c r="D1671" s="9"/>
      <c r="E1671" s="9"/>
      <c r="F1671" s="9"/>
      <c r="G1671" s="9"/>
      <c r="H1671" s="9"/>
      <c r="I1671" s="9"/>
      <c r="J1671" s="9"/>
      <c r="K1671" s="9"/>
      <c r="L1671" s="9"/>
      <c r="M1671" s="10"/>
      <c r="N1671" s="10"/>
      <c r="O1671" s="10"/>
      <c r="P1671" s="10"/>
      <c r="Q1671" s="10"/>
      <c r="R1671" s="9"/>
      <c r="S1671" s="9"/>
      <c r="T1671" s="12"/>
      <c r="U1671" s="12"/>
      <c r="V1671" s="12"/>
      <c r="W1671" s="10"/>
      <c r="X1671" s="10"/>
      <c r="Y1671" s="9"/>
      <c r="Z1671" s="9"/>
      <c r="AA1671" s="9"/>
      <c r="AB1671" s="9"/>
    </row>
    <row r="1672" ht="30.0" customHeight="1">
      <c r="A1672" s="17" t="s">
        <v>1</v>
      </c>
      <c r="B1672" s="8"/>
      <c r="C1672" s="9"/>
      <c r="D1672" s="9"/>
      <c r="E1672" s="9"/>
      <c r="F1672" s="9"/>
      <c r="G1672" s="9"/>
      <c r="H1672" s="9"/>
      <c r="I1672" s="9"/>
      <c r="J1672" s="9"/>
      <c r="K1672" s="9"/>
      <c r="L1672" s="9"/>
      <c r="M1672" s="10"/>
      <c r="N1672" s="10"/>
      <c r="O1672" s="10"/>
      <c r="P1672" s="10"/>
      <c r="Q1672" s="10"/>
      <c r="R1672" s="9"/>
      <c r="S1672" s="9"/>
      <c r="T1672" s="12"/>
      <c r="U1672" s="12"/>
      <c r="V1672" s="12"/>
      <c r="W1672" s="10"/>
      <c r="X1672" s="10"/>
      <c r="Y1672" s="9"/>
      <c r="Z1672" s="9"/>
      <c r="AA1672" s="9"/>
      <c r="AB1672" s="9"/>
    </row>
    <row r="1673" ht="30.0" customHeight="1">
      <c r="A1673" s="17" t="s">
        <v>1</v>
      </c>
      <c r="B1673" s="8"/>
      <c r="C1673" s="9"/>
      <c r="D1673" s="9"/>
      <c r="E1673" s="9"/>
      <c r="F1673" s="9"/>
      <c r="G1673" s="9"/>
      <c r="H1673" s="9"/>
      <c r="I1673" s="9"/>
      <c r="J1673" s="9"/>
      <c r="K1673" s="9"/>
      <c r="L1673" s="9"/>
      <c r="M1673" s="10"/>
      <c r="N1673" s="10"/>
      <c r="O1673" s="10"/>
      <c r="P1673" s="10"/>
      <c r="Q1673" s="10"/>
      <c r="R1673" s="9"/>
      <c r="S1673" s="9"/>
      <c r="T1673" s="12"/>
      <c r="U1673" s="12"/>
      <c r="V1673" s="12"/>
      <c r="W1673" s="10"/>
      <c r="X1673" s="10"/>
      <c r="Y1673" s="9"/>
      <c r="Z1673" s="9"/>
      <c r="AA1673" s="9"/>
      <c r="AB1673" s="9"/>
    </row>
    <row r="1674" ht="30.0" customHeight="1">
      <c r="A1674" s="17" t="s">
        <v>1</v>
      </c>
      <c r="B1674" s="8"/>
      <c r="C1674" s="9"/>
      <c r="D1674" s="9"/>
      <c r="E1674" s="9"/>
      <c r="F1674" s="9"/>
      <c r="G1674" s="9"/>
      <c r="H1674" s="9"/>
      <c r="I1674" s="9"/>
      <c r="J1674" s="9"/>
      <c r="K1674" s="9"/>
      <c r="L1674" s="9"/>
      <c r="M1674" s="10"/>
      <c r="N1674" s="10"/>
      <c r="O1674" s="10"/>
      <c r="P1674" s="10"/>
      <c r="Q1674" s="10"/>
      <c r="R1674" s="9"/>
      <c r="S1674" s="9"/>
      <c r="T1674" s="12"/>
      <c r="U1674" s="12"/>
      <c r="V1674" s="12"/>
      <c r="W1674" s="10"/>
      <c r="X1674" s="10"/>
      <c r="Y1674" s="9"/>
      <c r="Z1674" s="9"/>
      <c r="AA1674" s="9"/>
      <c r="AB1674" s="9"/>
    </row>
    <row r="1675" ht="30.0" customHeight="1">
      <c r="A1675" s="17" t="s">
        <v>1</v>
      </c>
      <c r="B1675" s="8"/>
      <c r="C1675" s="9"/>
      <c r="D1675" s="9"/>
      <c r="E1675" s="9"/>
      <c r="F1675" s="9"/>
      <c r="G1675" s="9"/>
      <c r="H1675" s="9"/>
      <c r="I1675" s="9"/>
      <c r="J1675" s="9"/>
      <c r="K1675" s="9"/>
      <c r="L1675" s="9"/>
      <c r="M1675" s="10"/>
      <c r="N1675" s="10"/>
      <c r="O1675" s="10"/>
      <c r="P1675" s="10"/>
      <c r="Q1675" s="10"/>
      <c r="R1675" s="9"/>
      <c r="S1675" s="9"/>
      <c r="T1675" s="12"/>
      <c r="U1675" s="12"/>
      <c r="V1675" s="12"/>
      <c r="W1675" s="10"/>
      <c r="X1675" s="10"/>
      <c r="Y1675" s="9"/>
      <c r="Z1675" s="9"/>
      <c r="AA1675" s="9"/>
      <c r="AB1675" s="9"/>
    </row>
    <row r="1676" ht="30.0" customHeight="1">
      <c r="A1676" s="17" t="s">
        <v>1</v>
      </c>
      <c r="B1676" s="8"/>
      <c r="C1676" s="9"/>
      <c r="D1676" s="9"/>
      <c r="E1676" s="9"/>
      <c r="F1676" s="9"/>
      <c r="G1676" s="9"/>
      <c r="H1676" s="9"/>
      <c r="I1676" s="9"/>
      <c r="J1676" s="9"/>
      <c r="K1676" s="9"/>
      <c r="L1676" s="9"/>
      <c r="M1676" s="10"/>
      <c r="N1676" s="10"/>
      <c r="O1676" s="10"/>
      <c r="P1676" s="10"/>
      <c r="Q1676" s="10"/>
      <c r="R1676" s="9"/>
      <c r="S1676" s="9"/>
      <c r="T1676" s="12"/>
      <c r="U1676" s="12"/>
      <c r="V1676" s="12"/>
      <c r="W1676" s="10"/>
      <c r="X1676" s="10"/>
      <c r="Y1676" s="9"/>
      <c r="Z1676" s="9"/>
      <c r="AA1676" s="9"/>
      <c r="AB1676" s="9"/>
    </row>
    <row r="1677" ht="30.0" customHeight="1">
      <c r="A1677" s="17" t="s">
        <v>1</v>
      </c>
      <c r="B1677" s="8"/>
      <c r="C1677" s="9"/>
      <c r="D1677" s="9"/>
      <c r="E1677" s="9"/>
      <c r="F1677" s="9"/>
      <c r="G1677" s="9"/>
      <c r="H1677" s="9"/>
      <c r="I1677" s="9"/>
      <c r="J1677" s="9"/>
      <c r="K1677" s="9"/>
      <c r="L1677" s="9"/>
      <c r="M1677" s="10"/>
      <c r="N1677" s="10"/>
      <c r="O1677" s="10"/>
      <c r="P1677" s="10"/>
      <c r="Q1677" s="10"/>
      <c r="R1677" s="9"/>
      <c r="S1677" s="9"/>
      <c r="T1677" s="12"/>
      <c r="U1677" s="12"/>
      <c r="V1677" s="12"/>
      <c r="W1677" s="10"/>
      <c r="X1677" s="10"/>
      <c r="Y1677" s="9"/>
      <c r="Z1677" s="9"/>
      <c r="AA1677" s="9"/>
      <c r="AB1677" s="9"/>
    </row>
    <row r="1678" ht="30.0" customHeight="1">
      <c r="A1678" s="17" t="s">
        <v>1</v>
      </c>
      <c r="B1678" s="8"/>
      <c r="C1678" s="9"/>
      <c r="D1678" s="9"/>
      <c r="E1678" s="9"/>
      <c r="F1678" s="9"/>
      <c r="G1678" s="9"/>
      <c r="H1678" s="9"/>
      <c r="I1678" s="9"/>
      <c r="J1678" s="9"/>
      <c r="K1678" s="9"/>
      <c r="L1678" s="9"/>
      <c r="M1678" s="10"/>
      <c r="N1678" s="10"/>
      <c r="O1678" s="10"/>
      <c r="P1678" s="10"/>
      <c r="Q1678" s="10"/>
      <c r="R1678" s="9"/>
      <c r="S1678" s="9"/>
      <c r="T1678" s="12"/>
      <c r="U1678" s="12"/>
      <c r="V1678" s="12"/>
      <c r="W1678" s="10"/>
      <c r="X1678" s="10"/>
      <c r="Y1678" s="9"/>
      <c r="Z1678" s="9"/>
      <c r="AA1678" s="9"/>
      <c r="AB1678" s="9"/>
    </row>
    <row r="1679" ht="30.0" customHeight="1">
      <c r="A1679" s="17" t="s">
        <v>1</v>
      </c>
      <c r="B1679" s="8"/>
      <c r="C1679" s="9"/>
      <c r="D1679" s="9"/>
      <c r="E1679" s="9"/>
      <c r="F1679" s="9"/>
      <c r="G1679" s="9"/>
      <c r="H1679" s="9"/>
      <c r="I1679" s="9"/>
      <c r="J1679" s="9"/>
      <c r="K1679" s="9"/>
      <c r="L1679" s="9"/>
      <c r="M1679" s="10"/>
      <c r="N1679" s="10"/>
      <c r="O1679" s="10"/>
      <c r="P1679" s="10"/>
      <c r="Q1679" s="10"/>
      <c r="R1679" s="9"/>
      <c r="S1679" s="9"/>
      <c r="T1679" s="12"/>
      <c r="U1679" s="12"/>
      <c r="V1679" s="12"/>
      <c r="W1679" s="10"/>
      <c r="X1679" s="10"/>
      <c r="Y1679" s="9"/>
      <c r="Z1679" s="9"/>
      <c r="AA1679" s="9"/>
      <c r="AB1679" s="9"/>
    </row>
    <row r="1680" ht="30.0" customHeight="1">
      <c r="A1680" s="17" t="s">
        <v>1</v>
      </c>
      <c r="B1680" s="8"/>
      <c r="C1680" s="9"/>
      <c r="D1680" s="9"/>
      <c r="E1680" s="9"/>
      <c r="F1680" s="9"/>
      <c r="G1680" s="9"/>
      <c r="H1680" s="9"/>
      <c r="I1680" s="9"/>
      <c r="J1680" s="9"/>
      <c r="K1680" s="9"/>
      <c r="L1680" s="9"/>
      <c r="M1680" s="10"/>
      <c r="N1680" s="10"/>
      <c r="O1680" s="10"/>
      <c r="P1680" s="10"/>
      <c r="Q1680" s="10"/>
      <c r="R1680" s="9"/>
      <c r="S1680" s="9"/>
      <c r="T1680" s="12"/>
      <c r="U1680" s="12"/>
      <c r="V1680" s="12"/>
      <c r="W1680" s="10"/>
      <c r="X1680" s="10"/>
      <c r="Y1680" s="9"/>
      <c r="Z1680" s="9"/>
      <c r="AA1680" s="9"/>
      <c r="AB1680" s="9"/>
    </row>
    <row r="1681" ht="30.0" customHeight="1">
      <c r="A1681" s="17" t="s">
        <v>1</v>
      </c>
      <c r="B1681" s="8"/>
      <c r="C1681" s="9"/>
      <c r="D1681" s="9"/>
      <c r="E1681" s="9"/>
      <c r="F1681" s="9"/>
      <c r="G1681" s="9"/>
      <c r="H1681" s="9"/>
      <c r="I1681" s="9"/>
      <c r="J1681" s="9"/>
      <c r="K1681" s="9"/>
      <c r="L1681" s="9"/>
      <c r="M1681" s="10"/>
      <c r="N1681" s="10"/>
      <c r="O1681" s="10"/>
      <c r="P1681" s="10"/>
      <c r="Q1681" s="10"/>
      <c r="R1681" s="9"/>
      <c r="S1681" s="9"/>
      <c r="T1681" s="12"/>
      <c r="U1681" s="12"/>
      <c r="V1681" s="12"/>
      <c r="W1681" s="10"/>
      <c r="X1681" s="10"/>
      <c r="Y1681" s="9"/>
      <c r="Z1681" s="9"/>
      <c r="AA1681" s="9"/>
      <c r="AB1681" s="9"/>
    </row>
    <row r="1682" ht="30.0" customHeight="1">
      <c r="A1682" s="17" t="s">
        <v>1</v>
      </c>
      <c r="B1682" s="8"/>
      <c r="C1682" s="9"/>
      <c r="D1682" s="9"/>
      <c r="E1682" s="9"/>
      <c r="F1682" s="9"/>
      <c r="G1682" s="9"/>
      <c r="H1682" s="9"/>
      <c r="I1682" s="9"/>
      <c r="J1682" s="9"/>
      <c r="K1682" s="9"/>
      <c r="L1682" s="9"/>
      <c r="M1682" s="10"/>
      <c r="N1682" s="10"/>
      <c r="O1682" s="10"/>
      <c r="P1682" s="10"/>
      <c r="Q1682" s="10"/>
      <c r="R1682" s="9"/>
      <c r="S1682" s="9"/>
      <c r="T1682" s="12"/>
      <c r="U1682" s="12"/>
      <c r="V1682" s="12"/>
      <c r="W1682" s="10"/>
      <c r="X1682" s="10"/>
      <c r="Y1682" s="9"/>
      <c r="Z1682" s="9"/>
      <c r="AA1682" s="9"/>
      <c r="AB1682" s="9"/>
    </row>
    <row r="1683" ht="30.0" customHeight="1">
      <c r="A1683" s="17" t="s">
        <v>1</v>
      </c>
      <c r="B1683" s="8"/>
      <c r="C1683" s="9"/>
      <c r="D1683" s="9"/>
      <c r="E1683" s="9"/>
      <c r="F1683" s="9"/>
      <c r="G1683" s="9"/>
      <c r="H1683" s="9"/>
      <c r="I1683" s="9"/>
      <c r="J1683" s="9"/>
      <c r="K1683" s="9"/>
      <c r="L1683" s="9"/>
      <c r="M1683" s="10"/>
      <c r="N1683" s="10"/>
      <c r="O1683" s="10"/>
      <c r="P1683" s="10"/>
      <c r="Q1683" s="10"/>
      <c r="R1683" s="9"/>
      <c r="S1683" s="9"/>
      <c r="T1683" s="12"/>
      <c r="U1683" s="12"/>
      <c r="V1683" s="12"/>
      <c r="W1683" s="10"/>
      <c r="X1683" s="10"/>
      <c r="Y1683" s="9"/>
      <c r="Z1683" s="9"/>
      <c r="AA1683" s="9"/>
      <c r="AB1683" s="9"/>
    </row>
    <row r="1684" ht="30.0" customHeight="1">
      <c r="A1684" s="17" t="s">
        <v>1</v>
      </c>
      <c r="B1684" s="8"/>
      <c r="C1684" s="9"/>
      <c r="D1684" s="9"/>
      <c r="E1684" s="9"/>
      <c r="F1684" s="9"/>
      <c r="G1684" s="9"/>
      <c r="H1684" s="9"/>
      <c r="I1684" s="9"/>
      <c r="J1684" s="9"/>
      <c r="K1684" s="9"/>
      <c r="L1684" s="9"/>
      <c r="M1684" s="10"/>
      <c r="N1684" s="10"/>
      <c r="O1684" s="10"/>
      <c r="P1684" s="10"/>
      <c r="Q1684" s="10"/>
      <c r="R1684" s="9"/>
      <c r="S1684" s="9"/>
      <c r="T1684" s="12"/>
      <c r="U1684" s="12"/>
      <c r="V1684" s="12"/>
      <c r="W1684" s="10"/>
      <c r="X1684" s="10"/>
      <c r="Y1684" s="9"/>
      <c r="Z1684" s="9"/>
      <c r="AA1684" s="9"/>
      <c r="AB1684" s="9"/>
    </row>
    <row r="1685" ht="30.0" customHeight="1">
      <c r="A1685" s="17" t="s">
        <v>1</v>
      </c>
      <c r="B1685" s="8"/>
      <c r="C1685" s="9"/>
      <c r="D1685" s="9"/>
      <c r="E1685" s="9"/>
      <c r="F1685" s="9"/>
      <c r="G1685" s="9"/>
      <c r="H1685" s="9"/>
      <c r="I1685" s="9"/>
      <c r="J1685" s="9"/>
      <c r="K1685" s="9"/>
      <c r="L1685" s="9"/>
      <c r="M1685" s="10"/>
      <c r="N1685" s="10"/>
      <c r="O1685" s="10"/>
      <c r="P1685" s="10"/>
      <c r="Q1685" s="10"/>
      <c r="R1685" s="9"/>
      <c r="S1685" s="9"/>
      <c r="T1685" s="12"/>
      <c r="U1685" s="12"/>
      <c r="V1685" s="12"/>
      <c r="W1685" s="10"/>
      <c r="X1685" s="10"/>
      <c r="Y1685" s="9"/>
      <c r="Z1685" s="9"/>
      <c r="AA1685" s="9"/>
      <c r="AB1685" s="9"/>
    </row>
    <row r="1686" ht="30.0" customHeight="1">
      <c r="A1686" s="17" t="s">
        <v>1</v>
      </c>
      <c r="B1686" s="8"/>
      <c r="C1686" s="9"/>
      <c r="D1686" s="9"/>
      <c r="E1686" s="9"/>
      <c r="F1686" s="9"/>
      <c r="G1686" s="9"/>
      <c r="H1686" s="9"/>
      <c r="I1686" s="9"/>
      <c r="J1686" s="9"/>
      <c r="K1686" s="9"/>
      <c r="L1686" s="9"/>
      <c r="M1686" s="10"/>
      <c r="N1686" s="10"/>
      <c r="O1686" s="10"/>
      <c r="P1686" s="10"/>
      <c r="Q1686" s="10"/>
      <c r="R1686" s="9"/>
      <c r="S1686" s="9"/>
      <c r="T1686" s="12"/>
      <c r="U1686" s="12"/>
      <c r="V1686" s="12"/>
      <c r="W1686" s="10"/>
      <c r="X1686" s="10"/>
      <c r="Y1686" s="9"/>
      <c r="Z1686" s="9"/>
      <c r="AA1686" s="9"/>
      <c r="AB1686" s="9"/>
    </row>
    <row r="1687" ht="30.0" customHeight="1">
      <c r="A1687" s="17" t="s">
        <v>1</v>
      </c>
      <c r="B1687" s="8"/>
      <c r="C1687" s="9"/>
      <c r="D1687" s="9"/>
      <c r="E1687" s="9"/>
      <c r="F1687" s="9"/>
      <c r="G1687" s="9"/>
      <c r="H1687" s="9"/>
      <c r="I1687" s="9"/>
      <c r="J1687" s="9"/>
      <c r="K1687" s="9"/>
      <c r="L1687" s="9"/>
      <c r="M1687" s="10"/>
      <c r="N1687" s="10"/>
      <c r="O1687" s="10"/>
      <c r="P1687" s="10"/>
      <c r="Q1687" s="10"/>
      <c r="R1687" s="9"/>
      <c r="S1687" s="9"/>
      <c r="T1687" s="12"/>
      <c r="U1687" s="12"/>
      <c r="V1687" s="12"/>
      <c r="W1687" s="10"/>
      <c r="X1687" s="10"/>
      <c r="Y1687" s="9"/>
      <c r="Z1687" s="9"/>
      <c r="AA1687" s="9"/>
      <c r="AB1687" s="9"/>
    </row>
    <row r="1688" ht="30.0" customHeight="1">
      <c r="A1688" s="17" t="s">
        <v>1</v>
      </c>
      <c r="B1688" s="8"/>
      <c r="C1688" s="9"/>
      <c r="D1688" s="9"/>
      <c r="E1688" s="9"/>
      <c r="F1688" s="9"/>
      <c r="G1688" s="9"/>
      <c r="H1688" s="9"/>
      <c r="I1688" s="9"/>
      <c r="J1688" s="9"/>
      <c r="K1688" s="9"/>
      <c r="L1688" s="9"/>
      <c r="M1688" s="10"/>
      <c r="N1688" s="10"/>
      <c r="O1688" s="10"/>
      <c r="P1688" s="10"/>
      <c r="Q1688" s="10"/>
      <c r="R1688" s="9"/>
      <c r="S1688" s="9"/>
      <c r="T1688" s="12"/>
      <c r="U1688" s="12"/>
      <c r="V1688" s="12"/>
      <c r="W1688" s="10"/>
      <c r="X1688" s="10"/>
      <c r="Y1688" s="9"/>
      <c r="Z1688" s="9"/>
      <c r="AA1688" s="9"/>
      <c r="AB1688" s="9"/>
    </row>
    <row r="1689" ht="30.0" customHeight="1">
      <c r="A1689" s="17" t="s">
        <v>1</v>
      </c>
      <c r="B1689" s="8"/>
      <c r="C1689" s="9"/>
      <c r="D1689" s="9"/>
      <c r="E1689" s="9"/>
      <c r="F1689" s="9"/>
      <c r="G1689" s="9"/>
      <c r="H1689" s="9"/>
      <c r="I1689" s="9"/>
      <c r="J1689" s="9"/>
      <c r="K1689" s="9"/>
      <c r="L1689" s="9"/>
      <c r="M1689" s="10"/>
      <c r="N1689" s="10"/>
      <c r="O1689" s="10"/>
      <c r="P1689" s="10"/>
      <c r="Q1689" s="10"/>
      <c r="R1689" s="9"/>
      <c r="S1689" s="9"/>
      <c r="T1689" s="12"/>
      <c r="U1689" s="12"/>
      <c r="V1689" s="12"/>
      <c r="W1689" s="10"/>
      <c r="X1689" s="10"/>
      <c r="Y1689" s="9"/>
      <c r="Z1689" s="9"/>
      <c r="AA1689" s="9"/>
      <c r="AB1689" s="9"/>
    </row>
    <row r="1690" ht="30.0" customHeight="1">
      <c r="A1690" s="17" t="s">
        <v>1</v>
      </c>
      <c r="B1690" s="8"/>
      <c r="C1690" s="9"/>
      <c r="D1690" s="9"/>
      <c r="E1690" s="9"/>
      <c r="F1690" s="9"/>
      <c r="G1690" s="9"/>
      <c r="H1690" s="9"/>
      <c r="I1690" s="9"/>
      <c r="J1690" s="9"/>
      <c r="K1690" s="9"/>
      <c r="L1690" s="9"/>
      <c r="M1690" s="10"/>
      <c r="N1690" s="10"/>
      <c r="O1690" s="10"/>
      <c r="P1690" s="10"/>
      <c r="Q1690" s="10"/>
      <c r="R1690" s="9"/>
      <c r="S1690" s="9"/>
      <c r="T1690" s="12"/>
      <c r="U1690" s="12"/>
      <c r="V1690" s="12"/>
      <c r="W1690" s="10"/>
      <c r="X1690" s="10"/>
      <c r="Y1690" s="9"/>
      <c r="Z1690" s="9"/>
      <c r="AA1690" s="9"/>
      <c r="AB1690" s="9"/>
    </row>
    <row r="1691" ht="30.0" customHeight="1">
      <c r="A1691" s="17" t="s">
        <v>1</v>
      </c>
      <c r="B1691" s="8"/>
      <c r="C1691" s="9"/>
      <c r="D1691" s="9"/>
      <c r="E1691" s="9"/>
      <c r="F1691" s="9"/>
      <c r="G1691" s="9"/>
      <c r="H1691" s="9"/>
      <c r="I1691" s="9"/>
      <c r="J1691" s="9"/>
      <c r="K1691" s="9"/>
      <c r="L1691" s="9"/>
      <c r="M1691" s="10"/>
      <c r="N1691" s="10"/>
      <c r="O1691" s="10"/>
      <c r="P1691" s="10"/>
      <c r="Q1691" s="10"/>
      <c r="R1691" s="9"/>
      <c r="S1691" s="9"/>
      <c r="T1691" s="12"/>
      <c r="U1691" s="12"/>
      <c r="V1691" s="12"/>
      <c r="W1691" s="10"/>
      <c r="X1691" s="10"/>
      <c r="Y1691" s="9"/>
      <c r="Z1691" s="9"/>
      <c r="AA1691" s="9"/>
      <c r="AB1691" s="9"/>
    </row>
    <row r="1692" ht="30.0" customHeight="1">
      <c r="A1692" s="17" t="s">
        <v>1</v>
      </c>
      <c r="B1692" s="8"/>
      <c r="C1692" s="9"/>
      <c r="D1692" s="9"/>
      <c r="E1692" s="9"/>
      <c r="F1692" s="9"/>
      <c r="G1692" s="9"/>
      <c r="H1692" s="9"/>
      <c r="I1692" s="9"/>
      <c r="J1692" s="9"/>
      <c r="K1692" s="9"/>
      <c r="L1692" s="9"/>
      <c r="M1692" s="10"/>
      <c r="N1692" s="10"/>
      <c r="O1692" s="10"/>
      <c r="P1692" s="10"/>
      <c r="Q1692" s="10"/>
      <c r="R1692" s="9"/>
      <c r="S1692" s="9"/>
      <c r="T1692" s="12"/>
      <c r="U1692" s="12"/>
      <c r="V1692" s="12"/>
      <c r="W1692" s="10"/>
      <c r="X1692" s="10"/>
      <c r="Y1692" s="9"/>
      <c r="Z1692" s="9"/>
      <c r="AA1692" s="9"/>
      <c r="AB1692" s="9"/>
    </row>
    <row r="1693" ht="30.0" customHeight="1">
      <c r="A1693" s="17" t="s">
        <v>1</v>
      </c>
      <c r="B1693" s="8"/>
      <c r="C1693" s="9"/>
      <c r="D1693" s="9"/>
      <c r="E1693" s="9"/>
      <c r="F1693" s="9"/>
      <c r="G1693" s="9"/>
      <c r="H1693" s="9"/>
      <c r="I1693" s="9"/>
      <c r="J1693" s="9"/>
      <c r="K1693" s="9"/>
      <c r="L1693" s="9"/>
      <c r="M1693" s="10"/>
      <c r="N1693" s="10"/>
      <c r="O1693" s="10"/>
      <c r="P1693" s="10"/>
      <c r="Q1693" s="10"/>
      <c r="R1693" s="9"/>
      <c r="S1693" s="9"/>
      <c r="T1693" s="12"/>
      <c r="U1693" s="12"/>
      <c r="V1693" s="12"/>
      <c r="W1693" s="10"/>
      <c r="X1693" s="10"/>
      <c r="Y1693" s="9"/>
      <c r="Z1693" s="9"/>
      <c r="AA1693" s="9"/>
      <c r="AB1693" s="9"/>
    </row>
    <row r="1694" ht="30.0" customHeight="1">
      <c r="A1694" s="17" t="s">
        <v>1</v>
      </c>
      <c r="B1694" s="8"/>
      <c r="C1694" s="9"/>
      <c r="D1694" s="9"/>
      <c r="E1694" s="9"/>
      <c r="F1694" s="9"/>
      <c r="G1694" s="9"/>
      <c r="H1694" s="9"/>
      <c r="I1694" s="9"/>
      <c r="J1694" s="9"/>
      <c r="K1694" s="9"/>
      <c r="L1694" s="9"/>
      <c r="M1694" s="10"/>
      <c r="N1694" s="10"/>
      <c r="O1694" s="10"/>
      <c r="P1694" s="10"/>
      <c r="Q1694" s="10"/>
      <c r="R1694" s="9"/>
      <c r="S1694" s="9"/>
      <c r="T1694" s="12"/>
      <c r="U1694" s="12"/>
      <c r="V1694" s="12"/>
      <c r="W1694" s="10"/>
      <c r="X1694" s="10"/>
      <c r="Y1694" s="9"/>
      <c r="Z1694" s="9"/>
      <c r="AA1694" s="9"/>
      <c r="AB1694" s="9"/>
    </row>
    <row r="1695" ht="30.0" customHeight="1">
      <c r="A1695" s="17" t="s">
        <v>1</v>
      </c>
      <c r="B1695" s="8"/>
      <c r="C1695" s="9"/>
      <c r="D1695" s="9"/>
      <c r="E1695" s="9"/>
      <c r="F1695" s="9"/>
      <c r="G1695" s="9"/>
      <c r="H1695" s="9"/>
      <c r="I1695" s="9"/>
      <c r="J1695" s="9"/>
      <c r="K1695" s="9"/>
      <c r="L1695" s="9"/>
      <c r="M1695" s="10"/>
      <c r="N1695" s="10"/>
      <c r="O1695" s="10"/>
      <c r="P1695" s="10"/>
      <c r="Q1695" s="10"/>
      <c r="R1695" s="9"/>
      <c r="S1695" s="9"/>
      <c r="T1695" s="12"/>
      <c r="U1695" s="12"/>
      <c r="V1695" s="12"/>
      <c r="W1695" s="10"/>
      <c r="X1695" s="10"/>
      <c r="Y1695" s="9"/>
      <c r="Z1695" s="9"/>
      <c r="AA1695" s="9"/>
      <c r="AB1695" s="9"/>
    </row>
    <row r="1696" ht="30.0" customHeight="1">
      <c r="A1696" s="17" t="s">
        <v>1</v>
      </c>
      <c r="B1696" s="8"/>
      <c r="C1696" s="9"/>
      <c r="D1696" s="9"/>
      <c r="E1696" s="9"/>
      <c r="F1696" s="9"/>
      <c r="G1696" s="9"/>
      <c r="H1696" s="9"/>
      <c r="I1696" s="9"/>
      <c r="J1696" s="9"/>
      <c r="K1696" s="9"/>
      <c r="L1696" s="9"/>
      <c r="M1696" s="10"/>
      <c r="N1696" s="10"/>
      <c r="O1696" s="10"/>
      <c r="P1696" s="10"/>
      <c r="Q1696" s="10"/>
      <c r="R1696" s="9"/>
      <c r="S1696" s="9"/>
      <c r="T1696" s="12"/>
      <c r="U1696" s="12"/>
      <c r="V1696" s="12"/>
      <c r="W1696" s="10"/>
      <c r="X1696" s="10"/>
      <c r="Y1696" s="9"/>
      <c r="Z1696" s="9"/>
      <c r="AA1696" s="9"/>
      <c r="AB1696" s="9"/>
    </row>
    <row r="1697" ht="30.0" customHeight="1">
      <c r="A1697" s="17" t="s">
        <v>1</v>
      </c>
      <c r="B1697" s="8"/>
      <c r="C1697" s="9"/>
      <c r="D1697" s="9"/>
      <c r="E1697" s="9"/>
      <c r="F1697" s="9"/>
      <c r="G1697" s="9"/>
      <c r="H1697" s="9"/>
      <c r="I1697" s="9"/>
      <c r="J1697" s="9"/>
      <c r="K1697" s="9"/>
      <c r="L1697" s="9"/>
      <c r="M1697" s="10"/>
      <c r="N1697" s="10"/>
      <c r="O1697" s="10"/>
      <c r="P1697" s="10"/>
      <c r="Q1697" s="10"/>
      <c r="R1697" s="9"/>
      <c r="S1697" s="9"/>
      <c r="T1697" s="12"/>
      <c r="U1697" s="12"/>
      <c r="V1697" s="12"/>
      <c r="W1697" s="10"/>
      <c r="X1697" s="10"/>
      <c r="Y1697" s="9"/>
      <c r="Z1697" s="9"/>
      <c r="AA1697" s="9"/>
      <c r="AB1697" s="9"/>
    </row>
    <row r="1698" ht="30.0" customHeight="1">
      <c r="A1698" s="17" t="s">
        <v>1</v>
      </c>
      <c r="B1698" s="8"/>
      <c r="C1698" s="9"/>
      <c r="D1698" s="9"/>
      <c r="E1698" s="9"/>
      <c r="F1698" s="9"/>
      <c r="G1698" s="9"/>
      <c r="H1698" s="9"/>
      <c r="I1698" s="9"/>
      <c r="J1698" s="9"/>
      <c r="K1698" s="9"/>
      <c r="L1698" s="9"/>
      <c r="M1698" s="10"/>
      <c r="N1698" s="10"/>
      <c r="O1698" s="10"/>
      <c r="P1698" s="10"/>
      <c r="Q1698" s="10"/>
      <c r="R1698" s="9"/>
      <c r="S1698" s="9"/>
      <c r="T1698" s="12"/>
      <c r="U1698" s="12"/>
      <c r="V1698" s="12"/>
      <c r="W1698" s="10"/>
      <c r="X1698" s="10"/>
      <c r="Y1698" s="9"/>
      <c r="Z1698" s="9"/>
      <c r="AA1698" s="9"/>
      <c r="AB1698" s="9"/>
    </row>
    <row r="1699" ht="30.0" customHeight="1">
      <c r="A1699" s="17" t="s">
        <v>1</v>
      </c>
      <c r="B1699" s="8"/>
      <c r="C1699" s="9"/>
      <c r="D1699" s="9"/>
      <c r="E1699" s="9"/>
      <c r="F1699" s="9"/>
      <c r="G1699" s="9"/>
      <c r="H1699" s="9"/>
      <c r="I1699" s="9"/>
      <c r="J1699" s="9"/>
      <c r="K1699" s="9"/>
      <c r="L1699" s="9"/>
      <c r="M1699" s="10"/>
      <c r="N1699" s="10"/>
      <c r="O1699" s="10"/>
      <c r="P1699" s="10"/>
      <c r="Q1699" s="10"/>
      <c r="R1699" s="9"/>
      <c r="S1699" s="9"/>
      <c r="T1699" s="12"/>
      <c r="U1699" s="12"/>
      <c r="V1699" s="12"/>
      <c r="W1699" s="10"/>
      <c r="X1699" s="10"/>
      <c r="Y1699" s="9"/>
      <c r="Z1699" s="9"/>
      <c r="AA1699" s="9"/>
      <c r="AB1699" s="9"/>
    </row>
    <row r="1700" ht="30.0" customHeight="1">
      <c r="A1700" s="17" t="s">
        <v>1</v>
      </c>
      <c r="B1700" s="8"/>
      <c r="C1700" s="9"/>
      <c r="D1700" s="9"/>
      <c r="E1700" s="9"/>
      <c r="F1700" s="9"/>
      <c r="G1700" s="9"/>
      <c r="H1700" s="9"/>
      <c r="I1700" s="9"/>
      <c r="J1700" s="9"/>
      <c r="K1700" s="9"/>
      <c r="L1700" s="9"/>
      <c r="M1700" s="10"/>
      <c r="N1700" s="10"/>
      <c r="O1700" s="10"/>
      <c r="P1700" s="10"/>
      <c r="Q1700" s="10"/>
      <c r="R1700" s="9"/>
      <c r="S1700" s="9"/>
      <c r="T1700" s="12"/>
      <c r="U1700" s="12"/>
      <c r="V1700" s="12"/>
      <c r="W1700" s="10"/>
      <c r="X1700" s="10"/>
      <c r="Y1700" s="9"/>
      <c r="Z1700" s="9"/>
      <c r="AA1700" s="9"/>
      <c r="AB1700" s="9"/>
    </row>
    <row r="1701" ht="30.0" customHeight="1">
      <c r="A1701" s="17" t="s">
        <v>1</v>
      </c>
      <c r="B1701" s="8"/>
      <c r="C1701" s="9"/>
      <c r="D1701" s="9"/>
      <c r="E1701" s="9"/>
      <c r="F1701" s="9"/>
      <c r="G1701" s="9"/>
      <c r="H1701" s="9"/>
      <c r="I1701" s="9"/>
      <c r="J1701" s="9"/>
      <c r="K1701" s="9"/>
      <c r="L1701" s="9"/>
      <c r="M1701" s="10"/>
      <c r="N1701" s="10"/>
      <c r="O1701" s="10"/>
      <c r="P1701" s="10"/>
      <c r="Q1701" s="10"/>
      <c r="R1701" s="9"/>
      <c r="S1701" s="9"/>
      <c r="T1701" s="12"/>
      <c r="U1701" s="12"/>
      <c r="V1701" s="12"/>
      <c r="W1701" s="10"/>
      <c r="X1701" s="10"/>
      <c r="Y1701" s="9"/>
      <c r="Z1701" s="9"/>
      <c r="AA1701" s="9"/>
      <c r="AB1701" s="9"/>
    </row>
    <row r="1702" ht="30.0" customHeight="1">
      <c r="A1702" s="17" t="s">
        <v>1</v>
      </c>
      <c r="B1702" s="8"/>
      <c r="C1702" s="9"/>
      <c r="D1702" s="9"/>
      <c r="E1702" s="9"/>
      <c r="F1702" s="9"/>
      <c r="G1702" s="9"/>
      <c r="H1702" s="9"/>
      <c r="I1702" s="9"/>
      <c r="J1702" s="9"/>
      <c r="K1702" s="9"/>
      <c r="L1702" s="9"/>
      <c r="M1702" s="10"/>
      <c r="N1702" s="10"/>
      <c r="O1702" s="10"/>
      <c r="P1702" s="10"/>
      <c r="Q1702" s="10"/>
      <c r="R1702" s="9"/>
      <c r="S1702" s="9"/>
      <c r="T1702" s="12"/>
      <c r="U1702" s="12"/>
      <c r="V1702" s="12"/>
      <c r="W1702" s="10"/>
      <c r="X1702" s="10"/>
      <c r="Y1702" s="9"/>
      <c r="Z1702" s="9"/>
      <c r="AA1702" s="9"/>
      <c r="AB1702" s="9"/>
    </row>
    <row r="1703" ht="30.0" customHeight="1">
      <c r="A1703" s="17" t="s">
        <v>1</v>
      </c>
      <c r="B1703" s="8"/>
      <c r="C1703" s="9"/>
      <c r="D1703" s="9"/>
      <c r="E1703" s="9"/>
      <c r="F1703" s="9"/>
      <c r="G1703" s="9"/>
      <c r="H1703" s="9"/>
      <c r="I1703" s="9"/>
      <c r="J1703" s="9"/>
      <c r="K1703" s="9"/>
      <c r="L1703" s="9"/>
      <c r="M1703" s="10"/>
      <c r="N1703" s="10"/>
      <c r="O1703" s="10"/>
      <c r="P1703" s="10"/>
      <c r="Q1703" s="10"/>
      <c r="R1703" s="9"/>
      <c r="S1703" s="9"/>
      <c r="T1703" s="12"/>
      <c r="U1703" s="12"/>
      <c r="V1703" s="12"/>
      <c r="W1703" s="10"/>
      <c r="X1703" s="10"/>
      <c r="Y1703" s="9"/>
      <c r="Z1703" s="9"/>
      <c r="AA1703" s="9"/>
      <c r="AB1703" s="9"/>
    </row>
    <row r="1704" ht="30.0" customHeight="1">
      <c r="A1704" s="17" t="s">
        <v>1</v>
      </c>
      <c r="B1704" s="8"/>
      <c r="C1704" s="9"/>
      <c r="D1704" s="9"/>
      <c r="E1704" s="9"/>
      <c r="F1704" s="9"/>
      <c r="G1704" s="9"/>
      <c r="H1704" s="9"/>
      <c r="I1704" s="9"/>
      <c r="J1704" s="9"/>
      <c r="K1704" s="9"/>
      <c r="L1704" s="9"/>
      <c r="M1704" s="10"/>
      <c r="N1704" s="10"/>
      <c r="O1704" s="10"/>
      <c r="P1704" s="10"/>
      <c r="Q1704" s="10"/>
      <c r="R1704" s="9"/>
      <c r="S1704" s="9"/>
      <c r="T1704" s="12"/>
      <c r="U1704" s="12"/>
      <c r="V1704" s="12"/>
      <c r="W1704" s="10"/>
      <c r="X1704" s="10"/>
      <c r="Y1704" s="9"/>
      <c r="Z1704" s="9"/>
      <c r="AA1704" s="9"/>
      <c r="AB1704" s="9"/>
    </row>
    <row r="1705" ht="30.0" customHeight="1">
      <c r="A1705" s="17" t="s">
        <v>1</v>
      </c>
      <c r="B1705" s="8"/>
      <c r="C1705" s="9"/>
      <c r="D1705" s="9"/>
      <c r="E1705" s="9"/>
      <c r="F1705" s="9"/>
      <c r="G1705" s="9"/>
      <c r="H1705" s="9"/>
      <c r="I1705" s="9"/>
      <c r="J1705" s="9"/>
      <c r="K1705" s="9"/>
      <c r="L1705" s="9"/>
      <c r="M1705" s="10"/>
      <c r="N1705" s="10"/>
      <c r="O1705" s="10"/>
      <c r="P1705" s="10"/>
      <c r="Q1705" s="10"/>
      <c r="R1705" s="9"/>
      <c r="S1705" s="9"/>
      <c r="T1705" s="12"/>
      <c r="U1705" s="12"/>
      <c r="V1705" s="12"/>
      <c r="W1705" s="10"/>
      <c r="X1705" s="10"/>
      <c r="Y1705" s="9"/>
      <c r="Z1705" s="9"/>
      <c r="AA1705" s="9"/>
      <c r="AB1705" s="9"/>
    </row>
    <row r="1706" ht="30.0" customHeight="1">
      <c r="A1706" s="17" t="s">
        <v>1</v>
      </c>
      <c r="B1706" s="8"/>
      <c r="C1706" s="9"/>
      <c r="D1706" s="9"/>
      <c r="E1706" s="9"/>
      <c r="F1706" s="9"/>
      <c r="G1706" s="9"/>
      <c r="H1706" s="9"/>
      <c r="I1706" s="9"/>
      <c r="J1706" s="9"/>
      <c r="K1706" s="9"/>
      <c r="L1706" s="9"/>
      <c r="M1706" s="10"/>
      <c r="N1706" s="10"/>
      <c r="O1706" s="10"/>
      <c r="P1706" s="10"/>
      <c r="Q1706" s="10"/>
      <c r="R1706" s="9"/>
      <c r="S1706" s="9"/>
      <c r="T1706" s="12"/>
      <c r="U1706" s="12"/>
      <c r="V1706" s="12"/>
      <c r="W1706" s="10"/>
      <c r="X1706" s="10"/>
      <c r="Y1706" s="9"/>
      <c r="Z1706" s="9"/>
      <c r="AA1706" s="9"/>
      <c r="AB1706" s="9"/>
    </row>
    <row r="1707" ht="30.0" customHeight="1">
      <c r="A1707" s="17" t="s">
        <v>1</v>
      </c>
      <c r="B1707" s="8"/>
      <c r="C1707" s="9"/>
      <c r="D1707" s="9"/>
      <c r="E1707" s="9"/>
      <c r="F1707" s="9"/>
      <c r="G1707" s="9"/>
      <c r="H1707" s="9"/>
      <c r="I1707" s="9"/>
      <c r="J1707" s="9"/>
      <c r="K1707" s="9"/>
      <c r="L1707" s="9"/>
      <c r="M1707" s="10"/>
      <c r="N1707" s="10"/>
      <c r="O1707" s="10"/>
      <c r="P1707" s="10"/>
      <c r="Q1707" s="10"/>
      <c r="R1707" s="9"/>
      <c r="S1707" s="9"/>
      <c r="T1707" s="12"/>
      <c r="U1707" s="12"/>
      <c r="V1707" s="12"/>
      <c r="W1707" s="10"/>
      <c r="X1707" s="10"/>
      <c r="Y1707" s="9"/>
      <c r="Z1707" s="9"/>
      <c r="AA1707" s="9"/>
      <c r="AB1707" s="9"/>
    </row>
    <row r="1708" ht="30.0" customHeight="1">
      <c r="A1708" s="17" t="s">
        <v>1</v>
      </c>
      <c r="B1708" s="8"/>
      <c r="C1708" s="9"/>
      <c r="D1708" s="9"/>
      <c r="E1708" s="9"/>
      <c r="F1708" s="9"/>
      <c r="G1708" s="9"/>
      <c r="H1708" s="9"/>
      <c r="I1708" s="9"/>
      <c r="J1708" s="9"/>
      <c r="K1708" s="9"/>
      <c r="L1708" s="9"/>
      <c r="M1708" s="10"/>
      <c r="N1708" s="10"/>
      <c r="O1708" s="10"/>
      <c r="P1708" s="10"/>
      <c r="Q1708" s="10"/>
      <c r="R1708" s="9"/>
      <c r="S1708" s="9"/>
      <c r="T1708" s="12"/>
      <c r="U1708" s="12"/>
      <c r="V1708" s="12"/>
      <c r="W1708" s="10"/>
      <c r="X1708" s="10"/>
      <c r="Y1708" s="9"/>
      <c r="Z1708" s="9"/>
      <c r="AA1708" s="9"/>
      <c r="AB1708" s="9"/>
    </row>
    <row r="1709" ht="30.0" customHeight="1">
      <c r="A1709" s="17" t="s">
        <v>1</v>
      </c>
      <c r="B1709" s="8"/>
      <c r="C1709" s="9"/>
      <c r="D1709" s="9"/>
      <c r="E1709" s="9"/>
      <c r="F1709" s="9"/>
      <c r="G1709" s="9"/>
      <c r="H1709" s="9"/>
      <c r="I1709" s="9"/>
      <c r="J1709" s="9"/>
      <c r="K1709" s="9"/>
      <c r="L1709" s="9"/>
      <c r="M1709" s="10"/>
      <c r="N1709" s="10"/>
      <c r="O1709" s="10"/>
      <c r="P1709" s="10"/>
      <c r="Q1709" s="10"/>
      <c r="R1709" s="9"/>
      <c r="S1709" s="9"/>
      <c r="T1709" s="12"/>
      <c r="U1709" s="12"/>
      <c r="V1709" s="12"/>
      <c r="W1709" s="10"/>
      <c r="X1709" s="10"/>
      <c r="Y1709" s="9"/>
      <c r="Z1709" s="9"/>
      <c r="AA1709" s="9"/>
      <c r="AB1709" s="9"/>
    </row>
    <row r="1710" ht="30.0" customHeight="1">
      <c r="A1710" s="17" t="s">
        <v>1</v>
      </c>
      <c r="B1710" s="8"/>
      <c r="C1710" s="9"/>
      <c r="D1710" s="9"/>
      <c r="E1710" s="9"/>
      <c r="F1710" s="9"/>
      <c r="G1710" s="9"/>
      <c r="H1710" s="9"/>
      <c r="I1710" s="9"/>
      <c r="J1710" s="9"/>
      <c r="K1710" s="9"/>
      <c r="L1710" s="9"/>
      <c r="M1710" s="10"/>
      <c r="N1710" s="10"/>
      <c r="O1710" s="10"/>
      <c r="P1710" s="10"/>
      <c r="Q1710" s="10"/>
      <c r="R1710" s="9"/>
      <c r="S1710" s="9"/>
      <c r="T1710" s="12"/>
      <c r="U1710" s="12"/>
      <c r="V1710" s="12"/>
      <c r="W1710" s="10"/>
      <c r="X1710" s="10"/>
      <c r="Y1710" s="9"/>
      <c r="Z1710" s="9"/>
      <c r="AA1710" s="9"/>
      <c r="AB1710" s="9"/>
    </row>
    <row r="1711" ht="30.0" customHeight="1">
      <c r="A1711" s="17" t="s">
        <v>1</v>
      </c>
      <c r="B1711" s="8"/>
      <c r="C1711" s="9"/>
      <c r="D1711" s="9"/>
      <c r="E1711" s="9"/>
      <c r="F1711" s="9"/>
      <c r="G1711" s="9"/>
      <c r="H1711" s="9"/>
      <c r="I1711" s="9"/>
      <c r="J1711" s="9"/>
      <c r="K1711" s="9"/>
      <c r="L1711" s="9"/>
      <c r="M1711" s="10"/>
      <c r="N1711" s="10"/>
      <c r="O1711" s="10"/>
      <c r="P1711" s="10"/>
      <c r="Q1711" s="10"/>
      <c r="R1711" s="9"/>
      <c r="S1711" s="9"/>
      <c r="T1711" s="12"/>
      <c r="U1711" s="12"/>
      <c r="V1711" s="12"/>
      <c r="W1711" s="10"/>
      <c r="X1711" s="10"/>
      <c r="Y1711" s="9"/>
      <c r="Z1711" s="9"/>
      <c r="AA1711" s="9"/>
      <c r="AB1711" s="9"/>
    </row>
    <row r="1712" ht="30.0" customHeight="1">
      <c r="A1712" s="17" t="s">
        <v>1</v>
      </c>
      <c r="B1712" s="8"/>
      <c r="C1712" s="9"/>
      <c r="D1712" s="9"/>
      <c r="E1712" s="9"/>
      <c r="F1712" s="9"/>
      <c r="G1712" s="9"/>
      <c r="H1712" s="9"/>
      <c r="I1712" s="9"/>
      <c r="J1712" s="9"/>
      <c r="K1712" s="9"/>
      <c r="L1712" s="9"/>
      <c r="M1712" s="10"/>
      <c r="N1712" s="10"/>
      <c r="O1712" s="10"/>
      <c r="P1712" s="10"/>
      <c r="Q1712" s="10"/>
      <c r="R1712" s="9"/>
      <c r="S1712" s="9"/>
      <c r="T1712" s="12"/>
      <c r="U1712" s="12"/>
      <c r="V1712" s="12"/>
      <c r="W1712" s="10"/>
      <c r="X1712" s="10"/>
      <c r="Y1712" s="9"/>
      <c r="Z1712" s="9"/>
      <c r="AA1712" s="9"/>
      <c r="AB1712" s="9"/>
    </row>
    <row r="1713" ht="30.0" customHeight="1">
      <c r="A1713" s="17" t="s">
        <v>1</v>
      </c>
      <c r="B1713" s="8"/>
      <c r="C1713" s="9"/>
      <c r="D1713" s="9"/>
      <c r="E1713" s="9"/>
      <c r="F1713" s="9"/>
      <c r="G1713" s="9"/>
      <c r="H1713" s="9"/>
      <c r="I1713" s="9"/>
      <c r="J1713" s="9"/>
      <c r="K1713" s="9"/>
      <c r="L1713" s="9"/>
      <c r="M1713" s="10"/>
      <c r="N1713" s="10"/>
      <c r="O1713" s="10"/>
      <c r="P1713" s="10"/>
      <c r="Q1713" s="10"/>
      <c r="R1713" s="9"/>
      <c r="S1713" s="9"/>
      <c r="T1713" s="12"/>
      <c r="U1713" s="12"/>
      <c r="V1713" s="12"/>
      <c r="W1713" s="10"/>
      <c r="X1713" s="10"/>
      <c r="Y1713" s="9"/>
      <c r="Z1713" s="9"/>
      <c r="AA1713" s="9"/>
      <c r="AB1713" s="9"/>
    </row>
    <row r="1714" ht="30.0" customHeight="1">
      <c r="A1714" s="17" t="s">
        <v>1</v>
      </c>
      <c r="B1714" s="8"/>
      <c r="C1714" s="9"/>
      <c r="D1714" s="9"/>
      <c r="E1714" s="9"/>
      <c r="F1714" s="9"/>
      <c r="G1714" s="9"/>
      <c r="H1714" s="9"/>
      <c r="I1714" s="9"/>
      <c r="J1714" s="9"/>
      <c r="K1714" s="9"/>
      <c r="L1714" s="9"/>
      <c r="M1714" s="10"/>
      <c r="N1714" s="10"/>
      <c r="O1714" s="10"/>
      <c r="P1714" s="10"/>
      <c r="Q1714" s="10"/>
      <c r="R1714" s="9"/>
      <c r="S1714" s="9"/>
      <c r="T1714" s="12"/>
      <c r="U1714" s="12"/>
      <c r="V1714" s="12"/>
      <c r="W1714" s="10"/>
      <c r="X1714" s="10"/>
      <c r="Y1714" s="9"/>
      <c r="Z1714" s="9"/>
      <c r="AA1714" s="9"/>
      <c r="AB1714" s="9"/>
    </row>
    <row r="1715" ht="30.0" customHeight="1">
      <c r="A1715" s="17" t="s">
        <v>1</v>
      </c>
      <c r="B1715" s="8"/>
      <c r="C1715" s="9"/>
      <c r="D1715" s="9"/>
      <c r="E1715" s="9"/>
      <c r="F1715" s="9"/>
      <c r="G1715" s="9"/>
      <c r="H1715" s="9"/>
      <c r="I1715" s="9"/>
      <c r="J1715" s="9"/>
      <c r="K1715" s="9"/>
      <c r="L1715" s="9"/>
      <c r="M1715" s="10"/>
      <c r="N1715" s="10"/>
      <c r="O1715" s="10"/>
      <c r="P1715" s="10"/>
      <c r="Q1715" s="10"/>
      <c r="R1715" s="9"/>
      <c r="S1715" s="9"/>
      <c r="T1715" s="12"/>
      <c r="U1715" s="12"/>
      <c r="V1715" s="12"/>
      <c r="W1715" s="10"/>
      <c r="X1715" s="10"/>
      <c r="Y1715" s="9"/>
      <c r="Z1715" s="9"/>
      <c r="AA1715" s="9"/>
      <c r="AB1715" s="9"/>
    </row>
    <row r="1716" ht="30.0" customHeight="1">
      <c r="A1716" s="17" t="s">
        <v>1</v>
      </c>
      <c r="B1716" s="8"/>
      <c r="C1716" s="9"/>
      <c r="D1716" s="9"/>
      <c r="E1716" s="9"/>
      <c r="F1716" s="9"/>
      <c r="G1716" s="9"/>
      <c r="H1716" s="9"/>
      <c r="I1716" s="9"/>
      <c r="J1716" s="9"/>
      <c r="K1716" s="9"/>
      <c r="L1716" s="9"/>
      <c r="M1716" s="10"/>
      <c r="N1716" s="10"/>
      <c r="O1716" s="10"/>
      <c r="P1716" s="10"/>
      <c r="Q1716" s="10"/>
      <c r="R1716" s="9"/>
      <c r="S1716" s="9"/>
      <c r="T1716" s="12"/>
      <c r="U1716" s="12"/>
      <c r="V1716" s="12"/>
      <c r="W1716" s="10"/>
      <c r="X1716" s="10"/>
      <c r="Y1716" s="9"/>
      <c r="Z1716" s="9"/>
      <c r="AA1716" s="9"/>
      <c r="AB1716" s="9"/>
    </row>
    <row r="1717" ht="30.0" customHeight="1">
      <c r="A1717" s="17" t="s">
        <v>1</v>
      </c>
      <c r="B1717" s="8"/>
      <c r="C1717" s="9"/>
      <c r="D1717" s="9"/>
      <c r="E1717" s="9"/>
      <c r="F1717" s="9"/>
      <c r="G1717" s="9"/>
      <c r="H1717" s="9"/>
      <c r="I1717" s="9"/>
      <c r="J1717" s="9"/>
      <c r="K1717" s="9"/>
      <c r="L1717" s="9"/>
      <c r="M1717" s="10"/>
      <c r="N1717" s="10"/>
      <c r="O1717" s="10"/>
      <c r="P1717" s="10"/>
      <c r="Q1717" s="10"/>
      <c r="R1717" s="9"/>
      <c r="S1717" s="9"/>
      <c r="T1717" s="12"/>
      <c r="U1717" s="12"/>
      <c r="V1717" s="12"/>
      <c r="W1717" s="10"/>
      <c r="X1717" s="10"/>
      <c r="Y1717" s="9"/>
      <c r="Z1717" s="9"/>
      <c r="AA1717" s="9"/>
      <c r="AB1717" s="9"/>
    </row>
    <row r="1718" ht="30.0" customHeight="1">
      <c r="A1718" s="17" t="s">
        <v>1</v>
      </c>
      <c r="B1718" s="8"/>
      <c r="C1718" s="9"/>
      <c r="D1718" s="9"/>
      <c r="E1718" s="9"/>
      <c r="F1718" s="9"/>
      <c r="G1718" s="9"/>
      <c r="H1718" s="9"/>
      <c r="I1718" s="9"/>
      <c r="J1718" s="9"/>
      <c r="K1718" s="9"/>
      <c r="L1718" s="9"/>
      <c r="M1718" s="10"/>
      <c r="N1718" s="10"/>
      <c r="O1718" s="10"/>
      <c r="P1718" s="10"/>
      <c r="Q1718" s="10"/>
      <c r="R1718" s="9"/>
      <c r="S1718" s="9"/>
      <c r="T1718" s="12"/>
      <c r="U1718" s="12"/>
      <c r="V1718" s="12"/>
      <c r="W1718" s="10"/>
      <c r="X1718" s="10"/>
      <c r="Y1718" s="9"/>
      <c r="Z1718" s="9"/>
      <c r="AA1718" s="9"/>
      <c r="AB1718" s="9"/>
    </row>
    <row r="1719" ht="30.0" customHeight="1">
      <c r="A1719" s="17" t="s">
        <v>1</v>
      </c>
      <c r="B1719" s="8"/>
      <c r="C1719" s="9"/>
      <c r="D1719" s="9"/>
      <c r="E1719" s="9"/>
      <c r="F1719" s="9"/>
      <c r="G1719" s="9"/>
      <c r="H1719" s="9"/>
      <c r="I1719" s="9"/>
      <c r="J1719" s="9"/>
      <c r="K1719" s="9"/>
      <c r="L1719" s="9"/>
      <c r="M1719" s="10"/>
      <c r="N1719" s="10"/>
      <c r="O1719" s="10"/>
      <c r="P1719" s="10"/>
      <c r="Q1719" s="10"/>
      <c r="R1719" s="9"/>
      <c r="S1719" s="9"/>
      <c r="T1719" s="12"/>
      <c r="U1719" s="12"/>
      <c r="V1719" s="12"/>
      <c r="W1719" s="10"/>
      <c r="X1719" s="10"/>
      <c r="Y1719" s="9"/>
      <c r="Z1719" s="9"/>
      <c r="AA1719" s="9"/>
      <c r="AB1719" s="9"/>
    </row>
    <row r="1720" ht="30.0" customHeight="1">
      <c r="A1720" s="17" t="s">
        <v>1</v>
      </c>
      <c r="B1720" s="8"/>
      <c r="C1720" s="9"/>
      <c r="D1720" s="9"/>
      <c r="E1720" s="9"/>
      <c r="F1720" s="9"/>
      <c r="G1720" s="9"/>
      <c r="H1720" s="9"/>
      <c r="I1720" s="9"/>
      <c r="J1720" s="9"/>
      <c r="K1720" s="9"/>
      <c r="L1720" s="9"/>
      <c r="M1720" s="10"/>
      <c r="N1720" s="10"/>
      <c r="O1720" s="10"/>
      <c r="P1720" s="10"/>
      <c r="Q1720" s="10"/>
      <c r="R1720" s="9"/>
      <c r="S1720" s="9"/>
      <c r="T1720" s="12"/>
      <c r="U1720" s="12"/>
      <c r="V1720" s="12"/>
      <c r="W1720" s="10"/>
      <c r="X1720" s="10"/>
      <c r="Y1720" s="9"/>
      <c r="Z1720" s="9"/>
      <c r="AA1720" s="9"/>
      <c r="AB1720" s="9"/>
    </row>
    <row r="1721" ht="30.0" customHeight="1">
      <c r="A1721" s="17" t="s">
        <v>1</v>
      </c>
      <c r="B1721" s="8"/>
      <c r="C1721" s="9"/>
      <c r="D1721" s="9"/>
      <c r="E1721" s="9"/>
      <c r="F1721" s="9"/>
      <c r="G1721" s="9"/>
      <c r="H1721" s="9"/>
      <c r="I1721" s="9"/>
      <c r="J1721" s="9"/>
      <c r="K1721" s="9"/>
      <c r="L1721" s="9"/>
      <c r="M1721" s="10"/>
      <c r="N1721" s="10"/>
      <c r="O1721" s="10"/>
      <c r="P1721" s="10"/>
      <c r="Q1721" s="10"/>
      <c r="R1721" s="9"/>
      <c r="S1721" s="9"/>
      <c r="T1721" s="12"/>
      <c r="U1721" s="12"/>
      <c r="V1721" s="12"/>
      <c r="W1721" s="10"/>
      <c r="X1721" s="10"/>
      <c r="Y1721" s="9"/>
      <c r="Z1721" s="9"/>
      <c r="AA1721" s="9"/>
      <c r="AB1721" s="9"/>
    </row>
    <row r="1722" ht="30.0" customHeight="1">
      <c r="A1722" s="17" t="s">
        <v>1</v>
      </c>
      <c r="B1722" s="8"/>
      <c r="C1722" s="9"/>
      <c r="D1722" s="9"/>
      <c r="E1722" s="9"/>
      <c r="F1722" s="9"/>
      <c r="G1722" s="9"/>
      <c r="H1722" s="9"/>
      <c r="I1722" s="9"/>
      <c r="J1722" s="9"/>
      <c r="K1722" s="9"/>
      <c r="L1722" s="9"/>
      <c r="M1722" s="10"/>
      <c r="N1722" s="10"/>
      <c r="O1722" s="10"/>
      <c r="P1722" s="10"/>
      <c r="Q1722" s="10"/>
      <c r="R1722" s="9"/>
      <c r="S1722" s="9"/>
      <c r="T1722" s="12"/>
      <c r="U1722" s="12"/>
      <c r="V1722" s="12"/>
      <c r="W1722" s="10"/>
      <c r="X1722" s="10"/>
      <c r="Y1722" s="9"/>
      <c r="Z1722" s="9"/>
      <c r="AA1722" s="9"/>
      <c r="AB1722" s="9"/>
    </row>
    <row r="1723" ht="30.0" customHeight="1">
      <c r="A1723" s="17" t="s">
        <v>1</v>
      </c>
      <c r="B1723" s="8"/>
      <c r="C1723" s="9"/>
      <c r="D1723" s="9"/>
      <c r="E1723" s="9"/>
      <c r="F1723" s="9"/>
      <c r="G1723" s="9"/>
      <c r="H1723" s="9"/>
      <c r="I1723" s="9"/>
      <c r="J1723" s="9"/>
      <c r="K1723" s="9"/>
      <c r="L1723" s="9"/>
      <c r="M1723" s="10"/>
      <c r="N1723" s="10"/>
      <c r="O1723" s="10"/>
      <c r="P1723" s="10"/>
      <c r="Q1723" s="10"/>
      <c r="R1723" s="9"/>
      <c r="S1723" s="9"/>
      <c r="T1723" s="12"/>
      <c r="U1723" s="12"/>
      <c r="V1723" s="12"/>
      <c r="W1723" s="10"/>
      <c r="X1723" s="10"/>
      <c r="Y1723" s="9"/>
      <c r="Z1723" s="9"/>
      <c r="AA1723" s="9"/>
      <c r="AB1723" s="9"/>
    </row>
    <row r="1724" ht="30.0" customHeight="1">
      <c r="A1724" s="17" t="s">
        <v>1</v>
      </c>
      <c r="B1724" s="8"/>
      <c r="C1724" s="9"/>
      <c r="D1724" s="9"/>
      <c r="E1724" s="9"/>
      <c r="F1724" s="9"/>
      <c r="G1724" s="9"/>
      <c r="H1724" s="9"/>
      <c r="I1724" s="9"/>
      <c r="J1724" s="9"/>
      <c r="K1724" s="9"/>
      <c r="L1724" s="9"/>
      <c r="M1724" s="10"/>
      <c r="N1724" s="10"/>
      <c r="O1724" s="10"/>
      <c r="P1724" s="10"/>
      <c r="Q1724" s="10"/>
      <c r="R1724" s="9"/>
      <c r="S1724" s="9"/>
      <c r="T1724" s="12"/>
      <c r="U1724" s="12"/>
      <c r="V1724" s="12"/>
      <c r="W1724" s="10"/>
      <c r="X1724" s="10"/>
      <c r="Y1724" s="9"/>
      <c r="Z1724" s="9"/>
      <c r="AA1724" s="9"/>
      <c r="AB1724" s="9"/>
    </row>
    <row r="1725" ht="30.0" customHeight="1">
      <c r="A1725" s="17" t="s">
        <v>1</v>
      </c>
      <c r="B1725" s="8"/>
      <c r="C1725" s="9"/>
      <c r="D1725" s="9"/>
      <c r="E1725" s="9"/>
      <c r="F1725" s="9"/>
      <c r="G1725" s="9"/>
      <c r="H1725" s="9"/>
      <c r="I1725" s="9"/>
      <c r="J1725" s="9"/>
      <c r="K1725" s="9"/>
      <c r="L1725" s="9"/>
      <c r="M1725" s="10"/>
      <c r="N1725" s="10"/>
      <c r="O1725" s="10"/>
      <c r="P1725" s="10"/>
      <c r="Q1725" s="10"/>
      <c r="R1725" s="9"/>
      <c r="S1725" s="9"/>
      <c r="T1725" s="12"/>
      <c r="U1725" s="12"/>
      <c r="V1725" s="12"/>
      <c r="W1725" s="10"/>
      <c r="X1725" s="10"/>
      <c r="Y1725" s="9"/>
      <c r="Z1725" s="9"/>
      <c r="AA1725" s="9"/>
      <c r="AB1725" s="9"/>
    </row>
    <row r="1726" ht="30.0" customHeight="1">
      <c r="A1726" s="17" t="s">
        <v>1</v>
      </c>
      <c r="B1726" s="8"/>
      <c r="C1726" s="9"/>
      <c r="D1726" s="9"/>
      <c r="E1726" s="9"/>
      <c r="F1726" s="9"/>
      <c r="G1726" s="9"/>
      <c r="H1726" s="9"/>
      <c r="I1726" s="9"/>
      <c r="J1726" s="9"/>
      <c r="K1726" s="9"/>
      <c r="L1726" s="9"/>
      <c r="M1726" s="10"/>
      <c r="N1726" s="10"/>
      <c r="O1726" s="10"/>
      <c r="P1726" s="10"/>
      <c r="Q1726" s="10"/>
      <c r="R1726" s="9"/>
      <c r="S1726" s="9"/>
      <c r="T1726" s="12"/>
      <c r="U1726" s="12"/>
      <c r="V1726" s="12"/>
      <c r="W1726" s="10"/>
      <c r="X1726" s="10"/>
      <c r="Y1726" s="9"/>
      <c r="Z1726" s="9"/>
      <c r="AA1726" s="9"/>
      <c r="AB1726" s="9"/>
    </row>
    <row r="1727" ht="30.0" customHeight="1">
      <c r="A1727" s="17" t="s">
        <v>1</v>
      </c>
      <c r="B1727" s="8"/>
      <c r="C1727" s="9"/>
      <c r="D1727" s="9"/>
      <c r="E1727" s="9"/>
      <c r="F1727" s="9"/>
      <c r="G1727" s="9"/>
      <c r="H1727" s="9"/>
      <c r="I1727" s="9"/>
      <c r="J1727" s="9"/>
      <c r="K1727" s="9"/>
      <c r="L1727" s="9"/>
      <c r="M1727" s="10"/>
      <c r="N1727" s="10"/>
      <c r="O1727" s="10"/>
      <c r="P1727" s="10"/>
      <c r="Q1727" s="10"/>
      <c r="R1727" s="9"/>
      <c r="S1727" s="9"/>
      <c r="T1727" s="12"/>
      <c r="U1727" s="12"/>
      <c r="V1727" s="12"/>
      <c r="W1727" s="10"/>
      <c r="X1727" s="10"/>
      <c r="Y1727" s="9"/>
      <c r="Z1727" s="9"/>
      <c r="AA1727" s="9"/>
      <c r="AB1727" s="9"/>
    </row>
    <row r="1728" ht="30.0" customHeight="1">
      <c r="A1728" s="17" t="s">
        <v>1</v>
      </c>
      <c r="B1728" s="8"/>
      <c r="C1728" s="9"/>
      <c r="D1728" s="9"/>
      <c r="E1728" s="9"/>
      <c r="F1728" s="9"/>
      <c r="G1728" s="9"/>
      <c r="H1728" s="9"/>
      <c r="I1728" s="9"/>
      <c r="J1728" s="9"/>
      <c r="K1728" s="9"/>
      <c r="L1728" s="9"/>
      <c r="M1728" s="10"/>
      <c r="N1728" s="10"/>
      <c r="O1728" s="10"/>
      <c r="P1728" s="10"/>
      <c r="Q1728" s="10"/>
      <c r="R1728" s="9"/>
      <c r="S1728" s="9"/>
      <c r="T1728" s="12"/>
      <c r="U1728" s="12"/>
      <c r="V1728" s="12"/>
      <c r="W1728" s="10"/>
      <c r="X1728" s="10"/>
      <c r="Y1728" s="9"/>
      <c r="Z1728" s="9"/>
      <c r="AA1728" s="9"/>
      <c r="AB1728" s="9"/>
    </row>
    <row r="1729" ht="30.0" customHeight="1">
      <c r="A1729" s="17" t="s">
        <v>1</v>
      </c>
      <c r="B1729" s="8"/>
      <c r="C1729" s="9"/>
      <c r="D1729" s="9"/>
      <c r="E1729" s="9"/>
      <c r="F1729" s="9"/>
      <c r="G1729" s="9"/>
      <c r="H1729" s="9"/>
      <c r="I1729" s="9"/>
      <c r="J1729" s="9"/>
      <c r="K1729" s="9"/>
      <c r="L1729" s="9"/>
      <c r="M1729" s="10"/>
      <c r="N1729" s="10"/>
      <c r="O1729" s="10"/>
      <c r="P1729" s="10"/>
      <c r="Q1729" s="10"/>
      <c r="R1729" s="9"/>
      <c r="S1729" s="9"/>
      <c r="T1729" s="12"/>
      <c r="U1729" s="12"/>
      <c r="V1729" s="12"/>
      <c r="W1729" s="10"/>
      <c r="X1729" s="10"/>
      <c r="Y1729" s="9"/>
      <c r="Z1729" s="9"/>
      <c r="AA1729" s="9"/>
      <c r="AB1729" s="9"/>
    </row>
    <row r="1730" ht="30.0" customHeight="1">
      <c r="A1730" s="17" t="s">
        <v>1</v>
      </c>
      <c r="B1730" s="8"/>
      <c r="C1730" s="9"/>
      <c r="D1730" s="9"/>
      <c r="E1730" s="9"/>
      <c r="F1730" s="9"/>
      <c r="G1730" s="9"/>
      <c r="H1730" s="9"/>
      <c r="I1730" s="9"/>
      <c r="J1730" s="9"/>
      <c r="K1730" s="9"/>
      <c r="L1730" s="9"/>
      <c r="M1730" s="10"/>
      <c r="N1730" s="10"/>
      <c r="O1730" s="10"/>
      <c r="P1730" s="10"/>
      <c r="Q1730" s="10"/>
      <c r="R1730" s="9"/>
      <c r="S1730" s="9"/>
      <c r="T1730" s="12"/>
      <c r="U1730" s="12"/>
      <c r="V1730" s="12"/>
      <c r="W1730" s="10"/>
      <c r="X1730" s="10"/>
      <c r="Y1730" s="9"/>
      <c r="Z1730" s="9"/>
      <c r="AA1730" s="9"/>
      <c r="AB1730" s="9"/>
    </row>
    <row r="1731" ht="30.0" customHeight="1">
      <c r="A1731" s="17" t="s">
        <v>1</v>
      </c>
      <c r="B1731" s="8"/>
      <c r="C1731" s="9"/>
      <c r="D1731" s="9"/>
      <c r="E1731" s="9"/>
      <c r="F1731" s="9"/>
      <c r="G1731" s="9"/>
      <c r="H1731" s="9"/>
      <c r="I1731" s="9"/>
      <c r="J1731" s="9"/>
      <c r="K1731" s="9"/>
      <c r="L1731" s="9"/>
      <c r="M1731" s="10"/>
      <c r="N1731" s="10"/>
      <c r="O1731" s="10"/>
      <c r="P1731" s="10"/>
      <c r="Q1731" s="10"/>
      <c r="R1731" s="9"/>
      <c r="S1731" s="9"/>
      <c r="T1731" s="12"/>
      <c r="U1731" s="12"/>
      <c r="V1731" s="12"/>
      <c r="W1731" s="10"/>
      <c r="X1731" s="10"/>
      <c r="Y1731" s="9"/>
      <c r="Z1731" s="9"/>
      <c r="AA1731" s="9"/>
      <c r="AB1731" s="9"/>
    </row>
    <row r="1732" ht="30.0" customHeight="1">
      <c r="A1732" s="17" t="s">
        <v>1</v>
      </c>
      <c r="B1732" s="8"/>
      <c r="C1732" s="9"/>
      <c r="D1732" s="9"/>
      <c r="E1732" s="9"/>
      <c r="F1732" s="9"/>
      <c r="G1732" s="9"/>
      <c r="H1732" s="9"/>
      <c r="I1732" s="9"/>
      <c r="J1732" s="9"/>
      <c r="K1732" s="9"/>
      <c r="L1732" s="9"/>
      <c r="M1732" s="10"/>
      <c r="N1732" s="10"/>
      <c r="O1732" s="10"/>
      <c r="P1732" s="10"/>
      <c r="Q1732" s="10"/>
      <c r="R1732" s="9"/>
      <c r="S1732" s="9"/>
      <c r="T1732" s="12"/>
      <c r="U1732" s="12"/>
      <c r="V1732" s="12"/>
      <c r="W1732" s="10"/>
      <c r="X1732" s="10"/>
      <c r="Y1732" s="9"/>
      <c r="Z1732" s="9"/>
      <c r="AA1732" s="9"/>
      <c r="AB1732" s="9"/>
    </row>
    <row r="1733" ht="30.0" customHeight="1">
      <c r="A1733" s="17" t="s">
        <v>1</v>
      </c>
      <c r="B1733" s="8"/>
      <c r="C1733" s="9"/>
      <c r="D1733" s="9"/>
      <c r="E1733" s="9"/>
      <c r="F1733" s="9"/>
      <c r="G1733" s="9"/>
      <c r="H1733" s="9"/>
      <c r="I1733" s="9"/>
      <c r="J1733" s="9"/>
      <c r="K1733" s="9"/>
      <c r="L1733" s="9"/>
      <c r="M1733" s="10"/>
      <c r="N1733" s="10"/>
      <c r="O1733" s="10"/>
      <c r="P1733" s="10"/>
      <c r="Q1733" s="10"/>
      <c r="R1733" s="9"/>
      <c r="S1733" s="9"/>
      <c r="T1733" s="12"/>
      <c r="U1733" s="12"/>
      <c r="V1733" s="12"/>
      <c r="W1733" s="10"/>
      <c r="X1733" s="10"/>
      <c r="Y1733" s="9"/>
      <c r="Z1733" s="9"/>
      <c r="AA1733" s="9"/>
      <c r="AB1733" s="9"/>
    </row>
    <row r="1734" ht="30.0" customHeight="1">
      <c r="A1734" s="17" t="s">
        <v>1</v>
      </c>
      <c r="B1734" s="8"/>
      <c r="C1734" s="9"/>
      <c r="D1734" s="9"/>
      <c r="E1734" s="9"/>
      <c r="F1734" s="9"/>
      <c r="G1734" s="9"/>
      <c r="H1734" s="9"/>
      <c r="I1734" s="9"/>
      <c r="J1734" s="9"/>
      <c r="K1734" s="9"/>
      <c r="L1734" s="9"/>
      <c r="M1734" s="10"/>
      <c r="N1734" s="10"/>
      <c r="O1734" s="10"/>
      <c r="P1734" s="10"/>
      <c r="Q1734" s="10"/>
      <c r="R1734" s="9"/>
      <c r="S1734" s="9"/>
      <c r="T1734" s="12"/>
      <c r="U1734" s="12"/>
      <c r="V1734" s="12"/>
      <c r="W1734" s="10"/>
      <c r="X1734" s="10"/>
      <c r="Y1734" s="9"/>
      <c r="Z1734" s="9"/>
      <c r="AA1734" s="9"/>
      <c r="AB1734" s="9"/>
    </row>
    <row r="1735" ht="30.0" customHeight="1">
      <c r="A1735" s="17" t="s">
        <v>1</v>
      </c>
      <c r="B1735" s="8"/>
      <c r="C1735" s="9"/>
      <c r="D1735" s="9"/>
      <c r="E1735" s="9"/>
      <c r="F1735" s="9"/>
      <c r="G1735" s="9"/>
      <c r="H1735" s="9"/>
      <c r="I1735" s="9"/>
      <c r="J1735" s="9"/>
      <c r="K1735" s="9"/>
      <c r="L1735" s="9"/>
      <c r="M1735" s="10"/>
      <c r="N1735" s="10"/>
      <c r="O1735" s="10"/>
      <c r="P1735" s="10"/>
      <c r="Q1735" s="10"/>
      <c r="R1735" s="9"/>
      <c r="S1735" s="9"/>
      <c r="T1735" s="12"/>
      <c r="U1735" s="12"/>
      <c r="V1735" s="12"/>
      <c r="W1735" s="10"/>
      <c r="X1735" s="10"/>
      <c r="Y1735" s="9"/>
      <c r="Z1735" s="9"/>
      <c r="AA1735" s="9"/>
      <c r="AB1735" s="9"/>
    </row>
    <row r="1736" ht="30.0" customHeight="1">
      <c r="A1736" s="17" t="s">
        <v>1</v>
      </c>
      <c r="B1736" s="8"/>
      <c r="C1736" s="9"/>
      <c r="D1736" s="9"/>
      <c r="E1736" s="9"/>
      <c r="F1736" s="9"/>
      <c r="G1736" s="9"/>
      <c r="H1736" s="9"/>
      <c r="I1736" s="9"/>
      <c r="J1736" s="9"/>
      <c r="K1736" s="9"/>
      <c r="L1736" s="9"/>
      <c r="M1736" s="10"/>
      <c r="N1736" s="10"/>
      <c r="O1736" s="10"/>
      <c r="P1736" s="10"/>
      <c r="Q1736" s="10"/>
      <c r="R1736" s="9"/>
      <c r="S1736" s="9"/>
      <c r="T1736" s="12"/>
      <c r="U1736" s="12"/>
      <c r="V1736" s="12"/>
      <c r="W1736" s="10"/>
      <c r="X1736" s="10"/>
      <c r="Y1736" s="9"/>
      <c r="Z1736" s="9"/>
      <c r="AA1736" s="9"/>
      <c r="AB1736" s="9"/>
    </row>
    <row r="1737" ht="30.0" customHeight="1">
      <c r="A1737" s="17" t="s">
        <v>1</v>
      </c>
      <c r="B1737" s="8"/>
      <c r="C1737" s="9"/>
      <c r="D1737" s="9"/>
      <c r="E1737" s="9"/>
      <c r="F1737" s="9"/>
      <c r="G1737" s="9"/>
      <c r="H1737" s="9"/>
      <c r="I1737" s="9"/>
      <c r="J1737" s="9"/>
      <c r="K1737" s="9"/>
      <c r="L1737" s="9"/>
      <c r="M1737" s="10"/>
      <c r="N1737" s="10"/>
      <c r="O1737" s="10"/>
      <c r="P1737" s="10"/>
      <c r="Q1737" s="10"/>
      <c r="R1737" s="9"/>
      <c r="S1737" s="9"/>
      <c r="T1737" s="12"/>
      <c r="U1737" s="12"/>
      <c r="V1737" s="12"/>
      <c r="W1737" s="10"/>
      <c r="X1737" s="10"/>
      <c r="Y1737" s="9"/>
      <c r="Z1737" s="9"/>
      <c r="AA1737" s="9"/>
      <c r="AB1737" s="9"/>
    </row>
    <row r="1738" ht="30.0" customHeight="1">
      <c r="A1738" s="17" t="s">
        <v>1</v>
      </c>
      <c r="B1738" s="8"/>
      <c r="C1738" s="9"/>
      <c r="D1738" s="9"/>
      <c r="E1738" s="9"/>
      <c r="F1738" s="9"/>
      <c r="G1738" s="9"/>
      <c r="H1738" s="9"/>
      <c r="I1738" s="9"/>
      <c r="J1738" s="9"/>
      <c r="K1738" s="9"/>
      <c r="L1738" s="9"/>
      <c r="M1738" s="10"/>
      <c r="N1738" s="10"/>
      <c r="O1738" s="10"/>
      <c r="P1738" s="10"/>
      <c r="Q1738" s="10"/>
      <c r="R1738" s="9"/>
      <c r="S1738" s="9"/>
      <c r="T1738" s="12"/>
      <c r="U1738" s="12"/>
      <c r="V1738" s="12"/>
      <c r="W1738" s="10"/>
      <c r="X1738" s="10"/>
      <c r="Y1738" s="9"/>
      <c r="Z1738" s="9"/>
      <c r="AA1738" s="9"/>
      <c r="AB1738" s="9"/>
    </row>
    <row r="1739" ht="30.0" customHeight="1">
      <c r="A1739" s="17" t="s">
        <v>1</v>
      </c>
      <c r="B1739" s="8"/>
      <c r="C1739" s="9"/>
      <c r="D1739" s="9"/>
      <c r="E1739" s="9"/>
      <c r="F1739" s="9"/>
      <c r="G1739" s="9"/>
      <c r="H1739" s="9"/>
      <c r="I1739" s="9"/>
      <c r="J1739" s="9"/>
      <c r="K1739" s="9"/>
      <c r="L1739" s="9"/>
      <c r="M1739" s="10"/>
      <c r="N1739" s="10"/>
      <c r="O1739" s="10"/>
      <c r="P1739" s="10"/>
      <c r="Q1739" s="10"/>
      <c r="R1739" s="9"/>
      <c r="S1739" s="9"/>
      <c r="T1739" s="12"/>
      <c r="U1739" s="12"/>
      <c r="V1739" s="12"/>
      <c r="W1739" s="10"/>
      <c r="X1739" s="10"/>
      <c r="Y1739" s="9"/>
      <c r="Z1739" s="9"/>
      <c r="AA1739" s="9"/>
      <c r="AB1739" s="9"/>
    </row>
    <row r="1740" ht="30.0" customHeight="1">
      <c r="A1740" s="17" t="s">
        <v>1</v>
      </c>
      <c r="B1740" s="8"/>
      <c r="C1740" s="9"/>
      <c r="D1740" s="9"/>
      <c r="E1740" s="9"/>
      <c r="F1740" s="9"/>
      <c r="G1740" s="9"/>
      <c r="H1740" s="9"/>
      <c r="I1740" s="9"/>
      <c r="J1740" s="9"/>
      <c r="K1740" s="9"/>
      <c r="L1740" s="9"/>
      <c r="M1740" s="10"/>
      <c r="N1740" s="10"/>
      <c r="O1740" s="10"/>
      <c r="P1740" s="10"/>
      <c r="Q1740" s="10"/>
      <c r="R1740" s="9"/>
      <c r="S1740" s="9"/>
      <c r="T1740" s="12"/>
      <c r="U1740" s="12"/>
      <c r="V1740" s="12"/>
      <c r="W1740" s="10"/>
      <c r="X1740" s="10"/>
      <c r="Y1740" s="9"/>
      <c r="Z1740" s="9"/>
      <c r="AA1740" s="9"/>
      <c r="AB1740" s="9"/>
    </row>
    <row r="1741" ht="30.0" customHeight="1">
      <c r="A1741" s="17" t="s">
        <v>1</v>
      </c>
      <c r="B1741" s="8"/>
      <c r="C1741" s="9"/>
      <c r="D1741" s="9"/>
      <c r="E1741" s="9"/>
      <c r="F1741" s="9"/>
      <c r="G1741" s="9"/>
      <c r="H1741" s="9"/>
      <c r="I1741" s="9"/>
      <c r="J1741" s="9"/>
      <c r="K1741" s="9"/>
      <c r="L1741" s="9"/>
      <c r="M1741" s="10"/>
      <c r="N1741" s="10"/>
      <c r="O1741" s="10"/>
      <c r="P1741" s="10"/>
      <c r="Q1741" s="10"/>
      <c r="R1741" s="9"/>
      <c r="S1741" s="9"/>
      <c r="T1741" s="12"/>
      <c r="U1741" s="12"/>
      <c r="V1741" s="12"/>
      <c r="W1741" s="10"/>
      <c r="X1741" s="10"/>
      <c r="Y1741" s="9"/>
      <c r="Z1741" s="9"/>
      <c r="AA1741" s="9"/>
      <c r="AB1741" s="9"/>
    </row>
    <row r="1742" ht="30.0" customHeight="1">
      <c r="A1742" s="17" t="s">
        <v>1</v>
      </c>
      <c r="B1742" s="8"/>
      <c r="C1742" s="9"/>
      <c r="D1742" s="9"/>
      <c r="E1742" s="9"/>
      <c r="F1742" s="9"/>
      <c r="G1742" s="9"/>
      <c r="H1742" s="9"/>
      <c r="I1742" s="9"/>
      <c r="J1742" s="9"/>
      <c r="K1742" s="9"/>
      <c r="L1742" s="9"/>
      <c r="M1742" s="10"/>
      <c r="N1742" s="10"/>
      <c r="O1742" s="10"/>
      <c r="P1742" s="10"/>
      <c r="Q1742" s="10"/>
      <c r="R1742" s="9"/>
      <c r="S1742" s="9"/>
      <c r="T1742" s="12"/>
      <c r="U1742" s="12"/>
      <c r="V1742" s="12"/>
      <c r="W1742" s="10"/>
      <c r="X1742" s="10"/>
      <c r="Y1742" s="9"/>
      <c r="Z1742" s="9"/>
      <c r="AA1742" s="9"/>
      <c r="AB1742" s="9"/>
    </row>
    <row r="1743" ht="30.0" customHeight="1">
      <c r="A1743" s="17" t="s">
        <v>1</v>
      </c>
      <c r="B1743" s="8"/>
      <c r="C1743" s="9"/>
      <c r="D1743" s="9"/>
      <c r="E1743" s="9"/>
      <c r="F1743" s="9"/>
      <c r="G1743" s="9"/>
      <c r="H1743" s="9"/>
      <c r="I1743" s="9"/>
      <c r="J1743" s="9"/>
      <c r="K1743" s="9"/>
      <c r="L1743" s="9"/>
      <c r="M1743" s="10"/>
      <c r="N1743" s="10"/>
      <c r="O1743" s="10"/>
      <c r="P1743" s="10"/>
      <c r="Q1743" s="10"/>
      <c r="R1743" s="9"/>
      <c r="S1743" s="9"/>
      <c r="T1743" s="12"/>
      <c r="U1743" s="12"/>
      <c r="V1743" s="12"/>
      <c r="W1743" s="10"/>
      <c r="X1743" s="10"/>
      <c r="Y1743" s="9"/>
      <c r="Z1743" s="9"/>
      <c r="AA1743" s="9"/>
      <c r="AB1743" s="9"/>
    </row>
    <row r="1744" ht="30.0" customHeight="1">
      <c r="A1744" s="17" t="s">
        <v>1</v>
      </c>
      <c r="B1744" s="8"/>
      <c r="C1744" s="9"/>
      <c r="D1744" s="9"/>
      <c r="E1744" s="9"/>
      <c r="F1744" s="9"/>
      <c r="G1744" s="9"/>
      <c r="H1744" s="9"/>
      <c r="I1744" s="9"/>
      <c r="J1744" s="9"/>
      <c r="K1744" s="9"/>
      <c r="L1744" s="9"/>
      <c r="M1744" s="10"/>
      <c r="N1744" s="10"/>
      <c r="O1744" s="10"/>
      <c r="P1744" s="10"/>
      <c r="Q1744" s="10"/>
      <c r="R1744" s="9"/>
      <c r="S1744" s="9"/>
      <c r="T1744" s="12"/>
      <c r="U1744" s="12"/>
      <c r="V1744" s="12"/>
      <c r="W1744" s="10"/>
      <c r="X1744" s="10"/>
      <c r="Y1744" s="9"/>
      <c r="Z1744" s="9"/>
      <c r="AA1744" s="9"/>
      <c r="AB1744" s="9"/>
    </row>
    <row r="1745" ht="30.0" customHeight="1">
      <c r="A1745" s="17" t="s">
        <v>1</v>
      </c>
      <c r="B1745" s="8"/>
      <c r="C1745" s="9"/>
      <c r="D1745" s="9"/>
      <c r="E1745" s="9"/>
      <c r="F1745" s="9"/>
      <c r="G1745" s="9"/>
      <c r="H1745" s="9"/>
      <c r="I1745" s="9"/>
      <c r="J1745" s="9"/>
      <c r="K1745" s="9"/>
      <c r="L1745" s="9"/>
      <c r="M1745" s="10"/>
      <c r="N1745" s="10"/>
      <c r="O1745" s="10"/>
      <c r="P1745" s="10"/>
      <c r="Q1745" s="10"/>
      <c r="R1745" s="9"/>
      <c r="S1745" s="9"/>
      <c r="T1745" s="12"/>
      <c r="U1745" s="12"/>
      <c r="V1745" s="12"/>
      <c r="W1745" s="10"/>
      <c r="X1745" s="10"/>
      <c r="Y1745" s="9"/>
      <c r="Z1745" s="9"/>
      <c r="AA1745" s="9"/>
      <c r="AB1745" s="9"/>
    </row>
    <row r="1746" ht="30.0" customHeight="1">
      <c r="A1746" s="17" t="s">
        <v>1</v>
      </c>
      <c r="B1746" s="8"/>
      <c r="C1746" s="9"/>
      <c r="D1746" s="9"/>
      <c r="E1746" s="9"/>
      <c r="F1746" s="9"/>
      <c r="G1746" s="9"/>
      <c r="H1746" s="9"/>
      <c r="I1746" s="9"/>
      <c r="J1746" s="9"/>
      <c r="K1746" s="9"/>
      <c r="L1746" s="9"/>
      <c r="M1746" s="10"/>
      <c r="N1746" s="10"/>
      <c r="O1746" s="10"/>
      <c r="P1746" s="10"/>
      <c r="Q1746" s="10"/>
      <c r="R1746" s="9"/>
      <c r="S1746" s="9"/>
      <c r="T1746" s="12"/>
      <c r="U1746" s="12"/>
      <c r="V1746" s="12"/>
      <c r="W1746" s="10"/>
      <c r="X1746" s="10"/>
      <c r="Y1746" s="9"/>
      <c r="Z1746" s="9"/>
      <c r="AA1746" s="9"/>
      <c r="AB1746" s="9"/>
    </row>
    <row r="1747" ht="30.0" customHeight="1">
      <c r="A1747" s="17" t="s">
        <v>1</v>
      </c>
      <c r="B1747" s="8"/>
      <c r="C1747" s="9"/>
      <c r="D1747" s="9"/>
      <c r="E1747" s="9"/>
      <c r="F1747" s="9"/>
      <c r="G1747" s="9"/>
      <c r="H1747" s="9"/>
      <c r="I1747" s="9"/>
      <c r="J1747" s="9"/>
      <c r="K1747" s="9"/>
      <c r="L1747" s="9"/>
      <c r="M1747" s="10"/>
      <c r="N1747" s="10"/>
      <c r="O1747" s="10"/>
      <c r="P1747" s="10"/>
      <c r="Q1747" s="10"/>
      <c r="R1747" s="9"/>
      <c r="S1747" s="9"/>
      <c r="T1747" s="12"/>
      <c r="U1747" s="12"/>
      <c r="V1747" s="12"/>
      <c r="W1747" s="10"/>
      <c r="X1747" s="10"/>
      <c r="Y1747" s="9"/>
      <c r="Z1747" s="9"/>
      <c r="AA1747" s="9"/>
      <c r="AB1747" s="9"/>
    </row>
    <row r="1748" ht="30.0" customHeight="1">
      <c r="A1748" s="17" t="s">
        <v>1</v>
      </c>
      <c r="B1748" s="8"/>
      <c r="C1748" s="9"/>
      <c r="D1748" s="9"/>
      <c r="E1748" s="9"/>
      <c r="F1748" s="9"/>
      <c r="G1748" s="9"/>
      <c r="H1748" s="9"/>
      <c r="I1748" s="9"/>
      <c r="J1748" s="9"/>
      <c r="K1748" s="9"/>
      <c r="L1748" s="9"/>
      <c r="M1748" s="10"/>
      <c r="N1748" s="10"/>
      <c r="O1748" s="10"/>
      <c r="P1748" s="10"/>
      <c r="Q1748" s="10"/>
      <c r="R1748" s="9"/>
      <c r="S1748" s="9"/>
      <c r="T1748" s="12"/>
      <c r="U1748" s="12"/>
      <c r="V1748" s="12"/>
      <c r="W1748" s="10"/>
      <c r="X1748" s="10"/>
      <c r="Y1748" s="9"/>
      <c r="Z1748" s="9"/>
      <c r="AA1748" s="9"/>
      <c r="AB1748" s="9"/>
    </row>
    <row r="1749" ht="30.0" customHeight="1">
      <c r="A1749" s="17" t="s">
        <v>1</v>
      </c>
      <c r="B1749" s="8"/>
      <c r="C1749" s="9"/>
      <c r="D1749" s="9"/>
      <c r="E1749" s="9"/>
      <c r="F1749" s="9"/>
      <c r="G1749" s="9"/>
      <c r="H1749" s="9"/>
      <c r="I1749" s="9"/>
      <c r="J1749" s="9"/>
      <c r="K1749" s="9"/>
      <c r="L1749" s="9"/>
      <c r="M1749" s="10"/>
      <c r="N1749" s="10"/>
      <c r="O1749" s="10"/>
      <c r="P1749" s="10"/>
      <c r="Q1749" s="10"/>
      <c r="R1749" s="9"/>
      <c r="S1749" s="9"/>
      <c r="T1749" s="12"/>
      <c r="U1749" s="12"/>
      <c r="V1749" s="12"/>
      <c r="W1749" s="10"/>
      <c r="X1749" s="10"/>
      <c r="Y1749" s="9"/>
      <c r="Z1749" s="9"/>
      <c r="AA1749" s="9"/>
      <c r="AB1749" s="9"/>
    </row>
    <row r="1750" ht="30.0" customHeight="1">
      <c r="A1750" s="17" t="s">
        <v>1</v>
      </c>
      <c r="B1750" s="8"/>
      <c r="C1750" s="9"/>
      <c r="D1750" s="9"/>
      <c r="E1750" s="9"/>
      <c r="F1750" s="9"/>
      <c r="G1750" s="9"/>
      <c r="H1750" s="9"/>
      <c r="I1750" s="9"/>
      <c r="J1750" s="9"/>
      <c r="K1750" s="9"/>
      <c r="L1750" s="9"/>
      <c r="M1750" s="10"/>
      <c r="N1750" s="10"/>
      <c r="O1750" s="10"/>
      <c r="P1750" s="10"/>
      <c r="Q1750" s="10"/>
      <c r="R1750" s="9"/>
      <c r="S1750" s="9"/>
      <c r="T1750" s="12"/>
      <c r="U1750" s="12"/>
      <c r="V1750" s="12"/>
      <c r="W1750" s="10"/>
      <c r="X1750" s="10"/>
      <c r="Y1750" s="9"/>
      <c r="Z1750" s="9"/>
      <c r="AA1750" s="9"/>
      <c r="AB1750" s="9"/>
    </row>
    <row r="1751" ht="30.0" customHeight="1">
      <c r="A1751" s="17" t="s">
        <v>1</v>
      </c>
      <c r="B1751" s="8"/>
      <c r="C1751" s="9"/>
      <c r="D1751" s="9"/>
      <c r="E1751" s="9"/>
      <c r="F1751" s="9"/>
      <c r="G1751" s="9"/>
      <c r="H1751" s="9"/>
      <c r="I1751" s="9"/>
      <c r="J1751" s="9"/>
      <c r="K1751" s="9"/>
      <c r="L1751" s="9"/>
      <c r="M1751" s="10"/>
      <c r="N1751" s="10"/>
      <c r="O1751" s="10"/>
      <c r="P1751" s="10"/>
      <c r="Q1751" s="10"/>
      <c r="R1751" s="9"/>
      <c r="S1751" s="9"/>
      <c r="T1751" s="12"/>
      <c r="U1751" s="12"/>
      <c r="V1751" s="12"/>
      <c r="W1751" s="10"/>
      <c r="X1751" s="10"/>
      <c r="Y1751" s="9"/>
      <c r="Z1751" s="9"/>
      <c r="AA1751" s="9"/>
      <c r="AB1751" s="9"/>
    </row>
    <row r="1752" ht="30.0" customHeight="1">
      <c r="A1752" s="17" t="s">
        <v>1</v>
      </c>
      <c r="B1752" s="8"/>
      <c r="C1752" s="9"/>
      <c r="D1752" s="9"/>
      <c r="E1752" s="9"/>
      <c r="F1752" s="9"/>
      <c r="G1752" s="9"/>
      <c r="H1752" s="9"/>
      <c r="I1752" s="9"/>
      <c r="J1752" s="9"/>
      <c r="K1752" s="9"/>
      <c r="L1752" s="9"/>
      <c r="M1752" s="10"/>
      <c r="N1752" s="10"/>
      <c r="O1752" s="10"/>
      <c r="P1752" s="10"/>
      <c r="Q1752" s="10"/>
      <c r="R1752" s="9"/>
      <c r="S1752" s="9"/>
      <c r="T1752" s="12"/>
      <c r="U1752" s="12"/>
      <c r="V1752" s="12"/>
      <c r="W1752" s="10"/>
      <c r="X1752" s="10"/>
      <c r="Y1752" s="9"/>
      <c r="Z1752" s="9"/>
      <c r="AA1752" s="9"/>
      <c r="AB1752" s="9"/>
    </row>
    <row r="1753" ht="30.0" customHeight="1">
      <c r="A1753" s="17" t="s">
        <v>1</v>
      </c>
      <c r="B1753" s="8"/>
      <c r="C1753" s="9"/>
      <c r="D1753" s="9"/>
      <c r="E1753" s="9"/>
      <c r="F1753" s="9"/>
      <c r="G1753" s="9"/>
      <c r="H1753" s="9"/>
      <c r="I1753" s="9"/>
      <c r="J1753" s="9"/>
      <c r="K1753" s="9"/>
      <c r="L1753" s="9"/>
      <c r="M1753" s="10"/>
      <c r="N1753" s="10"/>
      <c r="O1753" s="10"/>
      <c r="P1753" s="10"/>
      <c r="Q1753" s="10"/>
      <c r="R1753" s="9"/>
      <c r="S1753" s="9"/>
      <c r="T1753" s="12"/>
      <c r="U1753" s="12"/>
      <c r="V1753" s="12"/>
      <c r="W1753" s="10"/>
      <c r="X1753" s="10"/>
      <c r="Y1753" s="9"/>
      <c r="Z1753" s="9"/>
      <c r="AA1753" s="9"/>
      <c r="AB1753" s="9"/>
    </row>
    <row r="1754" ht="30.0" customHeight="1">
      <c r="A1754" s="17" t="s">
        <v>1</v>
      </c>
      <c r="B1754" s="8"/>
      <c r="C1754" s="9"/>
      <c r="D1754" s="9"/>
      <c r="E1754" s="9"/>
      <c r="F1754" s="9"/>
      <c r="G1754" s="9"/>
      <c r="H1754" s="9"/>
      <c r="I1754" s="9"/>
      <c r="J1754" s="9"/>
      <c r="K1754" s="9"/>
      <c r="L1754" s="9"/>
      <c r="M1754" s="10"/>
      <c r="N1754" s="10"/>
      <c r="O1754" s="10"/>
      <c r="P1754" s="10"/>
      <c r="Q1754" s="10"/>
      <c r="R1754" s="9"/>
      <c r="S1754" s="9"/>
      <c r="T1754" s="12"/>
      <c r="U1754" s="12"/>
      <c r="V1754" s="12"/>
      <c r="W1754" s="10"/>
      <c r="X1754" s="10"/>
      <c r="Y1754" s="9"/>
      <c r="Z1754" s="9"/>
      <c r="AA1754" s="9"/>
      <c r="AB1754" s="9"/>
    </row>
    <row r="1755" ht="30.0" customHeight="1">
      <c r="A1755" s="17" t="s">
        <v>1</v>
      </c>
      <c r="B1755" s="8"/>
      <c r="C1755" s="9"/>
      <c r="D1755" s="9"/>
      <c r="E1755" s="9"/>
      <c r="F1755" s="9"/>
      <c r="G1755" s="9"/>
      <c r="H1755" s="9"/>
      <c r="I1755" s="9"/>
      <c r="J1755" s="9"/>
      <c r="K1755" s="9"/>
      <c r="L1755" s="9"/>
      <c r="M1755" s="10"/>
      <c r="N1755" s="10"/>
      <c r="O1755" s="10"/>
      <c r="P1755" s="10"/>
      <c r="Q1755" s="10"/>
      <c r="R1755" s="9"/>
      <c r="S1755" s="9"/>
      <c r="T1755" s="12"/>
      <c r="U1755" s="12"/>
      <c r="V1755" s="12"/>
      <c r="W1755" s="10"/>
      <c r="X1755" s="10"/>
      <c r="Y1755" s="9"/>
      <c r="Z1755" s="9"/>
      <c r="AA1755" s="9"/>
      <c r="AB1755" s="9"/>
    </row>
    <row r="1756" ht="30.0" customHeight="1">
      <c r="A1756" s="17" t="s">
        <v>1</v>
      </c>
      <c r="B1756" s="8"/>
      <c r="C1756" s="9"/>
      <c r="D1756" s="9"/>
      <c r="E1756" s="9"/>
      <c r="F1756" s="9"/>
      <c r="G1756" s="9"/>
      <c r="H1756" s="9"/>
      <c r="I1756" s="9"/>
      <c r="J1756" s="9"/>
      <c r="K1756" s="9"/>
      <c r="L1756" s="9"/>
      <c r="M1756" s="10"/>
      <c r="N1756" s="10"/>
      <c r="O1756" s="10"/>
      <c r="P1756" s="10"/>
      <c r="Q1756" s="10"/>
      <c r="R1756" s="9"/>
      <c r="S1756" s="9"/>
      <c r="T1756" s="12"/>
      <c r="U1756" s="12"/>
      <c r="V1756" s="12"/>
      <c r="W1756" s="10"/>
      <c r="X1756" s="10"/>
      <c r="Y1756" s="9"/>
      <c r="Z1756" s="9"/>
      <c r="AA1756" s="9"/>
      <c r="AB1756" s="9"/>
    </row>
    <row r="1757" ht="30.0" customHeight="1">
      <c r="A1757" s="17" t="s">
        <v>1</v>
      </c>
      <c r="B1757" s="8"/>
      <c r="C1757" s="9"/>
      <c r="D1757" s="9"/>
      <c r="E1757" s="9"/>
      <c r="F1757" s="9"/>
      <c r="G1757" s="9"/>
      <c r="H1757" s="9"/>
      <c r="I1757" s="9"/>
      <c r="J1757" s="9"/>
      <c r="K1757" s="9"/>
      <c r="L1757" s="9"/>
      <c r="M1757" s="10"/>
      <c r="N1757" s="10"/>
      <c r="O1757" s="10"/>
      <c r="P1757" s="10"/>
      <c r="Q1757" s="10"/>
      <c r="R1757" s="9"/>
      <c r="S1757" s="9"/>
      <c r="T1757" s="12"/>
      <c r="U1757" s="12"/>
      <c r="V1757" s="12"/>
      <c r="W1757" s="10"/>
      <c r="X1757" s="10"/>
      <c r="Y1757" s="9"/>
      <c r="Z1757" s="9"/>
      <c r="AA1757" s="9"/>
      <c r="AB1757" s="9"/>
    </row>
    <row r="1758" ht="30.0" customHeight="1">
      <c r="A1758" s="17" t="s">
        <v>1</v>
      </c>
      <c r="B1758" s="8"/>
      <c r="C1758" s="9"/>
      <c r="D1758" s="9"/>
      <c r="E1758" s="9"/>
      <c r="F1758" s="9"/>
      <c r="G1758" s="9"/>
      <c r="H1758" s="9"/>
      <c r="I1758" s="9"/>
      <c r="J1758" s="9"/>
      <c r="K1758" s="9"/>
      <c r="L1758" s="9"/>
      <c r="M1758" s="10"/>
      <c r="N1758" s="10"/>
      <c r="O1758" s="10"/>
      <c r="P1758" s="10"/>
      <c r="Q1758" s="10"/>
      <c r="R1758" s="9"/>
      <c r="S1758" s="9"/>
      <c r="T1758" s="12"/>
      <c r="U1758" s="12"/>
      <c r="V1758" s="12"/>
      <c r="W1758" s="10"/>
      <c r="X1758" s="10"/>
      <c r="Y1758" s="9"/>
      <c r="Z1758" s="9"/>
      <c r="AA1758" s="9"/>
      <c r="AB1758" s="9"/>
    </row>
    <row r="1759" ht="30.0" customHeight="1">
      <c r="A1759" s="17" t="s">
        <v>1</v>
      </c>
      <c r="B1759" s="8"/>
      <c r="C1759" s="9"/>
      <c r="D1759" s="9"/>
      <c r="E1759" s="9"/>
      <c r="F1759" s="9"/>
      <c r="G1759" s="9"/>
      <c r="H1759" s="9"/>
      <c r="I1759" s="9"/>
      <c r="J1759" s="9"/>
      <c r="K1759" s="9"/>
      <c r="L1759" s="9"/>
      <c r="M1759" s="10"/>
      <c r="N1759" s="10"/>
      <c r="O1759" s="10"/>
      <c r="P1759" s="10"/>
      <c r="Q1759" s="10"/>
      <c r="R1759" s="9"/>
      <c r="S1759" s="9"/>
      <c r="T1759" s="12"/>
      <c r="U1759" s="12"/>
      <c r="V1759" s="12"/>
      <c r="W1759" s="10"/>
      <c r="X1759" s="10"/>
      <c r="Y1759" s="9"/>
      <c r="Z1759" s="9"/>
      <c r="AA1759" s="9"/>
      <c r="AB1759" s="9"/>
    </row>
    <row r="1760" ht="30.0" customHeight="1">
      <c r="A1760" s="17" t="s">
        <v>1</v>
      </c>
      <c r="B1760" s="8"/>
      <c r="C1760" s="9"/>
      <c r="D1760" s="9"/>
      <c r="E1760" s="9"/>
      <c r="F1760" s="9"/>
      <c r="G1760" s="9"/>
      <c r="H1760" s="9"/>
      <c r="I1760" s="9"/>
      <c r="J1760" s="9"/>
      <c r="K1760" s="9"/>
      <c r="L1760" s="9"/>
      <c r="M1760" s="10"/>
      <c r="N1760" s="10"/>
      <c r="O1760" s="10"/>
      <c r="P1760" s="10"/>
      <c r="Q1760" s="10"/>
      <c r="R1760" s="9"/>
      <c r="S1760" s="9"/>
      <c r="T1760" s="12"/>
      <c r="U1760" s="12"/>
      <c r="V1760" s="12"/>
      <c r="W1760" s="10"/>
      <c r="X1760" s="10"/>
      <c r="Y1760" s="9"/>
      <c r="Z1760" s="9"/>
      <c r="AA1760" s="9"/>
      <c r="AB1760" s="9"/>
    </row>
    <row r="1761" ht="30.0" customHeight="1">
      <c r="A1761" s="17" t="s">
        <v>1</v>
      </c>
      <c r="B1761" s="8"/>
      <c r="C1761" s="9"/>
      <c r="D1761" s="9"/>
      <c r="E1761" s="9"/>
      <c r="F1761" s="9"/>
      <c r="G1761" s="9"/>
      <c r="H1761" s="9"/>
      <c r="I1761" s="9"/>
      <c r="J1761" s="9"/>
      <c r="K1761" s="9"/>
      <c r="L1761" s="9"/>
      <c r="M1761" s="10"/>
      <c r="N1761" s="10"/>
      <c r="O1761" s="10"/>
      <c r="P1761" s="10"/>
      <c r="Q1761" s="10"/>
      <c r="R1761" s="9"/>
      <c r="S1761" s="9"/>
      <c r="T1761" s="12"/>
      <c r="U1761" s="12"/>
      <c r="V1761" s="12"/>
      <c r="W1761" s="10"/>
      <c r="X1761" s="10"/>
      <c r="Y1761" s="9"/>
      <c r="Z1761" s="9"/>
      <c r="AA1761" s="9"/>
      <c r="AB1761" s="9"/>
    </row>
    <row r="1762" ht="30.0" customHeight="1">
      <c r="A1762" s="17" t="s">
        <v>1</v>
      </c>
      <c r="B1762" s="8"/>
      <c r="C1762" s="9"/>
      <c r="D1762" s="9"/>
      <c r="E1762" s="9"/>
      <c r="F1762" s="9"/>
      <c r="G1762" s="9"/>
      <c r="H1762" s="9"/>
      <c r="I1762" s="9"/>
      <c r="J1762" s="9"/>
      <c r="K1762" s="9"/>
      <c r="L1762" s="9"/>
      <c r="M1762" s="10"/>
      <c r="N1762" s="10"/>
      <c r="O1762" s="10"/>
      <c r="P1762" s="10"/>
      <c r="Q1762" s="10"/>
      <c r="R1762" s="9"/>
      <c r="S1762" s="9"/>
      <c r="T1762" s="12"/>
      <c r="U1762" s="12"/>
      <c r="V1762" s="12"/>
      <c r="W1762" s="10"/>
      <c r="X1762" s="10"/>
      <c r="Y1762" s="9"/>
      <c r="Z1762" s="9"/>
      <c r="AA1762" s="9"/>
      <c r="AB1762" s="9"/>
    </row>
    <row r="1763" ht="30.0" customHeight="1">
      <c r="A1763" s="17" t="s">
        <v>1</v>
      </c>
      <c r="B1763" s="8"/>
      <c r="C1763" s="9"/>
      <c r="D1763" s="9"/>
      <c r="E1763" s="9"/>
      <c r="F1763" s="9"/>
      <c r="G1763" s="9"/>
      <c r="H1763" s="9"/>
      <c r="I1763" s="9"/>
      <c r="J1763" s="9"/>
      <c r="K1763" s="9"/>
      <c r="L1763" s="9"/>
      <c r="M1763" s="10"/>
      <c r="N1763" s="10"/>
      <c r="O1763" s="10"/>
      <c r="P1763" s="10"/>
      <c r="Q1763" s="10"/>
      <c r="R1763" s="9"/>
      <c r="S1763" s="9"/>
      <c r="T1763" s="12"/>
      <c r="U1763" s="12"/>
      <c r="V1763" s="12"/>
      <c r="W1763" s="10"/>
      <c r="X1763" s="10"/>
      <c r="Y1763" s="9"/>
      <c r="Z1763" s="9"/>
      <c r="AA1763" s="9"/>
      <c r="AB1763" s="9"/>
    </row>
    <row r="1764" ht="30.0" customHeight="1">
      <c r="A1764" s="17" t="s">
        <v>1</v>
      </c>
      <c r="B1764" s="8"/>
      <c r="C1764" s="9"/>
      <c r="D1764" s="9"/>
      <c r="E1764" s="9"/>
      <c r="F1764" s="9"/>
      <c r="G1764" s="9"/>
      <c r="H1764" s="9"/>
      <c r="I1764" s="9"/>
      <c r="J1764" s="9"/>
      <c r="K1764" s="9"/>
      <c r="L1764" s="9"/>
      <c r="M1764" s="10"/>
      <c r="N1764" s="10"/>
      <c r="O1764" s="10"/>
      <c r="P1764" s="10"/>
      <c r="Q1764" s="10"/>
      <c r="R1764" s="9"/>
      <c r="S1764" s="9"/>
      <c r="T1764" s="12"/>
      <c r="U1764" s="12"/>
      <c r="V1764" s="12"/>
      <c r="W1764" s="10"/>
      <c r="X1764" s="10"/>
      <c r="Y1764" s="9"/>
      <c r="Z1764" s="9"/>
      <c r="AA1764" s="9"/>
      <c r="AB1764" s="9"/>
    </row>
    <row r="1765" ht="30.0" customHeight="1">
      <c r="A1765" s="17" t="s">
        <v>1</v>
      </c>
      <c r="B1765" s="8"/>
      <c r="C1765" s="9"/>
      <c r="D1765" s="9"/>
      <c r="E1765" s="9"/>
      <c r="F1765" s="9"/>
      <c r="G1765" s="9"/>
      <c r="H1765" s="9"/>
      <c r="I1765" s="9"/>
      <c r="J1765" s="9"/>
      <c r="K1765" s="9"/>
      <c r="L1765" s="9"/>
      <c r="M1765" s="10"/>
      <c r="N1765" s="10"/>
      <c r="O1765" s="10"/>
      <c r="P1765" s="10"/>
      <c r="Q1765" s="10"/>
      <c r="R1765" s="9"/>
      <c r="S1765" s="9"/>
      <c r="T1765" s="12"/>
      <c r="U1765" s="12"/>
      <c r="V1765" s="12"/>
      <c r="W1765" s="10"/>
      <c r="X1765" s="10"/>
      <c r="Y1765" s="9"/>
      <c r="Z1765" s="9"/>
      <c r="AA1765" s="9"/>
      <c r="AB1765" s="9"/>
    </row>
    <row r="1766" ht="30.0" customHeight="1">
      <c r="A1766" s="17" t="s">
        <v>1</v>
      </c>
      <c r="B1766" s="8"/>
      <c r="C1766" s="9"/>
      <c r="D1766" s="9"/>
      <c r="E1766" s="9"/>
      <c r="F1766" s="9"/>
      <c r="G1766" s="9"/>
      <c r="H1766" s="9"/>
      <c r="I1766" s="9"/>
      <c r="J1766" s="9"/>
      <c r="K1766" s="9"/>
      <c r="L1766" s="9"/>
      <c r="M1766" s="10"/>
      <c r="N1766" s="10"/>
      <c r="O1766" s="10"/>
      <c r="P1766" s="10"/>
      <c r="Q1766" s="10"/>
      <c r="R1766" s="9"/>
      <c r="S1766" s="9"/>
      <c r="T1766" s="12"/>
      <c r="U1766" s="12"/>
      <c r="V1766" s="12"/>
      <c r="W1766" s="10"/>
      <c r="X1766" s="10"/>
      <c r="Y1766" s="9"/>
      <c r="Z1766" s="9"/>
      <c r="AA1766" s="9"/>
      <c r="AB1766" s="9"/>
    </row>
    <row r="1767" ht="30.0" customHeight="1">
      <c r="A1767" s="17" t="s">
        <v>1</v>
      </c>
      <c r="B1767" s="8"/>
      <c r="C1767" s="9"/>
      <c r="D1767" s="9"/>
      <c r="E1767" s="9"/>
      <c r="F1767" s="9"/>
      <c r="G1767" s="9"/>
      <c r="H1767" s="9"/>
      <c r="I1767" s="9"/>
      <c r="J1767" s="9"/>
      <c r="K1767" s="9"/>
      <c r="L1767" s="9"/>
      <c r="M1767" s="10"/>
      <c r="N1767" s="10"/>
      <c r="O1767" s="10"/>
      <c r="P1767" s="10"/>
      <c r="Q1767" s="10"/>
      <c r="R1767" s="9"/>
      <c r="S1767" s="9"/>
      <c r="T1767" s="12"/>
      <c r="U1767" s="12"/>
      <c r="V1767" s="12"/>
      <c r="W1767" s="10"/>
      <c r="X1767" s="10"/>
      <c r="Y1767" s="9"/>
      <c r="Z1767" s="9"/>
      <c r="AA1767" s="9"/>
      <c r="AB1767" s="9"/>
    </row>
    <row r="1768" ht="30.0" customHeight="1">
      <c r="A1768" s="17" t="s">
        <v>1</v>
      </c>
      <c r="B1768" s="8"/>
      <c r="C1768" s="9"/>
      <c r="D1768" s="9"/>
      <c r="E1768" s="9"/>
      <c r="F1768" s="9"/>
      <c r="G1768" s="9"/>
      <c r="H1768" s="9"/>
      <c r="I1768" s="9"/>
      <c r="J1768" s="9"/>
      <c r="K1768" s="9"/>
      <c r="L1768" s="9"/>
      <c r="M1768" s="10"/>
      <c r="N1768" s="10"/>
      <c r="O1768" s="10"/>
      <c r="P1768" s="10"/>
      <c r="Q1768" s="10"/>
      <c r="R1768" s="9"/>
      <c r="S1768" s="9"/>
      <c r="T1768" s="12"/>
      <c r="U1768" s="12"/>
      <c r="V1768" s="12"/>
      <c r="W1768" s="10"/>
      <c r="X1768" s="10"/>
      <c r="Y1768" s="9"/>
      <c r="Z1768" s="9"/>
      <c r="AA1768" s="9"/>
      <c r="AB1768" s="9"/>
    </row>
    <row r="1769" ht="30.0" customHeight="1">
      <c r="A1769" s="17" t="s">
        <v>1</v>
      </c>
      <c r="B1769" s="8"/>
      <c r="C1769" s="9"/>
      <c r="D1769" s="9"/>
      <c r="E1769" s="9"/>
      <c r="F1769" s="9"/>
      <c r="G1769" s="9"/>
      <c r="H1769" s="9"/>
      <c r="I1769" s="9"/>
      <c r="J1769" s="9"/>
      <c r="K1769" s="9"/>
      <c r="L1769" s="9"/>
      <c r="M1769" s="10"/>
      <c r="N1769" s="10"/>
      <c r="O1769" s="10"/>
      <c r="P1769" s="10"/>
      <c r="Q1769" s="10"/>
      <c r="R1769" s="9"/>
      <c r="S1769" s="9"/>
      <c r="T1769" s="12"/>
      <c r="U1769" s="12"/>
      <c r="V1769" s="12"/>
      <c r="W1769" s="10"/>
      <c r="X1769" s="10"/>
      <c r="Y1769" s="9"/>
      <c r="Z1769" s="9"/>
      <c r="AA1769" s="9"/>
      <c r="AB1769" s="9"/>
    </row>
    <row r="1770" ht="30.0" customHeight="1">
      <c r="A1770" s="17" t="s">
        <v>1</v>
      </c>
      <c r="B1770" s="8"/>
      <c r="C1770" s="9"/>
      <c r="D1770" s="9"/>
      <c r="E1770" s="9"/>
      <c r="F1770" s="9"/>
      <c r="G1770" s="9"/>
      <c r="H1770" s="9"/>
      <c r="I1770" s="9"/>
      <c r="J1770" s="9"/>
      <c r="K1770" s="9"/>
      <c r="L1770" s="9"/>
      <c r="M1770" s="10"/>
      <c r="N1770" s="10"/>
      <c r="O1770" s="10"/>
      <c r="P1770" s="10"/>
      <c r="Q1770" s="10"/>
      <c r="R1770" s="9"/>
      <c r="S1770" s="9"/>
      <c r="T1770" s="12"/>
      <c r="U1770" s="12"/>
      <c r="V1770" s="12"/>
      <c r="W1770" s="10"/>
      <c r="X1770" s="10"/>
      <c r="Y1770" s="9"/>
      <c r="Z1770" s="9"/>
      <c r="AA1770" s="9"/>
      <c r="AB1770" s="9"/>
    </row>
    <row r="1771" ht="30.0" customHeight="1">
      <c r="A1771" s="17" t="s">
        <v>1</v>
      </c>
      <c r="B1771" s="8"/>
      <c r="C1771" s="9"/>
      <c r="D1771" s="9"/>
      <c r="E1771" s="9"/>
      <c r="F1771" s="9"/>
      <c r="G1771" s="9"/>
      <c r="H1771" s="9"/>
      <c r="I1771" s="9"/>
      <c r="J1771" s="9"/>
      <c r="K1771" s="9"/>
      <c r="L1771" s="9"/>
      <c r="M1771" s="10"/>
      <c r="N1771" s="10"/>
      <c r="O1771" s="10"/>
      <c r="P1771" s="10"/>
      <c r="Q1771" s="10"/>
      <c r="R1771" s="9"/>
      <c r="S1771" s="9"/>
      <c r="T1771" s="12"/>
      <c r="U1771" s="12"/>
      <c r="V1771" s="12"/>
      <c r="W1771" s="10"/>
      <c r="X1771" s="10"/>
      <c r="Y1771" s="9"/>
      <c r="Z1771" s="9"/>
      <c r="AA1771" s="9"/>
      <c r="AB1771" s="9"/>
    </row>
    <row r="1772" ht="30.0" customHeight="1">
      <c r="A1772" s="17" t="s">
        <v>1</v>
      </c>
      <c r="B1772" s="8"/>
      <c r="C1772" s="9"/>
      <c r="D1772" s="9"/>
      <c r="E1772" s="9"/>
      <c r="F1772" s="9"/>
      <c r="G1772" s="9"/>
      <c r="H1772" s="9"/>
      <c r="I1772" s="9"/>
      <c r="J1772" s="9"/>
      <c r="K1772" s="9"/>
      <c r="L1772" s="9"/>
      <c r="M1772" s="10"/>
      <c r="N1772" s="10"/>
      <c r="O1772" s="10"/>
      <c r="P1772" s="10"/>
      <c r="Q1772" s="10"/>
      <c r="R1772" s="9"/>
      <c r="S1772" s="9"/>
      <c r="T1772" s="12"/>
      <c r="U1772" s="12"/>
      <c r="V1772" s="12"/>
      <c r="W1772" s="10"/>
      <c r="X1772" s="10"/>
      <c r="Y1772" s="9"/>
      <c r="Z1772" s="9"/>
      <c r="AA1772" s="9"/>
      <c r="AB1772" s="9"/>
    </row>
    <row r="1773" ht="30.0" customHeight="1">
      <c r="A1773" s="17" t="s">
        <v>1</v>
      </c>
      <c r="B1773" s="8"/>
      <c r="C1773" s="9"/>
      <c r="D1773" s="9"/>
      <c r="E1773" s="9"/>
      <c r="F1773" s="9"/>
      <c r="G1773" s="9"/>
      <c r="H1773" s="9"/>
      <c r="I1773" s="9"/>
      <c r="J1773" s="9"/>
      <c r="K1773" s="9"/>
      <c r="L1773" s="9"/>
      <c r="M1773" s="10"/>
      <c r="N1773" s="10"/>
      <c r="O1773" s="10"/>
      <c r="P1773" s="10"/>
      <c r="Q1773" s="10"/>
      <c r="R1773" s="9"/>
      <c r="S1773" s="9"/>
      <c r="T1773" s="12"/>
      <c r="U1773" s="12"/>
      <c r="V1773" s="12"/>
      <c r="W1773" s="10"/>
      <c r="X1773" s="10"/>
      <c r="Y1773" s="9"/>
      <c r="Z1773" s="9"/>
      <c r="AA1773" s="9"/>
      <c r="AB1773" s="9"/>
    </row>
    <row r="1774" ht="30.0" customHeight="1">
      <c r="A1774" s="17" t="s">
        <v>1</v>
      </c>
      <c r="B1774" s="8"/>
      <c r="C1774" s="9"/>
      <c r="D1774" s="9"/>
      <c r="E1774" s="9"/>
      <c r="F1774" s="9"/>
      <c r="G1774" s="9"/>
      <c r="H1774" s="9"/>
      <c r="I1774" s="9"/>
      <c r="J1774" s="9"/>
      <c r="K1774" s="9"/>
      <c r="L1774" s="9"/>
      <c r="M1774" s="10"/>
      <c r="N1774" s="10"/>
      <c r="O1774" s="10"/>
      <c r="P1774" s="10"/>
      <c r="Q1774" s="10"/>
      <c r="R1774" s="9"/>
      <c r="S1774" s="9"/>
      <c r="T1774" s="12"/>
      <c r="U1774" s="12"/>
      <c r="V1774" s="12"/>
      <c r="W1774" s="10"/>
      <c r="X1774" s="10"/>
      <c r="Y1774" s="9"/>
      <c r="Z1774" s="9"/>
      <c r="AA1774" s="9"/>
      <c r="AB1774" s="9"/>
    </row>
    <row r="1775" ht="30.0" customHeight="1">
      <c r="A1775" s="17" t="s">
        <v>1</v>
      </c>
      <c r="B1775" s="8"/>
      <c r="C1775" s="9"/>
      <c r="D1775" s="9"/>
      <c r="E1775" s="9"/>
      <c r="F1775" s="9"/>
      <c r="G1775" s="9"/>
      <c r="H1775" s="9"/>
      <c r="I1775" s="9"/>
      <c r="J1775" s="9"/>
      <c r="K1775" s="9"/>
      <c r="L1775" s="9"/>
      <c r="M1775" s="10"/>
      <c r="N1775" s="10"/>
      <c r="O1775" s="10"/>
      <c r="P1775" s="10"/>
      <c r="Q1775" s="10"/>
      <c r="R1775" s="9"/>
      <c r="S1775" s="9"/>
      <c r="T1775" s="12"/>
      <c r="U1775" s="12"/>
      <c r="V1775" s="12"/>
      <c r="W1775" s="10"/>
      <c r="X1775" s="10"/>
      <c r="Y1775" s="9"/>
      <c r="Z1775" s="9"/>
      <c r="AA1775" s="9"/>
      <c r="AB1775" s="9"/>
    </row>
    <row r="1776" ht="30.0" customHeight="1">
      <c r="A1776" s="17" t="s">
        <v>1</v>
      </c>
      <c r="B1776" s="8"/>
      <c r="C1776" s="9"/>
      <c r="D1776" s="9"/>
      <c r="E1776" s="9"/>
      <c r="F1776" s="9"/>
      <c r="G1776" s="9"/>
      <c r="H1776" s="9"/>
      <c r="I1776" s="9"/>
      <c r="J1776" s="9"/>
      <c r="K1776" s="9"/>
      <c r="L1776" s="9"/>
      <c r="M1776" s="10"/>
      <c r="N1776" s="10"/>
      <c r="O1776" s="10"/>
      <c r="P1776" s="10"/>
      <c r="Q1776" s="10"/>
      <c r="R1776" s="9"/>
      <c r="S1776" s="9"/>
      <c r="T1776" s="12"/>
      <c r="U1776" s="12"/>
      <c r="V1776" s="12"/>
      <c r="W1776" s="10"/>
      <c r="X1776" s="10"/>
      <c r="Y1776" s="9"/>
      <c r="Z1776" s="9"/>
      <c r="AA1776" s="9"/>
      <c r="AB1776" s="9"/>
    </row>
    <row r="1777" ht="30.0" customHeight="1">
      <c r="A1777" s="17" t="s">
        <v>1</v>
      </c>
      <c r="B1777" s="8"/>
      <c r="C1777" s="9"/>
      <c r="D1777" s="9"/>
      <c r="E1777" s="9"/>
      <c r="F1777" s="9"/>
      <c r="G1777" s="9"/>
      <c r="H1777" s="9"/>
      <c r="I1777" s="9"/>
      <c r="J1777" s="9"/>
      <c r="K1777" s="9"/>
      <c r="L1777" s="9"/>
      <c r="M1777" s="10"/>
      <c r="N1777" s="10"/>
      <c r="O1777" s="10"/>
      <c r="P1777" s="10"/>
      <c r="Q1777" s="10"/>
      <c r="R1777" s="9"/>
      <c r="S1777" s="9"/>
      <c r="T1777" s="12"/>
      <c r="U1777" s="12"/>
      <c r="V1777" s="12"/>
      <c r="W1777" s="10"/>
      <c r="X1777" s="10"/>
      <c r="Y1777" s="9"/>
      <c r="Z1777" s="9"/>
      <c r="AA1777" s="9"/>
      <c r="AB1777" s="9"/>
    </row>
    <row r="1778" ht="30.0" customHeight="1">
      <c r="A1778" s="17" t="s">
        <v>1</v>
      </c>
      <c r="B1778" s="8"/>
      <c r="C1778" s="9"/>
      <c r="D1778" s="9"/>
      <c r="E1778" s="9"/>
      <c r="F1778" s="9"/>
      <c r="G1778" s="9"/>
      <c r="H1778" s="9"/>
      <c r="I1778" s="9"/>
      <c r="J1778" s="9"/>
      <c r="K1778" s="9"/>
      <c r="L1778" s="9"/>
      <c r="M1778" s="10"/>
      <c r="N1778" s="10"/>
      <c r="O1778" s="10"/>
      <c r="P1778" s="10"/>
      <c r="Q1778" s="10"/>
      <c r="R1778" s="9"/>
      <c r="S1778" s="9"/>
      <c r="T1778" s="12"/>
      <c r="U1778" s="12"/>
      <c r="V1778" s="12"/>
      <c r="W1778" s="10"/>
      <c r="X1778" s="10"/>
      <c r="Y1778" s="9"/>
      <c r="Z1778" s="9"/>
      <c r="AA1778" s="9"/>
      <c r="AB1778" s="9"/>
    </row>
    <row r="1779" ht="30.0" customHeight="1">
      <c r="A1779" s="17" t="s">
        <v>1</v>
      </c>
      <c r="B1779" s="8"/>
      <c r="C1779" s="9"/>
      <c r="D1779" s="9"/>
      <c r="E1779" s="9"/>
      <c r="F1779" s="9"/>
      <c r="G1779" s="9"/>
      <c r="H1779" s="9"/>
      <c r="I1779" s="9"/>
      <c r="J1779" s="9"/>
      <c r="K1779" s="9"/>
      <c r="L1779" s="9"/>
      <c r="M1779" s="10"/>
      <c r="N1779" s="10"/>
      <c r="O1779" s="10"/>
      <c r="P1779" s="10"/>
      <c r="Q1779" s="10"/>
      <c r="R1779" s="9"/>
      <c r="S1779" s="9"/>
      <c r="T1779" s="12"/>
      <c r="U1779" s="12"/>
      <c r="V1779" s="12"/>
      <c r="W1779" s="10"/>
      <c r="X1779" s="10"/>
      <c r="Y1779" s="9"/>
      <c r="Z1779" s="9"/>
      <c r="AA1779" s="9"/>
      <c r="AB1779" s="9"/>
    </row>
    <row r="1780" ht="30.0" customHeight="1">
      <c r="A1780" s="17" t="s">
        <v>1</v>
      </c>
      <c r="B1780" s="8"/>
      <c r="C1780" s="9"/>
      <c r="D1780" s="9"/>
      <c r="E1780" s="9"/>
      <c r="F1780" s="9"/>
      <c r="G1780" s="9"/>
      <c r="H1780" s="9"/>
      <c r="I1780" s="9"/>
      <c r="J1780" s="9"/>
      <c r="K1780" s="9"/>
      <c r="L1780" s="9"/>
      <c r="M1780" s="10"/>
      <c r="N1780" s="10"/>
      <c r="O1780" s="10"/>
      <c r="P1780" s="10"/>
      <c r="Q1780" s="10"/>
      <c r="R1780" s="9"/>
      <c r="S1780" s="9"/>
      <c r="T1780" s="12"/>
      <c r="U1780" s="12"/>
      <c r="V1780" s="12"/>
      <c r="W1780" s="10"/>
      <c r="X1780" s="10"/>
      <c r="Y1780" s="9"/>
      <c r="Z1780" s="9"/>
      <c r="AA1780" s="9"/>
      <c r="AB1780" s="9"/>
    </row>
    <row r="1781" ht="30.0" customHeight="1">
      <c r="A1781" s="17" t="s">
        <v>1</v>
      </c>
      <c r="B1781" s="8"/>
      <c r="C1781" s="9"/>
      <c r="D1781" s="9"/>
      <c r="E1781" s="9"/>
      <c r="F1781" s="9"/>
      <c r="G1781" s="9"/>
      <c r="H1781" s="9"/>
      <c r="I1781" s="9"/>
      <c r="J1781" s="9"/>
      <c r="K1781" s="9"/>
      <c r="L1781" s="9"/>
      <c r="M1781" s="10"/>
      <c r="N1781" s="10"/>
      <c r="O1781" s="10"/>
      <c r="P1781" s="10"/>
      <c r="Q1781" s="10"/>
      <c r="R1781" s="9"/>
      <c r="S1781" s="9"/>
      <c r="T1781" s="12"/>
      <c r="U1781" s="12"/>
      <c r="V1781" s="12"/>
      <c r="W1781" s="10"/>
      <c r="X1781" s="10"/>
      <c r="Y1781" s="9"/>
      <c r="Z1781" s="9"/>
      <c r="AA1781" s="9"/>
      <c r="AB1781" s="9"/>
    </row>
    <row r="1782" ht="30.0" customHeight="1">
      <c r="A1782" s="17" t="s">
        <v>1</v>
      </c>
      <c r="B1782" s="8"/>
      <c r="C1782" s="9"/>
      <c r="D1782" s="9"/>
      <c r="E1782" s="9"/>
      <c r="F1782" s="9"/>
      <c r="G1782" s="9"/>
      <c r="H1782" s="9"/>
      <c r="I1782" s="9"/>
      <c r="J1782" s="9"/>
      <c r="K1782" s="9"/>
      <c r="L1782" s="9"/>
      <c r="M1782" s="10"/>
      <c r="N1782" s="10"/>
      <c r="O1782" s="10"/>
      <c r="P1782" s="10"/>
      <c r="Q1782" s="10"/>
      <c r="R1782" s="9"/>
      <c r="S1782" s="9"/>
      <c r="T1782" s="12"/>
      <c r="U1782" s="12"/>
      <c r="V1782" s="12"/>
      <c r="W1782" s="10"/>
      <c r="X1782" s="10"/>
      <c r="Y1782" s="9"/>
      <c r="Z1782" s="9"/>
      <c r="AA1782" s="9"/>
      <c r="AB1782" s="9"/>
    </row>
    <row r="1783" ht="30.0" customHeight="1">
      <c r="A1783" s="17" t="s">
        <v>1</v>
      </c>
      <c r="B1783" s="8"/>
      <c r="C1783" s="9"/>
      <c r="D1783" s="9"/>
      <c r="E1783" s="9"/>
      <c r="F1783" s="9"/>
      <c r="G1783" s="9"/>
      <c r="H1783" s="9"/>
      <c r="I1783" s="9"/>
      <c r="J1783" s="9"/>
      <c r="K1783" s="9"/>
      <c r="L1783" s="9"/>
      <c r="M1783" s="10"/>
      <c r="N1783" s="10"/>
      <c r="O1783" s="10"/>
      <c r="P1783" s="10"/>
      <c r="Q1783" s="10"/>
      <c r="R1783" s="9"/>
      <c r="S1783" s="9"/>
      <c r="T1783" s="12"/>
      <c r="U1783" s="12"/>
      <c r="V1783" s="12"/>
      <c r="W1783" s="10"/>
      <c r="X1783" s="10"/>
      <c r="Y1783" s="9"/>
      <c r="Z1783" s="9"/>
      <c r="AA1783" s="9"/>
      <c r="AB1783" s="9"/>
    </row>
    <row r="1784" ht="30.0" customHeight="1">
      <c r="A1784" s="17" t="s">
        <v>1</v>
      </c>
      <c r="B1784" s="8"/>
      <c r="C1784" s="9"/>
      <c r="D1784" s="9"/>
      <c r="E1784" s="9"/>
      <c r="F1784" s="9"/>
      <c r="G1784" s="9"/>
      <c r="H1784" s="9"/>
      <c r="I1784" s="9"/>
      <c r="J1784" s="9"/>
      <c r="K1784" s="9"/>
      <c r="L1784" s="9"/>
      <c r="M1784" s="10"/>
      <c r="N1784" s="10"/>
      <c r="O1784" s="10"/>
      <c r="P1784" s="10"/>
      <c r="Q1784" s="10"/>
      <c r="R1784" s="9"/>
      <c r="S1784" s="9"/>
      <c r="T1784" s="12"/>
      <c r="U1784" s="12"/>
      <c r="V1784" s="12"/>
      <c r="W1784" s="10"/>
      <c r="X1784" s="10"/>
      <c r="Y1784" s="9"/>
      <c r="Z1784" s="9"/>
      <c r="AA1784" s="9"/>
      <c r="AB1784" s="9"/>
    </row>
    <row r="1785" ht="30.0" customHeight="1">
      <c r="A1785" s="17" t="s">
        <v>1</v>
      </c>
      <c r="B1785" s="8"/>
      <c r="C1785" s="9"/>
      <c r="D1785" s="9"/>
      <c r="E1785" s="9"/>
      <c r="F1785" s="9"/>
      <c r="G1785" s="9"/>
      <c r="H1785" s="9"/>
      <c r="I1785" s="9"/>
      <c r="J1785" s="9"/>
      <c r="K1785" s="9"/>
      <c r="L1785" s="9"/>
      <c r="M1785" s="10"/>
      <c r="N1785" s="10"/>
      <c r="O1785" s="10"/>
      <c r="P1785" s="10"/>
      <c r="Q1785" s="10"/>
      <c r="R1785" s="9"/>
      <c r="S1785" s="9"/>
      <c r="T1785" s="12"/>
      <c r="U1785" s="12"/>
      <c r="V1785" s="12"/>
      <c r="W1785" s="10"/>
      <c r="X1785" s="10"/>
      <c r="Y1785" s="9"/>
      <c r="Z1785" s="9"/>
      <c r="AA1785" s="9"/>
      <c r="AB1785" s="9"/>
    </row>
    <row r="1786" ht="30.0" customHeight="1">
      <c r="A1786" s="17" t="s">
        <v>1</v>
      </c>
      <c r="B1786" s="8"/>
      <c r="C1786" s="9"/>
      <c r="D1786" s="9"/>
      <c r="E1786" s="9"/>
      <c r="F1786" s="9"/>
      <c r="G1786" s="9"/>
      <c r="H1786" s="9"/>
      <c r="I1786" s="9"/>
      <c r="J1786" s="9"/>
      <c r="K1786" s="9"/>
      <c r="L1786" s="9"/>
      <c r="M1786" s="10"/>
      <c r="N1786" s="10"/>
      <c r="O1786" s="10"/>
      <c r="P1786" s="10"/>
      <c r="Q1786" s="10"/>
      <c r="R1786" s="9"/>
      <c r="S1786" s="9"/>
      <c r="T1786" s="12"/>
      <c r="U1786" s="12"/>
      <c r="V1786" s="12"/>
      <c r="W1786" s="10"/>
      <c r="X1786" s="10"/>
      <c r="Y1786" s="9"/>
      <c r="Z1786" s="9"/>
      <c r="AA1786" s="9"/>
      <c r="AB1786" s="9"/>
    </row>
    <row r="1787" ht="30.0" customHeight="1">
      <c r="A1787" s="17" t="s">
        <v>1</v>
      </c>
      <c r="B1787" s="8"/>
      <c r="C1787" s="9"/>
      <c r="D1787" s="9"/>
      <c r="E1787" s="9"/>
      <c r="F1787" s="9"/>
      <c r="G1787" s="9"/>
      <c r="H1787" s="9"/>
      <c r="I1787" s="9"/>
      <c r="J1787" s="9"/>
      <c r="K1787" s="9"/>
      <c r="L1787" s="9"/>
      <c r="M1787" s="10"/>
      <c r="N1787" s="10"/>
      <c r="O1787" s="10"/>
      <c r="P1787" s="10"/>
      <c r="Q1787" s="10"/>
      <c r="R1787" s="9"/>
      <c r="S1787" s="9"/>
      <c r="T1787" s="12"/>
      <c r="U1787" s="12"/>
      <c r="V1787" s="12"/>
      <c r="W1787" s="10"/>
      <c r="X1787" s="10"/>
      <c r="Y1787" s="9"/>
      <c r="Z1787" s="9"/>
      <c r="AA1787" s="9"/>
      <c r="AB1787" s="9"/>
    </row>
    <row r="1788" ht="30.0" customHeight="1">
      <c r="A1788" s="17" t="s">
        <v>1</v>
      </c>
      <c r="B1788" s="8"/>
      <c r="C1788" s="9"/>
      <c r="D1788" s="9"/>
      <c r="E1788" s="9"/>
      <c r="F1788" s="9"/>
      <c r="G1788" s="9"/>
      <c r="H1788" s="9"/>
      <c r="I1788" s="9"/>
      <c r="J1788" s="9"/>
      <c r="K1788" s="9"/>
      <c r="L1788" s="9"/>
      <c r="M1788" s="10"/>
      <c r="N1788" s="10"/>
      <c r="O1788" s="10"/>
      <c r="P1788" s="10"/>
      <c r="Q1788" s="10"/>
      <c r="R1788" s="9"/>
      <c r="S1788" s="9"/>
      <c r="T1788" s="12"/>
      <c r="U1788" s="12"/>
      <c r="V1788" s="12"/>
      <c r="W1788" s="10"/>
      <c r="X1788" s="10"/>
      <c r="Y1788" s="9"/>
      <c r="Z1788" s="9"/>
      <c r="AA1788" s="9"/>
      <c r="AB1788" s="9"/>
    </row>
    <row r="1789" ht="30.0" customHeight="1">
      <c r="A1789" s="17" t="s">
        <v>1</v>
      </c>
      <c r="B1789" s="8"/>
      <c r="C1789" s="9"/>
      <c r="D1789" s="9"/>
      <c r="E1789" s="9"/>
      <c r="F1789" s="9"/>
      <c r="G1789" s="9"/>
      <c r="H1789" s="9"/>
      <c r="I1789" s="9"/>
      <c r="J1789" s="9"/>
      <c r="K1789" s="9"/>
      <c r="L1789" s="9"/>
      <c r="M1789" s="10"/>
      <c r="N1789" s="10"/>
      <c r="O1789" s="10"/>
      <c r="P1789" s="10"/>
      <c r="Q1789" s="10"/>
      <c r="R1789" s="9"/>
      <c r="S1789" s="9"/>
      <c r="T1789" s="12"/>
      <c r="U1789" s="12"/>
      <c r="V1789" s="12"/>
      <c r="W1789" s="10"/>
      <c r="X1789" s="10"/>
      <c r="Y1789" s="9"/>
      <c r="Z1789" s="9"/>
      <c r="AA1789" s="9"/>
      <c r="AB1789" s="9"/>
    </row>
    <row r="1790" ht="30.0" customHeight="1">
      <c r="A1790" s="17" t="s">
        <v>1</v>
      </c>
      <c r="B1790" s="8"/>
      <c r="C1790" s="9"/>
      <c r="D1790" s="9"/>
      <c r="E1790" s="9"/>
      <c r="F1790" s="9"/>
      <c r="G1790" s="9"/>
      <c r="H1790" s="9"/>
      <c r="I1790" s="9"/>
      <c r="J1790" s="9"/>
      <c r="K1790" s="9"/>
      <c r="L1790" s="9"/>
      <c r="M1790" s="10"/>
      <c r="N1790" s="10"/>
      <c r="O1790" s="10"/>
      <c r="P1790" s="10"/>
      <c r="Q1790" s="10"/>
      <c r="R1790" s="9"/>
      <c r="S1790" s="9"/>
      <c r="T1790" s="12"/>
      <c r="U1790" s="12"/>
      <c r="V1790" s="12"/>
      <c r="W1790" s="10"/>
      <c r="X1790" s="10"/>
      <c r="Y1790" s="9"/>
      <c r="Z1790" s="9"/>
      <c r="AA1790" s="9"/>
      <c r="AB1790" s="9"/>
    </row>
    <row r="1791" ht="30.0" customHeight="1">
      <c r="A1791" s="17" t="s">
        <v>1</v>
      </c>
      <c r="B1791" s="8"/>
      <c r="C1791" s="9"/>
      <c r="D1791" s="9"/>
      <c r="E1791" s="9"/>
      <c r="F1791" s="9"/>
      <c r="G1791" s="9"/>
      <c r="H1791" s="9"/>
      <c r="I1791" s="9"/>
      <c r="J1791" s="9"/>
      <c r="K1791" s="9"/>
      <c r="L1791" s="9"/>
      <c r="M1791" s="10"/>
      <c r="N1791" s="10"/>
      <c r="O1791" s="10"/>
      <c r="P1791" s="10"/>
      <c r="Q1791" s="10"/>
      <c r="R1791" s="9"/>
      <c r="S1791" s="9"/>
      <c r="T1791" s="12"/>
      <c r="U1791" s="12"/>
      <c r="V1791" s="12"/>
      <c r="W1791" s="10"/>
      <c r="X1791" s="10"/>
      <c r="Y1791" s="9"/>
      <c r="Z1791" s="9"/>
      <c r="AA1791" s="9"/>
      <c r="AB1791" s="9"/>
    </row>
    <row r="1792" ht="30.0" customHeight="1">
      <c r="A1792" s="17" t="s">
        <v>1</v>
      </c>
      <c r="B1792" s="8"/>
      <c r="C1792" s="9"/>
      <c r="D1792" s="9"/>
      <c r="E1792" s="9"/>
      <c r="F1792" s="9"/>
      <c r="G1792" s="9"/>
      <c r="H1792" s="9"/>
      <c r="I1792" s="9"/>
      <c r="J1792" s="9"/>
      <c r="K1792" s="9"/>
      <c r="L1792" s="9"/>
      <c r="M1792" s="10"/>
      <c r="N1792" s="10"/>
      <c r="O1792" s="10"/>
      <c r="P1792" s="10"/>
      <c r="Q1792" s="10"/>
      <c r="R1792" s="9"/>
      <c r="S1792" s="9"/>
      <c r="T1792" s="12"/>
      <c r="U1792" s="12"/>
      <c r="V1792" s="12"/>
      <c r="W1792" s="10"/>
      <c r="X1792" s="10"/>
      <c r="Y1792" s="9"/>
      <c r="Z1792" s="9"/>
      <c r="AA1792" s="9"/>
      <c r="AB1792" s="9"/>
    </row>
    <row r="1793" ht="30.0" customHeight="1">
      <c r="A1793" s="17" t="s">
        <v>1</v>
      </c>
      <c r="B1793" s="8"/>
      <c r="C1793" s="9"/>
      <c r="D1793" s="9"/>
      <c r="E1793" s="9"/>
      <c r="F1793" s="9"/>
      <c r="G1793" s="9"/>
      <c r="H1793" s="9"/>
      <c r="I1793" s="9"/>
      <c r="J1793" s="9"/>
      <c r="K1793" s="9"/>
      <c r="L1793" s="9"/>
      <c r="M1793" s="10"/>
      <c r="N1793" s="10"/>
      <c r="O1793" s="10"/>
      <c r="P1793" s="10"/>
      <c r="Q1793" s="10"/>
      <c r="R1793" s="9"/>
      <c r="S1793" s="9"/>
      <c r="T1793" s="12"/>
      <c r="U1793" s="12"/>
      <c r="V1793" s="12"/>
      <c r="W1793" s="10"/>
      <c r="X1793" s="10"/>
      <c r="Y1793" s="9"/>
      <c r="Z1793" s="9"/>
      <c r="AA1793" s="9"/>
      <c r="AB1793" s="9"/>
    </row>
    <row r="1794" ht="30.0" customHeight="1">
      <c r="A1794" s="17" t="s">
        <v>1</v>
      </c>
      <c r="B1794" s="8"/>
      <c r="C1794" s="9"/>
      <c r="D1794" s="9"/>
      <c r="E1794" s="9"/>
      <c r="F1794" s="9"/>
      <c r="G1794" s="9"/>
      <c r="H1794" s="9"/>
      <c r="I1794" s="9"/>
      <c r="J1794" s="9"/>
      <c r="K1794" s="9"/>
      <c r="L1794" s="9"/>
      <c r="M1794" s="10"/>
      <c r="N1794" s="10"/>
      <c r="O1794" s="10"/>
      <c r="P1794" s="10"/>
      <c r="Q1794" s="10"/>
      <c r="R1794" s="9"/>
      <c r="S1794" s="9"/>
      <c r="T1794" s="12"/>
      <c r="U1794" s="12"/>
      <c r="V1794" s="12"/>
      <c r="W1794" s="10"/>
      <c r="X1794" s="10"/>
      <c r="Y1794" s="9"/>
      <c r="Z1794" s="9"/>
      <c r="AA1794" s="9"/>
      <c r="AB1794" s="9"/>
    </row>
    <row r="1795" ht="30.0" customHeight="1">
      <c r="A1795" s="17" t="s">
        <v>1</v>
      </c>
      <c r="B1795" s="8"/>
      <c r="C1795" s="9"/>
      <c r="D1795" s="9"/>
      <c r="E1795" s="9"/>
      <c r="F1795" s="9"/>
      <c r="G1795" s="9"/>
      <c r="H1795" s="9"/>
      <c r="I1795" s="9"/>
      <c r="J1795" s="9"/>
      <c r="K1795" s="9"/>
      <c r="L1795" s="9"/>
      <c r="M1795" s="10"/>
      <c r="N1795" s="10"/>
      <c r="O1795" s="10"/>
      <c r="P1795" s="10"/>
      <c r="Q1795" s="10"/>
      <c r="R1795" s="9"/>
      <c r="S1795" s="9"/>
      <c r="T1795" s="12"/>
      <c r="U1795" s="12"/>
      <c r="V1795" s="12"/>
      <c r="W1795" s="10"/>
      <c r="X1795" s="10"/>
      <c r="Y1795" s="9"/>
      <c r="Z1795" s="9"/>
      <c r="AA1795" s="9"/>
      <c r="AB1795" s="9"/>
    </row>
    <row r="1796" ht="30.0" customHeight="1">
      <c r="A1796" s="17" t="s">
        <v>1</v>
      </c>
      <c r="B1796" s="8"/>
      <c r="C1796" s="9"/>
      <c r="D1796" s="9"/>
      <c r="E1796" s="9"/>
      <c r="F1796" s="9"/>
      <c r="G1796" s="9"/>
      <c r="H1796" s="9"/>
      <c r="I1796" s="9"/>
      <c r="J1796" s="9"/>
      <c r="K1796" s="9"/>
      <c r="L1796" s="9"/>
      <c r="M1796" s="10"/>
      <c r="N1796" s="10"/>
      <c r="O1796" s="10"/>
      <c r="P1796" s="10"/>
      <c r="Q1796" s="10"/>
      <c r="R1796" s="9"/>
      <c r="S1796" s="9"/>
      <c r="T1796" s="12"/>
      <c r="U1796" s="12"/>
      <c r="V1796" s="12"/>
      <c r="W1796" s="10"/>
      <c r="X1796" s="10"/>
      <c r="Y1796" s="9"/>
      <c r="Z1796" s="9"/>
      <c r="AA1796" s="9"/>
      <c r="AB1796" s="9"/>
    </row>
    <row r="1797" ht="30.0" customHeight="1">
      <c r="A1797" s="17" t="s">
        <v>1</v>
      </c>
      <c r="B1797" s="8"/>
      <c r="C1797" s="9"/>
      <c r="D1797" s="9"/>
      <c r="E1797" s="9"/>
      <c r="F1797" s="9"/>
      <c r="G1797" s="9"/>
      <c r="H1797" s="9"/>
      <c r="I1797" s="9"/>
      <c r="J1797" s="9"/>
      <c r="K1797" s="9"/>
      <c r="L1797" s="9"/>
      <c r="M1797" s="10"/>
      <c r="N1797" s="10"/>
      <c r="O1797" s="10"/>
      <c r="P1797" s="10"/>
      <c r="Q1797" s="10"/>
      <c r="R1797" s="9"/>
      <c r="S1797" s="9"/>
      <c r="T1797" s="12"/>
      <c r="U1797" s="12"/>
      <c r="V1797" s="12"/>
      <c r="W1797" s="10"/>
      <c r="X1797" s="10"/>
      <c r="Y1797" s="9"/>
      <c r="Z1797" s="9"/>
      <c r="AA1797" s="9"/>
      <c r="AB1797" s="9"/>
    </row>
    <row r="1798" ht="30.0" customHeight="1">
      <c r="A1798" s="17" t="s">
        <v>1</v>
      </c>
      <c r="B1798" s="8"/>
      <c r="C1798" s="9"/>
      <c r="D1798" s="9"/>
      <c r="E1798" s="9"/>
      <c r="F1798" s="9"/>
      <c r="G1798" s="9"/>
      <c r="H1798" s="9"/>
      <c r="I1798" s="9"/>
      <c r="J1798" s="9"/>
      <c r="K1798" s="9"/>
      <c r="L1798" s="9"/>
      <c r="M1798" s="10"/>
      <c r="N1798" s="10"/>
      <c r="O1798" s="10"/>
      <c r="P1798" s="10"/>
      <c r="Q1798" s="10"/>
      <c r="R1798" s="9"/>
      <c r="S1798" s="9"/>
      <c r="T1798" s="12"/>
      <c r="U1798" s="12"/>
      <c r="V1798" s="12"/>
      <c r="W1798" s="10"/>
      <c r="X1798" s="10"/>
      <c r="Y1798" s="9"/>
      <c r="Z1798" s="9"/>
      <c r="AA1798" s="9"/>
      <c r="AB1798" s="9"/>
    </row>
    <row r="1799" ht="30.0" customHeight="1">
      <c r="A1799" s="17" t="s">
        <v>1</v>
      </c>
      <c r="B1799" s="8"/>
      <c r="C1799" s="9"/>
      <c r="D1799" s="9"/>
      <c r="E1799" s="9"/>
      <c r="F1799" s="9"/>
      <c r="G1799" s="9"/>
      <c r="H1799" s="9"/>
      <c r="I1799" s="9"/>
      <c r="J1799" s="9"/>
      <c r="K1799" s="9"/>
      <c r="L1799" s="9"/>
      <c r="M1799" s="10"/>
      <c r="N1799" s="10"/>
      <c r="O1799" s="10"/>
      <c r="P1799" s="10"/>
      <c r="Q1799" s="10"/>
      <c r="R1799" s="9"/>
      <c r="S1799" s="9"/>
      <c r="T1799" s="12"/>
      <c r="U1799" s="12"/>
      <c r="V1799" s="12"/>
      <c r="W1799" s="10"/>
      <c r="X1799" s="10"/>
      <c r="Y1799" s="9"/>
      <c r="Z1799" s="9"/>
      <c r="AA1799" s="9"/>
      <c r="AB1799" s="9"/>
    </row>
    <row r="1800" ht="30.0" customHeight="1">
      <c r="A1800" s="17" t="s">
        <v>1</v>
      </c>
      <c r="B1800" s="8"/>
      <c r="C1800" s="9"/>
      <c r="D1800" s="9"/>
      <c r="E1800" s="9"/>
      <c r="F1800" s="9"/>
      <c r="G1800" s="9"/>
      <c r="H1800" s="9"/>
      <c r="I1800" s="9"/>
      <c r="J1800" s="9"/>
      <c r="K1800" s="9"/>
      <c r="L1800" s="9"/>
      <c r="M1800" s="10"/>
      <c r="N1800" s="10"/>
      <c r="O1800" s="10"/>
      <c r="P1800" s="10"/>
      <c r="Q1800" s="10"/>
      <c r="R1800" s="9"/>
      <c r="S1800" s="9"/>
      <c r="T1800" s="12"/>
      <c r="U1800" s="12"/>
      <c r="V1800" s="12"/>
      <c r="W1800" s="10"/>
      <c r="X1800" s="10"/>
      <c r="Y1800" s="9"/>
      <c r="Z1800" s="9"/>
      <c r="AA1800" s="9"/>
      <c r="AB1800" s="9"/>
    </row>
    <row r="1801" ht="30.0" customHeight="1">
      <c r="A1801" s="17" t="s">
        <v>1</v>
      </c>
      <c r="B1801" s="8"/>
      <c r="C1801" s="9"/>
      <c r="D1801" s="9"/>
      <c r="E1801" s="9"/>
      <c r="F1801" s="9"/>
      <c r="G1801" s="9"/>
      <c r="H1801" s="9"/>
      <c r="I1801" s="9"/>
      <c r="J1801" s="9"/>
      <c r="K1801" s="9"/>
      <c r="L1801" s="9"/>
      <c r="M1801" s="10"/>
      <c r="N1801" s="10"/>
      <c r="O1801" s="10"/>
      <c r="P1801" s="10"/>
      <c r="Q1801" s="10"/>
      <c r="R1801" s="9"/>
      <c r="S1801" s="9"/>
      <c r="T1801" s="12"/>
      <c r="U1801" s="12"/>
      <c r="V1801" s="12"/>
      <c r="W1801" s="10"/>
      <c r="X1801" s="10"/>
      <c r="Y1801" s="9"/>
      <c r="Z1801" s="9"/>
      <c r="AA1801" s="9"/>
      <c r="AB1801" s="9"/>
    </row>
    <row r="1802" ht="30.0" customHeight="1">
      <c r="A1802" s="17" t="s">
        <v>1</v>
      </c>
      <c r="B1802" s="8"/>
      <c r="C1802" s="9"/>
      <c r="D1802" s="9"/>
      <c r="E1802" s="9"/>
      <c r="F1802" s="9"/>
      <c r="G1802" s="9"/>
      <c r="H1802" s="9"/>
      <c r="I1802" s="9"/>
      <c r="J1802" s="9"/>
      <c r="K1802" s="9"/>
      <c r="L1802" s="9"/>
      <c r="M1802" s="10"/>
      <c r="N1802" s="10"/>
      <c r="O1802" s="10"/>
      <c r="P1802" s="10"/>
      <c r="Q1802" s="10"/>
      <c r="R1802" s="9"/>
      <c r="S1802" s="9"/>
      <c r="T1802" s="12"/>
      <c r="U1802" s="12"/>
      <c r="V1802" s="12"/>
      <c r="W1802" s="10"/>
      <c r="X1802" s="10"/>
      <c r="Y1802" s="9"/>
      <c r="Z1802" s="9"/>
      <c r="AA1802" s="9"/>
      <c r="AB1802" s="9"/>
    </row>
    <row r="1803" ht="30.0" customHeight="1">
      <c r="A1803" s="17" t="s">
        <v>1</v>
      </c>
      <c r="B1803" s="8"/>
      <c r="C1803" s="9"/>
      <c r="D1803" s="9"/>
      <c r="E1803" s="9"/>
      <c r="F1803" s="9"/>
      <c r="G1803" s="9"/>
      <c r="H1803" s="9"/>
      <c r="I1803" s="9"/>
      <c r="J1803" s="9"/>
      <c r="K1803" s="9"/>
      <c r="L1803" s="9"/>
      <c r="M1803" s="10"/>
      <c r="N1803" s="10"/>
      <c r="O1803" s="10"/>
      <c r="P1803" s="10"/>
      <c r="Q1803" s="10"/>
      <c r="R1803" s="9"/>
      <c r="S1803" s="9"/>
      <c r="T1803" s="12"/>
      <c r="U1803" s="12"/>
      <c r="V1803" s="12"/>
      <c r="W1803" s="10"/>
      <c r="X1803" s="10"/>
      <c r="Y1803" s="9"/>
      <c r="Z1803" s="9"/>
      <c r="AA1803" s="9"/>
      <c r="AB1803" s="9"/>
    </row>
    <row r="1804" ht="30.0" customHeight="1">
      <c r="A1804" s="17" t="s">
        <v>1</v>
      </c>
      <c r="B1804" s="8"/>
      <c r="C1804" s="9"/>
      <c r="D1804" s="9"/>
      <c r="E1804" s="9"/>
      <c r="F1804" s="9"/>
      <c r="G1804" s="9"/>
      <c r="H1804" s="9"/>
      <c r="I1804" s="9"/>
      <c r="J1804" s="9"/>
      <c r="K1804" s="9"/>
      <c r="L1804" s="9"/>
      <c r="M1804" s="10"/>
      <c r="N1804" s="10"/>
      <c r="O1804" s="10"/>
      <c r="P1804" s="10"/>
      <c r="Q1804" s="10"/>
      <c r="R1804" s="9"/>
      <c r="S1804" s="9"/>
      <c r="T1804" s="12"/>
      <c r="U1804" s="12"/>
      <c r="V1804" s="12"/>
      <c r="W1804" s="10"/>
      <c r="X1804" s="10"/>
      <c r="Y1804" s="9"/>
      <c r="Z1804" s="9"/>
      <c r="AA1804" s="9"/>
      <c r="AB1804" s="9"/>
    </row>
    <row r="1805" ht="30.0" customHeight="1">
      <c r="A1805" s="17" t="s">
        <v>1</v>
      </c>
      <c r="B1805" s="8"/>
      <c r="C1805" s="9"/>
      <c r="D1805" s="9"/>
      <c r="E1805" s="9"/>
      <c r="F1805" s="9"/>
      <c r="G1805" s="9"/>
      <c r="H1805" s="9"/>
      <c r="I1805" s="9"/>
      <c r="J1805" s="9"/>
      <c r="K1805" s="9"/>
      <c r="L1805" s="9"/>
      <c r="M1805" s="10"/>
      <c r="N1805" s="10"/>
      <c r="O1805" s="10"/>
      <c r="P1805" s="10"/>
      <c r="Q1805" s="10"/>
      <c r="R1805" s="9"/>
      <c r="S1805" s="9"/>
      <c r="T1805" s="12"/>
      <c r="U1805" s="12"/>
      <c r="V1805" s="12"/>
      <c r="W1805" s="10"/>
      <c r="X1805" s="10"/>
      <c r="Y1805" s="9"/>
      <c r="Z1805" s="9"/>
      <c r="AA1805" s="9"/>
      <c r="AB1805" s="9"/>
    </row>
    <row r="1806" ht="30.0" customHeight="1">
      <c r="A1806" s="17" t="s">
        <v>1</v>
      </c>
      <c r="B1806" s="8"/>
      <c r="C1806" s="9"/>
      <c r="D1806" s="9"/>
      <c r="E1806" s="9"/>
      <c r="F1806" s="9"/>
      <c r="G1806" s="9"/>
      <c r="H1806" s="9"/>
      <c r="I1806" s="9"/>
      <c r="J1806" s="9"/>
      <c r="K1806" s="9"/>
      <c r="L1806" s="9"/>
      <c r="M1806" s="10"/>
      <c r="N1806" s="10"/>
      <c r="O1806" s="10"/>
      <c r="P1806" s="10"/>
      <c r="Q1806" s="10"/>
      <c r="R1806" s="9"/>
      <c r="S1806" s="9"/>
      <c r="T1806" s="12"/>
      <c r="U1806" s="12"/>
      <c r="V1806" s="12"/>
      <c r="W1806" s="10"/>
      <c r="X1806" s="10"/>
      <c r="Y1806" s="9"/>
      <c r="Z1806" s="9"/>
      <c r="AA1806" s="9"/>
      <c r="AB1806" s="9"/>
    </row>
    <row r="1807" ht="30.0" customHeight="1">
      <c r="A1807" s="17" t="s">
        <v>1</v>
      </c>
      <c r="B1807" s="8"/>
      <c r="C1807" s="9"/>
      <c r="D1807" s="9"/>
      <c r="E1807" s="9"/>
      <c r="F1807" s="9"/>
      <c r="G1807" s="9"/>
      <c r="H1807" s="9"/>
      <c r="I1807" s="9"/>
      <c r="J1807" s="9"/>
      <c r="K1807" s="9"/>
      <c r="L1807" s="9"/>
      <c r="M1807" s="10"/>
      <c r="N1807" s="10"/>
      <c r="O1807" s="10"/>
      <c r="P1807" s="10"/>
      <c r="Q1807" s="10"/>
      <c r="R1807" s="9"/>
      <c r="S1807" s="9"/>
      <c r="T1807" s="12"/>
      <c r="U1807" s="12"/>
      <c r="V1807" s="12"/>
      <c r="W1807" s="10"/>
      <c r="X1807" s="10"/>
      <c r="Y1807" s="9"/>
      <c r="Z1807" s="9"/>
      <c r="AA1807" s="9"/>
      <c r="AB1807" s="9"/>
    </row>
    <row r="1808" ht="30.0" customHeight="1">
      <c r="A1808" s="17" t="s">
        <v>1</v>
      </c>
      <c r="B1808" s="8"/>
      <c r="C1808" s="9"/>
      <c r="D1808" s="9"/>
      <c r="E1808" s="9"/>
      <c r="F1808" s="9"/>
      <c r="G1808" s="9"/>
      <c r="H1808" s="9"/>
      <c r="I1808" s="9"/>
      <c r="J1808" s="9"/>
      <c r="K1808" s="9"/>
      <c r="L1808" s="9"/>
      <c r="M1808" s="10"/>
      <c r="N1808" s="10"/>
      <c r="O1808" s="10"/>
      <c r="P1808" s="10"/>
      <c r="Q1808" s="10"/>
      <c r="R1808" s="9"/>
      <c r="S1808" s="9"/>
      <c r="T1808" s="12"/>
      <c r="U1808" s="12"/>
      <c r="V1808" s="12"/>
      <c r="W1808" s="10"/>
      <c r="X1808" s="10"/>
      <c r="Y1808" s="9"/>
      <c r="Z1808" s="9"/>
      <c r="AA1808" s="9"/>
      <c r="AB1808" s="9"/>
    </row>
    <row r="1809" ht="30.0" customHeight="1">
      <c r="A1809" s="17" t="s">
        <v>1</v>
      </c>
      <c r="B1809" s="8"/>
      <c r="C1809" s="9"/>
      <c r="D1809" s="9"/>
      <c r="E1809" s="9"/>
      <c r="F1809" s="9"/>
      <c r="G1809" s="9"/>
      <c r="H1809" s="9"/>
      <c r="I1809" s="9"/>
      <c r="J1809" s="9"/>
      <c r="K1809" s="9"/>
      <c r="L1809" s="9"/>
      <c r="M1809" s="10"/>
      <c r="N1809" s="10"/>
      <c r="O1809" s="10"/>
      <c r="P1809" s="10"/>
      <c r="Q1809" s="10"/>
      <c r="R1809" s="9"/>
      <c r="S1809" s="9"/>
      <c r="T1809" s="12"/>
      <c r="U1809" s="12"/>
      <c r="V1809" s="12"/>
      <c r="W1809" s="10"/>
      <c r="X1809" s="10"/>
      <c r="Y1809" s="9"/>
      <c r="Z1809" s="9"/>
      <c r="AA1809" s="9"/>
      <c r="AB1809" s="9"/>
    </row>
    <row r="1810" ht="30.0" customHeight="1">
      <c r="A1810" s="17" t="s">
        <v>1</v>
      </c>
      <c r="B1810" s="8"/>
      <c r="C1810" s="9"/>
      <c r="D1810" s="9"/>
      <c r="E1810" s="9"/>
      <c r="F1810" s="9"/>
      <c r="G1810" s="9"/>
      <c r="H1810" s="9"/>
      <c r="I1810" s="9"/>
      <c r="J1810" s="9"/>
      <c r="K1810" s="9"/>
      <c r="L1810" s="9"/>
      <c r="M1810" s="10"/>
      <c r="N1810" s="10"/>
      <c r="O1810" s="10"/>
      <c r="P1810" s="10"/>
      <c r="Q1810" s="10"/>
      <c r="R1810" s="9"/>
      <c r="S1810" s="9"/>
      <c r="T1810" s="12"/>
      <c r="U1810" s="12"/>
      <c r="V1810" s="12"/>
      <c r="W1810" s="10"/>
      <c r="X1810" s="10"/>
      <c r="Y1810" s="9"/>
      <c r="Z1810" s="9"/>
      <c r="AA1810" s="9"/>
      <c r="AB1810" s="9"/>
    </row>
    <row r="1811" ht="30.0" customHeight="1">
      <c r="A1811" s="17" t="s">
        <v>1</v>
      </c>
      <c r="B1811" s="8"/>
      <c r="C1811" s="9"/>
      <c r="D1811" s="9"/>
      <c r="E1811" s="9"/>
      <c r="F1811" s="9"/>
      <c r="G1811" s="9"/>
      <c r="H1811" s="9"/>
      <c r="I1811" s="9"/>
      <c r="J1811" s="9"/>
      <c r="K1811" s="9"/>
      <c r="L1811" s="9"/>
      <c r="M1811" s="10"/>
      <c r="N1811" s="10"/>
      <c r="O1811" s="10"/>
      <c r="P1811" s="10"/>
      <c r="Q1811" s="10"/>
      <c r="R1811" s="9"/>
      <c r="S1811" s="9"/>
      <c r="T1811" s="12"/>
      <c r="U1811" s="12"/>
      <c r="V1811" s="12"/>
      <c r="W1811" s="10"/>
      <c r="X1811" s="10"/>
      <c r="Y1811" s="9"/>
      <c r="Z1811" s="9"/>
      <c r="AA1811" s="9"/>
      <c r="AB1811" s="9"/>
    </row>
    <row r="1812" ht="30.0" customHeight="1">
      <c r="A1812" s="17" t="s">
        <v>1</v>
      </c>
      <c r="B1812" s="8"/>
      <c r="C1812" s="9"/>
      <c r="D1812" s="9"/>
      <c r="E1812" s="9"/>
      <c r="F1812" s="9"/>
      <c r="G1812" s="9"/>
      <c r="H1812" s="9"/>
      <c r="I1812" s="9"/>
      <c r="J1812" s="9"/>
      <c r="K1812" s="9"/>
      <c r="L1812" s="9"/>
      <c r="M1812" s="10"/>
      <c r="N1812" s="10"/>
      <c r="O1812" s="10"/>
      <c r="P1812" s="10"/>
      <c r="Q1812" s="10"/>
      <c r="R1812" s="9"/>
      <c r="S1812" s="9"/>
      <c r="T1812" s="12"/>
      <c r="U1812" s="12"/>
      <c r="V1812" s="12"/>
      <c r="W1812" s="10"/>
      <c r="X1812" s="10"/>
      <c r="Y1812" s="9"/>
      <c r="Z1812" s="9"/>
      <c r="AA1812" s="9"/>
      <c r="AB1812" s="9"/>
    </row>
    <row r="1813" ht="30.0" customHeight="1">
      <c r="A1813" s="17" t="s">
        <v>1</v>
      </c>
      <c r="B1813" s="8"/>
      <c r="C1813" s="9"/>
      <c r="D1813" s="9"/>
      <c r="E1813" s="9"/>
      <c r="F1813" s="9"/>
      <c r="G1813" s="9"/>
      <c r="H1813" s="9"/>
      <c r="I1813" s="9"/>
      <c r="J1813" s="9"/>
      <c r="K1813" s="9"/>
      <c r="L1813" s="9"/>
      <c r="M1813" s="10"/>
      <c r="N1813" s="10"/>
      <c r="O1813" s="10"/>
      <c r="P1813" s="10"/>
      <c r="Q1813" s="10"/>
      <c r="R1813" s="9"/>
      <c r="S1813" s="9"/>
      <c r="T1813" s="12"/>
      <c r="U1813" s="12"/>
      <c r="V1813" s="12"/>
      <c r="W1813" s="10"/>
      <c r="X1813" s="10"/>
      <c r="Y1813" s="9"/>
      <c r="Z1813" s="9"/>
      <c r="AA1813" s="9"/>
      <c r="AB1813" s="9"/>
    </row>
    <row r="1814" ht="30.0" customHeight="1">
      <c r="A1814" s="17" t="s">
        <v>1</v>
      </c>
      <c r="B1814" s="8"/>
      <c r="C1814" s="9"/>
      <c r="D1814" s="9"/>
      <c r="E1814" s="9"/>
      <c r="F1814" s="9"/>
      <c r="G1814" s="9"/>
      <c r="H1814" s="9"/>
      <c r="I1814" s="9"/>
      <c r="J1814" s="9"/>
      <c r="K1814" s="9"/>
      <c r="L1814" s="9"/>
      <c r="M1814" s="10"/>
      <c r="N1814" s="10"/>
      <c r="O1814" s="10"/>
      <c r="P1814" s="10"/>
      <c r="Q1814" s="10"/>
      <c r="R1814" s="9"/>
      <c r="S1814" s="9"/>
      <c r="T1814" s="12"/>
      <c r="U1814" s="12"/>
      <c r="V1814" s="12"/>
      <c r="W1814" s="10"/>
      <c r="X1814" s="10"/>
      <c r="Y1814" s="9"/>
      <c r="Z1814" s="9"/>
      <c r="AA1814" s="9"/>
      <c r="AB1814" s="9"/>
    </row>
    <row r="1815" ht="30.0" customHeight="1">
      <c r="A1815" s="17" t="s">
        <v>1</v>
      </c>
      <c r="B1815" s="8"/>
      <c r="C1815" s="9"/>
      <c r="D1815" s="9"/>
      <c r="E1815" s="9"/>
      <c r="F1815" s="9"/>
      <c r="G1815" s="9"/>
      <c r="H1815" s="9"/>
      <c r="I1815" s="9"/>
      <c r="J1815" s="9"/>
      <c r="K1815" s="9"/>
      <c r="L1815" s="9"/>
      <c r="M1815" s="10"/>
      <c r="N1815" s="10"/>
      <c r="O1815" s="10"/>
      <c r="P1815" s="10"/>
      <c r="Q1815" s="10"/>
      <c r="R1815" s="9"/>
      <c r="S1815" s="9"/>
      <c r="T1815" s="12"/>
      <c r="U1815" s="12"/>
      <c r="V1815" s="12"/>
      <c r="W1815" s="10"/>
      <c r="X1815" s="10"/>
      <c r="Y1815" s="9"/>
      <c r="Z1815" s="9"/>
      <c r="AA1815" s="9"/>
      <c r="AB1815" s="9"/>
    </row>
    <row r="1816" ht="30.0" customHeight="1">
      <c r="A1816" s="17" t="s">
        <v>1</v>
      </c>
      <c r="B1816" s="8"/>
      <c r="C1816" s="9"/>
      <c r="D1816" s="9"/>
      <c r="E1816" s="9"/>
      <c r="F1816" s="9"/>
      <c r="G1816" s="9"/>
      <c r="H1816" s="9"/>
      <c r="I1816" s="9"/>
      <c r="J1816" s="9"/>
      <c r="K1816" s="9"/>
      <c r="L1816" s="9"/>
      <c r="M1816" s="10"/>
      <c r="N1816" s="10"/>
      <c r="O1816" s="10"/>
      <c r="P1816" s="10"/>
      <c r="Q1816" s="10"/>
      <c r="R1816" s="9"/>
      <c r="S1816" s="9"/>
      <c r="T1816" s="12"/>
      <c r="U1816" s="12"/>
      <c r="V1816" s="12"/>
      <c r="W1816" s="10"/>
      <c r="X1816" s="10"/>
      <c r="Y1816" s="9"/>
      <c r="Z1816" s="9"/>
      <c r="AA1816" s="9"/>
      <c r="AB1816" s="9"/>
    </row>
    <row r="1817" ht="30.0" customHeight="1">
      <c r="A1817" s="17" t="s">
        <v>1</v>
      </c>
      <c r="B1817" s="8"/>
      <c r="C1817" s="9"/>
      <c r="D1817" s="9"/>
      <c r="E1817" s="9"/>
      <c r="F1817" s="9"/>
      <c r="G1817" s="9"/>
      <c r="H1817" s="9"/>
      <c r="I1817" s="9"/>
      <c r="J1817" s="9"/>
      <c r="K1817" s="9"/>
      <c r="L1817" s="9"/>
      <c r="M1817" s="10"/>
      <c r="N1817" s="10"/>
      <c r="O1817" s="10"/>
      <c r="P1817" s="10"/>
      <c r="Q1817" s="10"/>
      <c r="R1817" s="9"/>
      <c r="S1817" s="9"/>
      <c r="T1817" s="12"/>
      <c r="U1817" s="12"/>
      <c r="V1817" s="12"/>
      <c r="W1817" s="10"/>
      <c r="X1817" s="10"/>
      <c r="Y1817" s="9"/>
      <c r="Z1817" s="9"/>
      <c r="AA1817" s="9"/>
      <c r="AB1817" s="9"/>
    </row>
    <row r="1818" ht="30.0" customHeight="1">
      <c r="A1818" s="17" t="s">
        <v>1</v>
      </c>
      <c r="B1818" s="8"/>
      <c r="C1818" s="9"/>
      <c r="D1818" s="9"/>
      <c r="E1818" s="9"/>
      <c r="F1818" s="9"/>
      <c r="G1818" s="9"/>
      <c r="H1818" s="9"/>
      <c r="I1818" s="9"/>
      <c r="J1818" s="9"/>
      <c r="K1818" s="9"/>
      <c r="L1818" s="9"/>
      <c r="M1818" s="10"/>
      <c r="N1818" s="10"/>
      <c r="O1818" s="10"/>
      <c r="P1818" s="10"/>
      <c r="Q1818" s="10"/>
      <c r="R1818" s="9"/>
      <c r="S1818" s="9"/>
      <c r="T1818" s="12"/>
      <c r="U1818" s="12"/>
      <c r="V1818" s="12"/>
      <c r="W1818" s="10"/>
      <c r="X1818" s="10"/>
      <c r="Y1818" s="9"/>
      <c r="Z1818" s="9"/>
      <c r="AA1818" s="9"/>
      <c r="AB1818" s="9"/>
    </row>
    <row r="1819" ht="30.0" customHeight="1">
      <c r="A1819" s="17" t="s">
        <v>1</v>
      </c>
      <c r="B1819" s="8"/>
      <c r="C1819" s="9"/>
      <c r="D1819" s="9"/>
      <c r="E1819" s="9"/>
      <c r="F1819" s="9"/>
      <c r="G1819" s="9"/>
      <c r="H1819" s="9"/>
      <c r="I1819" s="9"/>
      <c r="J1819" s="9"/>
      <c r="K1819" s="9"/>
      <c r="L1819" s="9"/>
      <c r="M1819" s="10"/>
      <c r="N1819" s="10"/>
      <c r="O1819" s="10"/>
      <c r="P1819" s="10"/>
      <c r="Q1819" s="10"/>
      <c r="R1819" s="9"/>
      <c r="S1819" s="9"/>
      <c r="T1819" s="12"/>
      <c r="U1819" s="12"/>
      <c r="V1819" s="12"/>
      <c r="W1819" s="10"/>
      <c r="X1819" s="10"/>
      <c r="Y1819" s="9"/>
      <c r="Z1819" s="9"/>
      <c r="AA1819" s="9"/>
      <c r="AB1819" s="9"/>
    </row>
    <row r="1820" ht="30.0" customHeight="1">
      <c r="A1820" s="17" t="s">
        <v>1</v>
      </c>
      <c r="B1820" s="8"/>
      <c r="C1820" s="9"/>
      <c r="D1820" s="9"/>
      <c r="E1820" s="9"/>
      <c r="F1820" s="9"/>
      <c r="G1820" s="9"/>
      <c r="H1820" s="9"/>
      <c r="I1820" s="9"/>
      <c r="J1820" s="9"/>
      <c r="K1820" s="9"/>
      <c r="L1820" s="9"/>
      <c r="M1820" s="10"/>
      <c r="N1820" s="10"/>
      <c r="O1820" s="10"/>
      <c r="P1820" s="10"/>
      <c r="Q1820" s="10"/>
      <c r="R1820" s="9"/>
      <c r="S1820" s="9"/>
      <c r="T1820" s="12"/>
      <c r="U1820" s="12"/>
      <c r="V1820" s="12"/>
      <c r="W1820" s="10"/>
      <c r="X1820" s="10"/>
      <c r="Y1820" s="9"/>
      <c r="Z1820" s="9"/>
      <c r="AA1820" s="9"/>
      <c r="AB1820" s="9"/>
    </row>
    <row r="1821" ht="30.0" customHeight="1">
      <c r="A1821" s="17" t="s">
        <v>1</v>
      </c>
      <c r="B1821" s="8"/>
      <c r="C1821" s="9"/>
      <c r="D1821" s="9"/>
      <c r="E1821" s="9"/>
      <c r="F1821" s="9"/>
      <c r="G1821" s="9"/>
      <c r="H1821" s="9"/>
      <c r="I1821" s="9"/>
      <c r="J1821" s="9"/>
      <c r="K1821" s="9"/>
      <c r="L1821" s="9"/>
      <c r="M1821" s="10"/>
      <c r="N1821" s="10"/>
      <c r="O1821" s="10"/>
      <c r="P1821" s="10"/>
      <c r="Q1821" s="10"/>
      <c r="R1821" s="9"/>
      <c r="S1821" s="9"/>
      <c r="T1821" s="12"/>
      <c r="U1821" s="12"/>
      <c r="V1821" s="12"/>
      <c r="W1821" s="10"/>
      <c r="X1821" s="10"/>
      <c r="Y1821" s="9"/>
      <c r="Z1821" s="9"/>
      <c r="AA1821" s="9"/>
      <c r="AB1821" s="9"/>
    </row>
    <row r="1822" ht="30.0" customHeight="1">
      <c r="A1822" s="17" t="s">
        <v>1</v>
      </c>
      <c r="B1822" s="8"/>
      <c r="C1822" s="9"/>
      <c r="D1822" s="9"/>
      <c r="E1822" s="9"/>
      <c r="F1822" s="9"/>
      <c r="G1822" s="9"/>
      <c r="H1822" s="9"/>
      <c r="I1822" s="9"/>
      <c r="J1822" s="9"/>
      <c r="K1822" s="9"/>
      <c r="L1822" s="9"/>
      <c r="M1822" s="10"/>
      <c r="N1822" s="10"/>
      <c r="O1822" s="10"/>
      <c r="P1822" s="10"/>
      <c r="Q1822" s="10"/>
      <c r="R1822" s="9"/>
      <c r="S1822" s="9"/>
      <c r="T1822" s="12"/>
      <c r="U1822" s="12"/>
      <c r="V1822" s="12"/>
      <c r="W1822" s="10"/>
      <c r="X1822" s="10"/>
      <c r="Y1822" s="9"/>
      <c r="Z1822" s="9"/>
      <c r="AA1822" s="9"/>
      <c r="AB1822" s="9"/>
    </row>
    <row r="1823" ht="30.0" customHeight="1">
      <c r="A1823" s="17" t="s">
        <v>1</v>
      </c>
      <c r="B1823" s="8"/>
      <c r="C1823" s="9"/>
      <c r="D1823" s="9"/>
      <c r="E1823" s="9"/>
      <c r="F1823" s="9"/>
      <c r="G1823" s="9"/>
      <c r="H1823" s="9"/>
      <c r="I1823" s="9"/>
      <c r="J1823" s="9"/>
      <c r="K1823" s="9"/>
      <c r="L1823" s="9"/>
      <c r="M1823" s="10"/>
      <c r="N1823" s="10"/>
      <c r="O1823" s="10"/>
      <c r="P1823" s="10"/>
      <c r="Q1823" s="10"/>
      <c r="R1823" s="9"/>
      <c r="S1823" s="9"/>
      <c r="T1823" s="12"/>
      <c r="U1823" s="12"/>
      <c r="V1823" s="12"/>
      <c r="W1823" s="10"/>
      <c r="X1823" s="10"/>
      <c r="Y1823" s="9"/>
      <c r="Z1823" s="9"/>
      <c r="AA1823" s="9"/>
      <c r="AB1823" s="9"/>
    </row>
    <row r="1824" ht="30.0" customHeight="1">
      <c r="A1824" s="17" t="s">
        <v>1</v>
      </c>
      <c r="B1824" s="8"/>
      <c r="C1824" s="9"/>
      <c r="D1824" s="9"/>
      <c r="E1824" s="9"/>
      <c r="F1824" s="9"/>
      <c r="G1824" s="9"/>
      <c r="H1824" s="9"/>
      <c r="I1824" s="9"/>
      <c r="J1824" s="9"/>
      <c r="K1824" s="9"/>
      <c r="L1824" s="9"/>
      <c r="M1824" s="10"/>
      <c r="N1824" s="10"/>
      <c r="O1824" s="10"/>
      <c r="P1824" s="10"/>
      <c r="Q1824" s="10"/>
      <c r="R1824" s="9"/>
      <c r="S1824" s="9"/>
      <c r="T1824" s="12"/>
      <c r="U1824" s="12"/>
      <c r="V1824" s="12"/>
      <c r="W1824" s="10"/>
      <c r="X1824" s="10"/>
      <c r="Y1824" s="9"/>
      <c r="Z1824" s="9"/>
      <c r="AA1824" s="9"/>
      <c r="AB1824" s="9"/>
    </row>
    <row r="1825" ht="30.0" customHeight="1">
      <c r="A1825" s="17" t="s">
        <v>1</v>
      </c>
      <c r="B1825" s="8"/>
      <c r="C1825" s="9"/>
      <c r="D1825" s="9"/>
      <c r="E1825" s="9"/>
      <c r="F1825" s="9"/>
      <c r="G1825" s="9"/>
      <c r="H1825" s="9"/>
      <c r="I1825" s="9"/>
      <c r="J1825" s="9"/>
      <c r="K1825" s="9"/>
      <c r="L1825" s="9"/>
      <c r="M1825" s="10"/>
      <c r="N1825" s="10"/>
      <c r="O1825" s="10"/>
      <c r="P1825" s="10"/>
      <c r="Q1825" s="10"/>
      <c r="R1825" s="9"/>
      <c r="S1825" s="9"/>
      <c r="T1825" s="12"/>
      <c r="U1825" s="12"/>
      <c r="V1825" s="12"/>
      <c r="W1825" s="10"/>
      <c r="X1825" s="10"/>
      <c r="Y1825" s="9"/>
      <c r="Z1825" s="9"/>
      <c r="AA1825" s="9"/>
      <c r="AB1825" s="9"/>
    </row>
    <row r="1826" ht="30.0" customHeight="1">
      <c r="A1826" s="17" t="s">
        <v>1</v>
      </c>
      <c r="B1826" s="8"/>
      <c r="C1826" s="9"/>
      <c r="D1826" s="9"/>
      <c r="E1826" s="9"/>
      <c r="F1826" s="9"/>
      <c r="G1826" s="9"/>
      <c r="H1826" s="9"/>
      <c r="I1826" s="9"/>
      <c r="J1826" s="9"/>
      <c r="K1826" s="9"/>
      <c r="L1826" s="9"/>
      <c r="M1826" s="10"/>
      <c r="N1826" s="10"/>
      <c r="O1826" s="10"/>
      <c r="P1826" s="10"/>
      <c r="Q1826" s="10"/>
      <c r="R1826" s="9"/>
      <c r="S1826" s="9"/>
      <c r="T1826" s="12"/>
      <c r="U1826" s="12"/>
      <c r="V1826" s="12"/>
      <c r="W1826" s="10"/>
      <c r="X1826" s="10"/>
      <c r="Y1826" s="9"/>
      <c r="Z1826" s="9"/>
      <c r="AA1826" s="9"/>
      <c r="AB1826" s="9"/>
    </row>
    <row r="1827" ht="30.0" customHeight="1">
      <c r="A1827" s="17" t="s">
        <v>1</v>
      </c>
      <c r="B1827" s="8"/>
      <c r="C1827" s="9"/>
      <c r="D1827" s="9"/>
      <c r="E1827" s="9"/>
      <c r="F1827" s="9"/>
      <c r="G1827" s="9"/>
      <c r="H1827" s="9"/>
      <c r="I1827" s="9"/>
      <c r="J1827" s="9"/>
      <c r="K1827" s="9"/>
      <c r="L1827" s="9"/>
      <c r="M1827" s="10"/>
      <c r="N1827" s="10"/>
      <c r="O1827" s="10"/>
      <c r="P1827" s="10"/>
      <c r="Q1827" s="10"/>
      <c r="R1827" s="9"/>
      <c r="S1827" s="9"/>
      <c r="T1827" s="12"/>
      <c r="U1827" s="12"/>
      <c r="V1827" s="12"/>
      <c r="W1827" s="10"/>
      <c r="X1827" s="10"/>
      <c r="Y1827" s="9"/>
      <c r="Z1827" s="9"/>
      <c r="AA1827" s="9"/>
      <c r="AB1827" s="9"/>
    </row>
    <row r="1828" ht="30.0" customHeight="1">
      <c r="A1828" s="17" t="s">
        <v>1</v>
      </c>
      <c r="B1828" s="8"/>
      <c r="C1828" s="9"/>
      <c r="D1828" s="9"/>
      <c r="E1828" s="9"/>
      <c r="F1828" s="9"/>
      <c r="G1828" s="9"/>
      <c r="H1828" s="9"/>
      <c r="I1828" s="9"/>
      <c r="J1828" s="9"/>
      <c r="K1828" s="9"/>
      <c r="L1828" s="9"/>
      <c r="M1828" s="10"/>
      <c r="N1828" s="10"/>
      <c r="O1828" s="10"/>
      <c r="P1828" s="10"/>
      <c r="Q1828" s="10"/>
      <c r="R1828" s="9"/>
      <c r="S1828" s="9"/>
      <c r="T1828" s="12"/>
      <c r="U1828" s="12"/>
      <c r="V1828" s="12"/>
      <c r="W1828" s="10"/>
      <c r="X1828" s="10"/>
      <c r="Y1828" s="9"/>
      <c r="Z1828" s="9"/>
      <c r="AA1828" s="9"/>
      <c r="AB1828" s="9"/>
    </row>
    <row r="1829" ht="30.0" customHeight="1">
      <c r="A1829" s="17" t="s">
        <v>1</v>
      </c>
      <c r="B1829" s="8"/>
      <c r="C1829" s="9"/>
      <c r="D1829" s="9"/>
      <c r="E1829" s="9"/>
      <c r="F1829" s="9"/>
      <c r="G1829" s="9"/>
      <c r="H1829" s="9"/>
      <c r="I1829" s="9"/>
      <c r="J1829" s="9"/>
      <c r="K1829" s="9"/>
      <c r="L1829" s="9"/>
      <c r="M1829" s="10"/>
      <c r="N1829" s="10"/>
      <c r="O1829" s="10"/>
      <c r="P1829" s="10"/>
      <c r="Q1829" s="10"/>
      <c r="R1829" s="9"/>
      <c r="S1829" s="9"/>
      <c r="T1829" s="12"/>
      <c r="U1829" s="12"/>
      <c r="V1829" s="12"/>
      <c r="W1829" s="10"/>
      <c r="X1829" s="10"/>
      <c r="Y1829" s="9"/>
      <c r="Z1829" s="9"/>
      <c r="AA1829" s="9"/>
      <c r="AB1829" s="9"/>
    </row>
    <row r="1830" ht="30.0" customHeight="1">
      <c r="A1830" s="17" t="s">
        <v>1</v>
      </c>
      <c r="B1830" s="8"/>
      <c r="C1830" s="9"/>
      <c r="D1830" s="9"/>
      <c r="E1830" s="9"/>
      <c r="F1830" s="9"/>
      <c r="G1830" s="9"/>
      <c r="H1830" s="9"/>
      <c r="I1830" s="9"/>
      <c r="J1830" s="9"/>
      <c r="K1830" s="9"/>
      <c r="L1830" s="9"/>
      <c r="M1830" s="10"/>
      <c r="N1830" s="10"/>
      <c r="O1830" s="10"/>
      <c r="P1830" s="10"/>
      <c r="Q1830" s="10"/>
      <c r="R1830" s="9"/>
      <c r="S1830" s="9"/>
      <c r="T1830" s="12"/>
      <c r="U1830" s="12"/>
      <c r="V1830" s="12"/>
      <c r="W1830" s="10"/>
      <c r="X1830" s="10"/>
      <c r="Y1830" s="9"/>
      <c r="Z1830" s="9"/>
      <c r="AA1830" s="9"/>
      <c r="AB1830" s="9"/>
    </row>
    <row r="1831" ht="30.0" customHeight="1">
      <c r="A1831" s="17" t="s">
        <v>1</v>
      </c>
      <c r="B1831" s="8"/>
      <c r="C1831" s="9"/>
      <c r="D1831" s="9"/>
      <c r="E1831" s="9"/>
      <c r="F1831" s="9"/>
      <c r="G1831" s="9"/>
      <c r="H1831" s="9"/>
      <c r="I1831" s="9"/>
      <c r="J1831" s="9"/>
      <c r="K1831" s="9"/>
      <c r="L1831" s="9"/>
      <c r="M1831" s="10"/>
      <c r="N1831" s="10"/>
      <c r="O1831" s="10"/>
      <c r="P1831" s="10"/>
      <c r="Q1831" s="10"/>
      <c r="R1831" s="9"/>
      <c r="S1831" s="9"/>
      <c r="T1831" s="12"/>
      <c r="U1831" s="12"/>
      <c r="V1831" s="12"/>
      <c r="W1831" s="10"/>
      <c r="X1831" s="10"/>
      <c r="Y1831" s="9"/>
      <c r="Z1831" s="9"/>
      <c r="AA1831" s="9"/>
      <c r="AB1831" s="9"/>
    </row>
    <row r="1832" ht="30.0" customHeight="1">
      <c r="A1832" s="17" t="s">
        <v>1</v>
      </c>
      <c r="B1832" s="8"/>
      <c r="C1832" s="9"/>
      <c r="D1832" s="9"/>
      <c r="E1832" s="9"/>
      <c r="F1832" s="9"/>
      <c r="G1832" s="9"/>
      <c r="H1832" s="9"/>
      <c r="I1832" s="9"/>
      <c r="J1832" s="9"/>
      <c r="K1832" s="9"/>
      <c r="L1832" s="9"/>
      <c r="M1832" s="10"/>
      <c r="N1832" s="10"/>
      <c r="O1832" s="10"/>
      <c r="P1832" s="10"/>
      <c r="Q1832" s="10"/>
      <c r="R1832" s="9"/>
      <c r="S1832" s="9"/>
      <c r="T1832" s="12"/>
      <c r="U1832" s="12"/>
      <c r="V1832" s="12"/>
      <c r="W1832" s="10"/>
      <c r="X1832" s="10"/>
      <c r="Y1832" s="9"/>
      <c r="Z1832" s="9"/>
      <c r="AA1832" s="9"/>
      <c r="AB1832" s="9"/>
    </row>
    <row r="1833" ht="30.0" customHeight="1">
      <c r="A1833" s="17" t="s">
        <v>1</v>
      </c>
      <c r="B1833" s="8"/>
      <c r="C1833" s="9"/>
      <c r="D1833" s="9"/>
      <c r="E1833" s="9"/>
      <c r="F1833" s="9"/>
      <c r="G1833" s="9"/>
      <c r="H1833" s="9"/>
      <c r="I1833" s="9"/>
      <c r="J1833" s="9"/>
      <c r="K1833" s="9"/>
      <c r="L1833" s="9"/>
      <c r="M1833" s="10"/>
      <c r="N1833" s="10"/>
      <c r="O1833" s="10"/>
      <c r="P1833" s="10"/>
      <c r="Q1833" s="10"/>
      <c r="R1833" s="9"/>
      <c r="S1833" s="9"/>
      <c r="T1833" s="12"/>
      <c r="U1833" s="12"/>
      <c r="V1833" s="12"/>
      <c r="W1833" s="10"/>
      <c r="X1833" s="10"/>
      <c r="Y1833" s="9"/>
      <c r="Z1833" s="9"/>
      <c r="AA1833" s="9"/>
      <c r="AB1833" s="9"/>
    </row>
    <row r="1834" ht="30.0" customHeight="1">
      <c r="A1834" s="17" t="s">
        <v>1</v>
      </c>
      <c r="B1834" s="8"/>
      <c r="C1834" s="9"/>
      <c r="D1834" s="9"/>
      <c r="E1834" s="9"/>
      <c r="F1834" s="9"/>
      <c r="G1834" s="9"/>
      <c r="H1834" s="9"/>
      <c r="I1834" s="9"/>
      <c r="J1834" s="9"/>
      <c r="K1834" s="9"/>
      <c r="L1834" s="9"/>
      <c r="M1834" s="10"/>
      <c r="N1834" s="10"/>
      <c r="O1834" s="10"/>
      <c r="P1834" s="10"/>
      <c r="Q1834" s="10"/>
      <c r="R1834" s="9"/>
      <c r="S1834" s="9"/>
      <c r="T1834" s="12"/>
      <c r="U1834" s="12"/>
      <c r="V1834" s="12"/>
      <c r="W1834" s="10"/>
      <c r="X1834" s="10"/>
      <c r="Y1834" s="9"/>
      <c r="Z1834" s="9"/>
      <c r="AA1834" s="9"/>
      <c r="AB1834" s="9"/>
    </row>
    <row r="1835" ht="30.0" customHeight="1">
      <c r="A1835" s="17" t="s">
        <v>1</v>
      </c>
      <c r="B1835" s="8"/>
      <c r="C1835" s="9"/>
      <c r="D1835" s="9"/>
      <c r="E1835" s="9"/>
      <c r="F1835" s="9"/>
      <c r="G1835" s="9"/>
      <c r="H1835" s="9"/>
      <c r="I1835" s="9"/>
      <c r="J1835" s="9"/>
      <c r="K1835" s="9"/>
      <c r="L1835" s="9"/>
      <c r="M1835" s="10"/>
      <c r="N1835" s="10"/>
      <c r="O1835" s="10"/>
      <c r="P1835" s="10"/>
      <c r="Q1835" s="10"/>
      <c r="R1835" s="9"/>
      <c r="S1835" s="9"/>
      <c r="T1835" s="12"/>
      <c r="U1835" s="12"/>
      <c r="V1835" s="12"/>
      <c r="W1835" s="10"/>
      <c r="X1835" s="10"/>
      <c r="Y1835" s="9"/>
      <c r="Z1835" s="9"/>
      <c r="AA1835" s="9"/>
      <c r="AB1835" s="9"/>
    </row>
    <row r="1836" ht="30.0" customHeight="1">
      <c r="A1836" s="17" t="s">
        <v>1</v>
      </c>
      <c r="B1836" s="8"/>
      <c r="C1836" s="9"/>
      <c r="D1836" s="9"/>
      <c r="E1836" s="9"/>
      <c r="F1836" s="9"/>
      <c r="G1836" s="9"/>
      <c r="H1836" s="9"/>
      <c r="I1836" s="9"/>
      <c r="J1836" s="9"/>
      <c r="K1836" s="9"/>
      <c r="L1836" s="9"/>
      <c r="M1836" s="10"/>
      <c r="N1836" s="10"/>
      <c r="O1836" s="10"/>
      <c r="P1836" s="10"/>
      <c r="Q1836" s="10"/>
      <c r="R1836" s="9"/>
      <c r="S1836" s="9"/>
      <c r="T1836" s="12"/>
      <c r="U1836" s="12"/>
      <c r="V1836" s="12"/>
      <c r="W1836" s="10"/>
      <c r="X1836" s="10"/>
      <c r="Y1836" s="9"/>
      <c r="Z1836" s="9"/>
      <c r="AA1836" s="9"/>
      <c r="AB1836" s="9"/>
    </row>
    <row r="1837" ht="30.0" customHeight="1">
      <c r="A1837" s="17" t="s">
        <v>1</v>
      </c>
      <c r="B1837" s="8"/>
      <c r="C1837" s="9"/>
      <c r="D1837" s="9"/>
      <c r="E1837" s="9"/>
      <c r="F1837" s="9"/>
      <c r="G1837" s="9"/>
      <c r="H1837" s="9"/>
      <c r="I1837" s="9"/>
      <c r="J1837" s="9"/>
      <c r="K1837" s="9"/>
      <c r="L1837" s="9"/>
      <c r="M1837" s="10"/>
      <c r="N1837" s="10"/>
      <c r="O1837" s="10"/>
      <c r="P1837" s="10"/>
      <c r="Q1837" s="10"/>
      <c r="R1837" s="9"/>
      <c r="S1837" s="9"/>
      <c r="T1837" s="12"/>
      <c r="U1837" s="12"/>
      <c r="V1837" s="12"/>
      <c r="W1837" s="10"/>
      <c r="X1837" s="10"/>
      <c r="Y1837" s="9"/>
      <c r="Z1837" s="9"/>
      <c r="AA1837" s="9"/>
      <c r="AB1837" s="9"/>
    </row>
    <row r="1838" ht="30.0" customHeight="1">
      <c r="A1838" s="17" t="s">
        <v>1</v>
      </c>
      <c r="B1838" s="8"/>
      <c r="C1838" s="9"/>
      <c r="D1838" s="9"/>
      <c r="E1838" s="9"/>
      <c r="F1838" s="9"/>
      <c r="G1838" s="9"/>
      <c r="H1838" s="9"/>
      <c r="I1838" s="9"/>
      <c r="J1838" s="9"/>
      <c r="K1838" s="9"/>
      <c r="L1838" s="9"/>
      <c r="M1838" s="10"/>
      <c r="N1838" s="10"/>
      <c r="O1838" s="10"/>
      <c r="P1838" s="10"/>
      <c r="Q1838" s="10"/>
      <c r="R1838" s="9"/>
      <c r="S1838" s="9"/>
      <c r="T1838" s="12"/>
      <c r="U1838" s="12"/>
      <c r="V1838" s="12"/>
      <c r="W1838" s="10"/>
      <c r="X1838" s="10"/>
      <c r="Y1838" s="9"/>
      <c r="Z1838" s="9"/>
      <c r="AA1838" s="9"/>
      <c r="AB1838" s="9"/>
    </row>
    <row r="1839" ht="30.0" customHeight="1">
      <c r="A1839" s="17" t="s">
        <v>1</v>
      </c>
      <c r="B1839" s="8"/>
      <c r="C1839" s="9"/>
      <c r="D1839" s="9"/>
      <c r="E1839" s="9"/>
      <c r="F1839" s="9"/>
      <c r="G1839" s="9"/>
      <c r="H1839" s="9"/>
      <c r="I1839" s="9"/>
      <c r="J1839" s="9"/>
      <c r="K1839" s="9"/>
      <c r="L1839" s="9"/>
      <c r="M1839" s="10"/>
      <c r="N1839" s="10"/>
      <c r="O1839" s="10"/>
      <c r="P1839" s="10"/>
      <c r="Q1839" s="10"/>
      <c r="R1839" s="9"/>
      <c r="S1839" s="9"/>
      <c r="T1839" s="12"/>
      <c r="U1839" s="12"/>
      <c r="V1839" s="12"/>
      <c r="W1839" s="10"/>
      <c r="X1839" s="10"/>
      <c r="Y1839" s="9"/>
      <c r="Z1839" s="9"/>
      <c r="AA1839" s="9"/>
      <c r="AB1839" s="9"/>
    </row>
    <row r="1840" ht="30.0" customHeight="1">
      <c r="A1840" s="17" t="s">
        <v>1</v>
      </c>
      <c r="B1840" s="8"/>
      <c r="C1840" s="9"/>
      <c r="D1840" s="9"/>
      <c r="E1840" s="9"/>
      <c r="F1840" s="9"/>
      <c r="G1840" s="9"/>
      <c r="H1840" s="9"/>
      <c r="I1840" s="9"/>
      <c r="J1840" s="9"/>
      <c r="K1840" s="9"/>
      <c r="L1840" s="9"/>
      <c r="M1840" s="10"/>
      <c r="N1840" s="10"/>
      <c r="O1840" s="10"/>
      <c r="P1840" s="10"/>
      <c r="Q1840" s="10"/>
      <c r="R1840" s="9"/>
      <c r="S1840" s="9"/>
      <c r="T1840" s="12"/>
      <c r="U1840" s="12"/>
      <c r="V1840" s="12"/>
      <c r="W1840" s="10"/>
      <c r="X1840" s="10"/>
      <c r="Y1840" s="9"/>
      <c r="Z1840" s="9"/>
      <c r="AA1840" s="9"/>
      <c r="AB1840" s="9"/>
    </row>
    <row r="1841" ht="30.0" customHeight="1">
      <c r="A1841" s="17" t="s">
        <v>1</v>
      </c>
      <c r="B1841" s="8"/>
      <c r="C1841" s="9"/>
      <c r="D1841" s="9"/>
      <c r="E1841" s="9"/>
      <c r="F1841" s="9"/>
      <c r="G1841" s="9"/>
      <c r="H1841" s="9"/>
      <c r="I1841" s="9"/>
      <c r="J1841" s="9"/>
      <c r="K1841" s="9"/>
      <c r="L1841" s="9"/>
      <c r="M1841" s="10"/>
      <c r="N1841" s="10"/>
      <c r="O1841" s="10"/>
      <c r="P1841" s="10"/>
      <c r="Q1841" s="10"/>
      <c r="R1841" s="9"/>
      <c r="S1841" s="9"/>
      <c r="T1841" s="12"/>
      <c r="U1841" s="12"/>
      <c r="V1841" s="12"/>
      <c r="W1841" s="10"/>
      <c r="X1841" s="10"/>
      <c r="Y1841" s="9"/>
      <c r="Z1841" s="9"/>
      <c r="AA1841" s="9"/>
      <c r="AB1841" s="9"/>
    </row>
    <row r="1842" ht="30.0" customHeight="1">
      <c r="A1842" s="17" t="s">
        <v>1</v>
      </c>
      <c r="B1842" s="8"/>
      <c r="C1842" s="9"/>
      <c r="D1842" s="9"/>
      <c r="E1842" s="9"/>
      <c r="F1842" s="9"/>
      <c r="G1842" s="9"/>
      <c r="H1842" s="9"/>
      <c r="I1842" s="9"/>
      <c r="J1842" s="9"/>
      <c r="K1842" s="9"/>
      <c r="L1842" s="9"/>
      <c r="M1842" s="10"/>
      <c r="N1842" s="10"/>
      <c r="O1842" s="10"/>
      <c r="P1842" s="10"/>
      <c r="Q1842" s="10"/>
      <c r="R1842" s="9"/>
      <c r="S1842" s="9"/>
      <c r="T1842" s="12"/>
      <c r="U1842" s="12"/>
      <c r="V1842" s="12"/>
      <c r="W1842" s="10"/>
      <c r="X1842" s="10"/>
      <c r="Y1842" s="9"/>
      <c r="Z1842" s="9"/>
      <c r="AA1842" s="9"/>
      <c r="AB1842" s="9"/>
    </row>
    <row r="1843" ht="30.0" customHeight="1">
      <c r="A1843" s="17" t="s">
        <v>1</v>
      </c>
      <c r="B1843" s="8"/>
      <c r="C1843" s="9"/>
      <c r="D1843" s="9"/>
      <c r="E1843" s="9"/>
      <c r="F1843" s="9"/>
      <c r="G1843" s="9"/>
      <c r="H1843" s="9"/>
      <c r="I1843" s="9"/>
      <c r="J1843" s="9"/>
      <c r="K1843" s="9"/>
      <c r="L1843" s="9"/>
      <c r="M1843" s="10"/>
      <c r="N1843" s="10"/>
      <c r="O1843" s="10"/>
      <c r="P1843" s="10"/>
      <c r="Q1843" s="10"/>
      <c r="R1843" s="9"/>
      <c r="S1843" s="9"/>
      <c r="T1843" s="12"/>
      <c r="U1843" s="12"/>
      <c r="V1843" s="12"/>
      <c r="W1843" s="10"/>
      <c r="X1843" s="10"/>
      <c r="Y1843" s="9"/>
      <c r="Z1843" s="9"/>
      <c r="AA1843" s="9"/>
      <c r="AB1843" s="9"/>
    </row>
    <row r="1844" ht="30.0" customHeight="1">
      <c r="A1844" s="17" t="s">
        <v>1</v>
      </c>
      <c r="B1844" s="8"/>
      <c r="C1844" s="9"/>
      <c r="D1844" s="9"/>
      <c r="E1844" s="9"/>
      <c r="F1844" s="9"/>
      <c r="G1844" s="9"/>
      <c r="H1844" s="9"/>
      <c r="I1844" s="9"/>
      <c r="J1844" s="9"/>
      <c r="K1844" s="9"/>
      <c r="L1844" s="9"/>
      <c r="M1844" s="10"/>
      <c r="N1844" s="10"/>
      <c r="O1844" s="10"/>
      <c r="P1844" s="10"/>
      <c r="Q1844" s="10"/>
      <c r="R1844" s="9"/>
      <c r="S1844" s="9"/>
      <c r="T1844" s="12"/>
      <c r="U1844" s="12"/>
      <c r="V1844" s="12"/>
      <c r="W1844" s="10"/>
      <c r="X1844" s="10"/>
      <c r="Y1844" s="9"/>
      <c r="Z1844" s="9"/>
      <c r="AA1844" s="9"/>
      <c r="AB1844" s="9"/>
    </row>
    <row r="1845" ht="30.0" customHeight="1">
      <c r="A1845" s="17" t="s">
        <v>1</v>
      </c>
      <c r="B1845" s="8"/>
      <c r="C1845" s="9"/>
      <c r="D1845" s="9"/>
      <c r="E1845" s="9"/>
      <c r="F1845" s="9"/>
      <c r="G1845" s="9"/>
      <c r="H1845" s="9"/>
      <c r="I1845" s="9"/>
      <c r="J1845" s="9"/>
      <c r="K1845" s="9"/>
      <c r="L1845" s="9"/>
      <c r="M1845" s="10"/>
      <c r="N1845" s="10"/>
      <c r="O1845" s="10"/>
      <c r="P1845" s="10"/>
      <c r="Q1845" s="10"/>
      <c r="R1845" s="9"/>
      <c r="S1845" s="9"/>
      <c r="T1845" s="12"/>
      <c r="U1845" s="12"/>
      <c r="V1845" s="12"/>
      <c r="W1845" s="10"/>
      <c r="X1845" s="10"/>
      <c r="Y1845" s="9"/>
      <c r="Z1845" s="9"/>
      <c r="AA1845" s="9"/>
      <c r="AB1845" s="9"/>
    </row>
    <row r="1846" ht="30.0" customHeight="1">
      <c r="A1846" s="17" t="s">
        <v>1</v>
      </c>
      <c r="B1846" s="8"/>
      <c r="C1846" s="9"/>
      <c r="D1846" s="9"/>
      <c r="E1846" s="9"/>
      <c r="F1846" s="9"/>
      <c r="G1846" s="9"/>
      <c r="H1846" s="9"/>
      <c r="I1846" s="9"/>
      <c r="J1846" s="9"/>
      <c r="K1846" s="9"/>
      <c r="L1846" s="9"/>
      <c r="M1846" s="10"/>
      <c r="N1846" s="10"/>
      <c r="O1846" s="10"/>
      <c r="P1846" s="10"/>
      <c r="Q1846" s="10"/>
      <c r="R1846" s="9"/>
      <c r="S1846" s="9"/>
      <c r="T1846" s="12"/>
      <c r="U1846" s="12"/>
      <c r="V1846" s="12"/>
      <c r="W1846" s="10"/>
      <c r="X1846" s="10"/>
      <c r="Y1846" s="9"/>
      <c r="Z1846" s="9"/>
      <c r="AA1846" s="9"/>
      <c r="AB1846" s="9"/>
    </row>
    <row r="1847" ht="30.0" customHeight="1">
      <c r="A1847" s="17" t="s">
        <v>1</v>
      </c>
      <c r="B1847" s="8"/>
      <c r="C1847" s="9"/>
      <c r="D1847" s="9"/>
      <c r="E1847" s="9"/>
      <c r="F1847" s="9"/>
      <c r="G1847" s="9"/>
      <c r="H1847" s="9"/>
      <c r="I1847" s="9"/>
      <c r="J1847" s="9"/>
      <c r="K1847" s="9"/>
      <c r="L1847" s="9"/>
      <c r="M1847" s="10"/>
      <c r="N1847" s="10"/>
      <c r="O1847" s="10"/>
      <c r="P1847" s="10"/>
      <c r="Q1847" s="10"/>
      <c r="R1847" s="9"/>
      <c r="S1847" s="9"/>
      <c r="T1847" s="12"/>
      <c r="U1847" s="12"/>
      <c r="V1847" s="12"/>
      <c r="W1847" s="10"/>
      <c r="X1847" s="10"/>
      <c r="Y1847" s="9"/>
      <c r="Z1847" s="9"/>
      <c r="AA1847" s="9"/>
      <c r="AB1847" s="9"/>
    </row>
    <row r="1848" ht="30.0" customHeight="1">
      <c r="A1848" s="17" t="s">
        <v>1</v>
      </c>
      <c r="B1848" s="8"/>
      <c r="C1848" s="9"/>
      <c r="D1848" s="9"/>
      <c r="E1848" s="9"/>
      <c r="F1848" s="9"/>
      <c r="G1848" s="9"/>
      <c r="H1848" s="9"/>
      <c r="I1848" s="9"/>
      <c r="J1848" s="9"/>
      <c r="K1848" s="9"/>
      <c r="L1848" s="9"/>
      <c r="M1848" s="10"/>
      <c r="N1848" s="10"/>
      <c r="O1848" s="10"/>
      <c r="P1848" s="10"/>
      <c r="Q1848" s="10"/>
      <c r="R1848" s="9"/>
      <c r="S1848" s="9"/>
      <c r="T1848" s="12"/>
      <c r="U1848" s="12"/>
      <c r="V1848" s="12"/>
      <c r="W1848" s="10"/>
      <c r="X1848" s="10"/>
      <c r="Y1848" s="9"/>
      <c r="Z1848" s="9"/>
      <c r="AA1848" s="9"/>
      <c r="AB1848" s="9"/>
    </row>
    <row r="1849" ht="30.0" customHeight="1">
      <c r="A1849" s="17" t="s">
        <v>1</v>
      </c>
      <c r="B1849" s="8"/>
      <c r="C1849" s="9"/>
      <c r="D1849" s="9"/>
      <c r="E1849" s="9"/>
      <c r="F1849" s="9"/>
      <c r="G1849" s="9"/>
      <c r="H1849" s="9"/>
      <c r="I1849" s="9"/>
      <c r="J1849" s="9"/>
      <c r="K1849" s="9"/>
      <c r="L1849" s="9"/>
      <c r="M1849" s="10"/>
      <c r="N1849" s="10"/>
      <c r="O1849" s="10"/>
      <c r="P1849" s="10"/>
      <c r="Q1849" s="10"/>
      <c r="R1849" s="9"/>
      <c r="S1849" s="9"/>
      <c r="T1849" s="12"/>
      <c r="U1849" s="12"/>
      <c r="V1849" s="12"/>
      <c r="W1849" s="10"/>
      <c r="X1849" s="10"/>
      <c r="Y1849" s="9"/>
      <c r="Z1849" s="9"/>
      <c r="AA1849" s="9"/>
      <c r="AB1849" s="9"/>
    </row>
    <row r="1850" ht="30.0" customHeight="1">
      <c r="A1850" s="17" t="s">
        <v>1</v>
      </c>
      <c r="B1850" s="8"/>
      <c r="C1850" s="9"/>
      <c r="D1850" s="9"/>
      <c r="E1850" s="9"/>
      <c r="F1850" s="9"/>
      <c r="G1850" s="9"/>
      <c r="H1850" s="9"/>
      <c r="I1850" s="9"/>
      <c r="J1850" s="9"/>
      <c r="K1850" s="9"/>
      <c r="L1850" s="9"/>
      <c r="M1850" s="10"/>
      <c r="N1850" s="10"/>
      <c r="O1850" s="10"/>
      <c r="P1850" s="10"/>
      <c r="Q1850" s="10"/>
      <c r="R1850" s="9"/>
      <c r="S1850" s="9"/>
      <c r="T1850" s="12"/>
      <c r="U1850" s="12"/>
      <c r="V1850" s="12"/>
      <c r="W1850" s="10"/>
      <c r="X1850" s="10"/>
      <c r="Y1850" s="9"/>
      <c r="Z1850" s="9"/>
      <c r="AA1850" s="9"/>
      <c r="AB1850" s="9"/>
    </row>
    <row r="1851" ht="30.0" customHeight="1">
      <c r="A1851" s="17" t="s">
        <v>1</v>
      </c>
      <c r="B1851" s="8"/>
      <c r="C1851" s="9"/>
      <c r="D1851" s="9"/>
      <c r="E1851" s="9"/>
      <c r="F1851" s="9"/>
      <c r="G1851" s="9"/>
      <c r="H1851" s="9"/>
      <c r="I1851" s="9"/>
      <c r="J1851" s="9"/>
      <c r="K1851" s="9"/>
      <c r="L1851" s="9"/>
      <c r="M1851" s="10"/>
      <c r="N1851" s="10"/>
      <c r="O1851" s="10"/>
      <c r="P1851" s="10"/>
      <c r="Q1851" s="10"/>
      <c r="R1851" s="9"/>
      <c r="S1851" s="9"/>
      <c r="T1851" s="12"/>
      <c r="U1851" s="12"/>
      <c r="V1851" s="12"/>
      <c r="W1851" s="10"/>
      <c r="X1851" s="10"/>
      <c r="Y1851" s="9"/>
      <c r="Z1851" s="9"/>
      <c r="AA1851" s="9"/>
      <c r="AB1851" s="9"/>
    </row>
    <row r="1852" ht="30.0" customHeight="1">
      <c r="A1852" s="17" t="s">
        <v>1</v>
      </c>
      <c r="B1852" s="8"/>
      <c r="C1852" s="9"/>
      <c r="D1852" s="9"/>
      <c r="E1852" s="9"/>
      <c r="F1852" s="9"/>
      <c r="G1852" s="9"/>
      <c r="H1852" s="9"/>
      <c r="I1852" s="9"/>
      <c r="J1852" s="9"/>
      <c r="K1852" s="9"/>
      <c r="L1852" s="9"/>
      <c r="M1852" s="10"/>
      <c r="N1852" s="10"/>
      <c r="O1852" s="10"/>
      <c r="P1852" s="10"/>
      <c r="Q1852" s="10"/>
      <c r="R1852" s="9"/>
      <c r="S1852" s="9"/>
      <c r="T1852" s="12"/>
      <c r="U1852" s="12"/>
      <c r="V1852" s="12"/>
      <c r="W1852" s="10"/>
      <c r="X1852" s="10"/>
      <c r="Y1852" s="9"/>
      <c r="Z1852" s="9"/>
      <c r="AA1852" s="9"/>
      <c r="AB1852" s="9"/>
    </row>
    <row r="1853" ht="30.0" customHeight="1">
      <c r="A1853" s="17" t="s">
        <v>1</v>
      </c>
      <c r="B1853" s="8"/>
      <c r="C1853" s="9"/>
      <c r="D1853" s="9"/>
      <c r="E1853" s="9"/>
      <c r="F1853" s="9"/>
      <c r="G1853" s="9"/>
      <c r="H1853" s="9"/>
      <c r="I1853" s="9"/>
      <c r="J1853" s="9"/>
      <c r="K1853" s="9"/>
      <c r="L1853" s="9"/>
      <c r="M1853" s="10"/>
      <c r="N1853" s="10"/>
      <c r="O1853" s="10"/>
      <c r="P1853" s="10"/>
      <c r="Q1853" s="10"/>
      <c r="R1853" s="9"/>
      <c r="S1853" s="9"/>
      <c r="T1853" s="12"/>
      <c r="U1853" s="12"/>
      <c r="V1853" s="12"/>
      <c r="W1853" s="10"/>
      <c r="X1853" s="10"/>
      <c r="Y1853" s="9"/>
      <c r="Z1853" s="9"/>
      <c r="AA1853" s="9"/>
      <c r="AB1853" s="9"/>
    </row>
    <row r="1854" ht="30.0" customHeight="1">
      <c r="A1854" s="17" t="s">
        <v>1</v>
      </c>
      <c r="B1854" s="8"/>
      <c r="C1854" s="9"/>
      <c r="D1854" s="9"/>
      <c r="E1854" s="9"/>
      <c r="F1854" s="9"/>
      <c r="G1854" s="9"/>
      <c r="H1854" s="9"/>
      <c r="I1854" s="9"/>
      <c r="J1854" s="9"/>
      <c r="K1854" s="9"/>
      <c r="L1854" s="9"/>
      <c r="M1854" s="10"/>
      <c r="N1854" s="10"/>
      <c r="O1854" s="10"/>
      <c r="P1854" s="10"/>
      <c r="Q1854" s="10"/>
      <c r="R1854" s="9"/>
      <c r="S1854" s="9"/>
      <c r="T1854" s="12"/>
      <c r="U1854" s="12"/>
      <c r="V1854" s="12"/>
      <c r="W1854" s="10"/>
      <c r="X1854" s="10"/>
      <c r="Y1854" s="9"/>
      <c r="Z1854" s="9"/>
      <c r="AA1854" s="9"/>
      <c r="AB1854" s="9"/>
    </row>
    <row r="1855" ht="30.0" customHeight="1">
      <c r="A1855" s="17" t="s">
        <v>1</v>
      </c>
      <c r="B1855" s="8"/>
      <c r="C1855" s="9"/>
      <c r="D1855" s="9"/>
      <c r="E1855" s="9"/>
      <c r="F1855" s="9"/>
      <c r="G1855" s="9"/>
      <c r="H1855" s="9"/>
      <c r="I1855" s="9"/>
      <c r="J1855" s="9"/>
      <c r="K1855" s="9"/>
      <c r="L1855" s="9"/>
      <c r="M1855" s="10"/>
      <c r="N1855" s="10"/>
      <c r="O1855" s="10"/>
      <c r="P1855" s="10"/>
      <c r="Q1855" s="10"/>
      <c r="R1855" s="9"/>
      <c r="S1855" s="9"/>
      <c r="T1855" s="12"/>
      <c r="U1855" s="12"/>
      <c r="V1855" s="12"/>
      <c r="W1855" s="10"/>
      <c r="X1855" s="10"/>
      <c r="Y1855" s="9"/>
      <c r="Z1855" s="9"/>
      <c r="AA1855" s="9"/>
      <c r="AB1855" s="9"/>
    </row>
    <row r="1856" ht="30.0" customHeight="1">
      <c r="A1856" s="17" t="s">
        <v>1</v>
      </c>
      <c r="B1856" s="8"/>
      <c r="C1856" s="9"/>
      <c r="D1856" s="9"/>
      <c r="E1856" s="9"/>
      <c r="F1856" s="9"/>
      <c r="G1856" s="9"/>
      <c r="H1856" s="9"/>
      <c r="I1856" s="9"/>
      <c r="J1856" s="9"/>
      <c r="K1856" s="9"/>
      <c r="L1856" s="9"/>
      <c r="M1856" s="10"/>
      <c r="N1856" s="10"/>
      <c r="O1856" s="10"/>
      <c r="P1856" s="10"/>
      <c r="Q1856" s="10"/>
      <c r="R1856" s="9"/>
      <c r="S1856" s="9"/>
      <c r="T1856" s="12"/>
      <c r="U1856" s="12"/>
      <c r="V1856" s="12"/>
      <c r="W1856" s="10"/>
      <c r="X1856" s="10"/>
      <c r="Y1856" s="9"/>
      <c r="Z1856" s="9"/>
      <c r="AA1856" s="9"/>
      <c r="AB1856" s="9"/>
    </row>
    <row r="1857" ht="30.0" customHeight="1">
      <c r="A1857" s="17" t="s">
        <v>1</v>
      </c>
      <c r="B1857" s="8"/>
      <c r="C1857" s="9"/>
      <c r="D1857" s="9"/>
      <c r="E1857" s="9"/>
      <c r="F1857" s="9"/>
      <c r="G1857" s="9"/>
      <c r="H1857" s="9"/>
      <c r="I1857" s="9"/>
      <c r="J1857" s="9"/>
      <c r="K1857" s="9"/>
      <c r="L1857" s="9"/>
      <c r="M1857" s="10"/>
      <c r="N1857" s="10"/>
      <c r="O1857" s="10"/>
      <c r="P1857" s="10"/>
      <c r="Q1857" s="10"/>
      <c r="R1857" s="9"/>
      <c r="S1857" s="9"/>
      <c r="T1857" s="12"/>
      <c r="U1857" s="12"/>
      <c r="V1857" s="12"/>
      <c r="W1857" s="10"/>
      <c r="X1857" s="10"/>
      <c r="Y1857" s="9"/>
      <c r="Z1857" s="9"/>
      <c r="AA1857" s="9"/>
      <c r="AB1857" s="9"/>
    </row>
    <row r="1858" ht="30.0" customHeight="1">
      <c r="A1858" s="17" t="s">
        <v>1</v>
      </c>
      <c r="B1858" s="8"/>
      <c r="C1858" s="9"/>
      <c r="D1858" s="9"/>
      <c r="E1858" s="9"/>
      <c r="F1858" s="9"/>
      <c r="G1858" s="9"/>
      <c r="H1858" s="9"/>
      <c r="I1858" s="9"/>
      <c r="J1858" s="9"/>
      <c r="K1858" s="9"/>
      <c r="L1858" s="9"/>
      <c r="M1858" s="10"/>
      <c r="N1858" s="10"/>
      <c r="O1858" s="10"/>
      <c r="P1858" s="10"/>
      <c r="Q1858" s="10"/>
      <c r="R1858" s="9"/>
      <c r="S1858" s="9"/>
      <c r="T1858" s="12"/>
      <c r="U1858" s="12"/>
      <c r="V1858" s="12"/>
      <c r="W1858" s="10"/>
      <c r="X1858" s="10"/>
      <c r="Y1858" s="9"/>
      <c r="Z1858" s="9"/>
      <c r="AA1858" s="9"/>
      <c r="AB1858" s="9"/>
    </row>
    <row r="1859" ht="30.0" customHeight="1">
      <c r="A1859" s="17" t="s">
        <v>1</v>
      </c>
      <c r="B1859" s="8"/>
      <c r="C1859" s="9"/>
      <c r="D1859" s="9"/>
      <c r="E1859" s="9"/>
      <c r="F1859" s="9"/>
      <c r="G1859" s="9"/>
      <c r="H1859" s="9"/>
      <c r="I1859" s="9"/>
      <c r="J1859" s="9"/>
      <c r="K1859" s="9"/>
      <c r="L1859" s="9"/>
      <c r="M1859" s="10"/>
      <c r="N1859" s="10"/>
      <c r="O1859" s="10"/>
      <c r="P1859" s="10"/>
      <c r="Q1859" s="10"/>
      <c r="R1859" s="9"/>
      <c r="S1859" s="9"/>
      <c r="T1859" s="12"/>
      <c r="U1859" s="12"/>
      <c r="V1859" s="12"/>
      <c r="W1859" s="10"/>
      <c r="X1859" s="10"/>
      <c r="Y1859" s="9"/>
      <c r="Z1859" s="9"/>
      <c r="AA1859" s="9"/>
      <c r="AB1859" s="9"/>
    </row>
    <row r="1860" ht="30.0" customHeight="1">
      <c r="A1860" s="17" t="s">
        <v>1</v>
      </c>
      <c r="B1860" s="8"/>
      <c r="C1860" s="9"/>
      <c r="D1860" s="9"/>
      <c r="E1860" s="9"/>
      <c r="F1860" s="9"/>
      <c r="G1860" s="9"/>
      <c r="H1860" s="9"/>
      <c r="I1860" s="9"/>
      <c r="J1860" s="9"/>
      <c r="K1860" s="9"/>
      <c r="L1860" s="9"/>
      <c r="M1860" s="10"/>
      <c r="N1860" s="10"/>
      <c r="O1860" s="10"/>
      <c r="P1860" s="10"/>
      <c r="Q1860" s="10"/>
      <c r="R1860" s="9"/>
      <c r="S1860" s="9"/>
      <c r="T1860" s="12"/>
      <c r="U1860" s="12"/>
      <c r="V1860" s="12"/>
      <c r="W1860" s="10"/>
      <c r="X1860" s="10"/>
      <c r="Y1860" s="9"/>
      <c r="Z1860" s="9"/>
      <c r="AA1860" s="9"/>
      <c r="AB1860" s="9"/>
    </row>
    <row r="1861" ht="30.0" customHeight="1">
      <c r="A1861" s="17" t="s">
        <v>1</v>
      </c>
      <c r="B1861" s="8"/>
      <c r="C1861" s="9"/>
      <c r="D1861" s="9"/>
      <c r="E1861" s="9"/>
      <c r="F1861" s="9"/>
      <c r="G1861" s="9"/>
      <c r="H1861" s="9"/>
      <c r="I1861" s="9"/>
      <c r="J1861" s="9"/>
      <c r="K1861" s="9"/>
      <c r="L1861" s="9"/>
      <c r="M1861" s="10"/>
      <c r="N1861" s="10"/>
      <c r="O1861" s="10"/>
      <c r="P1861" s="10"/>
      <c r="Q1861" s="10"/>
      <c r="R1861" s="9"/>
      <c r="S1861" s="9"/>
      <c r="T1861" s="12"/>
      <c r="U1861" s="12"/>
      <c r="V1861" s="12"/>
      <c r="W1861" s="10"/>
      <c r="X1861" s="10"/>
      <c r="Y1861" s="9"/>
      <c r="Z1861" s="9"/>
      <c r="AA1861" s="9"/>
      <c r="AB1861" s="9"/>
    </row>
    <row r="1862" ht="30.0" customHeight="1">
      <c r="A1862" s="17" t="s">
        <v>1</v>
      </c>
      <c r="B1862" s="8"/>
      <c r="C1862" s="9"/>
      <c r="D1862" s="9"/>
      <c r="E1862" s="9"/>
      <c r="F1862" s="9"/>
      <c r="G1862" s="9"/>
      <c r="H1862" s="9"/>
      <c r="I1862" s="9"/>
      <c r="J1862" s="9"/>
      <c r="K1862" s="9"/>
      <c r="L1862" s="9"/>
      <c r="M1862" s="10"/>
      <c r="N1862" s="10"/>
      <c r="O1862" s="10"/>
      <c r="P1862" s="10"/>
      <c r="Q1862" s="10"/>
      <c r="R1862" s="9"/>
      <c r="S1862" s="9"/>
      <c r="T1862" s="12"/>
      <c r="U1862" s="12"/>
      <c r="V1862" s="12"/>
      <c r="W1862" s="10"/>
      <c r="X1862" s="10"/>
      <c r="Y1862" s="9"/>
      <c r="Z1862" s="9"/>
      <c r="AA1862" s="9"/>
      <c r="AB1862" s="9"/>
    </row>
    <row r="1863" ht="30.0" customHeight="1">
      <c r="A1863" s="17" t="s">
        <v>1</v>
      </c>
      <c r="B1863" s="8"/>
      <c r="C1863" s="9"/>
      <c r="D1863" s="9"/>
      <c r="E1863" s="9"/>
      <c r="F1863" s="9"/>
      <c r="G1863" s="9"/>
      <c r="H1863" s="9"/>
      <c r="I1863" s="9"/>
      <c r="J1863" s="9"/>
      <c r="K1863" s="9"/>
      <c r="L1863" s="9"/>
      <c r="M1863" s="10"/>
      <c r="N1863" s="10"/>
      <c r="O1863" s="10"/>
      <c r="P1863" s="10"/>
      <c r="Q1863" s="10"/>
      <c r="R1863" s="9"/>
      <c r="S1863" s="9"/>
      <c r="T1863" s="12"/>
      <c r="U1863" s="12"/>
      <c r="V1863" s="12"/>
      <c r="W1863" s="10"/>
      <c r="X1863" s="10"/>
      <c r="Y1863" s="9"/>
      <c r="Z1863" s="9"/>
      <c r="AA1863" s="9"/>
      <c r="AB1863" s="9"/>
    </row>
    <row r="1864" ht="30.0" customHeight="1">
      <c r="A1864" s="17" t="s">
        <v>1</v>
      </c>
      <c r="B1864" s="8"/>
      <c r="C1864" s="9"/>
      <c r="D1864" s="9"/>
      <c r="E1864" s="9"/>
      <c r="F1864" s="9"/>
      <c r="G1864" s="9"/>
      <c r="H1864" s="9"/>
      <c r="I1864" s="9"/>
      <c r="J1864" s="9"/>
      <c r="K1864" s="9"/>
      <c r="L1864" s="9"/>
      <c r="M1864" s="10"/>
      <c r="N1864" s="10"/>
      <c r="O1864" s="10"/>
      <c r="P1864" s="10"/>
      <c r="Q1864" s="10"/>
      <c r="R1864" s="9"/>
      <c r="S1864" s="9"/>
      <c r="T1864" s="12"/>
      <c r="U1864" s="12"/>
      <c r="V1864" s="12"/>
      <c r="W1864" s="10"/>
      <c r="X1864" s="10"/>
      <c r="Y1864" s="9"/>
      <c r="Z1864" s="9"/>
      <c r="AA1864" s="9"/>
      <c r="AB1864" s="9"/>
    </row>
    <row r="1865" ht="30.0" customHeight="1">
      <c r="A1865" s="17" t="s">
        <v>1</v>
      </c>
      <c r="B1865" s="8"/>
      <c r="C1865" s="9"/>
      <c r="D1865" s="9"/>
      <c r="E1865" s="9"/>
      <c r="F1865" s="9"/>
      <c r="G1865" s="9"/>
      <c r="H1865" s="9"/>
      <c r="I1865" s="9"/>
      <c r="J1865" s="9"/>
      <c r="K1865" s="9"/>
      <c r="L1865" s="9"/>
      <c r="M1865" s="10"/>
      <c r="N1865" s="10"/>
      <c r="O1865" s="10"/>
      <c r="P1865" s="10"/>
      <c r="Q1865" s="10"/>
      <c r="R1865" s="9"/>
      <c r="S1865" s="9"/>
      <c r="T1865" s="12"/>
      <c r="U1865" s="12"/>
      <c r="V1865" s="12"/>
      <c r="W1865" s="10"/>
      <c r="X1865" s="10"/>
      <c r="Y1865" s="9"/>
      <c r="Z1865" s="9"/>
      <c r="AA1865" s="9"/>
      <c r="AB1865" s="9"/>
    </row>
    <row r="1866" ht="30.0" customHeight="1">
      <c r="A1866" s="17" t="s">
        <v>1</v>
      </c>
      <c r="B1866" s="8"/>
      <c r="C1866" s="9"/>
      <c r="D1866" s="9"/>
      <c r="E1866" s="9"/>
      <c r="F1866" s="9"/>
      <c r="G1866" s="9"/>
      <c r="H1866" s="9"/>
      <c r="I1866" s="9"/>
      <c r="J1866" s="9"/>
      <c r="K1866" s="9"/>
      <c r="L1866" s="9"/>
      <c r="M1866" s="10"/>
      <c r="N1866" s="10"/>
      <c r="O1866" s="10"/>
      <c r="P1866" s="10"/>
      <c r="Q1866" s="10"/>
      <c r="R1866" s="9"/>
      <c r="S1866" s="9"/>
      <c r="T1866" s="12"/>
      <c r="U1866" s="12"/>
      <c r="V1866" s="12"/>
      <c r="W1866" s="10"/>
      <c r="X1866" s="10"/>
      <c r="Y1866" s="9"/>
      <c r="Z1866" s="9"/>
      <c r="AA1866" s="9"/>
      <c r="AB1866" s="9"/>
    </row>
    <row r="1867" ht="30.0" customHeight="1">
      <c r="A1867" s="17" t="s">
        <v>1</v>
      </c>
      <c r="B1867" s="8"/>
      <c r="C1867" s="9"/>
      <c r="D1867" s="9"/>
      <c r="E1867" s="9"/>
      <c r="F1867" s="9"/>
      <c r="G1867" s="9"/>
      <c r="H1867" s="9"/>
      <c r="I1867" s="9"/>
      <c r="J1867" s="9"/>
      <c r="K1867" s="9"/>
      <c r="L1867" s="9"/>
      <c r="M1867" s="10"/>
      <c r="N1867" s="10"/>
      <c r="O1867" s="10"/>
      <c r="P1867" s="10"/>
      <c r="Q1867" s="10"/>
      <c r="R1867" s="9"/>
      <c r="S1867" s="9"/>
      <c r="T1867" s="12"/>
      <c r="U1867" s="12"/>
      <c r="V1867" s="12"/>
      <c r="W1867" s="10"/>
      <c r="X1867" s="10"/>
      <c r="Y1867" s="9"/>
      <c r="Z1867" s="9"/>
      <c r="AA1867" s="9"/>
      <c r="AB1867" s="9"/>
    </row>
    <row r="1868" ht="30.0" customHeight="1">
      <c r="A1868" s="17" t="s">
        <v>1</v>
      </c>
      <c r="B1868" s="8"/>
      <c r="C1868" s="9"/>
      <c r="D1868" s="9"/>
      <c r="E1868" s="9"/>
      <c r="F1868" s="9"/>
      <c r="G1868" s="9"/>
      <c r="H1868" s="9"/>
      <c r="I1868" s="9"/>
      <c r="J1868" s="9"/>
      <c r="K1868" s="9"/>
      <c r="L1868" s="9"/>
      <c r="M1868" s="10"/>
      <c r="N1868" s="10"/>
      <c r="O1868" s="10"/>
      <c r="P1868" s="10"/>
      <c r="Q1868" s="10"/>
      <c r="R1868" s="9"/>
      <c r="S1868" s="9"/>
      <c r="T1868" s="12"/>
      <c r="U1868" s="12"/>
      <c r="V1868" s="12"/>
      <c r="W1868" s="10"/>
      <c r="X1868" s="10"/>
      <c r="Y1868" s="9"/>
      <c r="Z1868" s="9"/>
      <c r="AA1868" s="9"/>
      <c r="AB1868" s="9"/>
    </row>
    <row r="1869" ht="30.0" customHeight="1">
      <c r="A1869" s="17" t="s">
        <v>1</v>
      </c>
      <c r="B1869" s="8"/>
      <c r="C1869" s="9"/>
      <c r="D1869" s="9"/>
      <c r="E1869" s="9"/>
      <c r="F1869" s="9"/>
      <c r="G1869" s="9"/>
      <c r="H1869" s="9"/>
      <c r="I1869" s="9"/>
      <c r="J1869" s="9"/>
      <c r="K1869" s="9"/>
      <c r="L1869" s="9"/>
      <c r="M1869" s="10"/>
      <c r="N1869" s="10"/>
      <c r="O1869" s="10"/>
      <c r="P1869" s="10"/>
      <c r="Q1869" s="10"/>
      <c r="R1869" s="9"/>
      <c r="S1869" s="9"/>
      <c r="T1869" s="12"/>
      <c r="U1869" s="12"/>
      <c r="V1869" s="12"/>
      <c r="W1869" s="10"/>
      <c r="X1869" s="10"/>
      <c r="Y1869" s="9"/>
      <c r="Z1869" s="9"/>
      <c r="AA1869" s="9"/>
      <c r="AB1869" s="9"/>
    </row>
    <row r="1870" ht="30.0" customHeight="1">
      <c r="A1870" s="17" t="s">
        <v>1</v>
      </c>
      <c r="B1870" s="8"/>
      <c r="C1870" s="9"/>
      <c r="D1870" s="9"/>
      <c r="E1870" s="9"/>
      <c r="F1870" s="9"/>
      <c r="G1870" s="9"/>
      <c r="H1870" s="9"/>
      <c r="I1870" s="9"/>
      <c r="J1870" s="9"/>
      <c r="K1870" s="9"/>
      <c r="L1870" s="9"/>
      <c r="M1870" s="10"/>
      <c r="N1870" s="10"/>
      <c r="O1870" s="10"/>
      <c r="P1870" s="10"/>
      <c r="Q1870" s="10"/>
      <c r="R1870" s="9"/>
      <c r="S1870" s="9"/>
      <c r="T1870" s="12"/>
      <c r="U1870" s="12"/>
      <c r="V1870" s="12"/>
      <c r="W1870" s="10"/>
      <c r="X1870" s="10"/>
      <c r="Y1870" s="9"/>
      <c r="Z1870" s="9"/>
      <c r="AA1870" s="9"/>
      <c r="AB1870" s="9"/>
    </row>
    <row r="1871" ht="30.0" customHeight="1">
      <c r="A1871" s="17" t="s">
        <v>1</v>
      </c>
      <c r="B1871" s="8"/>
      <c r="C1871" s="9"/>
      <c r="D1871" s="9"/>
      <c r="E1871" s="9"/>
      <c r="F1871" s="9"/>
      <c r="G1871" s="9"/>
      <c r="H1871" s="9"/>
      <c r="I1871" s="9"/>
      <c r="J1871" s="9"/>
      <c r="K1871" s="9"/>
      <c r="L1871" s="9"/>
      <c r="M1871" s="10"/>
      <c r="N1871" s="10"/>
      <c r="O1871" s="10"/>
      <c r="P1871" s="10"/>
      <c r="Q1871" s="10"/>
      <c r="R1871" s="9"/>
      <c r="S1871" s="9"/>
      <c r="T1871" s="12"/>
      <c r="U1871" s="12"/>
      <c r="V1871" s="12"/>
      <c r="W1871" s="10"/>
      <c r="X1871" s="10"/>
      <c r="Y1871" s="9"/>
      <c r="Z1871" s="9"/>
      <c r="AA1871" s="9"/>
      <c r="AB1871" s="9"/>
    </row>
    <row r="1872" ht="30.0" customHeight="1">
      <c r="A1872" s="17" t="s">
        <v>1</v>
      </c>
      <c r="B1872" s="8"/>
      <c r="C1872" s="9"/>
      <c r="D1872" s="9"/>
      <c r="E1872" s="9"/>
      <c r="F1872" s="9"/>
      <c r="G1872" s="9"/>
      <c r="H1872" s="9"/>
      <c r="I1872" s="9"/>
      <c r="J1872" s="9"/>
      <c r="K1872" s="9"/>
      <c r="L1872" s="9"/>
      <c r="M1872" s="10"/>
      <c r="N1872" s="10"/>
      <c r="O1872" s="10"/>
      <c r="P1872" s="10"/>
      <c r="Q1872" s="10"/>
      <c r="R1872" s="9"/>
      <c r="S1872" s="9"/>
      <c r="T1872" s="12"/>
      <c r="U1872" s="12"/>
      <c r="V1872" s="12"/>
      <c r="W1872" s="10"/>
      <c r="X1872" s="10"/>
      <c r="Y1872" s="9"/>
      <c r="Z1872" s="9"/>
      <c r="AA1872" s="9"/>
      <c r="AB1872" s="9"/>
    </row>
    <row r="1873" ht="30.0" customHeight="1">
      <c r="A1873" s="17" t="s">
        <v>1</v>
      </c>
      <c r="B1873" s="8"/>
      <c r="C1873" s="9"/>
      <c r="D1873" s="9"/>
      <c r="E1873" s="9"/>
      <c r="F1873" s="9"/>
      <c r="G1873" s="9"/>
      <c r="H1873" s="9"/>
      <c r="I1873" s="9"/>
      <c r="J1873" s="9"/>
      <c r="K1873" s="9"/>
      <c r="L1873" s="9"/>
      <c r="M1873" s="10"/>
      <c r="N1873" s="10"/>
      <c r="O1873" s="10"/>
      <c r="P1873" s="10"/>
      <c r="Q1873" s="10"/>
      <c r="R1873" s="9"/>
      <c r="S1873" s="9"/>
      <c r="T1873" s="12"/>
      <c r="U1873" s="12"/>
      <c r="V1873" s="12"/>
      <c r="W1873" s="10"/>
      <c r="X1873" s="10"/>
      <c r="Y1873" s="9"/>
      <c r="Z1873" s="9"/>
      <c r="AA1873" s="9"/>
      <c r="AB1873" s="9"/>
    </row>
    <row r="1874" ht="30.0" customHeight="1">
      <c r="A1874" s="17" t="s">
        <v>1</v>
      </c>
      <c r="B1874" s="8"/>
      <c r="C1874" s="9"/>
      <c r="D1874" s="9"/>
      <c r="E1874" s="9"/>
      <c r="F1874" s="9"/>
      <c r="G1874" s="9"/>
      <c r="H1874" s="9"/>
      <c r="I1874" s="9"/>
      <c r="J1874" s="9"/>
      <c r="K1874" s="9"/>
      <c r="L1874" s="9"/>
      <c r="M1874" s="10"/>
      <c r="N1874" s="10"/>
      <c r="O1874" s="10"/>
      <c r="P1874" s="10"/>
      <c r="Q1874" s="10"/>
      <c r="R1874" s="9"/>
      <c r="S1874" s="9"/>
      <c r="T1874" s="12"/>
      <c r="U1874" s="12"/>
      <c r="V1874" s="12"/>
      <c r="W1874" s="10"/>
      <c r="X1874" s="10"/>
      <c r="Y1874" s="9"/>
      <c r="Z1874" s="9"/>
      <c r="AA1874" s="9"/>
      <c r="AB1874" s="9"/>
    </row>
    <row r="1875" ht="30.0" customHeight="1">
      <c r="A1875" s="17" t="s">
        <v>1</v>
      </c>
      <c r="B1875" s="8"/>
      <c r="C1875" s="9"/>
      <c r="D1875" s="9"/>
      <c r="E1875" s="9"/>
      <c r="F1875" s="9"/>
      <c r="G1875" s="9"/>
      <c r="H1875" s="9"/>
      <c r="I1875" s="9"/>
      <c r="J1875" s="9"/>
      <c r="K1875" s="9"/>
      <c r="L1875" s="9"/>
      <c r="M1875" s="10"/>
      <c r="N1875" s="10"/>
      <c r="O1875" s="10"/>
      <c r="P1875" s="10"/>
      <c r="Q1875" s="10"/>
      <c r="R1875" s="9"/>
      <c r="S1875" s="9"/>
      <c r="T1875" s="12"/>
      <c r="U1875" s="12"/>
      <c r="V1875" s="12"/>
      <c r="W1875" s="10"/>
      <c r="X1875" s="10"/>
      <c r="Y1875" s="9"/>
      <c r="Z1875" s="9"/>
      <c r="AA1875" s="9"/>
      <c r="AB1875" s="9"/>
    </row>
    <row r="1876" ht="30.0" customHeight="1">
      <c r="A1876" s="17" t="s">
        <v>1</v>
      </c>
      <c r="B1876" s="8"/>
      <c r="C1876" s="9"/>
      <c r="D1876" s="9"/>
      <c r="E1876" s="9"/>
      <c r="F1876" s="9"/>
      <c r="G1876" s="9"/>
      <c r="H1876" s="9"/>
      <c r="I1876" s="9"/>
      <c r="J1876" s="9"/>
      <c r="K1876" s="9"/>
      <c r="L1876" s="9"/>
      <c r="M1876" s="10"/>
      <c r="N1876" s="10"/>
      <c r="O1876" s="10"/>
      <c r="P1876" s="10"/>
      <c r="Q1876" s="10"/>
      <c r="R1876" s="9"/>
      <c r="S1876" s="9"/>
      <c r="T1876" s="12"/>
      <c r="U1876" s="12"/>
      <c r="V1876" s="12"/>
      <c r="W1876" s="10"/>
      <c r="X1876" s="10"/>
      <c r="Y1876" s="9"/>
      <c r="Z1876" s="9"/>
      <c r="AA1876" s="9"/>
      <c r="AB1876" s="9"/>
    </row>
    <row r="1877" ht="30.0" customHeight="1">
      <c r="A1877" s="17" t="s">
        <v>1</v>
      </c>
      <c r="B1877" s="8"/>
      <c r="C1877" s="9"/>
      <c r="D1877" s="9"/>
      <c r="E1877" s="9"/>
      <c r="F1877" s="9"/>
      <c r="G1877" s="9"/>
      <c r="H1877" s="9"/>
      <c r="I1877" s="9"/>
      <c r="J1877" s="9"/>
      <c r="K1877" s="9"/>
      <c r="L1877" s="9"/>
      <c r="M1877" s="10"/>
      <c r="N1877" s="10"/>
      <c r="O1877" s="10"/>
      <c r="P1877" s="10"/>
      <c r="Q1877" s="10"/>
      <c r="R1877" s="9"/>
      <c r="S1877" s="9"/>
      <c r="T1877" s="12"/>
      <c r="U1877" s="12"/>
      <c r="V1877" s="12"/>
      <c r="W1877" s="10"/>
      <c r="X1877" s="10"/>
      <c r="Y1877" s="9"/>
      <c r="Z1877" s="9"/>
      <c r="AA1877" s="9"/>
      <c r="AB1877" s="9"/>
    </row>
    <row r="1878" ht="30.0" customHeight="1">
      <c r="A1878" s="17" t="s">
        <v>1</v>
      </c>
      <c r="B1878" s="8"/>
      <c r="C1878" s="9"/>
      <c r="D1878" s="9"/>
      <c r="E1878" s="9"/>
      <c r="F1878" s="9"/>
      <c r="G1878" s="9"/>
      <c r="H1878" s="9"/>
      <c r="I1878" s="9"/>
      <c r="J1878" s="9"/>
      <c r="K1878" s="9"/>
      <c r="L1878" s="9"/>
      <c r="M1878" s="10"/>
      <c r="N1878" s="10"/>
      <c r="O1878" s="10"/>
      <c r="P1878" s="10"/>
      <c r="Q1878" s="10"/>
      <c r="R1878" s="9"/>
      <c r="S1878" s="9"/>
      <c r="T1878" s="12"/>
      <c r="U1878" s="12"/>
      <c r="V1878" s="12"/>
      <c r="W1878" s="10"/>
      <c r="X1878" s="10"/>
      <c r="Y1878" s="9"/>
      <c r="Z1878" s="9"/>
      <c r="AA1878" s="9"/>
      <c r="AB1878" s="9"/>
    </row>
    <row r="1879" ht="30.0" customHeight="1">
      <c r="A1879" s="17" t="s">
        <v>1</v>
      </c>
      <c r="B1879" s="8"/>
      <c r="C1879" s="9"/>
      <c r="D1879" s="9"/>
      <c r="E1879" s="9"/>
      <c r="F1879" s="9"/>
      <c r="G1879" s="9"/>
      <c r="H1879" s="9"/>
      <c r="I1879" s="9"/>
      <c r="J1879" s="9"/>
      <c r="K1879" s="9"/>
      <c r="L1879" s="9"/>
      <c r="M1879" s="10"/>
      <c r="N1879" s="10"/>
      <c r="O1879" s="10"/>
      <c r="P1879" s="10"/>
      <c r="Q1879" s="10"/>
      <c r="R1879" s="9"/>
      <c r="S1879" s="9"/>
      <c r="T1879" s="12"/>
      <c r="U1879" s="12"/>
      <c r="V1879" s="12"/>
      <c r="W1879" s="10"/>
      <c r="X1879" s="10"/>
      <c r="Y1879" s="9"/>
      <c r="Z1879" s="9"/>
      <c r="AA1879" s="9"/>
      <c r="AB1879" s="9"/>
    </row>
    <row r="1880" ht="30.0" customHeight="1">
      <c r="A1880" s="17" t="s">
        <v>1</v>
      </c>
      <c r="B1880" s="8"/>
      <c r="C1880" s="9"/>
      <c r="D1880" s="9"/>
      <c r="E1880" s="9"/>
      <c r="F1880" s="9"/>
      <c r="G1880" s="9"/>
      <c r="H1880" s="9"/>
      <c r="I1880" s="9"/>
      <c r="J1880" s="9"/>
      <c r="K1880" s="9"/>
      <c r="L1880" s="9"/>
      <c r="M1880" s="10"/>
      <c r="N1880" s="10"/>
      <c r="O1880" s="10"/>
      <c r="P1880" s="10"/>
      <c r="Q1880" s="10"/>
      <c r="R1880" s="9"/>
      <c r="S1880" s="9"/>
      <c r="T1880" s="12"/>
      <c r="U1880" s="12"/>
      <c r="V1880" s="12"/>
      <c r="W1880" s="10"/>
      <c r="X1880" s="10"/>
      <c r="Y1880" s="9"/>
      <c r="Z1880" s="9"/>
      <c r="AA1880" s="9"/>
      <c r="AB1880" s="9"/>
    </row>
    <row r="1881" ht="30.0" customHeight="1">
      <c r="A1881" s="17" t="s">
        <v>1</v>
      </c>
      <c r="B1881" s="8"/>
      <c r="C1881" s="9"/>
      <c r="D1881" s="9"/>
      <c r="E1881" s="9"/>
      <c r="F1881" s="9"/>
      <c r="G1881" s="9"/>
      <c r="H1881" s="9"/>
      <c r="I1881" s="9"/>
      <c r="J1881" s="9"/>
      <c r="K1881" s="9"/>
      <c r="L1881" s="9"/>
      <c r="M1881" s="10"/>
      <c r="N1881" s="10"/>
      <c r="O1881" s="10"/>
      <c r="P1881" s="10"/>
      <c r="Q1881" s="10"/>
      <c r="R1881" s="9"/>
      <c r="S1881" s="9"/>
      <c r="T1881" s="12"/>
      <c r="U1881" s="12"/>
      <c r="V1881" s="12"/>
      <c r="W1881" s="10"/>
      <c r="X1881" s="10"/>
      <c r="Y1881" s="9"/>
      <c r="Z1881" s="9"/>
      <c r="AA1881" s="9"/>
      <c r="AB1881" s="9"/>
    </row>
    <row r="1882" ht="30.0" customHeight="1">
      <c r="A1882" s="17" t="s">
        <v>1</v>
      </c>
      <c r="B1882" s="8"/>
      <c r="C1882" s="9"/>
      <c r="D1882" s="9"/>
      <c r="E1882" s="9"/>
      <c r="F1882" s="9"/>
      <c r="G1882" s="9"/>
      <c r="H1882" s="9"/>
      <c r="I1882" s="9"/>
      <c r="J1882" s="9"/>
      <c r="K1882" s="9"/>
      <c r="L1882" s="9"/>
      <c r="M1882" s="10"/>
      <c r="N1882" s="10"/>
      <c r="O1882" s="10"/>
      <c r="P1882" s="10"/>
      <c r="Q1882" s="10"/>
      <c r="R1882" s="9"/>
      <c r="S1882" s="9"/>
      <c r="T1882" s="12"/>
      <c r="U1882" s="12"/>
      <c r="V1882" s="12"/>
      <c r="W1882" s="10"/>
      <c r="X1882" s="10"/>
      <c r="Y1882" s="9"/>
      <c r="Z1882" s="9"/>
      <c r="AA1882" s="9"/>
      <c r="AB1882" s="9"/>
    </row>
    <row r="1883" ht="30.0" customHeight="1">
      <c r="A1883" s="17" t="s">
        <v>1</v>
      </c>
      <c r="B1883" s="8"/>
      <c r="C1883" s="9"/>
      <c r="D1883" s="9"/>
      <c r="E1883" s="9"/>
      <c r="F1883" s="9"/>
      <c r="G1883" s="9"/>
      <c r="H1883" s="9"/>
      <c r="I1883" s="9"/>
      <c r="J1883" s="9"/>
      <c r="K1883" s="9"/>
      <c r="L1883" s="9"/>
      <c r="M1883" s="10"/>
      <c r="N1883" s="10"/>
      <c r="O1883" s="10"/>
      <c r="P1883" s="10"/>
      <c r="Q1883" s="10"/>
      <c r="R1883" s="9"/>
      <c r="S1883" s="9"/>
      <c r="T1883" s="12"/>
      <c r="U1883" s="12"/>
      <c r="V1883" s="12"/>
      <c r="W1883" s="10"/>
      <c r="X1883" s="10"/>
      <c r="Y1883" s="9"/>
      <c r="Z1883" s="9"/>
      <c r="AA1883" s="9"/>
      <c r="AB1883" s="9"/>
    </row>
    <row r="1884" ht="30.0" customHeight="1">
      <c r="A1884" s="17" t="s">
        <v>1</v>
      </c>
      <c r="B1884" s="8"/>
      <c r="C1884" s="9"/>
      <c r="D1884" s="9"/>
      <c r="E1884" s="9"/>
      <c r="F1884" s="9"/>
      <c r="G1884" s="9"/>
      <c r="H1884" s="9"/>
      <c r="I1884" s="9"/>
      <c r="J1884" s="9"/>
      <c r="K1884" s="9"/>
      <c r="L1884" s="9"/>
      <c r="M1884" s="10"/>
      <c r="N1884" s="10"/>
      <c r="O1884" s="10"/>
      <c r="P1884" s="10"/>
      <c r="Q1884" s="10"/>
      <c r="R1884" s="9"/>
      <c r="S1884" s="9"/>
      <c r="T1884" s="12"/>
      <c r="U1884" s="12"/>
      <c r="V1884" s="12"/>
      <c r="W1884" s="10"/>
      <c r="X1884" s="10"/>
      <c r="Y1884" s="9"/>
      <c r="Z1884" s="9"/>
      <c r="AA1884" s="9"/>
      <c r="AB1884" s="9"/>
    </row>
    <row r="1885" ht="30.0" customHeight="1">
      <c r="A1885" s="17" t="s">
        <v>1</v>
      </c>
      <c r="B1885" s="8"/>
      <c r="C1885" s="9"/>
      <c r="D1885" s="9"/>
      <c r="E1885" s="9"/>
      <c r="F1885" s="9"/>
      <c r="G1885" s="9"/>
      <c r="H1885" s="9"/>
      <c r="I1885" s="9"/>
      <c r="J1885" s="9"/>
      <c r="K1885" s="9"/>
      <c r="L1885" s="9"/>
      <c r="M1885" s="10"/>
      <c r="N1885" s="10"/>
      <c r="O1885" s="10"/>
      <c r="P1885" s="10"/>
      <c r="Q1885" s="10"/>
      <c r="R1885" s="9"/>
      <c r="S1885" s="9"/>
      <c r="T1885" s="12"/>
      <c r="U1885" s="12"/>
      <c r="V1885" s="12"/>
      <c r="W1885" s="10"/>
      <c r="X1885" s="10"/>
      <c r="Y1885" s="9"/>
      <c r="Z1885" s="9"/>
      <c r="AA1885" s="9"/>
      <c r="AB1885" s="9"/>
    </row>
    <row r="1886" ht="30.0" customHeight="1">
      <c r="A1886" s="17" t="s">
        <v>1</v>
      </c>
      <c r="B1886" s="8"/>
      <c r="C1886" s="9"/>
      <c r="D1886" s="9"/>
      <c r="E1886" s="9"/>
      <c r="F1886" s="9"/>
      <c r="G1886" s="9"/>
      <c r="H1886" s="9"/>
      <c r="I1886" s="9"/>
      <c r="J1886" s="9"/>
      <c r="K1886" s="9"/>
      <c r="L1886" s="9"/>
      <c r="M1886" s="10"/>
      <c r="N1886" s="10"/>
      <c r="O1886" s="10"/>
      <c r="P1886" s="10"/>
      <c r="Q1886" s="10"/>
      <c r="R1886" s="9"/>
      <c r="S1886" s="9"/>
      <c r="T1886" s="12"/>
      <c r="U1886" s="12"/>
      <c r="V1886" s="12"/>
      <c r="W1886" s="10"/>
      <c r="X1886" s="10"/>
      <c r="Y1886" s="9"/>
      <c r="Z1886" s="9"/>
      <c r="AA1886" s="9"/>
      <c r="AB1886" s="9"/>
    </row>
    <row r="1887" ht="30.0" customHeight="1">
      <c r="A1887" s="17" t="s">
        <v>1</v>
      </c>
      <c r="B1887" s="8"/>
      <c r="C1887" s="9"/>
      <c r="D1887" s="9"/>
      <c r="E1887" s="9"/>
      <c r="F1887" s="9"/>
      <c r="G1887" s="9"/>
      <c r="H1887" s="9"/>
      <c r="I1887" s="9"/>
      <c r="J1887" s="9"/>
      <c r="K1887" s="9"/>
      <c r="L1887" s="9"/>
      <c r="M1887" s="10"/>
      <c r="N1887" s="10"/>
      <c r="O1887" s="10"/>
      <c r="P1887" s="10"/>
      <c r="Q1887" s="10"/>
      <c r="R1887" s="9"/>
      <c r="S1887" s="9"/>
      <c r="T1887" s="12"/>
      <c r="U1887" s="12"/>
      <c r="V1887" s="12"/>
      <c r="W1887" s="10"/>
      <c r="X1887" s="10"/>
      <c r="Y1887" s="9"/>
      <c r="Z1887" s="9"/>
      <c r="AA1887" s="9"/>
      <c r="AB1887" s="9"/>
    </row>
    <row r="1888" ht="30.0" customHeight="1">
      <c r="A1888" s="17" t="s">
        <v>1</v>
      </c>
      <c r="B1888" s="8"/>
      <c r="C1888" s="9"/>
      <c r="D1888" s="9"/>
      <c r="E1888" s="9"/>
      <c r="F1888" s="9"/>
      <c r="G1888" s="9"/>
      <c r="H1888" s="9"/>
      <c r="I1888" s="9"/>
      <c r="J1888" s="9"/>
      <c r="K1888" s="9"/>
      <c r="L1888" s="9"/>
      <c r="M1888" s="10"/>
      <c r="N1888" s="10"/>
      <c r="O1888" s="10"/>
      <c r="P1888" s="10"/>
      <c r="Q1888" s="10"/>
      <c r="R1888" s="9"/>
      <c r="S1888" s="9"/>
      <c r="T1888" s="12"/>
      <c r="U1888" s="12"/>
      <c r="V1888" s="12"/>
      <c r="W1888" s="10"/>
      <c r="X1888" s="10"/>
      <c r="Y1888" s="9"/>
      <c r="Z1888" s="9"/>
      <c r="AA1888" s="9"/>
      <c r="AB1888" s="9"/>
    </row>
    <row r="1889" ht="30.0" customHeight="1">
      <c r="A1889" s="17" t="s">
        <v>1</v>
      </c>
      <c r="B1889" s="8"/>
      <c r="C1889" s="9"/>
      <c r="D1889" s="9"/>
      <c r="E1889" s="9"/>
      <c r="F1889" s="9"/>
      <c r="G1889" s="9"/>
      <c r="H1889" s="9"/>
      <c r="I1889" s="9"/>
      <c r="J1889" s="9"/>
      <c r="K1889" s="9"/>
      <c r="L1889" s="9"/>
      <c r="M1889" s="10"/>
      <c r="N1889" s="10"/>
      <c r="O1889" s="10"/>
      <c r="P1889" s="10"/>
      <c r="Q1889" s="10"/>
      <c r="R1889" s="9"/>
      <c r="S1889" s="9"/>
      <c r="T1889" s="12"/>
      <c r="U1889" s="12"/>
      <c r="V1889" s="12"/>
      <c r="W1889" s="10"/>
      <c r="X1889" s="10"/>
      <c r="Y1889" s="9"/>
      <c r="Z1889" s="9"/>
      <c r="AA1889" s="9"/>
      <c r="AB1889" s="9"/>
    </row>
    <row r="1890" ht="30.0" customHeight="1">
      <c r="A1890" s="17" t="s">
        <v>1</v>
      </c>
      <c r="B1890" s="8"/>
      <c r="C1890" s="9"/>
      <c r="D1890" s="9"/>
      <c r="E1890" s="9"/>
      <c r="F1890" s="9"/>
      <c r="G1890" s="9"/>
      <c r="H1890" s="9"/>
      <c r="I1890" s="9"/>
      <c r="J1890" s="9"/>
      <c r="K1890" s="9"/>
      <c r="L1890" s="9"/>
      <c r="M1890" s="10"/>
      <c r="N1890" s="10"/>
      <c r="O1890" s="10"/>
      <c r="P1890" s="10"/>
      <c r="Q1890" s="10"/>
      <c r="R1890" s="9"/>
      <c r="S1890" s="9"/>
      <c r="T1890" s="12"/>
      <c r="U1890" s="12"/>
      <c r="V1890" s="12"/>
      <c r="W1890" s="10"/>
      <c r="X1890" s="10"/>
      <c r="Y1890" s="9"/>
      <c r="Z1890" s="9"/>
      <c r="AA1890" s="9"/>
      <c r="AB1890" s="9"/>
    </row>
    <row r="1891" ht="30.0" customHeight="1">
      <c r="A1891" s="17" t="s">
        <v>1</v>
      </c>
      <c r="B1891" s="8"/>
      <c r="C1891" s="9"/>
      <c r="D1891" s="9"/>
      <c r="E1891" s="9"/>
      <c r="F1891" s="9"/>
      <c r="G1891" s="9"/>
      <c r="H1891" s="9"/>
      <c r="I1891" s="9"/>
      <c r="J1891" s="9"/>
      <c r="K1891" s="9"/>
      <c r="L1891" s="9"/>
      <c r="M1891" s="10"/>
      <c r="N1891" s="10"/>
      <c r="O1891" s="10"/>
      <c r="P1891" s="10"/>
      <c r="Q1891" s="10"/>
      <c r="R1891" s="9"/>
      <c r="S1891" s="9"/>
      <c r="T1891" s="12"/>
      <c r="U1891" s="12"/>
      <c r="V1891" s="12"/>
      <c r="W1891" s="10"/>
      <c r="X1891" s="10"/>
      <c r="Y1891" s="9"/>
      <c r="Z1891" s="9"/>
      <c r="AA1891" s="9"/>
      <c r="AB1891" s="9"/>
    </row>
    <row r="1892" ht="30.0" customHeight="1">
      <c r="A1892" s="17" t="s">
        <v>1</v>
      </c>
      <c r="B1892" s="8"/>
      <c r="C1892" s="9"/>
      <c r="D1892" s="9"/>
      <c r="E1892" s="9"/>
      <c r="F1892" s="9"/>
      <c r="G1892" s="9"/>
      <c r="H1892" s="9"/>
      <c r="I1892" s="9"/>
      <c r="J1892" s="9"/>
      <c r="K1892" s="9"/>
      <c r="L1892" s="9"/>
      <c r="M1892" s="10"/>
      <c r="N1892" s="10"/>
      <c r="O1892" s="10"/>
      <c r="P1892" s="10"/>
      <c r="Q1892" s="10"/>
      <c r="R1892" s="9"/>
      <c r="S1892" s="9"/>
      <c r="T1892" s="12"/>
      <c r="U1892" s="12"/>
      <c r="V1892" s="12"/>
      <c r="W1892" s="10"/>
      <c r="X1892" s="10"/>
      <c r="Y1892" s="9"/>
      <c r="Z1892" s="9"/>
      <c r="AA1892" s="9"/>
      <c r="AB1892" s="9"/>
    </row>
    <row r="1893" ht="30.0" customHeight="1">
      <c r="A1893" s="17" t="s">
        <v>1</v>
      </c>
      <c r="B1893" s="8"/>
      <c r="C1893" s="9"/>
      <c r="D1893" s="9"/>
      <c r="E1893" s="9"/>
      <c r="F1893" s="9"/>
      <c r="G1893" s="9"/>
      <c r="H1893" s="9"/>
      <c r="I1893" s="9"/>
      <c r="J1893" s="9"/>
      <c r="K1893" s="9"/>
      <c r="L1893" s="9"/>
      <c r="M1893" s="10"/>
      <c r="N1893" s="10"/>
      <c r="O1893" s="10"/>
      <c r="P1893" s="10"/>
      <c r="Q1893" s="10"/>
      <c r="R1893" s="9"/>
      <c r="S1893" s="9"/>
      <c r="T1893" s="12"/>
      <c r="U1893" s="12"/>
      <c r="V1893" s="12"/>
      <c r="W1893" s="10"/>
      <c r="X1893" s="10"/>
      <c r="Y1893" s="9"/>
      <c r="Z1893" s="9"/>
      <c r="AA1893" s="9"/>
      <c r="AB1893" s="9"/>
    </row>
    <row r="1894" ht="30.0" customHeight="1">
      <c r="A1894" s="17" t="s">
        <v>1</v>
      </c>
      <c r="B1894" s="8"/>
      <c r="C1894" s="9"/>
      <c r="D1894" s="9"/>
      <c r="E1894" s="9"/>
      <c r="F1894" s="9"/>
      <c r="G1894" s="9"/>
      <c r="H1894" s="9"/>
      <c r="I1894" s="9"/>
      <c r="J1894" s="9"/>
      <c r="K1894" s="9"/>
      <c r="L1894" s="9"/>
      <c r="M1894" s="10"/>
      <c r="N1894" s="10"/>
      <c r="O1894" s="10"/>
      <c r="P1894" s="10"/>
      <c r="Q1894" s="10"/>
      <c r="R1894" s="9"/>
      <c r="S1894" s="9"/>
      <c r="T1894" s="12"/>
      <c r="U1894" s="12"/>
      <c r="V1894" s="12"/>
      <c r="W1894" s="10"/>
      <c r="X1894" s="10"/>
      <c r="Y1894" s="9"/>
      <c r="Z1894" s="9"/>
      <c r="AA1894" s="9"/>
      <c r="AB1894" s="9"/>
    </row>
    <row r="1895" ht="30.0" customHeight="1">
      <c r="A1895" s="17" t="s">
        <v>1</v>
      </c>
      <c r="B1895" s="8"/>
      <c r="C1895" s="9"/>
      <c r="D1895" s="9"/>
      <c r="E1895" s="9"/>
      <c r="F1895" s="9"/>
      <c r="G1895" s="9"/>
      <c r="H1895" s="9"/>
      <c r="I1895" s="9"/>
      <c r="J1895" s="9"/>
      <c r="K1895" s="9"/>
      <c r="L1895" s="9"/>
      <c r="M1895" s="10"/>
      <c r="N1895" s="10"/>
      <c r="O1895" s="10"/>
      <c r="P1895" s="10"/>
      <c r="Q1895" s="10"/>
      <c r="R1895" s="9"/>
      <c r="S1895" s="9"/>
      <c r="T1895" s="12"/>
      <c r="U1895" s="12"/>
      <c r="V1895" s="12"/>
      <c r="W1895" s="10"/>
      <c r="X1895" s="10"/>
      <c r="Y1895" s="9"/>
      <c r="Z1895" s="9"/>
      <c r="AA1895" s="9"/>
      <c r="AB1895" s="9"/>
    </row>
    <row r="1896" ht="30.0" customHeight="1">
      <c r="A1896" s="17" t="s">
        <v>1</v>
      </c>
      <c r="B1896" s="8"/>
      <c r="C1896" s="9"/>
      <c r="D1896" s="9"/>
      <c r="E1896" s="9"/>
      <c r="F1896" s="9"/>
      <c r="G1896" s="9"/>
      <c r="H1896" s="9"/>
      <c r="I1896" s="9"/>
      <c r="J1896" s="9"/>
      <c r="K1896" s="9"/>
      <c r="L1896" s="9"/>
      <c r="M1896" s="10"/>
      <c r="N1896" s="10"/>
      <c r="O1896" s="10"/>
      <c r="P1896" s="10"/>
      <c r="Q1896" s="10"/>
      <c r="R1896" s="9"/>
      <c r="S1896" s="9"/>
      <c r="T1896" s="12"/>
      <c r="U1896" s="12"/>
      <c r="V1896" s="12"/>
      <c r="W1896" s="10"/>
      <c r="X1896" s="10"/>
      <c r="Y1896" s="9"/>
      <c r="Z1896" s="9"/>
      <c r="AA1896" s="9"/>
      <c r="AB1896" s="9"/>
    </row>
    <row r="1897" ht="30.0" customHeight="1">
      <c r="A1897" s="17" t="s">
        <v>1</v>
      </c>
      <c r="B1897" s="8"/>
      <c r="C1897" s="9"/>
      <c r="D1897" s="9"/>
      <c r="E1897" s="9"/>
      <c r="F1897" s="9"/>
      <c r="G1897" s="9"/>
      <c r="H1897" s="9"/>
      <c r="I1897" s="9"/>
      <c r="J1897" s="9"/>
      <c r="K1897" s="9"/>
      <c r="L1897" s="9"/>
      <c r="M1897" s="10"/>
      <c r="N1897" s="10"/>
      <c r="O1897" s="10"/>
      <c r="P1897" s="10"/>
      <c r="Q1897" s="10"/>
      <c r="R1897" s="9"/>
      <c r="S1897" s="9"/>
      <c r="T1897" s="12"/>
      <c r="U1897" s="12"/>
      <c r="V1897" s="12"/>
      <c r="W1897" s="10"/>
      <c r="X1897" s="10"/>
      <c r="Y1897" s="9"/>
      <c r="Z1897" s="9"/>
      <c r="AA1897" s="9"/>
      <c r="AB1897" s="9"/>
    </row>
    <row r="1898" ht="30.0" customHeight="1">
      <c r="A1898" s="17" t="s">
        <v>1</v>
      </c>
      <c r="B1898" s="8"/>
      <c r="C1898" s="9"/>
      <c r="D1898" s="9"/>
      <c r="E1898" s="9"/>
      <c r="F1898" s="9"/>
      <c r="G1898" s="9"/>
      <c r="H1898" s="9"/>
      <c r="I1898" s="9"/>
      <c r="J1898" s="9"/>
      <c r="K1898" s="9"/>
      <c r="L1898" s="9"/>
      <c r="M1898" s="10"/>
      <c r="N1898" s="10"/>
      <c r="O1898" s="10"/>
      <c r="P1898" s="10"/>
      <c r="Q1898" s="10"/>
      <c r="R1898" s="9"/>
      <c r="S1898" s="9"/>
      <c r="T1898" s="12"/>
      <c r="U1898" s="12"/>
      <c r="V1898" s="12"/>
      <c r="W1898" s="10"/>
      <c r="X1898" s="10"/>
      <c r="Y1898" s="9"/>
      <c r="Z1898" s="9"/>
      <c r="AA1898" s="9"/>
      <c r="AB1898" s="9"/>
    </row>
    <row r="1899" ht="30.0" customHeight="1">
      <c r="A1899" s="17" t="s">
        <v>1</v>
      </c>
      <c r="B1899" s="8"/>
      <c r="C1899" s="9"/>
      <c r="D1899" s="9"/>
      <c r="E1899" s="9"/>
      <c r="F1899" s="9"/>
      <c r="G1899" s="9"/>
      <c r="H1899" s="9"/>
      <c r="I1899" s="9"/>
      <c r="J1899" s="9"/>
      <c r="K1899" s="9"/>
      <c r="L1899" s="9"/>
      <c r="M1899" s="10"/>
      <c r="N1899" s="10"/>
      <c r="O1899" s="10"/>
      <c r="P1899" s="10"/>
      <c r="Q1899" s="10"/>
      <c r="R1899" s="9"/>
      <c r="S1899" s="9"/>
      <c r="T1899" s="12"/>
      <c r="U1899" s="12"/>
      <c r="V1899" s="12"/>
      <c r="W1899" s="10"/>
      <c r="X1899" s="10"/>
      <c r="Y1899" s="9"/>
      <c r="Z1899" s="9"/>
      <c r="AA1899" s="9"/>
      <c r="AB1899" s="9"/>
    </row>
    <row r="1900" ht="30.0" customHeight="1">
      <c r="A1900" s="17" t="s">
        <v>1</v>
      </c>
      <c r="B1900" s="8"/>
      <c r="C1900" s="9"/>
      <c r="D1900" s="9"/>
      <c r="E1900" s="9"/>
      <c r="F1900" s="9"/>
      <c r="G1900" s="9"/>
      <c r="H1900" s="9"/>
      <c r="I1900" s="9"/>
      <c r="J1900" s="9"/>
      <c r="K1900" s="9"/>
      <c r="L1900" s="9"/>
      <c r="M1900" s="10"/>
      <c r="N1900" s="10"/>
      <c r="O1900" s="10"/>
      <c r="P1900" s="10"/>
      <c r="Q1900" s="10"/>
      <c r="R1900" s="9"/>
      <c r="S1900" s="9"/>
      <c r="T1900" s="12"/>
      <c r="U1900" s="12"/>
      <c r="V1900" s="12"/>
      <c r="W1900" s="10"/>
      <c r="X1900" s="10"/>
      <c r="Y1900" s="9"/>
      <c r="Z1900" s="9"/>
      <c r="AA1900" s="9"/>
      <c r="AB1900" s="9"/>
    </row>
    <row r="1901" ht="30.0" customHeight="1">
      <c r="A1901" s="17" t="s">
        <v>1</v>
      </c>
      <c r="B1901" s="8"/>
      <c r="C1901" s="9"/>
      <c r="D1901" s="9"/>
      <c r="E1901" s="9"/>
      <c r="F1901" s="9"/>
      <c r="G1901" s="9"/>
      <c r="H1901" s="9"/>
      <c r="I1901" s="9"/>
      <c r="J1901" s="9"/>
      <c r="K1901" s="9"/>
      <c r="L1901" s="9"/>
      <c r="M1901" s="10"/>
      <c r="N1901" s="10"/>
      <c r="O1901" s="10"/>
      <c r="P1901" s="10"/>
      <c r="Q1901" s="10"/>
      <c r="R1901" s="9"/>
      <c r="S1901" s="9"/>
      <c r="T1901" s="12"/>
      <c r="U1901" s="12"/>
      <c r="V1901" s="12"/>
      <c r="W1901" s="10"/>
      <c r="X1901" s="10"/>
      <c r="Y1901" s="9"/>
      <c r="Z1901" s="9"/>
      <c r="AA1901" s="9"/>
      <c r="AB1901" s="9"/>
    </row>
    <row r="1902" ht="30.0" customHeight="1">
      <c r="A1902" s="17" t="s">
        <v>1</v>
      </c>
      <c r="B1902" s="8"/>
      <c r="C1902" s="9"/>
      <c r="D1902" s="9"/>
      <c r="E1902" s="9"/>
      <c r="F1902" s="9"/>
      <c r="G1902" s="9"/>
      <c r="H1902" s="9"/>
      <c r="I1902" s="9"/>
      <c r="J1902" s="9"/>
      <c r="K1902" s="9"/>
      <c r="L1902" s="9"/>
      <c r="M1902" s="10"/>
      <c r="N1902" s="10"/>
      <c r="O1902" s="10"/>
      <c r="P1902" s="10"/>
      <c r="Q1902" s="10"/>
      <c r="R1902" s="9"/>
      <c r="S1902" s="9"/>
      <c r="T1902" s="12"/>
      <c r="U1902" s="12"/>
      <c r="V1902" s="12"/>
      <c r="W1902" s="10"/>
      <c r="X1902" s="10"/>
      <c r="Y1902" s="9"/>
      <c r="Z1902" s="9"/>
      <c r="AA1902" s="9"/>
      <c r="AB1902" s="9"/>
    </row>
    <row r="1903" ht="30.0" customHeight="1">
      <c r="A1903" s="17" t="s">
        <v>1</v>
      </c>
      <c r="B1903" s="8"/>
      <c r="C1903" s="9"/>
      <c r="D1903" s="9"/>
      <c r="E1903" s="9"/>
      <c r="F1903" s="9"/>
      <c r="G1903" s="9"/>
      <c r="H1903" s="9"/>
      <c r="I1903" s="9"/>
      <c r="J1903" s="9"/>
      <c r="K1903" s="9"/>
      <c r="L1903" s="9"/>
      <c r="M1903" s="10"/>
      <c r="N1903" s="10"/>
      <c r="O1903" s="10"/>
      <c r="P1903" s="10"/>
      <c r="Q1903" s="10"/>
      <c r="R1903" s="9"/>
      <c r="S1903" s="9"/>
      <c r="T1903" s="12"/>
      <c r="U1903" s="12"/>
      <c r="V1903" s="12"/>
      <c r="W1903" s="10"/>
      <c r="X1903" s="10"/>
      <c r="Y1903" s="9"/>
      <c r="Z1903" s="9"/>
      <c r="AA1903" s="9"/>
      <c r="AB1903" s="9"/>
    </row>
    <row r="1904" ht="30.0" customHeight="1">
      <c r="A1904" s="17" t="s">
        <v>1</v>
      </c>
      <c r="B1904" s="8"/>
      <c r="C1904" s="9"/>
      <c r="D1904" s="9"/>
      <c r="E1904" s="9"/>
      <c r="F1904" s="9"/>
      <c r="G1904" s="9"/>
      <c r="H1904" s="9"/>
      <c r="I1904" s="9"/>
      <c r="J1904" s="9"/>
      <c r="K1904" s="9"/>
      <c r="L1904" s="9"/>
      <c r="M1904" s="10"/>
      <c r="N1904" s="10"/>
      <c r="O1904" s="10"/>
      <c r="P1904" s="10"/>
      <c r="Q1904" s="10"/>
      <c r="R1904" s="9"/>
      <c r="S1904" s="9"/>
      <c r="T1904" s="12"/>
      <c r="U1904" s="12"/>
      <c r="V1904" s="12"/>
      <c r="W1904" s="10"/>
      <c r="X1904" s="10"/>
      <c r="Y1904" s="9"/>
      <c r="Z1904" s="9"/>
      <c r="AA1904" s="9"/>
      <c r="AB1904" s="9"/>
    </row>
    <row r="1905" ht="30.0" customHeight="1">
      <c r="A1905" s="17" t="s">
        <v>1</v>
      </c>
      <c r="B1905" s="8"/>
      <c r="C1905" s="9"/>
      <c r="D1905" s="9"/>
      <c r="E1905" s="9"/>
      <c r="F1905" s="9"/>
      <c r="G1905" s="9"/>
      <c r="H1905" s="9"/>
      <c r="I1905" s="9"/>
      <c r="J1905" s="9"/>
      <c r="K1905" s="9"/>
      <c r="L1905" s="9"/>
      <c r="M1905" s="10"/>
      <c r="N1905" s="10"/>
      <c r="O1905" s="10"/>
      <c r="P1905" s="10"/>
      <c r="Q1905" s="10"/>
      <c r="R1905" s="9"/>
      <c r="S1905" s="9"/>
      <c r="T1905" s="12"/>
      <c r="U1905" s="12"/>
      <c r="V1905" s="12"/>
      <c r="W1905" s="10"/>
      <c r="X1905" s="10"/>
      <c r="Y1905" s="9"/>
      <c r="Z1905" s="9"/>
      <c r="AA1905" s="9"/>
      <c r="AB1905" s="9"/>
    </row>
    <row r="1906" ht="30.0" customHeight="1">
      <c r="A1906" s="17" t="s">
        <v>1</v>
      </c>
      <c r="B1906" s="8"/>
      <c r="C1906" s="9"/>
      <c r="D1906" s="9"/>
      <c r="E1906" s="9"/>
      <c r="F1906" s="9"/>
      <c r="G1906" s="9"/>
      <c r="H1906" s="9"/>
      <c r="I1906" s="9"/>
      <c r="J1906" s="9"/>
      <c r="K1906" s="9"/>
      <c r="L1906" s="9"/>
      <c r="M1906" s="10"/>
      <c r="N1906" s="10"/>
      <c r="O1906" s="10"/>
      <c r="P1906" s="10"/>
      <c r="Q1906" s="10"/>
      <c r="R1906" s="9"/>
      <c r="S1906" s="9"/>
      <c r="T1906" s="12"/>
      <c r="U1906" s="12"/>
      <c r="V1906" s="12"/>
      <c r="W1906" s="10"/>
      <c r="X1906" s="10"/>
      <c r="Y1906" s="9"/>
      <c r="Z1906" s="9"/>
      <c r="AA1906" s="9"/>
      <c r="AB1906" s="9"/>
    </row>
    <row r="1907" ht="30.0" customHeight="1">
      <c r="A1907" s="17" t="s">
        <v>1</v>
      </c>
      <c r="B1907" s="8"/>
      <c r="C1907" s="9"/>
      <c r="D1907" s="9"/>
      <c r="E1907" s="9"/>
      <c r="F1907" s="9"/>
      <c r="G1907" s="9"/>
      <c r="H1907" s="9"/>
      <c r="I1907" s="9"/>
      <c r="J1907" s="9"/>
      <c r="K1907" s="9"/>
      <c r="L1907" s="9"/>
      <c r="M1907" s="10"/>
      <c r="N1907" s="10"/>
      <c r="O1907" s="10"/>
      <c r="P1907" s="10"/>
      <c r="Q1907" s="10"/>
      <c r="R1907" s="9"/>
      <c r="S1907" s="9"/>
      <c r="T1907" s="12"/>
      <c r="U1907" s="12"/>
      <c r="V1907" s="12"/>
      <c r="W1907" s="10"/>
      <c r="X1907" s="10"/>
      <c r="Y1907" s="9"/>
      <c r="Z1907" s="9"/>
      <c r="AA1907" s="9"/>
      <c r="AB1907" s="9"/>
    </row>
    <row r="1908" ht="30.0" customHeight="1">
      <c r="A1908" s="17" t="s">
        <v>1</v>
      </c>
      <c r="B1908" s="8"/>
      <c r="C1908" s="9"/>
      <c r="D1908" s="9"/>
      <c r="E1908" s="9"/>
      <c r="F1908" s="9"/>
      <c r="G1908" s="9"/>
      <c r="H1908" s="9"/>
      <c r="I1908" s="9"/>
      <c r="J1908" s="9"/>
      <c r="K1908" s="9"/>
      <c r="L1908" s="9"/>
      <c r="M1908" s="10"/>
      <c r="N1908" s="10"/>
      <c r="O1908" s="10"/>
      <c r="P1908" s="10"/>
      <c r="Q1908" s="10"/>
      <c r="R1908" s="9"/>
      <c r="S1908" s="9"/>
      <c r="T1908" s="12"/>
      <c r="U1908" s="12"/>
      <c r="V1908" s="12"/>
      <c r="W1908" s="10"/>
      <c r="X1908" s="10"/>
      <c r="Y1908" s="9"/>
      <c r="Z1908" s="9"/>
      <c r="AA1908" s="9"/>
      <c r="AB1908" s="9"/>
    </row>
    <row r="1909" ht="30.0" customHeight="1">
      <c r="A1909" s="17" t="s">
        <v>1</v>
      </c>
      <c r="B1909" s="8"/>
      <c r="C1909" s="9"/>
      <c r="D1909" s="9"/>
      <c r="E1909" s="9"/>
      <c r="F1909" s="9"/>
      <c r="G1909" s="9"/>
      <c r="H1909" s="9"/>
      <c r="I1909" s="9"/>
      <c r="J1909" s="9"/>
      <c r="K1909" s="9"/>
      <c r="L1909" s="9"/>
      <c r="M1909" s="10"/>
      <c r="N1909" s="10"/>
      <c r="O1909" s="10"/>
      <c r="P1909" s="10"/>
      <c r="Q1909" s="10"/>
      <c r="R1909" s="9"/>
      <c r="S1909" s="9"/>
      <c r="T1909" s="12"/>
      <c r="U1909" s="12"/>
      <c r="V1909" s="12"/>
      <c r="W1909" s="10"/>
      <c r="X1909" s="10"/>
      <c r="Y1909" s="9"/>
      <c r="Z1909" s="9"/>
      <c r="AA1909" s="9"/>
      <c r="AB1909" s="9"/>
    </row>
    <row r="1910" ht="30.0" customHeight="1">
      <c r="A1910" s="17" t="s">
        <v>1</v>
      </c>
      <c r="B1910" s="8"/>
      <c r="C1910" s="9"/>
      <c r="D1910" s="9"/>
      <c r="E1910" s="9"/>
      <c r="F1910" s="9"/>
      <c r="G1910" s="9"/>
      <c r="H1910" s="9"/>
      <c r="I1910" s="9"/>
      <c r="J1910" s="9"/>
      <c r="K1910" s="9"/>
      <c r="L1910" s="9"/>
      <c r="M1910" s="10"/>
      <c r="N1910" s="10"/>
      <c r="O1910" s="10"/>
      <c r="P1910" s="10"/>
      <c r="Q1910" s="10"/>
      <c r="R1910" s="9"/>
      <c r="S1910" s="9"/>
      <c r="T1910" s="12"/>
      <c r="U1910" s="12"/>
      <c r="V1910" s="12"/>
      <c r="W1910" s="10"/>
      <c r="X1910" s="10"/>
      <c r="Y1910" s="9"/>
      <c r="Z1910" s="9"/>
      <c r="AA1910" s="9"/>
      <c r="AB1910" s="9"/>
    </row>
    <row r="1911" ht="30.0" customHeight="1">
      <c r="A1911" s="17" t="s">
        <v>1</v>
      </c>
      <c r="B1911" s="8"/>
      <c r="C1911" s="9"/>
      <c r="D1911" s="9"/>
      <c r="E1911" s="9"/>
      <c r="F1911" s="9"/>
      <c r="G1911" s="9"/>
      <c r="H1911" s="9"/>
      <c r="I1911" s="9"/>
      <c r="J1911" s="9"/>
      <c r="K1911" s="9"/>
      <c r="L1911" s="9"/>
      <c r="M1911" s="10"/>
      <c r="N1911" s="10"/>
      <c r="O1911" s="10"/>
      <c r="P1911" s="10"/>
      <c r="Q1911" s="10"/>
      <c r="R1911" s="9"/>
      <c r="S1911" s="9"/>
      <c r="T1911" s="12"/>
      <c r="U1911" s="12"/>
      <c r="V1911" s="12"/>
      <c r="W1911" s="10"/>
      <c r="X1911" s="10"/>
      <c r="Y1911" s="9"/>
      <c r="Z1911" s="9"/>
      <c r="AA1911" s="9"/>
      <c r="AB1911" s="9"/>
    </row>
    <row r="1912" ht="30.0" customHeight="1">
      <c r="A1912" s="17" t="s">
        <v>1</v>
      </c>
      <c r="B1912" s="8"/>
      <c r="C1912" s="9"/>
      <c r="D1912" s="9"/>
      <c r="E1912" s="9"/>
      <c r="F1912" s="9"/>
      <c r="G1912" s="9"/>
      <c r="H1912" s="9"/>
      <c r="I1912" s="9"/>
      <c r="J1912" s="9"/>
      <c r="K1912" s="9"/>
      <c r="L1912" s="9"/>
      <c r="M1912" s="10"/>
      <c r="N1912" s="10"/>
      <c r="O1912" s="10"/>
      <c r="P1912" s="10"/>
      <c r="Q1912" s="10"/>
      <c r="R1912" s="9"/>
      <c r="S1912" s="9"/>
      <c r="T1912" s="12"/>
      <c r="U1912" s="12"/>
      <c r="V1912" s="12"/>
      <c r="W1912" s="10"/>
      <c r="X1912" s="10"/>
      <c r="Y1912" s="9"/>
      <c r="Z1912" s="9"/>
      <c r="AA1912" s="9"/>
      <c r="AB1912" s="9"/>
    </row>
    <row r="1913" ht="30.0" customHeight="1">
      <c r="A1913" s="17" t="s">
        <v>1</v>
      </c>
      <c r="B1913" s="8"/>
      <c r="C1913" s="9"/>
      <c r="D1913" s="9"/>
      <c r="E1913" s="9"/>
      <c r="F1913" s="9"/>
      <c r="G1913" s="9"/>
      <c r="H1913" s="9"/>
      <c r="I1913" s="9"/>
      <c r="J1913" s="9"/>
      <c r="K1913" s="9"/>
      <c r="L1913" s="9"/>
      <c r="M1913" s="10"/>
      <c r="N1913" s="10"/>
      <c r="O1913" s="10"/>
      <c r="P1913" s="10"/>
      <c r="Q1913" s="10"/>
      <c r="R1913" s="9"/>
      <c r="S1913" s="9"/>
      <c r="T1913" s="12"/>
      <c r="U1913" s="12"/>
      <c r="V1913" s="12"/>
      <c r="W1913" s="10"/>
      <c r="X1913" s="10"/>
      <c r="Y1913" s="9"/>
      <c r="Z1913" s="9"/>
      <c r="AA1913" s="9"/>
      <c r="AB1913" s="9"/>
    </row>
    <row r="1914" ht="30.0" customHeight="1">
      <c r="A1914" s="17" t="s">
        <v>1</v>
      </c>
      <c r="B1914" s="8"/>
      <c r="C1914" s="9"/>
      <c r="D1914" s="9"/>
      <c r="E1914" s="9"/>
      <c r="F1914" s="9"/>
      <c r="G1914" s="9"/>
      <c r="H1914" s="9"/>
      <c r="I1914" s="9"/>
      <c r="J1914" s="9"/>
      <c r="K1914" s="9"/>
      <c r="L1914" s="9"/>
      <c r="M1914" s="10"/>
      <c r="N1914" s="10"/>
      <c r="O1914" s="10"/>
      <c r="P1914" s="10"/>
      <c r="Q1914" s="10"/>
      <c r="R1914" s="9"/>
      <c r="S1914" s="9"/>
      <c r="T1914" s="12"/>
      <c r="U1914" s="12"/>
      <c r="V1914" s="12"/>
      <c r="W1914" s="10"/>
      <c r="X1914" s="10"/>
      <c r="Y1914" s="9"/>
      <c r="Z1914" s="9"/>
      <c r="AA1914" s="9"/>
      <c r="AB1914" s="9"/>
    </row>
    <row r="1915" ht="30.0" customHeight="1">
      <c r="A1915" s="17" t="s">
        <v>1</v>
      </c>
      <c r="B1915" s="8"/>
      <c r="C1915" s="9"/>
      <c r="D1915" s="9"/>
      <c r="E1915" s="9"/>
      <c r="F1915" s="9"/>
      <c r="G1915" s="9"/>
      <c r="H1915" s="9"/>
      <c r="I1915" s="9"/>
      <c r="J1915" s="9"/>
      <c r="K1915" s="9"/>
      <c r="L1915" s="9"/>
      <c r="M1915" s="10"/>
      <c r="N1915" s="10"/>
      <c r="O1915" s="10"/>
      <c r="P1915" s="10"/>
      <c r="Q1915" s="10"/>
      <c r="R1915" s="9"/>
      <c r="S1915" s="9"/>
      <c r="T1915" s="12"/>
      <c r="U1915" s="12"/>
      <c r="V1915" s="12"/>
      <c r="W1915" s="10"/>
      <c r="X1915" s="10"/>
      <c r="Y1915" s="9"/>
      <c r="Z1915" s="9"/>
      <c r="AA1915" s="9"/>
      <c r="AB1915" s="9"/>
    </row>
    <row r="1916" ht="30.0" customHeight="1">
      <c r="A1916" s="17" t="s">
        <v>1</v>
      </c>
      <c r="B1916" s="8"/>
      <c r="C1916" s="9"/>
      <c r="D1916" s="9"/>
      <c r="E1916" s="9"/>
      <c r="F1916" s="9"/>
      <c r="G1916" s="9"/>
      <c r="H1916" s="9"/>
      <c r="I1916" s="9"/>
      <c r="J1916" s="9"/>
      <c r="K1916" s="9"/>
      <c r="L1916" s="9"/>
      <c r="M1916" s="10"/>
      <c r="N1916" s="10"/>
      <c r="O1916" s="10"/>
      <c r="P1916" s="10"/>
      <c r="Q1916" s="10"/>
      <c r="R1916" s="9"/>
      <c r="S1916" s="9"/>
      <c r="T1916" s="12"/>
      <c r="U1916" s="12"/>
      <c r="V1916" s="12"/>
      <c r="W1916" s="10"/>
      <c r="X1916" s="10"/>
      <c r="Y1916" s="9"/>
      <c r="Z1916" s="9"/>
      <c r="AA1916" s="9"/>
      <c r="AB1916" s="9"/>
    </row>
    <row r="1917" ht="30.0" customHeight="1">
      <c r="A1917" s="17" t="s">
        <v>1</v>
      </c>
      <c r="B1917" s="8"/>
      <c r="C1917" s="9"/>
      <c r="D1917" s="9"/>
      <c r="E1917" s="9"/>
      <c r="F1917" s="9"/>
      <c r="G1917" s="9"/>
      <c r="H1917" s="9"/>
      <c r="I1917" s="9"/>
      <c r="J1917" s="9"/>
      <c r="K1917" s="9"/>
      <c r="L1917" s="9"/>
      <c r="M1917" s="10"/>
      <c r="N1917" s="10"/>
      <c r="O1917" s="10"/>
      <c r="P1917" s="10"/>
      <c r="Q1917" s="10"/>
      <c r="R1917" s="9"/>
      <c r="S1917" s="9"/>
      <c r="T1917" s="12"/>
      <c r="U1917" s="12"/>
      <c r="V1917" s="12"/>
      <c r="W1917" s="10"/>
      <c r="X1917" s="10"/>
      <c r="Y1917" s="9"/>
      <c r="Z1917" s="9"/>
      <c r="AA1917" s="9"/>
      <c r="AB1917" s="9"/>
    </row>
    <row r="1918" ht="30.0" customHeight="1">
      <c r="A1918" s="17" t="s">
        <v>1</v>
      </c>
      <c r="B1918" s="8"/>
      <c r="C1918" s="9"/>
      <c r="D1918" s="9"/>
      <c r="E1918" s="9"/>
      <c r="F1918" s="9"/>
      <c r="G1918" s="9"/>
      <c r="H1918" s="9"/>
      <c r="I1918" s="9"/>
      <c r="J1918" s="9"/>
      <c r="K1918" s="9"/>
      <c r="L1918" s="9"/>
      <c r="M1918" s="10"/>
      <c r="N1918" s="10"/>
      <c r="O1918" s="10"/>
      <c r="P1918" s="10"/>
      <c r="Q1918" s="10"/>
      <c r="R1918" s="9"/>
      <c r="S1918" s="9"/>
      <c r="T1918" s="12"/>
      <c r="U1918" s="12"/>
      <c r="V1918" s="12"/>
      <c r="W1918" s="10"/>
      <c r="X1918" s="10"/>
      <c r="Y1918" s="9"/>
      <c r="Z1918" s="9"/>
      <c r="AA1918" s="9"/>
      <c r="AB1918" s="9"/>
    </row>
    <row r="1919" ht="30.0" customHeight="1">
      <c r="A1919" s="17" t="s">
        <v>1</v>
      </c>
      <c r="B1919" s="8"/>
      <c r="C1919" s="9"/>
      <c r="D1919" s="9"/>
      <c r="E1919" s="9"/>
      <c r="F1919" s="9"/>
      <c r="G1919" s="9"/>
      <c r="H1919" s="9"/>
      <c r="I1919" s="9"/>
      <c r="J1919" s="9"/>
      <c r="K1919" s="9"/>
      <c r="L1919" s="9"/>
      <c r="M1919" s="10"/>
      <c r="N1919" s="10"/>
      <c r="O1919" s="10"/>
      <c r="P1919" s="10"/>
      <c r="Q1919" s="10"/>
      <c r="R1919" s="9"/>
      <c r="S1919" s="9"/>
      <c r="T1919" s="12"/>
      <c r="U1919" s="12"/>
      <c r="V1919" s="12"/>
      <c r="W1919" s="10"/>
      <c r="X1919" s="10"/>
      <c r="Y1919" s="9"/>
      <c r="Z1919" s="9"/>
      <c r="AA1919" s="9"/>
      <c r="AB1919" s="9"/>
    </row>
    <row r="1920" ht="30.0" customHeight="1">
      <c r="A1920" s="17" t="s">
        <v>1</v>
      </c>
      <c r="B1920" s="8"/>
      <c r="C1920" s="9"/>
      <c r="D1920" s="9"/>
      <c r="E1920" s="9"/>
      <c r="F1920" s="9"/>
      <c r="G1920" s="9"/>
      <c r="H1920" s="9"/>
      <c r="I1920" s="9"/>
      <c r="J1920" s="9"/>
      <c r="K1920" s="9"/>
      <c r="L1920" s="9"/>
      <c r="M1920" s="10"/>
      <c r="N1920" s="10"/>
      <c r="O1920" s="10"/>
      <c r="P1920" s="10"/>
      <c r="Q1920" s="10"/>
      <c r="R1920" s="9"/>
      <c r="S1920" s="9"/>
      <c r="T1920" s="12"/>
      <c r="U1920" s="12"/>
      <c r="V1920" s="12"/>
      <c r="W1920" s="10"/>
      <c r="X1920" s="10"/>
      <c r="Y1920" s="9"/>
      <c r="Z1920" s="9"/>
      <c r="AA1920" s="9"/>
      <c r="AB1920" s="9"/>
    </row>
    <row r="1921" ht="30.0" customHeight="1">
      <c r="A1921" s="17" t="s">
        <v>1</v>
      </c>
      <c r="B1921" s="8"/>
      <c r="C1921" s="9"/>
      <c r="D1921" s="9"/>
      <c r="E1921" s="9"/>
      <c r="F1921" s="9"/>
      <c r="G1921" s="9"/>
      <c r="H1921" s="9"/>
      <c r="I1921" s="9"/>
      <c r="J1921" s="9"/>
      <c r="K1921" s="9"/>
      <c r="L1921" s="9"/>
      <c r="M1921" s="10"/>
      <c r="N1921" s="10"/>
      <c r="O1921" s="10"/>
      <c r="P1921" s="10"/>
      <c r="Q1921" s="10"/>
      <c r="R1921" s="9"/>
      <c r="S1921" s="9"/>
      <c r="T1921" s="12"/>
      <c r="U1921" s="12"/>
      <c r="V1921" s="12"/>
      <c r="W1921" s="10"/>
      <c r="X1921" s="10"/>
      <c r="Y1921" s="9"/>
      <c r="Z1921" s="9"/>
      <c r="AA1921" s="9"/>
      <c r="AB1921" s="9"/>
    </row>
    <row r="1922" ht="30.0" customHeight="1">
      <c r="A1922" s="17" t="s">
        <v>1</v>
      </c>
      <c r="B1922" s="8"/>
      <c r="C1922" s="9"/>
      <c r="D1922" s="9"/>
      <c r="E1922" s="9"/>
      <c r="F1922" s="9"/>
      <c r="G1922" s="9"/>
      <c r="H1922" s="9"/>
      <c r="I1922" s="9"/>
      <c r="J1922" s="9"/>
      <c r="K1922" s="9"/>
      <c r="L1922" s="9"/>
      <c r="M1922" s="10"/>
      <c r="N1922" s="10"/>
      <c r="O1922" s="10"/>
      <c r="P1922" s="10"/>
      <c r="Q1922" s="10"/>
      <c r="R1922" s="9"/>
      <c r="S1922" s="9"/>
      <c r="T1922" s="12"/>
      <c r="U1922" s="12"/>
      <c r="V1922" s="12"/>
      <c r="W1922" s="10"/>
      <c r="X1922" s="10"/>
      <c r="Y1922" s="9"/>
      <c r="Z1922" s="9"/>
      <c r="AA1922" s="9"/>
      <c r="AB1922" s="9"/>
    </row>
    <row r="1923" ht="30.0" customHeight="1">
      <c r="A1923" s="17" t="s">
        <v>1</v>
      </c>
      <c r="B1923" s="8"/>
      <c r="C1923" s="9"/>
      <c r="D1923" s="9"/>
      <c r="E1923" s="9"/>
      <c r="F1923" s="9"/>
      <c r="G1923" s="9"/>
      <c r="H1923" s="9"/>
      <c r="I1923" s="9"/>
      <c r="J1923" s="9"/>
      <c r="K1923" s="9"/>
      <c r="L1923" s="9"/>
      <c r="M1923" s="10"/>
      <c r="N1923" s="10"/>
      <c r="O1923" s="10"/>
      <c r="P1923" s="10"/>
      <c r="Q1923" s="10"/>
      <c r="R1923" s="9"/>
      <c r="S1923" s="9"/>
      <c r="T1923" s="12"/>
      <c r="U1923" s="12"/>
      <c r="V1923" s="12"/>
      <c r="W1923" s="10"/>
      <c r="X1923" s="10"/>
      <c r="Y1923" s="9"/>
      <c r="Z1923" s="9"/>
      <c r="AA1923" s="9"/>
      <c r="AB1923" s="9"/>
    </row>
    <row r="1924" ht="30.0" customHeight="1">
      <c r="A1924" s="17" t="s">
        <v>1</v>
      </c>
      <c r="B1924" s="8"/>
      <c r="C1924" s="9"/>
      <c r="D1924" s="9"/>
      <c r="E1924" s="9"/>
      <c r="F1924" s="9"/>
      <c r="G1924" s="9"/>
      <c r="H1924" s="9"/>
      <c r="I1924" s="9"/>
      <c r="J1924" s="9"/>
      <c r="K1924" s="9"/>
      <c r="L1924" s="9"/>
      <c r="M1924" s="10"/>
      <c r="N1924" s="10"/>
      <c r="O1924" s="10"/>
      <c r="P1924" s="10"/>
      <c r="Q1924" s="10"/>
      <c r="R1924" s="9"/>
      <c r="S1924" s="9"/>
      <c r="T1924" s="12"/>
      <c r="U1924" s="12"/>
      <c r="V1924" s="12"/>
      <c r="W1924" s="10"/>
      <c r="X1924" s="10"/>
      <c r="Y1924" s="9"/>
      <c r="Z1924" s="9"/>
      <c r="AA1924" s="9"/>
      <c r="AB1924" s="9"/>
    </row>
    <row r="1925" ht="30.0" customHeight="1">
      <c r="A1925" s="17" t="s">
        <v>1</v>
      </c>
      <c r="B1925" s="8"/>
      <c r="C1925" s="9"/>
      <c r="D1925" s="9"/>
      <c r="E1925" s="9"/>
      <c r="F1925" s="9"/>
      <c r="G1925" s="9"/>
      <c r="H1925" s="9"/>
      <c r="I1925" s="9"/>
      <c r="J1925" s="9"/>
      <c r="K1925" s="9"/>
      <c r="L1925" s="9"/>
      <c r="M1925" s="10"/>
      <c r="N1925" s="10"/>
      <c r="O1925" s="10"/>
      <c r="P1925" s="10"/>
      <c r="Q1925" s="10"/>
      <c r="R1925" s="9"/>
      <c r="S1925" s="9"/>
      <c r="T1925" s="12"/>
      <c r="U1925" s="12"/>
      <c r="V1925" s="12"/>
      <c r="W1925" s="10"/>
      <c r="X1925" s="10"/>
      <c r="Y1925" s="9"/>
      <c r="Z1925" s="9"/>
      <c r="AA1925" s="9"/>
      <c r="AB1925" s="9"/>
    </row>
    <row r="1926" ht="30.0" customHeight="1">
      <c r="A1926" s="17" t="s">
        <v>1</v>
      </c>
      <c r="B1926" s="8"/>
      <c r="C1926" s="9"/>
      <c r="D1926" s="9"/>
      <c r="E1926" s="9"/>
      <c r="F1926" s="9"/>
      <c r="G1926" s="9"/>
      <c r="H1926" s="9"/>
      <c r="I1926" s="9"/>
      <c r="J1926" s="9"/>
      <c r="K1926" s="9"/>
      <c r="L1926" s="9"/>
      <c r="M1926" s="10"/>
      <c r="N1926" s="10"/>
      <c r="O1926" s="10"/>
      <c r="P1926" s="10"/>
      <c r="Q1926" s="10"/>
      <c r="R1926" s="9"/>
      <c r="S1926" s="9"/>
      <c r="T1926" s="12"/>
      <c r="U1926" s="12"/>
      <c r="V1926" s="12"/>
      <c r="W1926" s="10"/>
      <c r="X1926" s="10"/>
      <c r="Y1926" s="9"/>
      <c r="Z1926" s="9"/>
      <c r="AA1926" s="9"/>
      <c r="AB1926" s="9"/>
    </row>
    <row r="1927" ht="30.0" customHeight="1">
      <c r="A1927" s="17" t="s">
        <v>1</v>
      </c>
      <c r="B1927" s="8"/>
      <c r="C1927" s="9"/>
      <c r="D1927" s="9"/>
      <c r="E1927" s="9"/>
      <c r="F1927" s="9"/>
      <c r="G1927" s="9"/>
      <c r="H1927" s="9"/>
      <c r="I1927" s="9"/>
      <c r="J1927" s="9"/>
      <c r="K1927" s="9"/>
      <c r="L1927" s="9"/>
      <c r="M1927" s="10"/>
      <c r="N1927" s="10"/>
      <c r="O1927" s="10"/>
      <c r="P1927" s="10"/>
      <c r="Q1927" s="10"/>
      <c r="R1927" s="9"/>
      <c r="S1927" s="9"/>
      <c r="T1927" s="12"/>
      <c r="U1927" s="12"/>
      <c r="V1927" s="12"/>
      <c r="W1927" s="10"/>
      <c r="X1927" s="10"/>
      <c r="Y1927" s="9"/>
      <c r="Z1927" s="9"/>
      <c r="AA1927" s="9"/>
      <c r="AB1927" s="9"/>
    </row>
    <row r="1928" ht="30.0" customHeight="1">
      <c r="A1928" s="17" t="s">
        <v>1</v>
      </c>
      <c r="B1928" s="8"/>
      <c r="C1928" s="9"/>
      <c r="D1928" s="9"/>
      <c r="E1928" s="9"/>
      <c r="F1928" s="9"/>
      <c r="G1928" s="9"/>
      <c r="H1928" s="9"/>
      <c r="I1928" s="9"/>
      <c r="J1928" s="9"/>
      <c r="K1928" s="9"/>
      <c r="L1928" s="9"/>
      <c r="M1928" s="10"/>
      <c r="N1928" s="10"/>
      <c r="O1928" s="10"/>
      <c r="P1928" s="10"/>
      <c r="Q1928" s="10"/>
      <c r="R1928" s="9"/>
      <c r="S1928" s="9"/>
      <c r="T1928" s="12"/>
      <c r="U1928" s="12"/>
      <c r="V1928" s="12"/>
      <c r="W1928" s="10"/>
      <c r="X1928" s="10"/>
      <c r="Y1928" s="9"/>
      <c r="Z1928" s="9"/>
      <c r="AA1928" s="9"/>
      <c r="AB1928" s="9"/>
    </row>
    <row r="1929" ht="30.0" customHeight="1">
      <c r="A1929" s="17" t="s">
        <v>1</v>
      </c>
      <c r="B1929" s="8"/>
      <c r="C1929" s="9"/>
      <c r="D1929" s="9"/>
      <c r="E1929" s="9"/>
      <c r="F1929" s="9"/>
      <c r="G1929" s="9"/>
      <c r="H1929" s="9"/>
      <c r="I1929" s="9"/>
      <c r="J1929" s="9"/>
      <c r="K1929" s="9"/>
      <c r="L1929" s="9"/>
      <c r="M1929" s="10"/>
      <c r="N1929" s="10"/>
      <c r="O1929" s="10"/>
      <c r="P1929" s="10"/>
      <c r="Q1929" s="10"/>
      <c r="R1929" s="9"/>
      <c r="S1929" s="9"/>
      <c r="T1929" s="12"/>
      <c r="U1929" s="12"/>
      <c r="V1929" s="12"/>
      <c r="W1929" s="10"/>
      <c r="X1929" s="10"/>
      <c r="Y1929" s="9"/>
      <c r="Z1929" s="9"/>
      <c r="AA1929" s="9"/>
      <c r="AB1929" s="9"/>
    </row>
    <row r="1930" ht="30.0" customHeight="1">
      <c r="A1930" s="17" t="s">
        <v>1</v>
      </c>
      <c r="B1930" s="8"/>
      <c r="C1930" s="9"/>
      <c r="D1930" s="9"/>
      <c r="E1930" s="9"/>
      <c r="F1930" s="9"/>
      <c r="G1930" s="9"/>
      <c r="H1930" s="9"/>
      <c r="I1930" s="9"/>
      <c r="J1930" s="9"/>
      <c r="K1930" s="9"/>
      <c r="L1930" s="9"/>
      <c r="M1930" s="10"/>
      <c r="N1930" s="10"/>
      <c r="O1930" s="10"/>
      <c r="P1930" s="10"/>
      <c r="Q1930" s="10"/>
      <c r="R1930" s="9"/>
      <c r="S1930" s="9"/>
      <c r="T1930" s="12"/>
      <c r="U1930" s="12"/>
      <c r="V1930" s="12"/>
      <c r="W1930" s="10"/>
      <c r="X1930" s="10"/>
      <c r="Y1930" s="9"/>
      <c r="Z1930" s="9"/>
      <c r="AA1930" s="9"/>
      <c r="AB1930" s="9"/>
    </row>
    <row r="1931" ht="30.0" customHeight="1">
      <c r="A1931" s="17" t="s">
        <v>1</v>
      </c>
      <c r="B1931" s="8"/>
      <c r="C1931" s="9"/>
      <c r="D1931" s="9"/>
      <c r="E1931" s="9"/>
      <c r="F1931" s="9"/>
      <c r="G1931" s="9"/>
      <c r="H1931" s="9"/>
      <c r="I1931" s="9"/>
      <c r="J1931" s="9"/>
      <c r="K1931" s="9"/>
      <c r="L1931" s="9"/>
      <c r="M1931" s="10"/>
      <c r="N1931" s="10"/>
      <c r="O1931" s="10"/>
      <c r="P1931" s="10"/>
      <c r="Q1931" s="10"/>
      <c r="R1931" s="9"/>
      <c r="S1931" s="9"/>
      <c r="T1931" s="12"/>
      <c r="U1931" s="12"/>
      <c r="V1931" s="12"/>
      <c r="W1931" s="10"/>
      <c r="X1931" s="10"/>
      <c r="Y1931" s="9"/>
      <c r="Z1931" s="9"/>
      <c r="AA1931" s="9"/>
      <c r="AB1931" s="9"/>
    </row>
    <row r="1932" ht="30.0" customHeight="1">
      <c r="A1932" s="17" t="s">
        <v>1</v>
      </c>
      <c r="B1932" s="8"/>
      <c r="C1932" s="9"/>
      <c r="D1932" s="9"/>
      <c r="E1932" s="9"/>
      <c r="F1932" s="9"/>
      <c r="G1932" s="9"/>
      <c r="H1932" s="9"/>
      <c r="I1932" s="9"/>
      <c r="J1932" s="9"/>
      <c r="K1932" s="9"/>
      <c r="L1932" s="9"/>
      <c r="M1932" s="10"/>
      <c r="N1932" s="10"/>
      <c r="O1932" s="10"/>
      <c r="P1932" s="10"/>
      <c r="Q1932" s="10"/>
      <c r="R1932" s="9"/>
      <c r="S1932" s="9"/>
      <c r="T1932" s="12"/>
      <c r="U1932" s="12"/>
      <c r="V1932" s="12"/>
      <c r="W1932" s="10"/>
      <c r="X1932" s="10"/>
      <c r="Y1932" s="9"/>
      <c r="Z1932" s="9"/>
      <c r="AA1932" s="9"/>
      <c r="AB1932" s="9"/>
    </row>
    <row r="1933" ht="30.0" customHeight="1">
      <c r="A1933" s="17" t="s">
        <v>1</v>
      </c>
      <c r="B1933" s="8"/>
      <c r="C1933" s="9"/>
      <c r="D1933" s="9"/>
      <c r="E1933" s="9"/>
      <c r="F1933" s="9"/>
      <c r="G1933" s="9"/>
      <c r="H1933" s="9"/>
      <c r="I1933" s="9"/>
      <c r="J1933" s="9"/>
      <c r="K1933" s="9"/>
      <c r="L1933" s="9"/>
      <c r="M1933" s="10"/>
      <c r="N1933" s="10"/>
      <c r="O1933" s="10"/>
      <c r="P1933" s="10"/>
      <c r="Q1933" s="10"/>
      <c r="R1933" s="9"/>
      <c r="S1933" s="9"/>
      <c r="T1933" s="12"/>
      <c r="U1933" s="12"/>
      <c r="V1933" s="12"/>
      <c r="W1933" s="10"/>
      <c r="X1933" s="10"/>
      <c r="Y1933" s="9"/>
      <c r="Z1933" s="9"/>
      <c r="AA1933" s="9"/>
      <c r="AB1933" s="9"/>
    </row>
    <row r="1934" ht="30.0" customHeight="1">
      <c r="A1934" s="17" t="s">
        <v>1</v>
      </c>
      <c r="B1934" s="8"/>
      <c r="C1934" s="9"/>
      <c r="D1934" s="9"/>
      <c r="E1934" s="9"/>
      <c r="F1934" s="9"/>
      <c r="G1934" s="9"/>
      <c r="H1934" s="9"/>
      <c r="I1934" s="9"/>
      <c r="J1934" s="9"/>
      <c r="K1934" s="9"/>
      <c r="L1934" s="9"/>
      <c r="M1934" s="10"/>
      <c r="N1934" s="10"/>
      <c r="O1934" s="10"/>
      <c r="P1934" s="10"/>
      <c r="Q1934" s="10"/>
      <c r="R1934" s="9"/>
      <c r="S1934" s="9"/>
      <c r="T1934" s="12"/>
      <c r="U1934" s="12"/>
      <c r="V1934" s="12"/>
      <c r="W1934" s="10"/>
      <c r="X1934" s="10"/>
      <c r="Y1934" s="9"/>
      <c r="Z1934" s="9"/>
      <c r="AA1934" s="9"/>
      <c r="AB1934" s="9"/>
    </row>
    <row r="1935" ht="30.0" customHeight="1">
      <c r="A1935" s="17" t="s">
        <v>1</v>
      </c>
      <c r="B1935" s="8"/>
      <c r="C1935" s="9"/>
      <c r="D1935" s="9"/>
      <c r="E1935" s="9"/>
      <c r="F1935" s="9"/>
      <c r="G1935" s="9"/>
      <c r="H1935" s="9"/>
      <c r="I1935" s="9"/>
      <c r="J1935" s="9"/>
      <c r="K1935" s="9"/>
      <c r="L1935" s="9"/>
      <c r="M1935" s="10"/>
      <c r="N1935" s="10"/>
      <c r="O1935" s="10"/>
      <c r="P1935" s="10"/>
      <c r="Q1935" s="10"/>
      <c r="R1935" s="9"/>
      <c r="S1935" s="9"/>
      <c r="T1935" s="12"/>
      <c r="U1935" s="12"/>
      <c r="V1935" s="12"/>
      <c r="W1935" s="10"/>
      <c r="X1935" s="10"/>
      <c r="Y1935" s="9"/>
      <c r="Z1935" s="9"/>
      <c r="AA1935" s="9"/>
      <c r="AB1935" s="9"/>
    </row>
    <row r="1936" ht="30.0" customHeight="1">
      <c r="A1936" s="17" t="s">
        <v>1</v>
      </c>
      <c r="B1936" s="8"/>
      <c r="C1936" s="9"/>
      <c r="D1936" s="9"/>
      <c r="E1936" s="9"/>
      <c r="F1936" s="9"/>
      <c r="G1936" s="9"/>
      <c r="H1936" s="9"/>
      <c r="I1936" s="9"/>
      <c r="J1936" s="9"/>
      <c r="K1936" s="9"/>
      <c r="L1936" s="9"/>
      <c r="M1936" s="10"/>
      <c r="N1936" s="10"/>
      <c r="O1936" s="10"/>
      <c r="P1936" s="10"/>
      <c r="Q1936" s="10"/>
      <c r="R1936" s="9"/>
      <c r="S1936" s="9"/>
      <c r="T1936" s="12"/>
      <c r="U1936" s="12"/>
      <c r="V1936" s="12"/>
      <c r="W1936" s="10"/>
      <c r="X1936" s="10"/>
      <c r="Y1936" s="9"/>
      <c r="Z1936" s="9"/>
      <c r="AA1936" s="9"/>
      <c r="AB1936" s="9"/>
    </row>
    <row r="1937" ht="30.0" customHeight="1">
      <c r="A1937" s="17" t="s">
        <v>1</v>
      </c>
      <c r="B1937" s="8"/>
      <c r="C1937" s="9"/>
      <c r="D1937" s="9"/>
      <c r="E1937" s="9"/>
      <c r="F1937" s="9"/>
      <c r="G1937" s="9"/>
      <c r="H1937" s="9"/>
      <c r="I1937" s="9"/>
      <c r="J1937" s="9"/>
      <c r="K1937" s="9"/>
      <c r="L1937" s="9"/>
      <c r="M1937" s="10"/>
      <c r="N1937" s="10"/>
      <c r="O1937" s="10"/>
      <c r="P1937" s="10"/>
      <c r="Q1937" s="10"/>
      <c r="R1937" s="9"/>
      <c r="S1937" s="9"/>
      <c r="T1937" s="12"/>
      <c r="U1937" s="12"/>
      <c r="V1937" s="12"/>
      <c r="W1937" s="10"/>
      <c r="X1937" s="10"/>
      <c r="Y1937" s="9"/>
      <c r="Z1937" s="9"/>
      <c r="AA1937" s="9"/>
      <c r="AB1937" s="9"/>
    </row>
    <row r="1938" ht="30.0" customHeight="1">
      <c r="A1938" s="17" t="s">
        <v>1</v>
      </c>
      <c r="B1938" s="8"/>
      <c r="C1938" s="9"/>
      <c r="D1938" s="9"/>
      <c r="E1938" s="9"/>
      <c r="F1938" s="9"/>
      <c r="G1938" s="9"/>
      <c r="H1938" s="9"/>
      <c r="I1938" s="9"/>
      <c r="J1938" s="9"/>
      <c r="K1938" s="9"/>
      <c r="L1938" s="9"/>
      <c r="M1938" s="10"/>
      <c r="N1938" s="10"/>
      <c r="O1938" s="10"/>
      <c r="P1938" s="10"/>
      <c r="Q1938" s="10"/>
      <c r="R1938" s="9"/>
      <c r="S1938" s="9"/>
      <c r="T1938" s="12"/>
      <c r="U1938" s="12"/>
      <c r="V1938" s="12"/>
      <c r="W1938" s="10"/>
      <c r="X1938" s="10"/>
      <c r="Y1938" s="9"/>
      <c r="Z1938" s="9"/>
      <c r="AA1938" s="9"/>
      <c r="AB1938" s="9"/>
    </row>
    <row r="1939" ht="30.0" customHeight="1">
      <c r="A1939" s="17" t="s">
        <v>1</v>
      </c>
      <c r="B1939" s="8"/>
      <c r="C1939" s="9"/>
      <c r="D1939" s="9"/>
      <c r="E1939" s="9"/>
      <c r="F1939" s="9"/>
      <c r="G1939" s="9"/>
      <c r="H1939" s="9"/>
      <c r="I1939" s="9"/>
      <c r="J1939" s="9"/>
      <c r="K1939" s="9"/>
      <c r="L1939" s="9"/>
      <c r="M1939" s="10"/>
      <c r="N1939" s="10"/>
      <c r="O1939" s="10"/>
      <c r="P1939" s="10"/>
      <c r="Q1939" s="10"/>
      <c r="R1939" s="9"/>
      <c r="S1939" s="9"/>
      <c r="T1939" s="12"/>
      <c r="U1939" s="12"/>
      <c r="V1939" s="12"/>
      <c r="W1939" s="10"/>
      <c r="X1939" s="10"/>
      <c r="Y1939" s="9"/>
      <c r="Z1939" s="9"/>
      <c r="AA1939" s="9"/>
      <c r="AB1939" s="9"/>
    </row>
    <row r="1940" ht="30.0" customHeight="1">
      <c r="A1940" s="17" t="s">
        <v>1</v>
      </c>
      <c r="B1940" s="8"/>
      <c r="C1940" s="9"/>
      <c r="D1940" s="9"/>
      <c r="E1940" s="9"/>
      <c r="F1940" s="9"/>
      <c r="G1940" s="9"/>
      <c r="H1940" s="9"/>
      <c r="I1940" s="9"/>
      <c r="J1940" s="9"/>
      <c r="K1940" s="9"/>
      <c r="L1940" s="9"/>
      <c r="M1940" s="10"/>
      <c r="N1940" s="10"/>
      <c r="O1940" s="10"/>
      <c r="P1940" s="10"/>
      <c r="Q1940" s="10"/>
      <c r="R1940" s="9"/>
      <c r="S1940" s="9"/>
      <c r="T1940" s="12"/>
      <c r="U1940" s="12"/>
      <c r="V1940" s="12"/>
      <c r="W1940" s="10"/>
      <c r="X1940" s="10"/>
      <c r="Y1940" s="9"/>
      <c r="Z1940" s="9"/>
      <c r="AA1940" s="9"/>
      <c r="AB1940" s="9"/>
    </row>
    <row r="1941" ht="30.0" customHeight="1">
      <c r="A1941" s="17" t="s">
        <v>1</v>
      </c>
      <c r="B1941" s="8"/>
      <c r="C1941" s="9"/>
      <c r="D1941" s="9"/>
      <c r="E1941" s="9"/>
      <c r="F1941" s="9"/>
      <c r="G1941" s="9"/>
      <c r="H1941" s="9"/>
      <c r="I1941" s="9"/>
      <c r="J1941" s="9"/>
      <c r="K1941" s="9"/>
      <c r="L1941" s="9"/>
      <c r="M1941" s="10"/>
      <c r="N1941" s="10"/>
      <c r="O1941" s="10"/>
      <c r="P1941" s="10"/>
      <c r="Q1941" s="10"/>
      <c r="R1941" s="9"/>
      <c r="S1941" s="9"/>
      <c r="T1941" s="12"/>
      <c r="U1941" s="12"/>
      <c r="V1941" s="12"/>
      <c r="W1941" s="10"/>
      <c r="X1941" s="10"/>
      <c r="Y1941" s="9"/>
      <c r="Z1941" s="9"/>
      <c r="AA1941" s="9"/>
      <c r="AB1941" s="9"/>
    </row>
    <row r="1942" ht="30.0" customHeight="1">
      <c r="A1942" s="17" t="s">
        <v>1</v>
      </c>
      <c r="B1942" s="8"/>
      <c r="C1942" s="9"/>
      <c r="D1942" s="9"/>
      <c r="E1942" s="9"/>
      <c r="F1942" s="9"/>
      <c r="G1942" s="9"/>
      <c r="H1942" s="9"/>
      <c r="I1942" s="9"/>
      <c r="J1942" s="9"/>
      <c r="K1942" s="9"/>
      <c r="L1942" s="9"/>
      <c r="M1942" s="10"/>
      <c r="N1942" s="10"/>
      <c r="O1942" s="10"/>
      <c r="P1942" s="10"/>
      <c r="Q1942" s="10"/>
      <c r="R1942" s="9"/>
      <c r="S1942" s="9"/>
      <c r="T1942" s="12"/>
      <c r="U1942" s="12"/>
      <c r="V1942" s="12"/>
      <c r="W1942" s="10"/>
      <c r="X1942" s="10"/>
      <c r="Y1942" s="9"/>
      <c r="Z1942" s="9"/>
      <c r="AA1942" s="9"/>
      <c r="AB1942" s="9"/>
    </row>
    <row r="1943" ht="30.0" customHeight="1">
      <c r="A1943" s="17" t="s">
        <v>1</v>
      </c>
      <c r="B1943" s="8"/>
      <c r="C1943" s="9"/>
      <c r="D1943" s="9"/>
      <c r="E1943" s="9"/>
      <c r="F1943" s="9"/>
      <c r="G1943" s="9"/>
      <c r="H1943" s="9"/>
      <c r="I1943" s="9"/>
      <c r="J1943" s="9"/>
      <c r="K1943" s="9"/>
      <c r="L1943" s="9"/>
      <c r="M1943" s="10"/>
      <c r="N1943" s="10"/>
      <c r="O1943" s="10"/>
      <c r="P1943" s="10"/>
      <c r="Q1943" s="10"/>
      <c r="R1943" s="9"/>
      <c r="S1943" s="9"/>
      <c r="T1943" s="12"/>
      <c r="U1943" s="12"/>
      <c r="V1943" s="12"/>
      <c r="W1943" s="10"/>
      <c r="X1943" s="10"/>
      <c r="Y1943" s="9"/>
      <c r="Z1943" s="9"/>
      <c r="AA1943" s="9"/>
      <c r="AB1943" s="9"/>
    </row>
    <row r="1944" ht="30.0" customHeight="1">
      <c r="A1944" s="17" t="s">
        <v>1</v>
      </c>
      <c r="B1944" s="8"/>
      <c r="C1944" s="9"/>
      <c r="D1944" s="9"/>
      <c r="E1944" s="9"/>
      <c r="F1944" s="9"/>
      <c r="G1944" s="9"/>
      <c r="H1944" s="9"/>
      <c r="I1944" s="9"/>
      <c r="J1944" s="9"/>
      <c r="K1944" s="9"/>
      <c r="L1944" s="9"/>
      <c r="M1944" s="10"/>
      <c r="N1944" s="10"/>
      <c r="O1944" s="10"/>
      <c r="P1944" s="10"/>
      <c r="Q1944" s="10"/>
      <c r="R1944" s="9"/>
      <c r="S1944" s="9"/>
      <c r="T1944" s="12"/>
      <c r="U1944" s="12"/>
      <c r="V1944" s="12"/>
      <c r="W1944" s="10"/>
      <c r="X1944" s="10"/>
      <c r="Y1944" s="9"/>
      <c r="Z1944" s="9"/>
      <c r="AA1944" s="9"/>
      <c r="AB1944" s="9"/>
    </row>
    <row r="1945" ht="30.0" customHeight="1">
      <c r="A1945" s="17" t="s">
        <v>1</v>
      </c>
      <c r="B1945" s="8"/>
      <c r="C1945" s="9"/>
      <c r="D1945" s="9"/>
      <c r="E1945" s="9"/>
      <c r="F1945" s="9"/>
      <c r="G1945" s="9"/>
      <c r="H1945" s="9"/>
      <c r="I1945" s="9"/>
      <c r="J1945" s="9"/>
      <c r="K1945" s="9"/>
      <c r="L1945" s="9"/>
      <c r="M1945" s="10"/>
      <c r="N1945" s="10"/>
      <c r="O1945" s="10"/>
      <c r="P1945" s="10"/>
      <c r="Q1945" s="10"/>
      <c r="R1945" s="9"/>
      <c r="S1945" s="9"/>
      <c r="T1945" s="12"/>
      <c r="U1945" s="12"/>
      <c r="V1945" s="12"/>
      <c r="W1945" s="10"/>
      <c r="X1945" s="10"/>
      <c r="Y1945" s="9"/>
      <c r="Z1945" s="9"/>
      <c r="AA1945" s="9"/>
      <c r="AB1945" s="9"/>
    </row>
    <row r="1946" ht="30.0" customHeight="1">
      <c r="A1946" s="17" t="s">
        <v>1</v>
      </c>
      <c r="B1946" s="8"/>
      <c r="C1946" s="9"/>
      <c r="D1946" s="9"/>
      <c r="E1946" s="9"/>
      <c r="F1946" s="9"/>
      <c r="G1946" s="9"/>
      <c r="H1946" s="9"/>
      <c r="I1946" s="9"/>
      <c r="J1946" s="9"/>
      <c r="K1946" s="9"/>
      <c r="L1946" s="9"/>
      <c r="M1946" s="10"/>
      <c r="N1946" s="10"/>
      <c r="O1946" s="10"/>
      <c r="P1946" s="10"/>
      <c r="Q1946" s="10"/>
      <c r="R1946" s="9"/>
      <c r="S1946" s="9"/>
      <c r="T1946" s="12"/>
      <c r="U1946" s="12"/>
      <c r="V1946" s="12"/>
      <c r="W1946" s="10"/>
      <c r="X1946" s="10"/>
      <c r="Y1946" s="9"/>
      <c r="Z1946" s="9"/>
      <c r="AA1946" s="9"/>
      <c r="AB1946" s="9"/>
    </row>
    <row r="1947" ht="30.0" customHeight="1">
      <c r="A1947" s="17" t="s">
        <v>1</v>
      </c>
      <c r="B1947" s="8"/>
      <c r="C1947" s="9"/>
      <c r="D1947" s="9"/>
      <c r="E1947" s="9"/>
      <c r="F1947" s="9"/>
      <c r="G1947" s="9"/>
      <c r="H1947" s="9"/>
      <c r="I1947" s="9"/>
      <c r="J1947" s="9"/>
      <c r="K1947" s="9"/>
      <c r="L1947" s="9"/>
      <c r="M1947" s="10"/>
      <c r="N1947" s="10"/>
      <c r="O1947" s="10"/>
      <c r="P1947" s="10"/>
      <c r="Q1947" s="10"/>
      <c r="R1947" s="9"/>
      <c r="S1947" s="9"/>
      <c r="T1947" s="12"/>
      <c r="U1947" s="12"/>
      <c r="V1947" s="12"/>
      <c r="W1947" s="10"/>
      <c r="X1947" s="10"/>
      <c r="Y1947" s="9"/>
      <c r="Z1947" s="9"/>
      <c r="AA1947" s="9"/>
      <c r="AB1947" s="9"/>
    </row>
    <row r="1948" ht="30.0" customHeight="1">
      <c r="A1948" s="17" t="s">
        <v>1</v>
      </c>
      <c r="B1948" s="8"/>
      <c r="C1948" s="9"/>
      <c r="D1948" s="9"/>
      <c r="E1948" s="9"/>
      <c r="F1948" s="9"/>
      <c r="G1948" s="9"/>
      <c r="H1948" s="9"/>
      <c r="I1948" s="9"/>
      <c r="J1948" s="9"/>
      <c r="K1948" s="9"/>
      <c r="L1948" s="9"/>
      <c r="M1948" s="10"/>
      <c r="N1948" s="10"/>
      <c r="O1948" s="10"/>
      <c r="P1948" s="10"/>
      <c r="Q1948" s="10"/>
      <c r="R1948" s="9"/>
      <c r="S1948" s="9"/>
      <c r="T1948" s="12"/>
      <c r="U1948" s="12"/>
      <c r="V1948" s="12"/>
      <c r="W1948" s="10"/>
      <c r="X1948" s="10"/>
      <c r="Y1948" s="9"/>
      <c r="Z1948" s="9"/>
      <c r="AA1948" s="9"/>
      <c r="AB1948" s="9"/>
    </row>
    <row r="1949" ht="30.0" customHeight="1">
      <c r="A1949" s="17" t="s">
        <v>1</v>
      </c>
      <c r="B1949" s="8"/>
      <c r="C1949" s="9"/>
      <c r="D1949" s="9"/>
      <c r="E1949" s="9"/>
      <c r="F1949" s="9"/>
      <c r="G1949" s="9"/>
      <c r="H1949" s="9"/>
      <c r="I1949" s="9"/>
      <c r="J1949" s="9"/>
      <c r="K1949" s="9"/>
      <c r="L1949" s="9"/>
      <c r="M1949" s="10"/>
      <c r="N1949" s="10"/>
      <c r="O1949" s="10"/>
      <c r="P1949" s="10"/>
      <c r="Q1949" s="10"/>
      <c r="R1949" s="9"/>
      <c r="S1949" s="9"/>
      <c r="T1949" s="12"/>
      <c r="U1949" s="12"/>
      <c r="V1949" s="12"/>
      <c r="W1949" s="10"/>
      <c r="X1949" s="10"/>
      <c r="Y1949" s="9"/>
      <c r="Z1949" s="9"/>
      <c r="AA1949" s="9"/>
      <c r="AB1949" s="9"/>
    </row>
    <row r="1950" ht="30.0" customHeight="1">
      <c r="A1950" s="17" t="s">
        <v>1</v>
      </c>
      <c r="B1950" s="8"/>
      <c r="C1950" s="9"/>
      <c r="D1950" s="9"/>
      <c r="E1950" s="9"/>
      <c r="F1950" s="9"/>
      <c r="G1950" s="9"/>
      <c r="H1950" s="9"/>
      <c r="I1950" s="9"/>
      <c r="J1950" s="9"/>
      <c r="K1950" s="9"/>
      <c r="L1950" s="9"/>
      <c r="M1950" s="10"/>
      <c r="N1950" s="10"/>
      <c r="O1950" s="10"/>
      <c r="P1950" s="10"/>
      <c r="Q1950" s="10"/>
      <c r="R1950" s="9"/>
      <c r="S1950" s="9"/>
      <c r="T1950" s="12"/>
      <c r="U1950" s="12"/>
      <c r="V1950" s="12"/>
      <c r="W1950" s="10"/>
      <c r="X1950" s="10"/>
      <c r="Y1950" s="9"/>
      <c r="Z1950" s="9"/>
      <c r="AA1950" s="9"/>
      <c r="AB1950" s="9"/>
    </row>
    <row r="1951" ht="30.0" customHeight="1">
      <c r="A1951" s="17" t="s">
        <v>1</v>
      </c>
      <c r="B1951" s="8"/>
      <c r="C1951" s="9"/>
      <c r="D1951" s="9"/>
      <c r="E1951" s="9"/>
      <c r="F1951" s="9"/>
      <c r="G1951" s="9"/>
      <c r="H1951" s="9"/>
      <c r="I1951" s="9"/>
      <c r="J1951" s="9"/>
      <c r="K1951" s="9"/>
      <c r="L1951" s="9"/>
      <c r="M1951" s="10"/>
      <c r="N1951" s="10"/>
      <c r="O1951" s="10"/>
      <c r="P1951" s="10"/>
      <c r="Q1951" s="10"/>
      <c r="R1951" s="9"/>
      <c r="S1951" s="9"/>
      <c r="T1951" s="12"/>
      <c r="U1951" s="12"/>
      <c r="V1951" s="12"/>
      <c r="W1951" s="10"/>
      <c r="X1951" s="10"/>
      <c r="Y1951" s="9"/>
      <c r="Z1951" s="9"/>
      <c r="AA1951" s="9"/>
      <c r="AB1951" s="9"/>
    </row>
    <row r="1952" ht="30.0" customHeight="1">
      <c r="A1952" s="17" t="s">
        <v>1</v>
      </c>
      <c r="B1952" s="8"/>
      <c r="C1952" s="9"/>
      <c r="D1952" s="9"/>
      <c r="E1952" s="9"/>
      <c r="F1952" s="9"/>
      <c r="G1952" s="9"/>
      <c r="H1952" s="9"/>
      <c r="I1952" s="9"/>
      <c r="J1952" s="9"/>
      <c r="K1952" s="9"/>
      <c r="L1952" s="9"/>
      <c r="M1952" s="10"/>
      <c r="N1952" s="10"/>
      <c r="O1952" s="10"/>
      <c r="P1952" s="10"/>
      <c r="Q1952" s="10"/>
      <c r="R1952" s="9"/>
      <c r="S1952" s="9"/>
      <c r="T1952" s="12"/>
      <c r="U1952" s="12"/>
      <c r="V1952" s="12"/>
      <c r="W1952" s="10"/>
      <c r="X1952" s="10"/>
      <c r="Y1952" s="9"/>
      <c r="Z1952" s="9"/>
      <c r="AA1952" s="9"/>
      <c r="AB1952" s="9"/>
    </row>
    <row r="1953" ht="30.0" customHeight="1">
      <c r="A1953" s="17" t="s">
        <v>1</v>
      </c>
      <c r="B1953" s="8"/>
      <c r="C1953" s="9"/>
      <c r="D1953" s="9"/>
      <c r="E1953" s="9"/>
      <c r="F1953" s="9"/>
      <c r="G1953" s="9"/>
      <c r="H1953" s="9"/>
      <c r="I1953" s="9"/>
      <c r="J1953" s="9"/>
      <c r="K1953" s="9"/>
      <c r="L1953" s="9"/>
      <c r="M1953" s="10"/>
      <c r="N1953" s="10"/>
      <c r="O1953" s="10"/>
      <c r="P1953" s="10"/>
      <c r="Q1953" s="10"/>
      <c r="R1953" s="9"/>
      <c r="S1953" s="9"/>
      <c r="T1953" s="12"/>
      <c r="U1953" s="12"/>
      <c r="V1953" s="12"/>
      <c r="W1953" s="10"/>
      <c r="X1953" s="10"/>
      <c r="Y1953" s="9"/>
      <c r="Z1953" s="9"/>
      <c r="AA1953" s="9"/>
      <c r="AB1953" s="9"/>
    </row>
    <row r="1954" ht="30.0" customHeight="1">
      <c r="A1954" s="17" t="s">
        <v>1</v>
      </c>
      <c r="B1954" s="8"/>
      <c r="C1954" s="9"/>
      <c r="D1954" s="9"/>
      <c r="E1954" s="9"/>
      <c r="F1954" s="9"/>
      <c r="G1954" s="9"/>
      <c r="H1954" s="9"/>
      <c r="I1954" s="9"/>
      <c r="J1954" s="9"/>
      <c r="K1954" s="9"/>
      <c r="L1954" s="9"/>
      <c r="M1954" s="10"/>
      <c r="N1954" s="10"/>
      <c r="O1954" s="10"/>
      <c r="P1954" s="10"/>
      <c r="Q1954" s="10"/>
      <c r="R1954" s="9"/>
      <c r="S1954" s="9"/>
      <c r="T1954" s="12"/>
      <c r="U1954" s="12"/>
      <c r="V1954" s="12"/>
      <c r="W1954" s="10"/>
      <c r="X1954" s="10"/>
      <c r="Y1954" s="9"/>
      <c r="Z1954" s="9"/>
      <c r="AA1954" s="9"/>
      <c r="AB1954" s="9"/>
    </row>
    <row r="1955" ht="30.0" customHeight="1">
      <c r="A1955" s="17" t="s">
        <v>1</v>
      </c>
      <c r="B1955" s="8"/>
      <c r="C1955" s="9"/>
      <c r="D1955" s="9"/>
      <c r="E1955" s="9"/>
      <c r="F1955" s="9"/>
      <c r="G1955" s="9"/>
      <c r="H1955" s="9"/>
      <c r="I1955" s="9"/>
      <c r="J1955" s="9"/>
      <c r="K1955" s="9"/>
      <c r="L1955" s="9"/>
      <c r="M1955" s="10"/>
      <c r="N1955" s="10"/>
      <c r="O1955" s="10"/>
      <c r="P1955" s="10"/>
      <c r="Q1955" s="10"/>
      <c r="R1955" s="9"/>
      <c r="S1955" s="9"/>
      <c r="T1955" s="12"/>
      <c r="U1955" s="12"/>
      <c r="V1955" s="12"/>
      <c r="W1955" s="10"/>
      <c r="X1955" s="10"/>
      <c r="Y1955" s="9"/>
      <c r="Z1955" s="9"/>
      <c r="AA1955" s="9"/>
      <c r="AB1955" s="9"/>
    </row>
    <row r="1956" ht="30.0" customHeight="1">
      <c r="A1956" s="17" t="s">
        <v>1</v>
      </c>
      <c r="B1956" s="8"/>
      <c r="C1956" s="9"/>
      <c r="D1956" s="9"/>
      <c r="E1956" s="9"/>
      <c r="F1956" s="9"/>
      <c r="G1956" s="9"/>
      <c r="H1956" s="9"/>
      <c r="I1956" s="9"/>
      <c r="J1956" s="9"/>
      <c r="K1956" s="9"/>
      <c r="L1956" s="9"/>
      <c r="M1956" s="10"/>
      <c r="N1956" s="10"/>
      <c r="O1956" s="10"/>
      <c r="P1956" s="10"/>
      <c r="Q1956" s="10"/>
      <c r="R1956" s="9"/>
      <c r="S1956" s="9"/>
      <c r="T1956" s="12"/>
      <c r="U1956" s="12"/>
      <c r="V1956" s="12"/>
      <c r="W1956" s="10"/>
      <c r="X1956" s="10"/>
      <c r="Y1956" s="9"/>
      <c r="Z1956" s="9"/>
      <c r="AA1956" s="9"/>
      <c r="AB1956" s="9"/>
    </row>
    <row r="1957" ht="30.0" customHeight="1">
      <c r="A1957" s="17" t="s">
        <v>1</v>
      </c>
      <c r="B1957" s="8"/>
      <c r="C1957" s="9"/>
      <c r="D1957" s="9"/>
      <c r="E1957" s="9"/>
      <c r="F1957" s="9"/>
      <c r="G1957" s="9"/>
      <c r="H1957" s="9"/>
      <c r="I1957" s="9"/>
      <c r="J1957" s="9"/>
      <c r="K1957" s="9"/>
      <c r="L1957" s="9"/>
      <c r="M1957" s="10"/>
      <c r="N1957" s="10"/>
      <c r="O1957" s="10"/>
      <c r="P1957" s="10"/>
      <c r="Q1957" s="10"/>
      <c r="R1957" s="9"/>
      <c r="S1957" s="9"/>
      <c r="T1957" s="12"/>
      <c r="U1957" s="12"/>
      <c r="V1957" s="12"/>
      <c r="W1957" s="10"/>
      <c r="X1957" s="10"/>
      <c r="Y1957" s="9"/>
      <c r="Z1957" s="9"/>
      <c r="AA1957" s="9"/>
      <c r="AB1957" s="9"/>
    </row>
    <row r="1958" ht="30.0" customHeight="1">
      <c r="A1958" s="17" t="s">
        <v>1</v>
      </c>
      <c r="B1958" s="8"/>
      <c r="C1958" s="9"/>
      <c r="D1958" s="9"/>
      <c r="E1958" s="9"/>
      <c r="F1958" s="9"/>
      <c r="G1958" s="9"/>
      <c r="H1958" s="9"/>
      <c r="I1958" s="9"/>
      <c r="J1958" s="9"/>
      <c r="K1958" s="9"/>
      <c r="L1958" s="9"/>
      <c r="M1958" s="10"/>
      <c r="N1958" s="10"/>
      <c r="O1958" s="10"/>
      <c r="P1958" s="10"/>
      <c r="Q1958" s="10"/>
      <c r="R1958" s="9"/>
      <c r="S1958" s="9"/>
      <c r="T1958" s="12"/>
      <c r="U1958" s="12"/>
      <c r="V1958" s="12"/>
      <c r="W1958" s="10"/>
      <c r="X1958" s="10"/>
      <c r="Y1958" s="9"/>
      <c r="Z1958" s="9"/>
      <c r="AA1958" s="9"/>
      <c r="AB1958" s="9"/>
    </row>
    <row r="1959" ht="30.0" customHeight="1">
      <c r="A1959" s="17" t="s">
        <v>1</v>
      </c>
      <c r="B1959" s="8"/>
      <c r="C1959" s="9"/>
      <c r="D1959" s="9"/>
      <c r="E1959" s="9"/>
      <c r="F1959" s="9"/>
      <c r="G1959" s="9"/>
      <c r="H1959" s="9"/>
      <c r="I1959" s="9"/>
      <c r="J1959" s="9"/>
      <c r="K1959" s="9"/>
      <c r="L1959" s="9"/>
      <c r="M1959" s="10"/>
      <c r="N1959" s="10"/>
      <c r="O1959" s="10"/>
      <c r="P1959" s="10"/>
      <c r="Q1959" s="10"/>
      <c r="R1959" s="9"/>
      <c r="S1959" s="9"/>
      <c r="T1959" s="12"/>
      <c r="U1959" s="12"/>
      <c r="V1959" s="12"/>
      <c r="W1959" s="10"/>
      <c r="X1959" s="10"/>
      <c r="Y1959" s="9"/>
      <c r="Z1959" s="9"/>
      <c r="AA1959" s="9"/>
      <c r="AB1959" s="9"/>
    </row>
    <row r="1960" ht="30.0" customHeight="1">
      <c r="A1960" s="17" t="s">
        <v>1</v>
      </c>
      <c r="B1960" s="8"/>
      <c r="C1960" s="9"/>
      <c r="D1960" s="9"/>
      <c r="E1960" s="9"/>
      <c r="F1960" s="9"/>
      <c r="G1960" s="9"/>
      <c r="H1960" s="9"/>
      <c r="I1960" s="9"/>
      <c r="J1960" s="9"/>
      <c r="K1960" s="9"/>
      <c r="L1960" s="9"/>
      <c r="M1960" s="10"/>
      <c r="N1960" s="10"/>
      <c r="O1960" s="10"/>
      <c r="P1960" s="10"/>
      <c r="Q1960" s="10"/>
      <c r="R1960" s="9"/>
      <c r="S1960" s="9"/>
      <c r="T1960" s="12"/>
      <c r="U1960" s="12"/>
      <c r="V1960" s="12"/>
      <c r="W1960" s="10"/>
      <c r="X1960" s="10"/>
      <c r="Y1960" s="9"/>
      <c r="Z1960" s="9"/>
      <c r="AA1960" s="9"/>
      <c r="AB1960" s="9"/>
    </row>
    <row r="1961" ht="30.0" customHeight="1">
      <c r="A1961" s="17" t="s">
        <v>1</v>
      </c>
      <c r="B1961" s="8"/>
      <c r="C1961" s="9"/>
      <c r="D1961" s="9"/>
      <c r="E1961" s="9"/>
      <c r="F1961" s="9"/>
      <c r="G1961" s="9"/>
      <c r="H1961" s="9"/>
      <c r="I1961" s="9"/>
      <c r="J1961" s="9"/>
      <c r="K1961" s="9"/>
      <c r="L1961" s="9"/>
      <c r="M1961" s="10"/>
      <c r="N1961" s="10"/>
      <c r="O1961" s="10"/>
      <c r="P1961" s="10"/>
      <c r="Q1961" s="10"/>
      <c r="R1961" s="9"/>
      <c r="S1961" s="9"/>
      <c r="T1961" s="12"/>
      <c r="U1961" s="12"/>
      <c r="V1961" s="12"/>
      <c r="W1961" s="10"/>
      <c r="X1961" s="10"/>
      <c r="Y1961" s="9"/>
      <c r="Z1961" s="9"/>
      <c r="AA1961" s="9"/>
      <c r="AB1961" s="9"/>
    </row>
    <row r="1962" ht="30.0" customHeight="1">
      <c r="A1962" s="17" t="s">
        <v>1</v>
      </c>
      <c r="B1962" s="8"/>
      <c r="C1962" s="9"/>
      <c r="D1962" s="9"/>
      <c r="E1962" s="9"/>
      <c r="F1962" s="9"/>
      <c r="G1962" s="9"/>
      <c r="H1962" s="9"/>
      <c r="I1962" s="9"/>
      <c r="J1962" s="9"/>
      <c r="K1962" s="9"/>
      <c r="L1962" s="9"/>
      <c r="M1962" s="10"/>
      <c r="N1962" s="10"/>
      <c r="O1962" s="10"/>
      <c r="P1962" s="10"/>
      <c r="Q1962" s="10"/>
      <c r="R1962" s="9"/>
      <c r="S1962" s="9"/>
      <c r="T1962" s="12"/>
      <c r="U1962" s="12"/>
      <c r="V1962" s="12"/>
      <c r="W1962" s="10"/>
      <c r="X1962" s="10"/>
      <c r="Y1962" s="9"/>
      <c r="Z1962" s="9"/>
      <c r="AA1962" s="9"/>
      <c r="AB1962" s="9"/>
    </row>
    <row r="1963" ht="30.0" customHeight="1">
      <c r="A1963" s="17" t="s">
        <v>1</v>
      </c>
      <c r="B1963" s="8"/>
      <c r="C1963" s="9"/>
      <c r="D1963" s="9"/>
      <c r="E1963" s="9"/>
      <c r="F1963" s="9"/>
      <c r="G1963" s="9"/>
      <c r="H1963" s="9"/>
      <c r="I1963" s="9"/>
      <c r="J1963" s="9"/>
      <c r="K1963" s="9"/>
      <c r="L1963" s="9"/>
      <c r="M1963" s="10"/>
      <c r="N1963" s="10"/>
      <c r="O1963" s="10"/>
      <c r="P1963" s="10"/>
      <c r="Q1963" s="10"/>
      <c r="R1963" s="9"/>
      <c r="S1963" s="9"/>
      <c r="T1963" s="12"/>
      <c r="U1963" s="12"/>
      <c r="V1963" s="12"/>
      <c r="W1963" s="10"/>
      <c r="X1963" s="10"/>
      <c r="Y1963" s="9"/>
      <c r="Z1963" s="9"/>
      <c r="AA1963" s="9"/>
      <c r="AB1963" s="9"/>
    </row>
    <row r="1964" ht="30.0" customHeight="1">
      <c r="A1964" s="17" t="s">
        <v>1</v>
      </c>
      <c r="B1964" s="8"/>
      <c r="C1964" s="9"/>
      <c r="D1964" s="9"/>
      <c r="E1964" s="9"/>
      <c r="F1964" s="9"/>
      <c r="G1964" s="9"/>
      <c r="H1964" s="9"/>
      <c r="I1964" s="9"/>
      <c r="J1964" s="9"/>
      <c r="K1964" s="9"/>
      <c r="L1964" s="9"/>
      <c r="M1964" s="10"/>
      <c r="N1964" s="10"/>
      <c r="O1964" s="10"/>
      <c r="P1964" s="10"/>
      <c r="Q1964" s="10"/>
      <c r="R1964" s="9"/>
      <c r="S1964" s="9"/>
      <c r="T1964" s="12"/>
      <c r="U1964" s="12"/>
      <c r="V1964" s="12"/>
      <c r="W1964" s="10"/>
      <c r="X1964" s="10"/>
      <c r="Y1964" s="9"/>
      <c r="Z1964" s="9"/>
      <c r="AA1964" s="9"/>
      <c r="AB1964" s="9"/>
    </row>
    <row r="1965" ht="30.0" customHeight="1">
      <c r="A1965" s="17" t="s">
        <v>1</v>
      </c>
      <c r="B1965" s="8"/>
      <c r="C1965" s="9"/>
      <c r="D1965" s="9"/>
      <c r="E1965" s="9"/>
      <c r="F1965" s="9"/>
      <c r="G1965" s="9"/>
      <c r="H1965" s="9"/>
      <c r="I1965" s="9"/>
      <c r="J1965" s="9"/>
      <c r="K1965" s="9"/>
      <c r="L1965" s="9"/>
      <c r="M1965" s="10"/>
      <c r="N1965" s="10"/>
      <c r="O1965" s="10"/>
      <c r="P1965" s="10"/>
      <c r="Q1965" s="10"/>
      <c r="R1965" s="9"/>
      <c r="S1965" s="9"/>
      <c r="T1965" s="12"/>
      <c r="U1965" s="12"/>
      <c r="V1965" s="12"/>
      <c r="W1965" s="10"/>
      <c r="X1965" s="10"/>
      <c r="Y1965" s="9"/>
      <c r="Z1965" s="9"/>
      <c r="AA1965" s="9"/>
      <c r="AB1965" s="9"/>
    </row>
    <row r="1966" ht="30.0" customHeight="1">
      <c r="A1966" s="17" t="s">
        <v>1</v>
      </c>
      <c r="B1966" s="8"/>
      <c r="C1966" s="9"/>
      <c r="D1966" s="9"/>
      <c r="E1966" s="9"/>
      <c r="F1966" s="9"/>
      <c r="G1966" s="9"/>
      <c r="H1966" s="9"/>
      <c r="I1966" s="9"/>
      <c r="J1966" s="9"/>
      <c r="K1966" s="9"/>
      <c r="L1966" s="9"/>
      <c r="M1966" s="10"/>
      <c r="N1966" s="10"/>
      <c r="O1966" s="10"/>
      <c r="P1966" s="10"/>
      <c r="Q1966" s="10"/>
      <c r="R1966" s="9"/>
      <c r="S1966" s="9"/>
      <c r="T1966" s="12"/>
      <c r="U1966" s="12"/>
      <c r="V1966" s="12"/>
      <c r="W1966" s="10"/>
      <c r="X1966" s="10"/>
      <c r="Y1966" s="9"/>
      <c r="Z1966" s="9"/>
      <c r="AA1966" s="9"/>
      <c r="AB1966" s="9"/>
    </row>
    <row r="1967" ht="30.0" customHeight="1">
      <c r="A1967" s="17" t="s">
        <v>1</v>
      </c>
      <c r="B1967" s="8"/>
      <c r="C1967" s="9"/>
      <c r="D1967" s="9"/>
      <c r="E1967" s="9"/>
      <c r="F1967" s="9"/>
      <c r="G1967" s="9"/>
      <c r="H1967" s="9"/>
      <c r="I1967" s="9"/>
      <c r="J1967" s="9"/>
      <c r="K1967" s="9"/>
      <c r="L1967" s="9"/>
      <c r="M1967" s="10"/>
      <c r="N1967" s="10"/>
      <c r="O1967" s="10"/>
      <c r="P1967" s="10"/>
      <c r="Q1967" s="10"/>
      <c r="R1967" s="9"/>
      <c r="S1967" s="9"/>
      <c r="T1967" s="12"/>
      <c r="U1967" s="12"/>
      <c r="V1967" s="12"/>
      <c r="W1967" s="10"/>
      <c r="X1967" s="10"/>
      <c r="Y1967" s="9"/>
      <c r="Z1967" s="9"/>
      <c r="AA1967" s="9"/>
      <c r="AB1967" s="9"/>
    </row>
    <row r="1968" ht="30.0" customHeight="1">
      <c r="A1968" s="17" t="s">
        <v>1</v>
      </c>
      <c r="B1968" s="8"/>
      <c r="C1968" s="9"/>
      <c r="D1968" s="9"/>
      <c r="E1968" s="9"/>
      <c r="F1968" s="9"/>
      <c r="G1968" s="9"/>
      <c r="H1968" s="9"/>
      <c r="I1968" s="9"/>
      <c r="J1968" s="9"/>
      <c r="K1968" s="9"/>
      <c r="L1968" s="9"/>
      <c r="M1968" s="10"/>
      <c r="N1968" s="10"/>
      <c r="O1968" s="10"/>
      <c r="P1968" s="10"/>
      <c r="Q1968" s="10"/>
      <c r="R1968" s="9"/>
      <c r="S1968" s="9"/>
      <c r="T1968" s="12"/>
      <c r="U1968" s="12"/>
      <c r="V1968" s="12"/>
      <c r="W1968" s="10"/>
      <c r="X1968" s="10"/>
      <c r="Y1968" s="9"/>
      <c r="Z1968" s="9"/>
      <c r="AA1968" s="9"/>
      <c r="AB1968" s="9"/>
    </row>
    <row r="1969" ht="30.0" customHeight="1">
      <c r="A1969" s="17" t="s">
        <v>1</v>
      </c>
      <c r="B1969" s="8"/>
      <c r="C1969" s="9"/>
      <c r="D1969" s="9"/>
      <c r="E1969" s="9"/>
      <c r="F1969" s="9"/>
      <c r="G1969" s="9"/>
      <c r="H1969" s="9"/>
      <c r="I1969" s="9"/>
      <c r="J1969" s="9"/>
      <c r="K1969" s="9"/>
      <c r="L1969" s="9"/>
      <c r="M1969" s="10"/>
      <c r="N1969" s="10"/>
      <c r="O1969" s="10"/>
      <c r="P1969" s="10"/>
      <c r="Q1969" s="10"/>
      <c r="R1969" s="9"/>
      <c r="S1969" s="9"/>
      <c r="T1969" s="12"/>
      <c r="U1969" s="12"/>
      <c r="V1969" s="12"/>
      <c r="W1969" s="10"/>
      <c r="X1969" s="10"/>
      <c r="Y1969" s="9"/>
      <c r="Z1969" s="9"/>
      <c r="AA1969" s="9"/>
      <c r="AB1969" s="9"/>
    </row>
    <row r="1970" ht="30.0" customHeight="1">
      <c r="A1970" s="17" t="s">
        <v>1</v>
      </c>
      <c r="B1970" s="8"/>
      <c r="C1970" s="9"/>
      <c r="D1970" s="9"/>
      <c r="E1970" s="9"/>
      <c r="F1970" s="9"/>
      <c r="G1970" s="9"/>
      <c r="H1970" s="9"/>
      <c r="I1970" s="9"/>
      <c r="J1970" s="9"/>
      <c r="K1970" s="9"/>
      <c r="L1970" s="9"/>
      <c r="M1970" s="10"/>
      <c r="N1970" s="10"/>
      <c r="O1970" s="10"/>
      <c r="P1970" s="10"/>
      <c r="Q1970" s="10"/>
      <c r="R1970" s="9"/>
      <c r="S1970" s="9"/>
      <c r="T1970" s="12"/>
      <c r="U1970" s="12"/>
      <c r="V1970" s="12"/>
      <c r="W1970" s="10"/>
      <c r="X1970" s="10"/>
      <c r="Y1970" s="9"/>
      <c r="Z1970" s="9"/>
      <c r="AA1970" s="9"/>
      <c r="AB1970" s="9"/>
    </row>
    <row r="1971" ht="30.0" customHeight="1">
      <c r="A1971" s="17" t="s">
        <v>1</v>
      </c>
      <c r="B1971" s="8"/>
      <c r="C1971" s="9"/>
      <c r="D1971" s="9"/>
      <c r="E1971" s="9"/>
      <c r="F1971" s="9"/>
      <c r="G1971" s="9"/>
      <c r="H1971" s="9"/>
      <c r="I1971" s="9"/>
      <c r="J1971" s="9"/>
      <c r="K1971" s="9"/>
      <c r="L1971" s="9"/>
      <c r="M1971" s="10"/>
      <c r="N1971" s="10"/>
      <c r="O1971" s="10"/>
      <c r="P1971" s="10"/>
      <c r="Q1971" s="10"/>
      <c r="R1971" s="9"/>
      <c r="S1971" s="9"/>
      <c r="T1971" s="12"/>
      <c r="U1971" s="12"/>
      <c r="V1971" s="12"/>
      <c r="W1971" s="10"/>
      <c r="X1971" s="10"/>
      <c r="Y1971" s="9"/>
      <c r="Z1971" s="9"/>
      <c r="AA1971" s="9"/>
      <c r="AB1971" s="9"/>
    </row>
    <row r="1972" ht="30.0" customHeight="1">
      <c r="A1972" s="17" t="s">
        <v>1</v>
      </c>
      <c r="B1972" s="8"/>
      <c r="C1972" s="9"/>
      <c r="D1972" s="9"/>
      <c r="E1972" s="9"/>
      <c r="F1972" s="9"/>
      <c r="G1972" s="9"/>
      <c r="H1972" s="9"/>
      <c r="I1972" s="9"/>
      <c r="J1972" s="9"/>
      <c r="K1972" s="9"/>
      <c r="L1972" s="9"/>
      <c r="M1972" s="10"/>
      <c r="N1972" s="10"/>
      <c r="O1972" s="10"/>
      <c r="P1972" s="10"/>
      <c r="Q1972" s="10"/>
      <c r="R1972" s="9"/>
      <c r="S1972" s="9"/>
      <c r="T1972" s="12"/>
      <c r="U1972" s="12"/>
      <c r="V1972" s="12"/>
      <c r="W1972" s="10"/>
      <c r="X1972" s="10"/>
      <c r="Y1972" s="9"/>
      <c r="Z1972" s="9"/>
      <c r="AA1972" s="9"/>
      <c r="AB1972" s="9"/>
    </row>
    <row r="1973" ht="30.0" customHeight="1">
      <c r="A1973" s="17" t="s">
        <v>1</v>
      </c>
      <c r="B1973" s="8"/>
      <c r="C1973" s="9"/>
      <c r="D1973" s="9"/>
      <c r="E1973" s="9"/>
      <c r="F1973" s="9"/>
      <c r="G1973" s="9"/>
      <c r="H1973" s="9"/>
      <c r="I1973" s="9"/>
      <c r="J1973" s="9"/>
      <c r="K1973" s="9"/>
      <c r="L1973" s="9"/>
      <c r="M1973" s="10"/>
      <c r="N1973" s="10"/>
      <c r="O1973" s="10"/>
      <c r="P1973" s="10"/>
      <c r="Q1973" s="10"/>
      <c r="R1973" s="9"/>
      <c r="S1973" s="9"/>
      <c r="T1973" s="12"/>
      <c r="U1973" s="12"/>
      <c r="V1973" s="12"/>
      <c r="W1973" s="10"/>
      <c r="X1973" s="10"/>
      <c r="Y1973" s="9"/>
      <c r="Z1973" s="9"/>
      <c r="AA1973" s="9"/>
      <c r="AB1973" s="9"/>
    </row>
    <row r="1974" ht="30.0" customHeight="1">
      <c r="A1974" s="17" t="s">
        <v>1</v>
      </c>
      <c r="B1974" s="8"/>
      <c r="C1974" s="9"/>
      <c r="D1974" s="9"/>
      <c r="E1974" s="9"/>
      <c r="F1974" s="9"/>
      <c r="G1974" s="9"/>
      <c r="H1974" s="9"/>
      <c r="I1974" s="9"/>
      <c r="J1974" s="9"/>
      <c r="K1974" s="9"/>
      <c r="L1974" s="9"/>
      <c r="M1974" s="10"/>
      <c r="N1974" s="10"/>
      <c r="O1974" s="10"/>
      <c r="P1974" s="10"/>
      <c r="Q1974" s="10"/>
      <c r="R1974" s="9"/>
      <c r="S1974" s="9"/>
      <c r="T1974" s="12"/>
      <c r="U1974" s="12"/>
      <c r="V1974" s="12"/>
      <c r="W1974" s="10"/>
      <c r="X1974" s="10"/>
      <c r="Y1974" s="9"/>
      <c r="Z1974" s="9"/>
      <c r="AA1974" s="9"/>
      <c r="AB1974" s="9"/>
    </row>
    <row r="1975" ht="30.0" customHeight="1">
      <c r="A1975" s="17" t="s">
        <v>1</v>
      </c>
      <c r="B1975" s="8"/>
      <c r="C1975" s="9"/>
      <c r="D1975" s="9"/>
      <c r="E1975" s="9"/>
      <c r="F1975" s="9"/>
      <c r="G1975" s="9"/>
      <c r="H1975" s="9"/>
      <c r="I1975" s="9"/>
      <c r="J1975" s="9"/>
      <c r="K1975" s="9"/>
      <c r="L1975" s="9"/>
      <c r="M1975" s="10"/>
      <c r="N1975" s="10"/>
      <c r="O1975" s="10"/>
      <c r="P1975" s="10"/>
      <c r="Q1975" s="10"/>
      <c r="R1975" s="9"/>
      <c r="S1975" s="9"/>
      <c r="T1975" s="12"/>
      <c r="U1975" s="12"/>
      <c r="V1975" s="12"/>
      <c r="W1975" s="10"/>
      <c r="X1975" s="10"/>
      <c r="Y1975" s="9"/>
      <c r="Z1975" s="9"/>
      <c r="AA1975" s="9"/>
      <c r="AB1975" s="9"/>
    </row>
    <row r="1976" ht="30.0" customHeight="1">
      <c r="A1976" s="17" t="s">
        <v>1</v>
      </c>
      <c r="B1976" s="8"/>
      <c r="C1976" s="9"/>
      <c r="D1976" s="9"/>
      <c r="E1976" s="9"/>
      <c r="F1976" s="9"/>
      <c r="G1976" s="9"/>
      <c r="H1976" s="9"/>
      <c r="I1976" s="9"/>
      <c r="J1976" s="9"/>
      <c r="K1976" s="9"/>
      <c r="L1976" s="9"/>
      <c r="M1976" s="10"/>
      <c r="N1976" s="10"/>
      <c r="O1976" s="10"/>
      <c r="P1976" s="10"/>
      <c r="Q1976" s="10"/>
      <c r="R1976" s="9"/>
      <c r="S1976" s="9"/>
      <c r="T1976" s="12"/>
      <c r="U1976" s="12"/>
      <c r="V1976" s="12"/>
      <c r="W1976" s="10"/>
      <c r="X1976" s="10"/>
      <c r="Y1976" s="9"/>
      <c r="Z1976" s="9"/>
      <c r="AA1976" s="9"/>
      <c r="AB1976" s="9"/>
    </row>
    <row r="1977" ht="30.0" customHeight="1">
      <c r="A1977" s="17" t="s">
        <v>1</v>
      </c>
      <c r="B1977" s="8"/>
      <c r="C1977" s="9"/>
      <c r="D1977" s="9"/>
      <c r="E1977" s="9"/>
      <c r="F1977" s="9"/>
      <c r="G1977" s="9"/>
      <c r="H1977" s="9"/>
      <c r="I1977" s="9"/>
      <c r="J1977" s="9"/>
      <c r="K1977" s="9"/>
      <c r="L1977" s="9"/>
      <c r="M1977" s="10"/>
      <c r="N1977" s="10"/>
      <c r="O1977" s="10"/>
      <c r="P1977" s="10"/>
      <c r="Q1977" s="10"/>
      <c r="R1977" s="9"/>
      <c r="S1977" s="9"/>
      <c r="T1977" s="12"/>
      <c r="U1977" s="12"/>
      <c r="V1977" s="12"/>
      <c r="W1977" s="10"/>
      <c r="X1977" s="10"/>
      <c r="Y1977" s="9"/>
      <c r="Z1977" s="9"/>
      <c r="AA1977" s="9"/>
      <c r="AB1977" s="9"/>
    </row>
    <row r="1978" ht="30.0" customHeight="1">
      <c r="A1978" s="17" t="s">
        <v>1</v>
      </c>
      <c r="B1978" s="8"/>
      <c r="C1978" s="9"/>
      <c r="D1978" s="9"/>
      <c r="E1978" s="9"/>
      <c r="F1978" s="9"/>
      <c r="G1978" s="9"/>
      <c r="H1978" s="9"/>
      <c r="I1978" s="9"/>
      <c r="J1978" s="9"/>
      <c r="K1978" s="9"/>
      <c r="L1978" s="9"/>
      <c r="M1978" s="10"/>
      <c r="N1978" s="10"/>
      <c r="O1978" s="10"/>
      <c r="P1978" s="10"/>
      <c r="Q1978" s="10"/>
      <c r="R1978" s="9"/>
      <c r="S1978" s="9"/>
      <c r="T1978" s="12"/>
      <c r="U1978" s="12"/>
      <c r="V1978" s="12"/>
      <c r="W1978" s="10"/>
      <c r="X1978" s="10"/>
      <c r="Y1978" s="9"/>
      <c r="Z1978" s="9"/>
      <c r="AA1978" s="9"/>
      <c r="AB1978" s="9"/>
    </row>
    <row r="1979" ht="30.0" customHeight="1">
      <c r="A1979" s="17" t="s">
        <v>1</v>
      </c>
      <c r="B1979" s="8"/>
      <c r="C1979" s="9"/>
      <c r="D1979" s="9"/>
      <c r="E1979" s="9"/>
      <c r="F1979" s="9"/>
      <c r="G1979" s="9"/>
      <c r="H1979" s="9"/>
      <c r="I1979" s="9"/>
      <c r="J1979" s="9"/>
      <c r="K1979" s="9"/>
      <c r="L1979" s="9"/>
      <c r="M1979" s="10"/>
      <c r="N1979" s="10"/>
      <c r="O1979" s="10"/>
      <c r="P1979" s="10"/>
      <c r="Q1979" s="10"/>
      <c r="R1979" s="9"/>
      <c r="S1979" s="9"/>
      <c r="T1979" s="12"/>
      <c r="U1979" s="12"/>
      <c r="V1979" s="12"/>
      <c r="W1979" s="10"/>
      <c r="X1979" s="10"/>
      <c r="Y1979" s="9"/>
      <c r="Z1979" s="9"/>
      <c r="AA1979" s="9"/>
      <c r="AB1979" s="9"/>
    </row>
    <row r="1980" ht="30.0" customHeight="1">
      <c r="A1980" s="17" t="s">
        <v>1</v>
      </c>
      <c r="B1980" s="8"/>
      <c r="C1980" s="9"/>
      <c r="D1980" s="9"/>
      <c r="E1980" s="9"/>
      <c r="F1980" s="9"/>
      <c r="G1980" s="9"/>
      <c r="H1980" s="9"/>
      <c r="I1980" s="9"/>
      <c r="J1980" s="9"/>
      <c r="K1980" s="9"/>
      <c r="L1980" s="9"/>
      <c r="M1980" s="10"/>
      <c r="N1980" s="10"/>
      <c r="O1980" s="10"/>
      <c r="P1980" s="10"/>
      <c r="Q1980" s="10"/>
      <c r="R1980" s="9"/>
      <c r="S1980" s="9"/>
      <c r="T1980" s="12"/>
      <c r="U1980" s="12"/>
      <c r="V1980" s="12"/>
      <c r="W1980" s="10"/>
      <c r="X1980" s="10"/>
      <c r="Y1980" s="9"/>
      <c r="Z1980" s="9"/>
      <c r="AA1980" s="9"/>
      <c r="AB1980" s="9"/>
    </row>
    <row r="1981" ht="30.0" customHeight="1">
      <c r="A1981" s="17" t="s">
        <v>1</v>
      </c>
      <c r="B1981" s="8"/>
      <c r="C1981" s="9"/>
      <c r="D1981" s="9"/>
      <c r="E1981" s="9"/>
      <c r="F1981" s="9"/>
      <c r="G1981" s="9"/>
      <c r="H1981" s="9"/>
      <c r="I1981" s="9"/>
      <c r="J1981" s="9"/>
      <c r="K1981" s="9"/>
      <c r="L1981" s="9"/>
      <c r="M1981" s="10"/>
      <c r="N1981" s="10"/>
      <c r="O1981" s="10"/>
      <c r="P1981" s="10"/>
      <c r="Q1981" s="10"/>
      <c r="R1981" s="9"/>
      <c r="S1981" s="9"/>
      <c r="T1981" s="12"/>
      <c r="U1981" s="12"/>
      <c r="V1981" s="12"/>
      <c r="W1981" s="10"/>
      <c r="X1981" s="10"/>
      <c r="Y1981" s="9"/>
      <c r="Z1981" s="9"/>
      <c r="AA1981" s="9"/>
      <c r="AB1981" s="9"/>
    </row>
    <row r="1982" ht="30.0" customHeight="1">
      <c r="A1982" s="17" t="s">
        <v>1</v>
      </c>
      <c r="B1982" s="8"/>
      <c r="C1982" s="9"/>
      <c r="D1982" s="9"/>
      <c r="E1982" s="9"/>
      <c r="F1982" s="9"/>
      <c r="G1982" s="9"/>
      <c r="H1982" s="9"/>
      <c r="I1982" s="9"/>
      <c r="J1982" s="9"/>
      <c r="K1982" s="9"/>
      <c r="L1982" s="9"/>
      <c r="M1982" s="10"/>
      <c r="N1982" s="10"/>
      <c r="O1982" s="10"/>
      <c r="P1982" s="10"/>
      <c r="Q1982" s="10"/>
      <c r="R1982" s="9"/>
      <c r="S1982" s="9"/>
      <c r="T1982" s="12"/>
      <c r="U1982" s="12"/>
      <c r="V1982" s="12"/>
      <c r="W1982" s="10"/>
      <c r="X1982" s="10"/>
      <c r="Y1982" s="9"/>
      <c r="Z1982" s="9"/>
      <c r="AA1982" s="9"/>
      <c r="AB1982" s="9"/>
    </row>
    <row r="1983" ht="30.0" customHeight="1">
      <c r="A1983" s="17" t="s">
        <v>1</v>
      </c>
      <c r="B1983" s="8"/>
      <c r="C1983" s="9"/>
      <c r="D1983" s="9"/>
      <c r="E1983" s="9"/>
      <c r="F1983" s="9"/>
      <c r="G1983" s="9"/>
      <c r="H1983" s="9"/>
      <c r="I1983" s="9"/>
      <c r="J1983" s="9"/>
      <c r="K1983" s="9"/>
      <c r="L1983" s="9"/>
      <c r="M1983" s="10"/>
      <c r="N1983" s="10"/>
      <c r="O1983" s="10"/>
      <c r="P1983" s="10"/>
      <c r="Q1983" s="10"/>
      <c r="R1983" s="9"/>
      <c r="S1983" s="9"/>
      <c r="T1983" s="12"/>
      <c r="U1983" s="12"/>
      <c r="V1983" s="12"/>
      <c r="W1983" s="10"/>
      <c r="X1983" s="10"/>
      <c r="Y1983" s="9"/>
      <c r="Z1983" s="9"/>
      <c r="AA1983" s="9"/>
      <c r="AB1983" s="9"/>
    </row>
    <row r="1984" ht="30.0" customHeight="1">
      <c r="A1984" s="17" t="s">
        <v>1</v>
      </c>
      <c r="B1984" s="8"/>
      <c r="C1984" s="9"/>
      <c r="D1984" s="9"/>
      <c r="E1984" s="9"/>
      <c r="F1984" s="9"/>
      <c r="G1984" s="9"/>
      <c r="H1984" s="9"/>
      <c r="I1984" s="9"/>
      <c r="J1984" s="9"/>
      <c r="K1984" s="9"/>
      <c r="L1984" s="9"/>
      <c r="M1984" s="10"/>
      <c r="N1984" s="10"/>
      <c r="O1984" s="10"/>
      <c r="P1984" s="10"/>
      <c r="Q1984" s="10"/>
      <c r="R1984" s="9"/>
      <c r="S1984" s="9"/>
      <c r="T1984" s="12"/>
      <c r="U1984" s="12"/>
      <c r="V1984" s="12"/>
      <c r="W1984" s="10"/>
      <c r="X1984" s="10"/>
      <c r="Y1984" s="9"/>
      <c r="Z1984" s="9"/>
      <c r="AA1984" s="9"/>
      <c r="AB1984" s="9"/>
    </row>
    <row r="1985" ht="30.0" customHeight="1">
      <c r="A1985" s="17" t="s">
        <v>1</v>
      </c>
      <c r="B1985" s="8"/>
      <c r="C1985" s="9"/>
      <c r="D1985" s="9"/>
      <c r="E1985" s="9"/>
      <c r="F1985" s="9"/>
      <c r="G1985" s="9"/>
      <c r="H1985" s="9"/>
      <c r="I1985" s="9"/>
      <c r="J1985" s="9"/>
      <c r="K1985" s="9"/>
      <c r="L1985" s="9"/>
      <c r="M1985" s="10"/>
      <c r="N1985" s="10"/>
      <c r="O1985" s="10"/>
      <c r="P1985" s="10"/>
      <c r="Q1985" s="10"/>
      <c r="R1985" s="9"/>
      <c r="S1985" s="9"/>
      <c r="T1985" s="12"/>
      <c r="U1985" s="12"/>
      <c r="V1985" s="12"/>
      <c r="W1985" s="10"/>
      <c r="X1985" s="10"/>
      <c r="Y1985" s="9"/>
      <c r="Z1985" s="9"/>
      <c r="AA1985" s="9"/>
      <c r="AB1985" s="9"/>
    </row>
    <row r="1986" ht="30.0" customHeight="1">
      <c r="A1986" s="17" t="s">
        <v>1</v>
      </c>
      <c r="B1986" s="8"/>
      <c r="C1986" s="9"/>
      <c r="D1986" s="9"/>
      <c r="E1986" s="9"/>
      <c r="F1986" s="9"/>
      <c r="G1986" s="9"/>
      <c r="H1986" s="9"/>
      <c r="I1986" s="9"/>
      <c r="J1986" s="9"/>
      <c r="K1986" s="9"/>
      <c r="L1986" s="9"/>
      <c r="M1986" s="10"/>
      <c r="N1986" s="10"/>
      <c r="O1986" s="10"/>
      <c r="P1986" s="10"/>
      <c r="Q1986" s="10"/>
      <c r="R1986" s="9"/>
      <c r="S1986" s="9"/>
      <c r="T1986" s="12"/>
      <c r="U1986" s="12"/>
      <c r="V1986" s="12"/>
      <c r="W1986" s="10"/>
      <c r="X1986" s="10"/>
      <c r="Y1986" s="9"/>
      <c r="Z1986" s="9"/>
      <c r="AA1986" s="9"/>
      <c r="AB1986" s="9"/>
    </row>
    <row r="1987" ht="30.0" customHeight="1">
      <c r="A1987" s="17" t="s">
        <v>1</v>
      </c>
      <c r="B1987" s="8"/>
      <c r="C1987" s="9"/>
      <c r="D1987" s="9"/>
      <c r="E1987" s="9"/>
      <c r="F1987" s="9"/>
      <c r="G1987" s="9"/>
      <c r="H1987" s="9"/>
      <c r="I1987" s="9"/>
      <c r="J1987" s="9"/>
      <c r="K1987" s="9"/>
      <c r="L1987" s="9"/>
      <c r="M1987" s="10"/>
      <c r="N1987" s="10"/>
      <c r="O1987" s="10"/>
      <c r="P1987" s="10"/>
      <c r="Q1987" s="10"/>
      <c r="R1987" s="9"/>
      <c r="S1987" s="9"/>
      <c r="T1987" s="12"/>
      <c r="U1987" s="12"/>
      <c r="V1987" s="12"/>
      <c r="W1987" s="10"/>
      <c r="X1987" s="10"/>
      <c r="Y1987" s="9"/>
      <c r="Z1987" s="9"/>
      <c r="AA1987" s="9"/>
      <c r="AB1987" s="9"/>
    </row>
    <row r="1988" ht="30.0" customHeight="1">
      <c r="A1988" s="17" t="s">
        <v>1</v>
      </c>
      <c r="B1988" s="8"/>
      <c r="C1988" s="9"/>
      <c r="D1988" s="9"/>
      <c r="E1988" s="9"/>
      <c r="F1988" s="9"/>
      <c r="G1988" s="9"/>
      <c r="H1988" s="9"/>
      <c r="I1988" s="9"/>
      <c r="J1988" s="9"/>
      <c r="K1988" s="9"/>
      <c r="L1988" s="9"/>
      <c r="M1988" s="10"/>
      <c r="N1988" s="10"/>
      <c r="O1988" s="10"/>
      <c r="P1988" s="10"/>
      <c r="Q1988" s="10"/>
      <c r="R1988" s="9"/>
      <c r="S1988" s="9"/>
      <c r="T1988" s="12"/>
      <c r="U1988" s="12"/>
      <c r="V1988" s="12"/>
      <c r="W1988" s="10"/>
      <c r="X1988" s="10"/>
      <c r="Y1988" s="9"/>
      <c r="Z1988" s="9"/>
      <c r="AA1988" s="9"/>
      <c r="AB1988" s="9"/>
    </row>
    <row r="1989" ht="30.0" customHeight="1">
      <c r="A1989" s="17" t="s">
        <v>1</v>
      </c>
      <c r="B1989" s="8"/>
      <c r="C1989" s="9"/>
      <c r="D1989" s="9"/>
      <c r="E1989" s="9"/>
      <c r="F1989" s="9"/>
      <c r="G1989" s="9"/>
      <c r="H1989" s="9"/>
      <c r="I1989" s="9"/>
      <c r="J1989" s="9"/>
      <c r="K1989" s="9"/>
      <c r="L1989" s="9"/>
      <c r="M1989" s="10"/>
      <c r="N1989" s="10"/>
      <c r="O1989" s="10"/>
      <c r="P1989" s="10"/>
      <c r="Q1989" s="10"/>
      <c r="R1989" s="9"/>
      <c r="S1989" s="9"/>
      <c r="T1989" s="12"/>
      <c r="U1989" s="12"/>
      <c r="V1989" s="12"/>
      <c r="W1989" s="10"/>
      <c r="X1989" s="10"/>
      <c r="Y1989" s="9"/>
      <c r="Z1989" s="9"/>
      <c r="AA1989" s="9"/>
      <c r="AB1989" s="9"/>
    </row>
    <row r="1990" ht="30.0" customHeight="1">
      <c r="A1990" s="17" t="s">
        <v>1</v>
      </c>
      <c r="B1990" s="8"/>
      <c r="C1990" s="9"/>
      <c r="D1990" s="9"/>
      <c r="E1990" s="9"/>
      <c r="F1990" s="9"/>
      <c r="G1990" s="9"/>
      <c r="H1990" s="9"/>
      <c r="I1990" s="9"/>
      <c r="J1990" s="9"/>
      <c r="K1990" s="9"/>
      <c r="L1990" s="9"/>
      <c r="M1990" s="10"/>
      <c r="N1990" s="10"/>
      <c r="O1990" s="10"/>
      <c r="P1990" s="10"/>
      <c r="Q1990" s="10"/>
      <c r="R1990" s="9"/>
      <c r="S1990" s="9"/>
      <c r="T1990" s="12"/>
      <c r="U1990" s="12"/>
      <c r="V1990" s="12"/>
      <c r="W1990" s="10"/>
      <c r="X1990" s="10"/>
      <c r="Y1990" s="9"/>
      <c r="Z1990" s="9"/>
      <c r="AA1990" s="9"/>
      <c r="AB1990" s="9"/>
    </row>
    <row r="1991" ht="30.0" customHeight="1">
      <c r="A1991" s="17" t="s">
        <v>1</v>
      </c>
      <c r="B1991" s="8"/>
      <c r="C1991" s="9"/>
      <c r="D1991" s="9"/>
      <c r="E1991" s="9"/>
      <c r="F1991" s="9"/>
      <c r="G1991" s="9"/>
      <c r="H1991" s="9"/>
      <c r="I1991" s="9"/>
      <c r="J1991" s="9"/>
      <c r="K1991" s="9"/>
      <c r="L1991" s="9"/>
      <c r="M1991" s="10"/>
      <c r="N1991" s="10"/>
      <c r="O1991" s="10"/>
      <c r="P1991" s="10"/>
      <c r="Q1991" s="10"/>
      <c r="R1991" s="9"/>
      <c r="S1991" s="9"/>
      <c r="T1991" s="12"/>
      <c r="U1991" s="12"/>
      <c r="V1991" s="12"/>
      <c r="W1991" s="10"/>
      <c r="X1991" s="10"/>
      <c r="Y1991" s="9"/>
      <c r="Z1991" s="9"/>
      <c r="AA1991" s="9"/>
      <c r="AB1991" s="9"/>
    </row>
    <row r="1992" ht="30.0" customHeight="1">
      <c r="A1992" s="17" t="s">
        <v>1</v>
      </c>
      <c r="B1992" s="8"/>
      <c r="C1992" s="9"/>
      <c r="D1992" s="9"/>
      <c r="E1992" s="9"/>
      <c r="F1992" s="9"/>
      <c r="G1992" s="9"/>
      <c r="H1992" s="9"/>
      <c r="I1992" s="9"/>
      <c r="J1992" s="9"/>
      <c r="K1992" s="9"/>
      <c r="L1992" s="9"/>
      <c r="M1992" s="10"/>
      <c r="N1992" s="10"/>
      <c r="O1992" s="10"/>
      <c r="P1992" s="10"/>
      <c r="Q1992" s="10"/>
      <c r="R1992" s="9"/>
      <c r="S1992" s="9"/>
      <c r="T1992" s="12"/>
      <c r="U1992" s="12"/>
      <c r="V1992" s="12"/>
      <c r="W1992" s="10"/>
      <c r="X1992" s="10"/>
      <c r="Y1992" s="9"/>
      <c r="Z1992" s="9"/>
      <c r="AA1992" s="9"/>
      <c r="AB1992" s="9"/>
    </row>
    <row r="1993" ht="30.0" customHeight="1">
      <c r="A1993" s="17" t="s">
        <v>1</v>
      </c>
      <c r="B1993" s="8"/>
      <c r="C1993" s="9"/>
      <c r="D1993" s="9"/>
      <c r="E1993" s="9"/>
      <c r="F1993" s="9"/>
      <c r="G1993" s="9"/>
      <c r="H1993" s="9"/>
      <c r="I1993" s="9"/>
      <c r="J1993" s="9"/>
      <c r="K1993" s="9"/>
      <c r="L1993" s="9"/>
      <c r="M1993" s="10"/>
      <c r="N1993" s="10"/>
      <c r="O1993" s="10"/>
      <c r="P1993" s="10"/>
      <c r="Q1993" s="10"/>
      <c r="R1993" s="9"/>
      <c r="S1993" s="9"/>
      <c r="T1993" s="12"/>
      <c r="U1993" s="12"/>
      <c r="V1993" s="12"/>
      <c r="W1993" s="10"/>
      <c r="X1993" s="10"/>
      <c r="Y1993" s="9"/>
      <c r="Z1993" s="9"/>
      <c r="AA1993" s="9"/>
      <c r="AB1993" s="9"/>
    </row>
    <row r="1994" ht="30.0" customHeight="1">
      <c r="A1994" s="17" t="s">
        <v>1</v>
      </c>
      <c r="B1994" s="8"/>
      <c r="C1994" s="9"/>
      <c r="D1994" s="9"/>
      <c r="E1994" s="9"/>
      <c r="F1994" s="9"/>
      <c r="G1994" s="9"/>
      <c r="H1994" s="9"/>
      <c r="I1994" s="9"/>
      <c r="J1994" s="9"/>
      <c r="K1994" s="9"/>
      <c r="L1994" s="9"/>
      <c r="M1994" s="10"/>
      <c r="N1994" s="10"/>
      <c r="O1994" s="10"/>
      <c r="P1994" s="10"/>
      <c r="Q1994" s="10"/>
      <c r="R1994" s="9"/>
      <c r="S1994" s="9"/>
      <c r="T1994" s="12"/>
      <c r="U1994" s="12"/>
      <c r="V1994" s="12"/>
      <c r="W1994" s="10"/>
      <c r="X1994" s="10"/>
      <c r="Y1994" s="9"/>
      <c r="Z1994" s="9"/>
      <c r="AA1994" s="9"/>
      <c r="AB1994" s="9"/>
    </row>
    <row r="1995" ht="30.0" customHeight="1">
      <c r="A1995" s="17" t="s">
        <v>1</v>
      </c>
      <c r="B1995" s="8"/>
      <c r="C1995" s="9"/>
      <c r="D1995" s="9"/>
      <c r="E1995" s="9"/>
      <c r="F1995" s="9"/>
      <c r="G1995" s="9"/>
      <c r="H1995" s="9"/>
      <c r="I1995" s="9"/>
      <c r="J1995" s="9"/>
      <c r="K1995" s="9"/>
      <c r="L1995" s="9"/>
      <c r="M1995" s="10"/>
      <c r="N1995" s="10"/>
      <c r="O1995" s="10"/>
      <c r="P1995" s="10"/>
      <c r="Q1995" s="10"/>
      <c r="R1995" s="9"/>
      <c r="S1995" s="9"/>
      <c r="T1995" s="12"/>
      <c r="U1995" s="12"/>
      <c r="V1995" s="12"/>
      <c r="W1995" s="10"/>
      <c r="X1995" s="10"/>
      <c r="Y1995" s="9"/>
      <c r="Z1995" s="9"/>
      <c r="AA1995" s="9"/>
      <c r="AB1995" s="9"/>
    </row>
    <row r="1996" ht="30.0" customHeight="1">
      <c r="A1996" s="17" t="s">
        <v>1</v>
      </c>
      <c r="B1996" s="8"/>
      <c r="C1996" s="9"/>
      <c r="D1996" s="9"/>
      <c r="E1996" s="9"/>
      <c r="F1996" s="9"/>
      <c r="G1996" s="9"/>
      <c r="H1996" s="9"/>
      <c r="I1996" s="9"/>
      <c r="J1996" s="9"/>
      <c r="K1996" s="9"/>
      <c r="L1996" s="9"/>
      <c r="M1996" s="10"/>
      <c r="N1996" s="10"/>
      <c r="O1996" s="10"/>
      <c r="P1996" s="10"/>
      <c r="Q1996" s="10"/>
      <c r="R1996" s="9"/>
      <c r="S1996" s="9"/>
      <c r="T1996" s="12"/>
      <c r="U1996" s="12"/>
      <c r="V1996" s="12"/>
      <c r="W1996" s="10"/>
      <c r="X1996" s="10"/>
      <c r="Y1996" s="9"/>
      <c r="Z1996" s="9"/>
      <c r="AA1996" s="9"/>
      <c r="AB1996" s="9"/>
    </row>
    <row r="1997" ht="30.0" customHeight="1">
      <c r="A1997" s="17" t="s">
        <v>1</v>
      </c>
      <c r="B1997" s="8"/>
      <c r="C1997" s="9"/>
      <c r="D1997" s="9"/>
      <c r="E1997" s="9"/>
      <c r="F1997" s="9"/>
      <c r="G1997" s="9"/>
      <c r="H1997" s="9"/>
      <c r="I1997" s="9"/>
      <c r="J1997" s="9"/>
      <c r="K1997" s="9"/>
      <c r="L1997" s="9"/>
      <c r="M1997" s="10"/>
      <c r="N1997" s="10"/>
      <c r="O1997" s="10"/>
      <c r="P1997" s="10"/>
      <c r="Q1997" s="10"/>
      <c r="R1997" s="9"/>
      <c r="S1997" s="9"/>
      <c r="T1997" s="12"/>
      <c r="U1997" s="12"/>
      <c r="V1997" s="12"/>
      <c r="W1997" s="10"/>
      <c r="X1997" s="10"/>
      <c r="Y1997" s="9"/>
      <c r="Z1997" s="9"/>
      <c r="AA1997" s="9"/>
      <c r="AB1997" s="9"/>
    </row>
    <row r="1998" ht="30.0" customHeight="1">
      <c r="A1998" s="17" t="s">
        <v>1</v>
      </c>
      <c r="B1998" s="8"/>
      <c r="C1998" s="9"/>
      <c r="D1998" s="9"/>
      <c r="E1998" s="9"/>
      <c r="F1998" s="9"/>
      <c r="G1998" s="9"/>
      <c r="H1998" s="9"/>
      <c r="I1998" s="9"/>
      <c r="J1998" s="9"/>
      <c r="K1998" s="9"/>
      <c r="L1998" s="9"/>
      <c r="M1998" s="10"/>
      <c r="N1998" s="10"/>
      <c r="O1998" s="10"/>
      <c r="P1998" s="10"/>
      <c r="Q1998" s="10"/>
      <c r="R1998" s="9"/>
      <c r="S1998" s="9"/>
      <c r="T1998" s="12"/>
      <c r="U1998" s="12"/>
      <c r="V1998" s="12"/>
      <c r="W1998" s="10"/>
      <c r="X1998" s="10"/>
      <c r="Y1998" s="9"/>
      <c r="Z1998" s="9"/>
      <c r="AA1998" s="9"/>
      <c r="AB1998" s="9"/>
    </row>
    <row r="1999" ht="30.0" customHeight="1">
      <c r="A1999" s="17" t="s">
        <v>1</v>
      </c>
      <c r="B1999" s="8"/>
      <c r="C1999" s="9"/>
      <c r="D1999" s="9"/>
      <c r="E1999" s="9"/>
      <c r="F1999" s="9"/>
      <c r="G1999" s="9"/>
      <c r="H1999" s="9"/>
      <c r="I1999" s="9"/>
      <c r="J1999" s="9"/>
      <c r="K1999" s="9"/>
      <c r="L1999" s="9"/>
      <c r="M1999" s="10"/>
      <c r="N1999" s="10"/>
      <c r="O1999" s="10"/>
      <c r="P1999" s="10"/>
      <c r="Q1999" s="10"/>
      <c r="R1999" s="9"/>
      <c r="S1999" s="9"/>
      <c r="T1999" s="12"/>
      <c r="U1999" s="12"/>
      <c r="V1999" s="12"/>
      <c r="W1999" s="10"/>
      <c r="X1999" s="10"/>
      <c r="Y1999" s="9"/>
      <c r="Z1999" s="9"/>
      <c r="AA1999" s="9"/>
      <c r="AB1999" s="9"/>
    </row>
  </sheetData>
  <autoFilter ref="$A$1:$AB$988"/>
  <hyperlinks>
    <hyperlink r:id="rId1" ref="V2"/>
    <hyperlink r:id="rId2" ref="W2"/>
    <hyperlink r:id="rId3" ref="W3"/>
    <hyperlink r:id="rId4" ref="V4"/>
    <hyperlink r:id="rId5" ref="W4"/>
    <hyperlink r:id="rId6" ref="V5"/>
    <hyperlink r:id="rId7" ref="W5"/>
    <hyperlink r:id="rId8" ref="V6"/>
    <hyperlink r:id="rId9" ref="W6"/>
    <hyperlink r:id="rId10" ref="V7"/>
    <hyperlink r:id="rId11" ref="W7"/>
    <hyperlink r:id="rId12" ref="V8"/>
    <hyperlink r:id="rId13" ref="W8"/>
    <hyperlink r:id="rId14" ref="V9"/>
    <hyperlink r:id="rId15" ref="W9"/>
    <hyperlink r:id="rId16" ref="V10"/>
    <hyperlink r:id="rId17" ref="W10"/>
    <hyperlink r:id="rId18" ref="V11"/>
    <hyperlink r:id="rId19" ref="W11"/>
    <hyperlink r:id="rId20" ref="V12"/>
    <hyperlink r:id="rId21" ref="W12"/>
    <hyperlink r:id="rId22" ref="V13"/>
    <hyperlink r:id="rId23" ref="W13"/>
    <hyperlink r:id="rId24" ref="V14"/>
    <hyperlink r:id="rId25" ref="W14"/>
    <hyperlink r:id="rId26" ref="V15"/>
    <hyperlink r:id="rId27" ref="W15"/>
    <hyperlink r:id="rId28" ref="V16"/>
    <hyperlink r:id="rId29" ref="W16"/>
    <hyperlink r:id="rId30" ref="V17"/>
    <hyperlink r:id="rId31" ref="W17"/>
    <hyperlink r:id="rId32" ref="V18"/>
    <hyperlink r:id="rId33" ref="W18"/>
    <hyperlink r:id="rId34" ref="V19"/>
    <hyperlink r:id="rId35" ref="W19"/>
    <hyperlink r:id="rId36" ref="V20"/>
    <hyperlink r:id="rId37" ref="W20"/>
    <hyperlink r:id="rId38" ref="V21"/>
    <hyperlink r:id="rId39" ref="W21"/>
    <hyperlink r:id="rId40" ref="V22"/>
    <hyperlink r:id="rId41" ref="W22"/>
    <hyperlink r:id="rId42" ref="V23"/>
    <hyperlink r:id="rId43" ref="W23"/>
    <hyperlink r:id="rId44" ref="V24"/>
    <hyperlink r:id="rId45" ref="W24"/>
    <hyperlink r:id="rId46" ref="V25"/>
    <hyperlink r:id="rId47" ref="W25"/>
    <hyperlink r:id="rId48" ref="V26"/>
    <hyperlink r:id="rId49" ref="W26"/>
    <hyperlink r:id="rId50" ref="V27"/>
    <hyperlink r:id="rId51" ref="W27"/>
    <hyperlink r:id="rId52" ref="V28"/>
    <hyperlink r:id="rId53" ref="W28"/>
    <hyperlink r:id="rId54" ref="V29"/>
    <hyperlink r:id="rId55" ref="W29"/>
    <hyperlink r:id="rId56" ref="V30"/>
    <hyperlink r:id="rId57" ref="W30"/>
    <hyperlink r:id="rId58" ref="V31"/>
    <hyperlink r:id="rId59" ref="W31"/>
    <hyperlink r:id="rId60" ref="V32"/>
    <hyperlink r:id="rId61" ref="W32"/>
    <hyperlink r:id="rId62" ref="V33"/>
    <hyperlink r:id="rId63" ref="W33"/>
    <hyperlink r:id="rId64" ref="V34"/>
    <hyperlink r:id="rId65" ref="W34"/>
    <hyperlink r:id="rId66" ref="V35"/>
    <hyperlink r:id="rId67" ref="W35"/>
    <hyperlink r:id="rId68" ref="V36"/>
    <hyperlink r:id="rId69" ref="W36"/>
    <hyperlink r:id="rId70" ref="V37"/>
    <hyperlink r:id="rId71" ref="W37"/>
    <hyperlink r:id="rId72" ref="V38"/>
    <hyperlink r:id="rId73" ref="W38"/>
    <hyperlink r:id="rId74" ref="V39"/>
    <hyperlink r:id="rId75" ref="W39"/>
    <hyperlink r:id="rId76" ref="V40"/>
    <hyperlink r:id="rId77" ref="W40"/>
    <hyperlink r:id="rId78" ref="V41"/>
    <hyperlink r:id="rId79" ref="W41"/>
    <hyperlink r:id="rId80" ref="V42"/>
    <hyperlink r:id="rId81" ref="W42"/>
    <hyperlink r:id="rId82" ref="V43"/>
    <hyperlink r:id="rId83" ref="V44"/>
    <hyperlink r:id="rId84" ref="W44"/>
    <hyperlink r:id="rId85" ref="V45"/>
    <hyperlink r:id="rId86" ref="W45"/>
    <hyperlink r:id="rId87" ref="V46"/>
    <hyperlink r:id="rId88" ref="W46"/>
    <hyperlink r:id="rId89" ref="V47"/>
    <hyperlink r:id="rId90" ref="W47"/>
    <hyperlink r:id="rId91" ref="V48"/>
    <hyperlink r:id="rId92" ref="W48"/>
    <hyperlink r:id="rId93" ref="V49"/>
    <hyperlink r:id="rId94" ref="W49"/>
    <hyperlink r:id="rId95" ref="V50"/>
    <hyperlink r:id="rId96" ref="W50"/>
    <hyperlink r:id="rId97" ref="V51"/>
    <hyperlink r:id="rId98" ref="W51"/>
    <hyperlink r:id="rId99" ref="V52"/>
    <hyperlink r:id="rId100" ref="W52"/>
    <hyperlink r:id="rId101" ref="V53"/>
    <hyperlink r:id="rId102" ref="W53"/>
    <hyperlink r:id="rId103" ref="V54"/>
    <hyperlink r:id="rId104" ref="W54"/>
    <hyperlink r:id="rId105" ref="V55"/>
    <hyperlink r:id="rId106" ref="V56"/>
    <hyperlink r:id="rId107" ref="W56"/>
    <hyperlink r:id="rId108" ref="V57"/>
    <hyperlink r:id="rId109" ref="W57"/>
    <hyperlink r:id="rId110" ref="V58"/>
    <hyperlink r:id="rId111" ref="W58"/>
    <hyperlink r:id="rId112" ref="V59"/>
    <hyperlink r:id="rId113" ref="W59"/>
    <hyperlink r:id="rId114" ref="V60"/>
    <hyperlink r:id="rId115" ref="W60"/>
    <hyperlink r:id="rId116" ref="V61"/>
    <hyperlink r:id="rId117" ref="W61"/>
    <hyperlink r:id="rId118" ref="V62"/>
    <hyperlink r:id="rId119" ref="W62"/>
    <hyperlink r:id="rId120" ref="V63"/>
    <hyperlink r:id="rId121" ref="W63"/>
    <hyperlink r:id="rId122" ref="V64"/>
    <hyperlink r:id="rId123" ref="W64"/>
    <hyperlink r:id="rId124" ref="V65"/>
    <hyperlink r:id="rId125" ref="W65"/>
    <hyperlink r:id="rId126" ref="V66"/>
    <hyperlink r:id="rId127" ref="W66"/>
    <hyperlink r:id="rId128" ref="V67"/>
    <hyperlink r:id="rId129" ref="W67"/>
    <hyperlink r:id="rId130" ref="V68"/>
    <hyperlink r:id="rId131" ref="W68"/>
    <hyperlink r:id="rId132" ref="V69"/>
    <hyperlink r:id="rId133" ref="W69"/>
    <hyperlink r:id="rId134" ref="V70"/>
    <hyperlink r:id="rId135" ref="W70"/>
    <hyperlink r:id="rId136" ref="V71"/>
    <hyperlink r:id="rId137" ref="W71"/>
    <hyperlink r:id="rId138" ref="V72"/>
    <hyperlink r:id="rId139" ref="W72"/>
    <hyperlink r:id="rId140" ref="V73"/>
    <hyperlink r:id="rId141" ref="W73"/>
    <hyperlink r:id="rId142" ref="V74"/>
    <hyperlink r:id="rId143" ref="W74"/>
    <hyperlink r:id="rId144" ref="V75"/>
    <hyperlink r:id="rId145" ref="W75"/>
    <hyperlink r:id="rId146" ref="V76"/>
    <hyperlink r:id="rId147" ref="W76"/>
    <hyperlink r:id="rId148" ref="V77"/>
    <hyperlink r:id="rId149" ref="W77"/>
    <hyperlink r:id="rId150" location="location-contact" ref="V78"/>
    <hyperlink r:id="rId151" ref="W78"/>
    <hyperlink r:id="rId152" ref="V79"/>
    <hyperlink r:id="rId153" ref="W79"/>
    <hyperlink r:id="rId154" location="location-contact" ref="V80"/>
    <hyperlink r:id="rId155" ref="W80"/>
    <hyperlink r:id="rId156" ref="V81"/>
    <hyperlink r:id="rId157" ref="W81"/>
    <hyperlink r:id="rId158" ref="V82"/>
    <hyperlink r:id="rId159" ref="W82"/>
    <hyperlink r:id="rId160" ref="V83"/>
    <hyperlink r:id="rId161" ref="W83"/>
    <hyperlink r:id="rId162" ref="V84"/>
    <hyperlink r:id="rId163" ref="W84"/>
    <hyperlink r:id="rId164" ref="V85"/>
    <hyperlink r:id="rId165" ref="W85"/>
    <hyperlink r:id="rId166" ref="V86"/>
    <hyperlink r:id="rId167" ref="W86"/>
    <hyperlink r:id="rId168" ref="V87"/>
    <hyperlink r:id="rId169" ref="W87"/>
    <hyperlink r:id="rId170" ref="V88"/>
    <hyperlink r:id="rId171" ref="W88"/>
    <hyperlink r:id="rId172" ref="V89"/>
    <hyperlink r:id="rId173" ref="W89"/>
    <hyperlink r:id="rId174" ref="V90"/>
    <hyperlink r:id="rId175" ref="W90"/>
    <hyperlink r:id="rId176" ref="V91"/>
    <hyperlink r:id="rId177" ref="W91"/>
    <hyperlink r:id="rId178" ref="V92"/>
    <hyperlink r:id="rId179" ref="W92"/>
    <hyperlink r:id="rId180" ref="V93"/>
    <hyperlink r:id="rId181" ref="W93"/>
    <hyperlink r:id="rId182" ref="V94"/>
    <hyperlink r:id="rId183" ref="W94"/>
    <hyperlink r:id="rId184" ref="V95"/>
    <hyperlink r:id="rId185" ref="W95"/>
    <hyperlink r:id="rId186" ref="V96"/>
    <hyperlink r:id="rId187" ref="W96"/>
    <hyperlink r:id="rId188" ref="V97"/>
    <hyperlink r:id="rId189" ref="W97"/>
    <hyperlink r:id="rId190" ref="V98"/>
    <hyperlink r:id="rId191" ref="W98"/>
    <hyperlink r:id="rId192" ref="V99"/>
    <hyperlink r:id="rId193" ref="W99"/>
    <hyperlink r:id="rId194" ref="V100"/>
    <hyperlink r:id="rId195" ref="W100"/>
    <hyperlink r:id="rId196" ref="V101"/>
    <hyperlink r:id="rId197" ref="W101"/>
    <hyperlink r:id="rId198" ref="V102"/>
    <hyperlink r:id="rId199" ref="W102"/>
    <hyperlink r:id="rId200" ref="V103"/>
    <hyperlink r:id="rId201" ref="W103"/>
    <hyperlink r:id="rId202" ref="V104"/>
    <hyperlink r:id="rId203" ref="W104"/>
    <hyperlink r:id="rId204" ref="V105"/>
    <hyperlink r:id="rId205" ref="W105"/>
    <hyperlink r:id="rId206" ref="V106"/>
    <hyperlink r:id="rId207" ref="W106"/>
    <hyperlink r:id="rId208" ref="V107"/>
    <hyperlink r:id="rId209" ref="W107"/>
    <hyperlink r:id="rId210" ref="V108"/>
    <hyperlink r:id="rId211" ref="W108"/>
    <hyperlink r:id="rId212" ref="V109"/>
    <hyperlink r:id="rId213" ref="W109"/>
    <hyperlink r:id="rId214" ref="V110"/>
    <hyperlink r:id="rId215" ref="W110"/>
    <hyperlink r:id="rId216" ref="V111"/>
    <hyperlink r:id="rId217" ref="W111"/>
    <hyperlink r:id="rId218" ref="V112"/>
    <hyperlink r:id="rId219" ref="W112"/>
    <hyperlink r:id="rId220" ref="V113"/>
    <hyperlink r:id="rId221" ref="W113"/>
    <hyperlink r:id="rId222" ref="V114"/>
    <hyperlink r:id="rId223" ref="W114"/>
    <hyperlink r:id="rId224" ref="V115"/>
    <hyperlink r:id="rId225" ref="V116"/>
    <hyperlink r:id="rId226" ref="W116"/>
    <hyperlink r:id="rId227" ref="V117"/>
    <hyperlink r:id="rId228" ref="W117"/>
    <hyperlink r:id="rId229" ref="V118"/>
    <hyperlink r:id="rId230" ref="W118"/>
    <hyperlink r:id="rId231" ref="V119"/>
    <hyperlink r:id="rId232" ref="W119"/>
    <hyperlink r:id="rId233" ref="V120"/>
    <hyperlink r:id="rId234" ref="W120"/>
    <hyperlink r:id="rId235" ref="V121"/>
    <hyperlink r:id="rId236" ref="W121"/>
    <hyperlink r:id="rId237" ref="V122"/>
    <hyperlink r:id="rId238" ref="W122"/>
    <hyperlink r:id="rId239" ref="V123"/>
    <hyperlink r:id="rId240" ref="W123"/>
    <hyperlink r:id="rId241" ref="V124"/>
    <hyperlink r:id="rId242" ref="W124"/>
    <hyperlink r:id="rId243" ref="V125"/>
    <hyperlink r:id="rId244" ref="W125"/>
    <hyperlink r:id="rId245" ref="V126"/>
    <hyperlink r:id="rId246" ref="W126"/>
    <hyperlink r:id="rId247" ref="V127"/>
    <hyperlink r:id="rId248" ref="W127"/>
    <hyperlink r:id="rId249" ref="V128"/>
    <hyperlink r:id="rId250" ref="W128"/>
    <hyperlink r:id="rId251" ref="V132"/>
    <hyperlink r:id="rId252" ref="W132"/>
    <hyperlink r:id="rId253" ref="V133"/>
    <hyperlink r:id="rId254" ref="W133"/>
    <hyperlink r:id="rId255" ref="V134"/>
    <hyperlink r:id="rId256" ref="W134"/>
    <hyperlink r:id="rId257" ref="V135"/>
    <hyperlink r:id="rId258" ref="W135"/>
    <hyperlink r:id="rId259" ref="V136"/>
    <hyperlink r:id="rId260" ref="V137"/>
    <hyperlink r:id="rId261" ref="W137"/>
    <hyperlink r:id="rId262" ref="V138"/>
    <hyperlink r:id="rId263" ref="W138"/>
    <hyperlink r:id="rId264" ref="V139"/>
    <hyperlink r:id="rId265" ref="W139"/>
    <hyperlink r:id="rId266" ref="V140"/>
    <hyperlink r:id="rId267" ref="W140"/>
    <hyperlink r:id="rId268" ref="V141"/>
    <hyperlink r:id="rId269" ref="W141"/>
    <hyperlink r:id="rId270" ref="V142"/>
    <hyperlink r:id="rId271" ref="W142"/>
    <hyperlink r:id="rId272" ref="V143"/>
    <hyperlink r:id="rId273" ref="W143"/>
    <hyperlink r:id="rId274" ref="V144"/>
    <hyperlink r:id="rId275" ref="W144"/>
    <hyperlink r:id="rId276" ref="V145"/>
    <hyperlink r:id="rId277" ref="W145"/>
    <hyperlink r:id="rId278" ref="V146"/>
    <hyperlink r:id="rId279" ref="W146"/>
    <hyperlink r:id="rId280" ref="V147"/>
    <hyperlink r:id="rId281" ref="W147"/>
    <hyperlink r:id="rId282" ref="V148"/>
    <hyperlink r:id="rId283" ref="W148"/>
    <hyperlink r:id="rId284" ref="V149"/>
    <hyperlink r:id="rId285" ref="W149"/>
    <hyperlink r:id="rId286" ref="V150"/>
    <hyperlink r:id="rId287" ref="W150"/>
    <hyperlink r:id="rId288" ref="V151"/>
    <hyperlink r:id="rId289" ref="W151"/>
    <hyperlink r:id="rId290" ref="V152"/>
    <hyperlink r:id="rId291" ref="W152"/>
    <hyperlink r:id="rId292" ref="V153"/>
    <hyperlink r:id="rId293" ref="V154"/>
    <hyperlink r:id="rId294" ref="V155"/>
    <hyperlink r:id="rId295" ref="W155"/>
    <hyperlink r:id="rId296" ref="V156"/>
    <hyperlink r:id="rId297" ref="W156"/>
    <hyperlink r:id="rId298" ref="V157"/>
    <hyperlink r:id="rId299" ref="W157"/>
    <hyperlink r:id="rId300" ref="V158"/>
    <hyperlink r:id="rId301" ref="W158"/>
    <hyperlink r:id="rId302" ref="V159"/>
    <hyperlink r:id="rId303" ref="W159"/>
    <hyperlink r:id="rId304" ref="V160"/>
    <hyperlink r:id="rId305" ref="W160"/>
    <hyperlink r:id="rId306" ref="V161"/>
    <hyperlink r:id="rId307" ref="V162"/>
    <hyperlink r:id="rId308" ref="W162"/>
    <hyperlink r:id="rId309" ref="V163"/>
    <hyperlink r:id="rId310" ref="V164"/>
    <hyperlink r:id="rId311" ref="V165"/>
    <hyperlink r:id="rId312" ref="W165"/>
    <hyperlink r:id="rId313" ref="V166"/>
    <hyperlink r:id="rId314" ref="W166"/>
    <hyperlink r:id="rId315" ref="V167"/>
    <hyperlink r:id="rId316" ref="W167"/>
    <hyperlink r:id="rId317" ref="V168"/>
    <hyperlink r:id="rId318" ref="W168"/>
    <hyperlink r:id="rId319" ref="V169"/>
    <hyperlink r:id="rId320" ref="W169"/>
    <hyperlink r:id="rId321" ref="V170"/>
    <hyperlink r:id="rId322" ref="W170"/>
    <hyperlink r:id="rId323" ref="V171"/>
    <hyperlink r:id="rId324" ref="W171"/>
    <hyperlink r:id="rId325" ref="V172"/>
    <hyperlink r:id="rId326" ref="W172"/>
    <hyperlink r:id="rId327" ref="V173"/>
    <hyperlink r:id="rId328" ref="W173"/>
    <hyperlink r:id="rId329" ref="V174"/>
    <hyperlink r:id="rId330" ref="W174"/>
    <hyperlink r:id="rId331" ref="V175"/>
    <hyperlink r:id="rId332" ref="W175"/>
    <hyperlink r:id="rId333" ref="V176"/>
    <hyperlink r:id="rId334" ref="W176"/>
    <hyperlink r:id="rId335" ref="V177"/>
    <hyperlink r:id="rId336" ref="W177"/>
    <hyperlink r:id="rId337" ref="V178"/>
    <hyperlink r:id="rId338" ref="W178"/>
    <hyperlink r:id="rId339" ref="V179"/>
    <hyperlink r:id="rId340" ref="W179"/>
    <hyperlink r:id="rId341" ref="V180"/>
    <hyperlink r:id="rId342" ref="W180"/>
    <hyperlink r:id="rId343" ref="V181"/>
    <hyperlink r:id="rId344" ref="W181"/>
    <hyperlink r:id="rId345" ref="V182"/>
    <hyperlink r:id="rId346" ref="W182"/>
    <hyperlink r:id="rId347" ref="V183"/>
    <hyperlink r:id="rId348" ref="W183"/>
    <hyperlink r:id="rId349" ref="V184"/>
    <hyperlink r:id="rId350" ref="W184"/>
    <hyperlink r:id="rId351" ref="V185"/>
    <hyperlink r:id="rId352" ref="W185"/>
    <hyperlink r:id="rId353" ref="V186"/>
    <hyperlink r:id="rId354" ref="W186"/>
    <hyperlink r:id="rId355" ref="V187"/>
    <hyperlink r:id="rId356" ref="W187"/>
    <hyperlink r:id="rId357" ref="V188"/>
    <hyperlink r:id="rId358" ref="W188"/>
    <hyperlink r:id="rId359" ref="W189"/>
    <hyperlink r:id="rId360" ref="W190"/>
    <hyperlink r:id="rId361" ref="V191"/>
    <hyperlink r:id="rId362" ref="V192"/>
    <hyperlink r:id="rId363" ref="W192"/>
    <hyperlink r:id="rId364" ref="V193"/>
    <hyperlink r:id="rId365" ref="W193"/>
    <hyperlink r:id="rId366" ref="V194"/>
    <hyperlink r:id="rId367" ref="W194"/>
    <hyperlink r:id="rId368" ref="V195"/>
    <hyperlink r:id="rId369" ref="W195"/>
    <hyperlink r:id="rId370" ref="V196"/>
    <hyperlink r:id="rId371" ref="W196"/>
    <hyperlink r:id="rId372" ref="V197"/>
    <hyperlink r:id="rId373" ref="W197"/>
    <hyperlink r:id="rId374" ref="V198"/>
    <hyperlink r:id="rId375" ref="W198"/>
    <hyperlink r:id="rId376" ref="V199"/>
    <hyperlink r:id="rId377" ref="W199"/>
    <hyperlink r:id="rId378" ref="V200"/>
    <hyperlink r:id="rId379" ref="W200"/>
    <hyperlink r:id="rId380" ref="V201"/>
    <hyperlink r:id="rId381" ref="W201"/>
    <hyperlink r:id="rId382" ref="V202"/>
    <hyperlink r:id="rId383" ref="W202"/>
    <hyperlink r:id="rId384" ref="V203"/>
    <hyperlink r:id="rId385" ref="W203"/>
    <hyperlink r:id="rId386" ref="V204"/>
    <hyperlink r:id="rId387" ref="W204"/>
    <hyperlink r:id="rId388" ref="V205"/>
    <hyperlink r:id="rId389" ref="W205"/>
    <hyperlink r:id="rId390" ref="V206"/>
    <hyperlink r:id="rId391" ref="W206"/>
    <hyperlink r:id="rId392" ref="V207"/>
    <hyperlink r:id="rId393" ref="W207"/>
    <hyperlink r:id="rId394" ref="V208"/>
    <hyperlink r:id="rId395" ref="W208"/>
    <hyperlink r:id="rId396" ref="V209"/>
    <hyperlink r:id="rId397" ref="W209"/>
    <hyperlink r:id="rId398" ref="V210"/>
    <hyperlink r:id="rId399" ref="W210"/>
    <hyperlink r:id="rId400" ref="V211"/>
    <hyperlink r:id="rId401" ref="W211"/>
    <hyperlink r:id="rId402" location="Food-Pantry-Program" ref="V212"/>
    <hyperlink r:id="rId403" ref="W212"/>
    <hyperlink r:id="rId404" location="Food-Pantry-Program" ref="V213"/>
    <hyperlink r:id="rId405" ref="W213"/>
    <hyperlink r:id="rId406" location="Food-Pantry-Program" ref="V214"/>
    <hyperlink r:id="rId407" ref="W214"/>
    <hyperlink r:id="rId408" location="Food-Pantry-Program" ref="V215"/>
    <hyperlink r:id="rId409" ref="W215"/>
    <hyperlink r:id="rId410" ref="V216"/>
    <hyperlink r:id="rId411" ref="W216"/>
    <hyperlink r:id="rId412" ref="V217"/>
    <hyperlink r:id="rId413" ref="W217"/>
    <hyperlink r:id="rId414" ref="V218"/>
    <hyperlink r:id="rId415" ref="W218"/>
    <hyperlink r:id="rId416" ref="V219"/>
    <hyperlink r:id="rId417" ref="W219"/>
    <hyperlink r:id="rId418" ref="V220"/>
    <hyperlink r:id="rId419" ref="W220"/>
    <hyperlink r:id="rId420" ref="V221"/>
    <hyperlink r:id="rId421" ref="W221"/>
    <hyperlink r:id="rId422" ref="V222"/>
    <hyperlink r:id="rId423" ref="V223"/>
    <hyperlink r:id="rId424" ref="W223"/>
    <hyperlink r:id="rId425" ref="V224"/>
    <hyperlink r:id="rId426" ref="W224"/>
    <hyperlink r:id="rId427" ref="V225"/>
    <hyperlink r:id="rId428" ref="W225"/>
    <hyperlink r:id="rId429" ref="V226"/>
    <hyperlink r:id="rId430" ref="W226"/>
    <hyperlink r:id="rId431" ref="V227"/>
    <hyperlink r:id="rId432" ref="W227"/>
    <hyperlink r:id="rId433" ref="V228"/>
    <hyperlink r:id="rId434" ref="W228"/>
    <hyperlink r:id="rId435" ref="V229"/>
    <hyperlink r:id="rId436" ref="W229"/>
    <hyperlink r:id="rId437" ref="V230"/>
    <hyperlink r:id="rId438" ref="W230"/>
    <hyperlink r:id="rId439" ref="V231"/>
    <hyperlink r:id="rId440" ref="W231"/>
    <hyperlink r:id="rId441" ref="V232"/>
    <hyperlink r:id="rId442" ref="W232"/>
    <hyperlink r:id="rId443" ref="V233"/>
    <hyperlink r:id="rId444" ref="W233"/>
    <hyperlink r:id="rId445" ref="V234"/>
    <hyperlink r:id="rId446" ref="W234"/>
    <hyperlink r:id="rId447" ref="V235"/>
    <hyperlink r:id="rId448" ref="W235"/>
    <hyperlink r:id="rId449" ref="V236"/>
    <hyperlink r:id="rId450" ref="W236"/>
    <hyperlink r:id="rId451" ref="V238"/>
    <hyperlink r:id="rId452" ref="W238"/>
    <hyperlink r:id="rId453" ref="V239"/>
    <hyperlink r:id="rId454" ref="W239"/>
    <hyperlink r:id="rId455" ref="V240"/>
    <hyperlink r:id="rId456" ref="W240"/>
    <hyperlink r:id="rId457" ref="V241"/>
    <hyperlink r:id="rId458" ref="W241"/>
    <hyperlink r:id="rId459" ref="V242"/>
    <hyperlink r:id="rId460" ref="W242"/>
    <hyperlink r:id="rId461" ref="V243"/>
    <hyperlink r:id="rId462" ref="W243"/>
    <hyperlink r:id="rId463" ref="V244"/>
    <hyperlink r:id="rId464" ref="W244"/>
    <hyperlink r:id="rId465" ref="V245"/>
    <hyperlink r:id="rId466" ref="W245"/>
    <hyperlink r:id="rId467" ref="V246"/>
    <hyperlink r:id="rId468" ref="W246"/>
    <hyperlink r:id="rId469" ref="V247"/>
    <hyperlink r:id="rId470" ref="W247"/>
    <hyperlink r:id="rId471" ref="V248"/>
    <hyperlink r:id="rId472" ref="W248"/>
    <hyperlink r:id="rId473" ref="V249"/>
    <hyperlink r:id="rId474" ref="W249"/>
    <hyperlink r:id="rId475" ref="V250"/>
    <hyperlink r:id="rId476" ref="V251"/>
    <hyperlink r:id="rId477" ref="V252"/>
    <hyperlink r:id="rId478" ref="W252"/>
    <hyperlink r:id="rId479" ref="V253"/>
    <hyperlink r:id="rId480" ref="W253"/>
    <hyperlink r:id="rId481" ref="V254"/>
    <hyperlink r:id="rId482" ref="W254"/>
    <hyperlink r:id="rId483" ref="V255"/>
    <hyperlink r:id="rId484" ref="W255"/>
    <hyperlink r:id="rId485" ref="V256"/>
    <hyperlink r:id="rId486" ref="W256"/>
    <hyperlink r:id="rId487" ref="V258"/>
    <hyperlink r:id="rId488" ref="W258"/>
    <hyperlink r:id="rId489" ref="V259"/>
    <hyperlink r:id="rId490" ref="W259"/>
    <hyperlink r:id="rId491" ref="V260"/>
    <hyperlink r:id="rId492" ref="W260"/>
    <hyperlink r:id="rId493" ref="V261"/>
    <hyperlink r:id="rId494" ref="W261"/>
    <hyperlink r:id="rId495" ref="V262"/>
    <hyperlink r:id="rId496" ref="W262"/>
    <hyperlink r:id="rId497" ref="V263"/>
    <hyperlink r:id="rId498" ref="W263"/>
    <hyperlink r:id="rId499" ref="V264"/>
    <hyperlink r:id="rId500" ref="W264"/>
    <hyperlink r:id="rId501" ref="V265"/>
    <hyperlink r:id="rId502" ref="W265"/>
    <hyperlink r:id="rId503" ref="V266"/>
    <hyperlink r:id="rId504" ref="W266"/>
    <hyperlink r:id="rId505" ref="V267"/>
    <hyperlink r:id="rId506" ref="W267"/>
    <hyperlink r:id="rId507" ref="V268"/>
    <hyperlink r:id="rId508" ref="W268"/>
    <hyperlink r:id="rId509" ref="V269"/>
    <hyperlink r:id="rId510" ref="W269"/>
    <hyperlink r:id="rId511" ref="V270"/>
    <hyperlink r:id="rId512" ref="W270"/>
    <hyperlink r:id="rId513" ref="V271"/>
    <hyperlink r:id="rId514" ref="W271"/>
    <hyperlink r:id="rId515" location="randp" ref="V272"/>
    <hyperlink r:id="rId516" ref="W272"/>
    <hyperlink r:id="rId517" location="randp" ref="V273"/>
    <hyperlink r:id="rId518" ref="W273"/>
    <hyperlink r:id="rId519" location="randp" ref="V274"/>
    <hyperlink r:id="rId520" ref="W274"/>
    <hyperlink r:id="rId521" ref="V275"/>
    <hyperlink r:id="rId522" ref="W275"/>
    <hyperlink r:id="rId523" ref="V276"/>
    <hyperlink r:id="rId524" ref="W276"/>
    <hyperlink r:id="rId525" ref="V277"/>
    <hyperlink r:id="rId526" ref="W277"/>
    <hyperlink r:id="rId527" ref="V278"/>
    <hyperlink r:id="rId528" ref="W278"/>
    <hyperlink r:id="rId529" ref="V279"/>
    <hyperlink r:id="rId530" ref="W279"/>
    <hyperlink r:id="rId531" ref="V280"/>
    <hyperlink r:id="rId532" ref="W280"/>
    <hyperlink r:id="rId533" ref="V281"/>
    <hyperlink r:id="rId534" ref="W281"/>
    <hyperlink r:id="rId535" ref="V282"/>
    <hyperlink r:id="rId536" ref="W282"/>
    <hyperlink r:id="rId537" ref="V283"/>
    <hyperlink r:id="rId538" ref="W283"/>
    <hyperlink r:id="rId539" ref="V284"/>
    <hyperlink r:id="rId540" ref="W284"/>
    <hyperlink r:id="rId541" ref="V285"/>
    <hyperlink r:id="rId542" ref="W285"/>
    <hyperlink r:id="rId543" ref="V286"/>
    <hyperlink r:id="rId544" ref="W286"/>
    <hyperlink r:id="rId545" ref="V287"/>
    <hyperlink r:id="rId546" ref="W287"/>
    <hyperlink r:id="rId547" ref="V288"/>
    <hyperlink r:id="rId548" ref="W288"/>
    <hyperlink r:id="rId549" ref="V289"/>
    <hyperlink r:id="rId550" ref="W289"/>
    <hyperlink r:id="rId551" ref="V290"/>
    <hyperlink r:id="rId552" ref="W290"/>
    <hyperlink r:id="rId553" ref="V291"/>
    <hyperlink r:id="rId554" ref="W291"/>
    <hyperlink r:id="rId555" ref="V292"/>
    <hyperlink r:id="rId556" ref="W292"/>
    <hyperlink r:id="rId557" ref="V293"/>
    <hyperlink r:id="rId558" ref="W293"/>
    <hyperlink r:id="rId559" ref="V294"/>
    <hyperlink r:id="rId560" ref="W294"/>
    <hyperlink r:id="rId561" ref="V295"/>
    <hyperlink r:id="rId562" ref="W295"/>
    <hyperlink r:id="rId563" ref="V296"/>
    <hyperlink r:id="rId564" ref="W296"/>
    <hyperlink r:id="rId565" ref="V297"/>
    <hyperlink r:id="rId566" ref="W297"/>
    <hyperlink r:id="rId567" ref="V298"/>
    <hyperlink r:id="rId568" ref="W298"/>
    <hyperlink r:id="rId569" ref="V299"/>
    <hyperlink r:id="rId570" ref="W299"/>
    <hyperlink r:id="rId571" ref="V300"/>
    <hyperlink r:id="rId572" ref="W300"/>
    <hyperlink r:id="rId573" ref="V301"/>
    <hyperlink r:id="rId574" ref="W301"/>
    <hyperlink r:id="rId575" ref="V302"/>
    <hyperlink r:id="rId576" ref="W302"/>
    <hyperlink r:id="rId577" ref="V303"/>
    <hyperlink r:id="rId578" ref="W303"/>
    <hyperlink r:id="rId579" ref="V304"/>
    <hyperlink r:id="rId580" ref="W304"/>
    <hyperlink r:id="rId581" ref="V305"/>
    <hyperlink r:id="rId582" ref="W305"/>
    <hyperlink r:id="rId583" ref="V306"/>
    <hyperlink r:id="rId584" ref="W306"/>
    <hyperlink r:id="rId585" ref="V307"/>
    <hyperlink r:id="rId586" ref="V308"/>
    <hyperlink r:id="rId587" ref="V309"/>
    <hyperlink r:id="rId588" ref="W309"/>
    <hyperlink r:id="rId589" ref="V310"/>
    <hyperlink r:id="rId590" ref="W310"/>
    <hyperlink r:id="rId591" ref="V311"/>
    <hyperlink r:id="rId592" ref="W311"/>
    <hyperlink r:id="rId593" ref="W312"/>
    <hyperlink r:id="rId594" ref="W313"/>
    <hyperlink r:id="rId595" ref="W314"/>
    <hyperlink r:id="rId596" ref="V315"/>
    <hyperlink r:id="rId597" ref="W315"/>
    <hyperlink r:id="rId598" ref="V316"/>
    <hyperlink r:id="rId599" ref="W316"/>
    <hyperlink r:id="rId600" ref="V317"/>
    <hyperlink r:id="rId601" ref="W317"/>
    <hyperlink r:id="rId602" ref="V318"/>
    <hyperlink r:id="rId603" ref="W318"/>
    <hyperlink r:id="rId604" ref="V319"/>
    <hyperlink r:id="rId605" ref="W319"/>
    <hyperlink r:id="rId606" ref="V320"/>
    <hyperlink r:id="rId607" ref="W320"/>
    <hyperlink r:id="rId608" ref="V321"/>
    <hyperlink r:id="rId609" ref="W321"/>
    <hyperlink r:id="rId610" ref="V322"/>
    <hyperlink r:id="rId611" ref="W322"/>
    <hyperlink r:id="rId612" ref="V323"/>
    <hyperlink r:id="rId613" ref="W323"/>
    <hyperlink r:id="rId614" ref="V324"/>
    <hyperlink r:id="rId615" ref="W324"/>
    <hyperlink r:id="rId616" ref="V325"/>
    <hyperlink r:id="rId617" ref="W325"/>
    <hyperlink r:id="rId618" ref="V326"/>
    <hyperlink r:id="rId619" ref="W326"/>
    <hyperlink r:id="rId620" ref="V327"/>
    <hyperlink r:id="rId621" ref="W327"/>
    <hyperlink r:id="rId622" ref="V328"/>
    <hyperlink r:id="rId623" ref="W328"/>
    <hyperlink r:id="rId624" ref="V329"/>
    <hyperlink r:id="rId625" ref="W329"/>
    <hyperlink r:id="rId626" ref="V330"/>
    <hyperlink r:id="rId627" ref="W330"/>
    <hyperlink r:id="rId628" ref="V331"/>
    <hyperlink r:id="rId629" ref="W331"/>
    <hyperlink r:id="rId630" ref="V332"/>
    <hyperlink r:id="rId631" ref="W332"/>
    <hyperlink r:id="rId632" ref="V333"/>
    <hyperlink r:id="rId633" ref="W333"/>
    <hyperlink r:id="rId634" ref="V334"/>
    <hyperlink r:id="rId635" ref="W334"/>
    <hyperlink r:id="rId636" ref="V335"/>
    <hyperlink r:id="rId637" ref="W335"/>
    <hyperlink r:id="rId638" ref="V336"/>
    <hyperlink r:id="rId639" ref="V337"/>
    <hyperlink r:id="rId640" ref="W337"/>
    <hyperlink r:id="rId641" ref="V338"/>
    <hyperlink r:id="rId642" ref="W338"/>
    <hyperlink r:id="rId643" ref="V339"/>
    <hyperlink r:id="rId644" ref="W339"/>
    <hyperlink r:id="rId645" ref="V340"/>
    <hyperlink r:id="rId646" ref="W340"/>
    <hyperlink r:id="rId647" ref="V341"/>
    <hyperlink r:id="rId648" ref="W341"/>
    <hyperlink r:id="rId649" ref="V342"/>
    <hyperlink r:id="rId650" ref="W342"/>
    <hyperlink r:id="rId651" ref="V343"/>
    <hyperlink r:id="rId652" ref="W343"/>
    <hyperlink r:id="rId653" ref="V344"/>
    <hyperlink r:id="rId654" ref="W344"/>
    <hyperlink r:id="rId655" ref="V345"/>
    <hyperlink r:id="rId656" ref="W345"/>
    <hyperlink r:id="rId657" ref="V346"/>
    <hyperlink r:id="rId658" ref="W346"/>
    <hyperlink r:id="rId659" ref="V347"/>
    <hyperlink r:id="rId660" ref="W347"/>
    <hyperlink r:id="rId661" ref="V348"/>
    <hyperlink r:id="rId662" ref="W348"/>
    <hyperlink r:id="rId663" ref="V349"/>
    <hyperlink r:id="rId664" ref="W349"/>
    <hyperlink r:id="rId665" ref="V350"/>
    <hyperlink r:id="rId666" ref="W350"/>
    <hyperlink r:id="rId667" ref="V351"/>
    <hyperlink r:id="rId668" ref="W351"/>
    <hyperlink r:id="rId669" ref="V352"/>
    <hyperlink r:id="rId670" ref="W352"/>
    <hyperlink r:id="rId671" ref="V353"/>
    <hyperlink r:id="rId672" ref="W353"/>
    <hyperlink r:id="rId673" ref="V354"/>
    <hyperlink r:id="rId674" ref="W354"/>
    <hyperlink r:id="rId675" ref="V355"/>
    <hyperlink r:id="rId676" ref="W355"/>
    <hyperlink r:id="rId677" ref="V356"/>
    <hyperlink r:id="rId678" ref="W356"/>
    <hyperlink r:id="rId679" ref="V357"/>
    <hyperlink r:id="rId680" ref="W357"/>
    <hyperlink r:id="rId681" ref="V358"/>
    <hyperlink r:id="rId682" ref="W358"/>
    <hyperlink r:id="rId683" ref="V359"/>
    <hyperlink r:id="rId684" ref="W359"/>
    <hyperlink r:id="rId685" ref="V360"/>
    <hyperlink r:id="rId686" ref="W360"/>
    <hyperlink r:id="rId687" ref="V361"/>
    <hyperlink r:id="rId688" ref="W361"/>
    <hyperlink r:id="rId689" ref="V362"/>
    <hyperlink r:id="rId690" ref="W362"/>
    <hyperlink r:id="rId691" ref="V363"/>
    <hyperlink r:id="rId692" ref="W363"/>
    <hyperlink r:id="rId693" ref="V364"/>
    <hyperlink r:id="rId694" ref="W364"/>
    <hyperlink r:id="rId695" ref="V365"/>
    <hyperlink r:id="rId696" ref="W365"/>
    <hyperlink r:id="rId697" ref="V366"/>
    <hyperlink r:id="rId698" ref="W366"/>
    <hyperlink r:id="rId699" ref="V367"/>
    <hyperlink r:id="rId700" ref="W367"/>
    <hyperlink r:id="rId701" ref="V368"/>
    <hyperlink r:id="rId702" ref="W368"/>
    <hyperlink r:id="rId703" ref="V369"/>
    <hyperlink r:id="rId704" ref="W369"/>
    <hyperlink r:id="rId705" ref="V370"/>
    <hyperlink r:id="rId706" ref="V371"/>
    <hyperlink r:id="rId707" ref="W371"/>
    <hyperlink r:id="rId708" ref="V372"/>
    <hyperlink r:id="rId709" ref="W372"/>
    <hyperlink r:id="rId710" ref="V373"/>
    <hyperlink r:id="rId711" ref="W373"/>
    <hyperlink r:id="rId712" ref="V374"/>
    <hyperlink r:id="rId713" ref="W374"/>
    <hyperlink r:id="rId714" ref="V375"/>
    <hyperlink r:id="rId715" ref="W375"/>
    <hyperlink r:id="rId716" ref="V376"/>
    <hyperlink r:id="rId717" ref="W376"/>
    <hyperlink r:id="rId718" ref="V377"/>
    <hyperlink r:id="rId719" ref="W377"/>
    <hyperlink r:id="rId720" ref="V378"/>
    <hyperlink r:id="rId721" ref="W378"/>
    <hyperlink r:id="rId722" ref="V379"/>
    <hyperlink r:id="rId723" ref="W379"/>
    <hyperlink r:id="rId724" ref="V380"/>
    <hyperlink r:id="rId725" ref="W380"/>
    <hyperlink r:id="rId726" ref="V381"/>
    <hyperlink r:id="rId727" ref="W381"/>
    <hyperlink r:id="rId728" ref="V382"/>
    <hyperlink r:id="rId729" ref="W382"/>
    <hyperlink r:id="rId730" ref="V383"/>
    <hyperlink r:id="rId731" ref="W383"/>
    <hyperlink r:id="rId732" ref="V384"/>
    <hyperlink r:id="rId733" ref="W384"/>
    <hyperlink r:id="rId734" ref="V385"/>
    <hyperlink r:id="rId735" ref="W385"/>
    <hyperlink r:id="rId736" ref="V386"/>
    <hyperlink r:id="rId737" ref="W386"/>
    <hyperlink r:id="rId738" ref="V387"/>
    <hyperlink r:id="rId739" ref="W387"/>
    <hyperlink r:id="rId740" ref="V388"/>
    <hyperlink r:id="rId741" ref="W388"/>
    <hyperlink r:id="rId742" ref="V389"/>
    <hyperlink r:id="rId743" ref="W389"/>
    <hyperlink r:id="rId744" ref="V390"/>
    <hyperlink r:id="rId745" ref="W390"/>
    <hyperlink r:id="rId746" ref="V391"/>
    <hyperlink r:id="rId747" ref="W391"/>
    <hyperlink r:id="rId748" ref="V392"/>
    <hyperlink r:id="rId749" ref="W392"/>
    <hyperlink r:id="rId750" ref="V393"/>
    <hyperlink r:id="rId751" ref="W393"/>
    <hyperlink r:id="rId752" ref="V394"/>
    <hyperlink r:id="rId753" ref="W394"/>
    <hyperlink r:id="rId754" ref="V395"/>
    <hyperlink r:id="rId755" ref="W395"/>
    <hyperlink r:id="rId756" ref="V396"/>
    <hyperlink r:id="rId757" ref="W396"/>
    <hyperlink r:id="rId758" ref="V397"/>
    <hyperlink r:id="rId759" ref="W397"/>
    <hyperlink r:id="rId760" ref="V398"/>
    <hyperlink r:id="rId761" ref="W398"/>
    <hyperlink r:id="rId762" ref="V399"/>
    <hyperlink r:id="rId763" ref="W399"/>
    <hyperlink r:id="rId764" ref="V400"/>
    <hyperlink r:id="rId765" ref="W400"/>
    <hyperlink r:id="rId766" ref="V401"/>
    <hyperlink r:id="rId767" ref="W401"/>
    <hyperlink r:id="rId768" ref="V402"/>
    <hyperlink r:id="rId769" ref="W402"/>
    <hyperlink r:id="rId770" ref="V403"/>
    <hyperlink r:id="rId771" ref="W403"/>
    <hyperlink r:id="rId772" ref="V404"/>
    <hyperlink r:id="rId773" ref="W404"/>
    <hyperlink r:id="rId774" ref="V405"/>
    <hyperlink r:id="rId775" ref="W405"/>
    <hyperlink r:id="rId776" ref="V406"/>
    <hyperlink r:id="rId777" ref="W406"/>
    <hyperlink r:id="rId778" ref="V407"/>
    <hyperlink r:id="rId779" ref="W407"/>
    <hyperlink r:id="rId780" ref="V408"/>
    <hyperlink r:id="rId781" ref="W408"/>
    <hyperlink r:id="rId782" ref="V409"/>
    <hyperlink r:id="rId783" ref="W409"/>
    <hyperlink r:id="rId784" ref="V410"/>
    <hyperlink r:id="rId785" ref="W410"/>
    <hyperlink r:id="rId786" ref="V411"/>
    <hyperlink r:id="rId787" ref="W411"/>
    <hyperlink r:id="rId788" ref="V412"/>
    <hyperlink r:id="rId789" ref="W412"/>
    <hyperlink r:id="rId790" ref="V413"/>
    <hyperlink r:id="rId791" ref="W413"/>
    <hyperlink r:id="rId792" ref="V414"/>
    <hyperlink r:id="rId793" ref="W414"/>
    <hyperlink r:id="rId794" ref="V415"/>
    <hyperlink r:id="rId795" ref="W415"/>
    <hyperlink r:id="rId796" ref="V416"/>
    <hyperlink r:id="rId797" ref="W416"/>
    <hyperlink r:id="rId798" ref="V417"/>
    <hyperlink r:id="rId799" ref="W417"/>
    <hyperlink r:id="rId800" ref="V418"/>
    <hyperlink r:id="rId801" ref="W418"/>
    <hyperlink r:id="rId802" ref="V419"/>
    <hyperlink r:id="rId803" ref="W419"/>
    <hyperlink r:id="rId804" ref="V420"/>
    <hyperlink r:id="rId805" ref="W420"/>
    <hyperlink r:id="rId806" ref="V421"/>
    <hyperlink r:id="rId807" ref="W421"/>
    <hyperlink r:id="rId808" ref="V422"/>
    <hyperlink r:id="rId809" ref="W422"/>
    <hyperlink r:id="rId810" ref="V423"/>
    <hyperlink r:id="rId811" ref="W423"/>
    <hyperlink r:id="rId812" ref="V424"/>
    <hyperlink r:id="rId813" ref="W424"/>
    <hyperlink r:id="rId814" ref="V425"/>
    <hyperlink r:id="rId815" ref="W425"/>
    <hyperlink r:id="rId816" ref="V426"/>
    <hyperlink r:id="rId817" ref="W426"/>
    <hyperlink r:id="rId818" ref="V427"/>
    <hyperlink r:id="rId819" ref="W427"/>
    <hyperlink r:id="rId820" ref="V428"/>
    <hyperlink r:id="rId821" ref="W428"/>
    <hyperlink r:id="rId822" ref="V429"/>
    <hyperlink r:id="rId823" ref="W429"/>
    <hyperlink r:id="rId824" ref="V430"/>
    <hyperlink r:id="rId825" ref="W430"/>
    <hyperlink r:id="rId826" ref="V431"/>
    <hyperlink r:id="rId827" ref="W431"/>
    <hyperlink r:id="rId828" ref="V432"/>
    <hyperlink r:id="rId829" ref="W432"/>
    <hyperlink r:id="rId830" ref="V433"/>
    <hyperlink r:id="rId831" ref="W433"/>
    <hyperlink r:id="rId832" ref="V434"/>
    <hyperlink r:id="rId833" ref="W434"/>
    <hyperlink r:id="rId834" ref="V435"/>
    <hyperlink r:id="rId835" ref="W435"/>
    <hyperlink r:id="rId836" ref="V436"/>
    <hyperlink r:id="rId837" ref="W436"/>
    <hyperlink r:id="rId838" ref="V437"/>
    <hyperlink r:id="rId839" ref="W437"/>
    <hyperlink r:id="rId840" ref="V438"/>
    <hyperlink r:id="rId841" ref="W438"/>
    <hyperlink r:id="rId842" ref="V439"/>
    <hyperlink r:id="rId843" ref="W439"/>
    <hyperlink r:id="rId844" ref="V440"/>
    <hyperlink r:id="rId845" ref="W440"/>
    <hyperlink r:id="rId846" ref="V441"/>
    <hyperlink r:id="rId847" ref="W441"/>
    <hyperlink r:id="rId848" ref="V442"/>
    <hyperlink r:id="rId849" ref="W442"/>
    <hyperlink r:id="rId850" ref="V443"/>
    <hyperlink r:id="rId851" ref="W443"/>
    <hyperlink r:id="rId852" ref="V444"/>
    <hyperlink r:id="rId853" ref="W444"/>
    <hyperlink r:id="rId854" ref="V445"/>
    <hyperlink r:id="rId855" ref="W445"/>
    <hyperlink r:id="rId856" ref="V446"/>
    <hyperlink r:id="rId857" ref="W446"/>
    <hyperlink r:id="rId858" ref="V447"/>
    <hyperlink r:id="rId859" ref="W447"/>
    <hyperlink r:id="rId860" location="docs" ref="V448"/>
    <hyperlink r:id="rId861" ref="W448"/>
    <hyperlink r:id="rId862" ref="V449"/>
    <hyperlink r:id="rId863" ref="V450"/>
    <hyperlink r:id="rId864" ref="W450"/>
    <hyperlink r:id="rId865" ref="V451"/>
    <hyperlink r:id="rId866" ref="W451"/>
    <hyperlink r:id="rId867" ref="V452"/>
    <hyperlink r:id="rId868" ref="W452"/>
    <hyperlink r:id="rId869" ref="V453"/>
    <hyperlink r:id="rId870" ref="W453"/>
    <hyperlink r:id="rId871" ref="V454"/>
    <hyperlink r:id="rId872" ref="W454"/>
    <hyperlink r:id="rId873" ref="V455"/>
    <hyperlink r:id="rId874" ref="W455"/>
    <hyperlink r:id="rId875" ref="V456"/>
    <hyperlink r:id="rId876" ref="W456"/>
    <hyperlink r:id="rId877" ref="V457"/>
    <hyperlink r:id="rId878" ref="V458"/>
    <hyperlink r:id="rId879" ref="W458"/>
    <hyperlink r:id="rId880" ref="V459"/>
    <hyperlink r:id="rId881" ref="W459"/>
    <hyperlink r:id="rId882" ref="V460"/>
    <hyperlink r:id="rId883" ref="W460"/>
    <hyperlink r:id="rId884" ref="V461"/>
    <hyperlink r:id="rId885" ref="W461"/>
    <hyperlink r:id="rId886" ref="V462"/>
    <hyperlink r:id="rId887" ref="W462"/>
    <hyperlink r:id="rId888" ref="V463"/>
    <hyperlink r:id="rId889" ref="W463"/>
    <hyperlink r:id="rId890" ref="V464"/>
    <hyperlink r:id="rId891" ref="W464"/>
    <hyperlink r:id="rId892" ref="V465"/>
    <hyperlink r:id="rId893" ref="W465"/>
    <hyperlink r:id="rId894" ref="V466"/>
    <hyperlink r:id="rId895" ref="W466"/>
    <hyperlink r:id="rId896" ref="V467"/>
    <hyperlink r:id="rId897" ref="V468"/>
    <hyperlink r:id="rId898" ref="W468"/>
    <hyperlink r:id="rId899" ref="V469"/>
    <hyperlink r:id="rId900" ref="W469"/>
    <hyperlink r:id="rId901" ref="V470"/>
    <hyperlink r:id="rId902" ref="W470"/>
    <hyperlink r:id="rId903" ref="V471"/>
    <hyperlink r:id="rId904" ref="W471"/>
    <hyperlink r:id="rId905" ref="V472"/>
    <hyperlink r:id="rId906" ref="W472"/>
    <hyperlink r:id="rId907" ref="V473"/>
    <hyperlink r:id="rId908" ref="W473"/>
    <hyperlink r:id="rId909" ref="V474"/>
    <hyperlink r:id="rId910" ref="W474"/>
    <hyperlink r:id="rId911" ref="V475"/>
    <hyperlink r:id="rId912" ref="W475"/>
    <hyperlink r:id="rId913" ref="V476"/>
    <hyperlink r:id="rId914" ref="W476"/>
    <hyperlink r:id="rId915" ref="V477"/>
    <hyperlink r:id="rId916" ref="W477"/>
    <hyperlink r:id="rId917" ref="V478"/>
    <hyperlink r:id="rId918" ref="W478"/>
    <hyperlink r:id="rId919" ref="V479"/>
    <hyperlink r:id="rId920" ref="W479"/>
    <hyperlink r:id="rId921" ref="V480"/>
    <hyperlink r:id="rId922" ref="W480"/>
    <hyperlink r:id="rId923" ref="V481"/>
    <hyperlink r:id="rId924" ref="W481"/>
    <hyperlink r:id="rId925" ref="V482"/>
    <hyperlink r:id="rId926" ref="W482"/>
    <hyperlink r:id="rId927" ref="V483"/>
    <hyperlink r:id="rId928" ref="W483"/>
    <hyperlink r:id="rId929" ref="V484"/>
    <hyperlink r:id="rId930" ref="W484"/>
    <hyperlink r:id="rId931" ref="V485"/>
    <hyperlink r:id="rId932" ref="W485"/>
    <hyperlink r:id="rId933" ref="V486"/>
    <hyperlink r:id="rId934" ref="W486"/>
    <hyperlink r:id="rId935" ref="V487"/>
    <hyperlink r:id="rId936" ref="W487"/>
    <hyperlink r:id="rId937" ref="V488"/>
    <hyperlink r:id="rId938" ref="W488"/>
    <hyperlink r:id="rId939" ref="V489"/>
    <hyperlink r:id="rId940" ref="V490"/>
    <hyperlink r:id="rId941" ref="V491"/>
    <hyperlink r:id="rId942" ref="W491"/>
    <hyperlink r:id="rId943" ref="V492"/>
    <hyperlink r:id="rId944" ref="W492"/>
    <hyperlink r:id="rId945" ref="V493"/>
    <hyperlink r:id="rId946" ref="W493"/>
    <hyperlink r:id="rId947" ref="V494"/>
    <hyperlink r:id="rId948" ref="W494"/>
    <hyperlink r:id="rId949" ref="V495"/>
    <hyperlink r:id="rId950" ref="V496"/>
    <hyperlink r:id="rId951" ref="W496"/>
    <hyperlink r:id="rId952" ref="V497"/>
    <hyperlink r:id="rId953" ref="W497"/>
    <hyperlink r:id="rId954" ref="V498"/>
    <hyperlink r:id="rId955" ref="W498"/>
    <hyperlink r:id="rId956" ref="V499"/>
    <hyperlink r:id="rId957" ref="W499"/>
    <hyperlink r:id="rId958" ref="V500"/>
    <hyperlink r:id="rId959" ref="W500"/>
    <hyperlink r:id="rId960" ref="V501"/>
    <hyperlink r:id="rId961" ref="W501"/>
    <hyperlink r:id="rId962" ref="V502"/>
    <hyperlink r:id="rId963" ref="W502"/>
    <hyperlink r:id="rId964" ref="V503"/>
    <hyperlink r:id="rId965" ref="W503"/>
    <hyperlink r:id="rId966" ref="V504"/>
    <hyperlink r:id="rId967" ref="W504"/>
    <hyperlink r:id="rId968" ref="V505"/>
    <hyperlink r:id="rId969" ref="W505"/>
    <hyperlink r:id="rId970" ref="V506"/>
    <hyperlink r:id="rId971" ref="W506"/>
    <hyperlink r:id="rId972" ref="V507"/>
    <hyperlink r:id="rId973" ref="W507"/>
    <hyperlink r:id="rId974" ref="V508"/>
    <hyperlink r:id="rId975" ref="W508"/>
    <hyperlink r:id="rId976" ref="V509"/>
    <hyperlink r:id="rId977" ref="W509"/>
    <hyperlink r:id="rId978" ref="V510"/>
    <hyperlink r:id="rId979" ref="W510"/>
    <hyperlink r:id="rId980" ref="V511"/>
    <hyperlink r:id="rId981" ref="W511"/>
    <hyperlink r:id="rId982" ref="V512"/>
    <hyperlink r:id="rId983" ref="W512"/>
    <hyperlink r:id="rId984" ref="V513"/>
    <hyperlink r:id="rId985" ref="W513"/>
    <hyperlink r:id="rId986" ref="V514"/>
    <hyperlink r:id="rId987" ref="W514"/>
    <hyperlink r:id="rId988" ref="V515"/>
    <hyperlink r:id="rId989" ref="W515"/>
    <hyperlink r:id="rId990" ref="V516"/>
    <hyperlink r:id="rId991" ref="W516"/>
    <hyperlink r:id="rId992" ref="V517"/>
    <hyperlink r:id="rId993" ref="W517"/>
    <hyperlink r:id="rId994" ref="V518"/>
    <hyperlink r:id="rId995" ref="W518"/>
    <hyperlink r:id="rId996" ref="V519"/>
    <hyperlink r:id="rId997" ref="W519"/>
    <hyperlink r:id="rId998" ref="V520"/>
    <hyperlink r:id="rId999" ref="W520"/>
    <hyperlink r:id="rId1000" ref="V521"/>
    <hyperlink r:id="rId1001" ref="W521"/>
    <hyperlink r:id="rId1002" ref="V522"/>
    <hyperlink r:id="rId1003" ref="W522"/>
    <hyperlink r:id="rId1004" ref="V523"/>
    <hyperlink r:id="rId1005" ref="W523"/>
    <hyperlink r:id="rId1006" ref="V524"/>
    <hyperlink r:id="rId1007" ref="V525"/>
    <hyperlink r:id="rId1008" ref="W525"/>
    <hyperlink r:id="rId1009" ref="V526"/>
    <hyperlink r:id="rId1010" ref="W526"/>
    <hyperlink r:id="rId1011" ref="V527"/>
    <hyperlink r:id="rId1012" ref="W527"/>
    <hyperlink r:id="rId1013" ref="V528"/>
    <hyperlink r:id="rId1014" ref="W528"/>
    <hyperlink r:id="rId1015" ref="V529"/>
    <hyperlink r:id="rId1016" ref="W529"/>
    <hyperlink r:id="rId1017" ref="V530"/>
    <hyperlink r:id="rId1018" ref="W530"/>
    <hyperlink r:id="rId1019" ref="V531"/>
    <hyperlink r:id="rId1020" ref="W531"/>
    <hyperlink r:id="rId1021" ref="V532"/>
    <hyperlink r:id="rId1022" ref="W532"/>
    <hyperlink r:id="rId1023" ref="V533"/>
    <hyperlink r:id="rId1024" ref="W533"/>
    <hyperlink r:id="rId1025" ref="V534"/>
    <hyperlink r:id="rId1026" ref="W534"/>
    <hyperlink r:id="rId1027" ref="V535"/>
    <hyperlink r:id="rId1028" ref="W535"/>
    <hyperlink r:id="rId1029" ref="V536"/>
    <hyperlink r:id="rId1030" ref="W536"/>
    <hyperlink r:id="rId1031" ref="V537"/>
    <hyperlink r:id="rId1032" ref="W537"/>
    <hyperlink r:id="rId1033" ref="V538"/>
    <hyperlink r:id="rId1034" ref="W538"/>
    <hyperlink r:id="rId1035" ref="V539"/>
    <hyperlink r:id="rId1036" ref="W539"/>
    <hyperlink r:id="rId1037" ref="V540"/>
    <hyperlink r:id="rId1038" ref="W540"/>
    <hyperlink r:id="rId1039" ref="V541"/>
    <hyperlink r:id="rId1040" ref="W541"/>
    <hyperlink r:id="rId1041" ref="V542"/>
    <hyperlink r:id="rId1042" ref="W542"/>
    <hyperlink r:id="rId1043" ref="V543"/>
    <hyperlink r:id="rId1044" ref="W543"/>
    <hyperlink r:id="rId1045" ref="V544"/>
    <hyperlink r:id="rId1046" ref="W544"/>
    <hyperlink r:id="rId1047" ref="V545"/>
    <hyperlink r:id="rId1048" ref="W545"/>
    <hyperlink r:id="rId1049" ref="V546"/>
    <hyperlink r:id="rId1050" ref="W546"/>
    <hyperlink r:id="rId1051" ref="V547"/>
    <hyperlink r:id="rId1052" ref="W547"/>
    <hyperlink r:id="rId1053" ref="V548"/>
    <hyperlink r:id="rId1054" ref="W548"/>
    <hyperlink r:id="rId1055" ref="V549"/>
    <hyperlink r:id="rId1056" ref="W549"/>
    <hyperlink r:id="rId1057" ref="V550"/>
    <hyperlink r:id="rId1058" ref="W550"/>
    <hyperlink r:id="rId1059" ref="V551"/>
    <hyperlink r:id="rId1060" ref="W551"/>
    <hyperlink r:id="rId1061" ref="V552"/>
    <hyperlink r:id="rId1062" ref="W552"/>
    <hyperlink r:id="rId1063" ref="V553"/>
    <hyperlink r:id="rId1064" ref="W553"/>
    <hyperlink r:id="rId1065" ref="V554"/>
    <hyperlink r:id="rId1066" ref="W554"/>
    <hyperlink r:id="rId1067" ref="V555"/>
    <hyperlink r:id="rId1068" ref="W555"/>
    <hyperlink r:id="rId1069" ref="V556"/>
    <hyperlink r:id="rId1070" ref="W556"/>
    <hyperlink r:id="rId1071" ref="V557"/>
    <hyperlink r:id="rId1072" ref="W557"/>
    <hyperlink r:id="rId1073" ref="V558"/>
    <hyperlink r:id="rId1074" ref="W558"/>
    <hyperlink r:id="rId1075" ref="V559"/>
    <hyperlink r:id="rId1076" ref="W559"/>
    <hyperlink r:id="rId1077" ref="V560"/>
    <hyperlink r:id="rId1078" ref="W560"/>
    <hyperlink r:id="rId1079" ref="V561"/>
    <hyperlink r:id="rId1080" ref="W561"/>
    <hyperlink r:id="rId1081" ref="V562"/>
    <hyperlink r:id="rId1082" ref="V563"/>
    <hyperlink r:id="rId1083" ref="W563"/>
    <hyperlink r:id="rId1084" ref="V564"/>
    <hyperlink r:id="rId1085" ref="W564"/>
    <hyperlink r:id="rId1086" ref="V565"/>
    <hyperlink r:id="rId1087" ref="W565"/>
    <hyperlink r:id="rId1088" ref="V566"/>
    <hyperlink r:id="rId1089" ref="W566"/>
    <hyperlink r:id="rId1090" ref="V567"/>
    <hyperlink r:id="rId1091" ref="W567"/>
    <hyperlink r:id="rId1092" ref="V568"/>
    <hyperlink r:id="rId1093" ref="V569"/>
    <hyperlink r:id="rId1094" ref="W569"/>
    <hyperlink r:id="rId1095" ref="V570"/>
    <hyperlink r:id="rId1096" ref="W570"/>
    <hyperlink r:id="rId1097" ref="V571"/>
    <hyperlink r:id="rId1098" ref="W571"/>
    <hyperlink r:id="rId1099" ref="V572"/>
    <hyperlink r:id="rId1100" ref="W572"/>
    <hyperlink r:id="rId1101" ref="V573"/>
    <hyperlink r:id="rId1102" ref="W573"/>
    <hyperlink r:id="rId1103" ref="V574"/>
    <hyperlink r:id="rId1104" ref="W574"/>
    <hyperlink r:id="rId1105" ref="V575"/>
    <hyperlink r:id="rId1106" ref="W575"/>
    <hyperlink r:id="rId1107" ref="V576"/>
    <hyperlink r:id="rId1108" ref="W576"/>
    <hyperlink r:id="rId1109" ref="V577"/>
    <hyperlink r:id="rId1110" ref="W577"/>
    <hyperlink r:id="rId1111" ref="V578"/>
    <hyperlink r:id="rId1112" ref="W578"/>
    <hyperlink r:id="rId1113" ref="V579"/>
    <hyperlink r:id="rId1114" ref="W579"/>
    <hyperlink r:id="rId1115" ref="V580"/>
    <hyperlink r:id="rId1116" ref="W580"/>
    <hyperlink r:id="rId1117" ref="V581"/>
    <hyperlink r:id="rId1118" ref="W581"/>
    <hyperlink r:id="rId1119" ref="V582"/>
    <hyperlink r:id="rId1120" ref="W582"/>
    <hyperlink r:id="rId1121" ref="V583"/>
    <hyperlink r:id="rId1122" ref="W583"/>
    <hyperlink r:id="rId1123" ref="V584"/>
    <hyperlink r:id="rId1124" ref="W584"/>
    <hyperlink r:id="rId1125" ref="V585"/>
    <hyperlink r:id="rId1126" ref="W585"/>
    <hyperlink r:id="rId1127" ref="V586"/>
    <hyperlink r:id="rId1128" ref="W586"/>
    <hyperlink r:id="rId1129" ref="V587"/>
    <hyperlink r:id="rId1130" ref="W587"/>
    <hyperlink r:id="rId1131" ref="V588"/>
    <hyperlink r:id="rId1132" ref="W588"/>
    <hyperlink r:id="rId1133" ref="V589"/>
    <hyperlink r:id="rId1134" ref="V590"/>
    <hyperlink r:id="rId1135" ref="V591"/>
    <hyperlink r:id="rId1136" ref="V592"/>
    <hyperlink r:id="rId1137" ref="V593"/>
    <hyperlink r:id="rId1138" ref="W593"/>
    <hyperlink r:id="rId1139" ref="V594"/>
    <hyperlink r:id="rId1140" ref="W594"/>
    <hyperlink r:id="rId1141" ref="V595"/>
    <hyperlink r:id="rId1142" ref="W595"/>
    <hyperlink r:id="rId1143" ref="V596"/>
    <hyperlink r:id="rId1144" ref="W596"/>
    <hyperlink r:id="rId1145" ref="V597"/>
    <hyperlink r:id="rId1146" ref="W597"/>
    <hyperlink r:id="rId1147" ref="V598"/>
    <hyperlink r:id="rId1148" ref="W598"/>
    <hyperlink r:id="rId1149" ref="V599"/>
    <hyperlink r:id="rId1150" ref="W599"/>
    <hyperlink r:id="rId1151" ref="V600"/>
    <hyperlink r:id="rId1152" ref="W600"/>
    <hyperlink r:id="rId1153" ref="V601"/>
    <hyperlink r:id="rId1154" ref="W601"/>
    <hyperlink r:id="rId1155" ref="V602"/>
    <hyperlink r:id="rId1156" ref="W602"/>
    <hyperlink r:id="rId1157" ref="V603"/>
    <hyperlink r:id="rId1158" ref="W603"/>
    <hyperlink r:id="rId1159" ref="V604"/>
    <hyperlink r:id="rId1160" ref="W604"/>
    <hyperlink r:id="rId1161" ref="V605"/>
    <hyperlink r:id="rId1162" ref="W605"/>
    <hyperlink r:id="rId1163" ref="V606"/>
    <hyperlink r:id="rId1164" ref="W606"/>
    <hyperlink r:id="rId1165" ref="V607"/>
    <hyperlink r:id="rId1166" ref="W607"/>
    <hyperlink r:id="rId1167" ref="V608"/>
    <hyperlink r:id="rId1168" ref="W608"/>
    <hyperlink r:id="rId1169" ref="V609"/>
    <hyperlink r:id="rId1170" ref="W609"/>
    <hyperlink r:id="rId1171" ref="V610"/>
    <hyperlink r:id="rId1172" ref="W610"/>
    <hyperlink r:id="rId1173" ref="V611"/>
    <hyperlink r:id="rId1174" ref="V612"/>
    <hyperlink r:id="rId1175" ref="V613"/>
    <hyperlink r:id="rId1176" ref="W613"/>
    <hyperlink r:id="rId1177" ref="V614"/>
    <hyperlink r:id="rId1178" ref="W614"/>
    <hyperlink r:id="rId1179" ref="V615"/>
    <hyperlink r:id="rId1180" ref="W615"/>
    <hyperlink r:id="rId1181" ref="V616"/>
    <hyperlink r:id="rId1182" ref="W616"/>
    <hyperlink r:id="rId1183" ref="V617"/>
    <hyperlink r:id="rId1184" ref="V618"/>
    <hyperlink r:id="rId1185" ref="W618"/>
    <hyperlink r:id="rId1186" ref="V619"/>
    <hyperlink r:id="rId1187" ref="W619"/>
    <hyperlink r:id="rId1188" ref="V620"/>
    <hyperlink r:id="rId1189" ref="W620"/>
    <hyperlink r:id="rId1190" ref="V621"/>
    <hyperlink r:id="rId1191" ref="W621"/>
    <hyperlink r:id="rId1192" ref="V622"/>
    <hyperlink r:id="rId1193" ref="W622"/>
    <hyperlink r:id="rId1194" ref="V623"/>
    <hyperlink r:id="rId1195" ref="W623"/>
    <hyperlink r:id="rId1196" ref="V624"/>
    <hyperlink r:id="rId1197" ref="W624"/>
    <hyperlink r:id="rId1198" ref="V625"/>
    <hyperlink r:id="rId1199" ref="W625"/>
    <hyperlink r:id="rId1200" ref="V626"/>
    <hyperlink r:id="rId1201" ref="W626"/>
    <hyperlink r:id="rId1202" ref="V627"/>
    <hyperlink r:id="rId1203" ref="W627"/>
    <hyperlink r:id="rId1204" ref="V628"/>
    <hyperlink r:id="rId1205" ref="W628"/>
    <hyperlink r:id="rId1206" ref="V629"/>
    <hyperlink r:id="rId1207" ref="W629"/>
    <hyperlink r:id="rId1208" ref="V630"/>
    <hyperlink r:id="rId1209" ref="W630"/>
    <hyperlink r:id="rId1210" ref="V631"/>
    <hyperlink r:id="rId1211" ref="W631"/>
    <hyperlink r:id="rId1212" ref="V632"/>
    <hyperlink r:id="rId1213" ref="W632"/>
    <hyperlink r:id="rId1214" ref="V633"/>
    <hyperlink r:id="rId1215" ref="W633"/>
    <hyperlink r:id="rId1216" ref="V634"/>
    <hyperlink r:id="rId1217" ref="W634"/>
    <hyperlink r:id="rId1218" ref="V635"/>
    <hyperlink r:id="rId1219" ref="W635"/>
    <hyperlink r:id="rId1220" ref="V636"/>
    <hyperlink r:id="rId1221" ref="W636"/>
    <hyperlink r:id="rId1222" ref="V637"/>
    <hyperlink r:id="rId1223" ref="W637"/>
    <hyperlink r:id="rId1224" ref="V638"/>
    <hyperlink r:id="rId1225" ref="W638"/>
    <hyperlink r:id="rId1226" ref="V639"/>
    <hyperlink r:id="rId1227" ref="W639"/>
    <hyperlink r:id="rId1228" ref="V640"/>
    <hyperlink r:id="rId1229" ref="W640"/>
    <hyperlink r:id="rId1230" ref="V641"/>
    <hyperlink r:id="rId1231" ref="W641"/>
    <hyperlink r:id="rId1232" ref="V642"/>
    <hyperlink r:id="rId1233" ref="W642"/>
    <hyperlink r:id="rId1234" ref="V643"/>
    <hyperlink r:id="rId1235" ref="W643"/>
    <hyperlink r:id="rId1236" ref="V644"/>
    <hyperlink r:id="rId1237" ref="W644"/>
    <hyperlink r:id="rId1238" ref="V645"/>
    <hyperlink r:id="rId1239" ref="W645"/>
    <hyperlink r:id="rId1240" ref="V646"/>
    <hyperlink r:id="rId1241" ref="W646"/>
    <hyperlink r:id="rId1242" ref="V647"/>
    <hyperlink r:id="rId1243" ref="W647"/>
    <hyperlink r:id="rId1244" ref="V648"/>
    <hyperlink r:id="rId1245" ref="W648"/>
    <hyperlink r:id="rId1246" ref="V649"/>
    <hyperlink r:id="rId1247" ref="W649"/>
    <hyperlink r:id="rId1248" ref="W650"/>
    <hyperlink r:id="rId1249" ref="V651"/>
    <hyperlink r:id="rId1250" ref="W651"/>
    <hyperlink r:id="rId1251" ref="V652"/>
    <hyperlink r:id="rId1252" ref="W652"/>
    <hyperlink r:id="rId1253" ref="V653"/>
    <hyperlink r:id="rId1254" ref="W653"/>
    <hyperlink r:id="rId1255" ref="V654"/>
    <hyperlink r:id="rId1256" ref="W654"/>
    <hyperlink r:id="rId1257" ref="V655"/>
    <hyperlink r:id="rId1258" ref="W655"/>
    <hyperlink r:id="rId1259" ref="V656"/>
    <hyperlink r:id="rId1260" ref="W656"/>
    <hyperlink r:id="rId1261" ref="V657"/>
    <hyperlink r:id="rId1262" ref="W657"/>
    <hyperlink r:id="rId1263" ref="V658"/>
    <hyperlink r:id="rId1264" ref="W658"/>
    <hyperlink r:id="rId1265" ref="V659"/>
    <hyperlink r:id="rId1266" ref="W659"/>
    <hyperlink r:id="rId1267" ref="V660"/>
    <hyperlink r:id="rId1268" ref="W660"/>
    <hyperlink r:id="rId1269" ref="V661"/>
    <hyperlink r:id="rId1270" ref="W661"/>
    <hyperlink r:id="rId1271" ref="V662"/>
    <hyperlink r:id="rId1272" ref="W662"/>
    <hyperlink r:id="rId1273" ref="V663"/>
    <hyperlink r:id="rId1274" ref="W663"/>
    <hyperlink r:id="rId1275" ref="V664"/>
    <hyperlink r:id="rId1276" ref="W664"/>
    <hyperlink r:id="rId1277" ref="V665"/>
    <hyperlink r:id="rId1278" ref="W665"/>
    <hyperlink r:id="rId1279" ref="V666"/>
    <hyperlink r:id="rId1280" ref="W666"/>
    <hyperlink r:id="rId1281" ref="V667"/>
    <hyperlink r:id="rId1282" ref="W667"/>
    <hyperlink r:id="rId1283" ref="V668"/>
    <hyperlink r:id="rId1284" ref="W668"/>
    <hyperlink r:id="rId1285" ref="V669"/>
    <hyperlink r:id="rId1286" ref="W669"/>
    <hyperlink r:id="rId1287" ref="V670"/>
    <hyperlink r:id="rId1288" ref="W670"/>
    <hyperlink r:id="rId1289" ref="V671"/>
    <hyperlink r:id="rId1290" ref="W671"/>
    <hyperlink r:id="rId1291" ref="V672"/>
    <hyperlink r:id="rId1292" ref="V673"/>
    <hyperlink r:id="rId1293" ref="W673"/>
    <hyperlink r:id="rId1294" ref="V674"/>
    <hyperlink r:id="rId1295" ref="W674"/>
    <hyperlink r:id="rId1296" ref="V675"/>
    <hyperlink r:id="rId1297" ref="W675"/>
    <hyperlink r:id="rId1298" ref="V676"/>
    <hyperlink r:id="rId1299" ref="W676"/>
    <hyperlink r:id="rId1300" ref="V677"/>
    <hyperlink r:id="rId1301" ref="W677"/>
    <hyperlink r:id="rId1302" ref="V678"/>
    <hyperlink r:id="rId1303" ref="W678"/>
    <hyperlink r:id="rId1304" ref="V679"/>
    <hyperlink r:id="rId1305" ref="W679"/>
    <hyperlink r:id="rId1306" ref="V680"/>
    <hyperlink r:id="rId1307" ref="W680"/>
    <hyperlink r:id="rId1308" ref="V681"/>
    <hyperlink r:id="rId1309" ref="W681"/>
    <hyperlink r:id="rId1310" ref="V682"/>
    <hyperlink r:id="rId1311" ref="W682"/>
    <hyperlink r:id="rId1312" ref="V683"/>
    <hyperlink r:id="rId1313" ref="W683"/>
    <hyperlink r:id="rId1314" ref="V684"/>
    <hyperlink r:id="rId1315" ref="W684"/>
    <hyperlink r:id="rId1316" ref="V685"/>
    <hyperlink r:id="rId1317" ref="W685"/>
    <hyperlink r:id="rId1318" ref="V686"/>
    <hyperlink r:id="rId1319" ref="V687"/>
    <hyperlink r:id="rId1320" ref="W687"/>
    <hyperlink r:id="rId1321" ref="V688"/>
    <hyperlink r:id="rId1322" ref="W688"/>
    <hyperlink r:id="rId1323" ref="V689"/>
    <hyperlink r:id="rId1324" ref="W689"/>
    <hyperlink r:id="rId1325" ref="V690"/>
    <hyperlink r:id="rId1326" ref="W690"/>
    <hyperlink r:id="rId1327" ref="V691"/>
    <hyperlink r:id="rId1328" ref="V692"/>
    <hyperlink r:id="rId1329" ref="V693"/>
    <hyperlink r:id="rId1330" ref="V694"/>
    <hyperlink r:id="rId1331" location="rent" ref="V695"/>
    <hyperlink r:id="rId1332" ref="W695"/>
    <hyperlink r:id="rId1333" location="rent" ref="V696"/>
    <hyperlink r:id="rId1334" ref="W696"/>
    <hyperlink r:id="rId1335" location="food" ref="V697"/>
    <hyperlink r:id="rId1336" ref="W697"/>
    <hyperlink r:id="rId1337" location="food" ref="V698"/>
    <hyperlink r:id="rId1338" ref="W698"/>
    <hyperlink r:id="rId1339" location="rent" ref="V699"/>
    <hyperlink r:id="rId1340" ref="W699"/>
    <hyperlink r:id="rId1341" ref="W700"/>
    <hyperlink r:id="rId1342" ref="V701"/>
    <hyperlink r:id="rId1343" ref="W701"/>
    <hyperlink r:id="rId1344" ref="V702"/>
    <hyperlink r:id="rId1345" ref="W702"/>
    <hyperlink r:id="rId1346" ref="V703"/>
    <hyperlink r:id="rId1347" ref="W703"/>
    <hyperlink r:id="rId1348" ref="V704"/>
    <hyperlink r:id="rId1349" ref="W704"/>
    <hyperlink r:id="rId1350" ref="V705"/>
    <hyperlink r:id="rId1351" ref="W705"/>
    <hyperlink r:id="rId1352" ref="V706"/>
    <hyperlink r:id="rId1353" ref="W706"/>
    <hyperlink r:id="rId1354" ref="V707"/>
    <hyperlink r:id="rId1355" ref="W707"/>
    <hyperlink r:id="rId1356" ref="V708"/>
    <hyperlink r:id="rId1357" ref="W708"/>
    <hyperlink r:id="rId1358" ref="V709"/>
    <hyperlink r:id="rId1359" ref="W709"/>
    <hyperlink r:id="rId1360" ref="V710"/>
    <hyperlink r:id="rId1361" ref="W710"/>
    <hyperlink r:id="rId1362" ref="V711"/>
    <hyperlink r:id="rId1363" ref="W711"/>
    <hyperlink r:id="rId1364" ref="V712"/>
    <hyperlink r:id="rId1365" ref="W712"/>
    <hyperlink r:id="rId1366" ref="V713"/>
    <hyperlink r:id="rId1367" ref="W713"/>
    <hyperlink r:id="rId1368" ref="V714"/>
    <hyperlink r:id="rId1369" ref="W714"/>
    <hyperlink r:id="rId1370" ref="V715"/>
    <hyperlink r:id="rId1371" ref="V716"/>
    <hyperlink r:id="rId1372" ref="V717"/>
    <hyperlink r:id="rId1373" ref="V718"/>
    <hyperlink r:id="rId1374" ref="W718"/>
    <hyperlink r:id="rId1375" ref="V719"/>
    <hyperlink r:id="rId1376" ref="W719"/>
    <hyperlink r:id="rId1377" ref="V720"/>
    <hyperlink r:id="rId1378" ref="W720"/>
    <hyperlink r:id="rId1379" ref="V721"/>
    <hyperlink r:id="rId1380" ref="W721"/>
    <hyperlink r:id="rId1381" ref="V722"/>
    <hyperlink r:id="rId1382" ref="W722"/>
    <hyperlink r:id="rId1383" ref="V723"/>
    <hyperlink r:id="rId1384" ref="W723"/>
    <hyperlink r:id="rId1385" ref="V724"/>
    <hyperlink r:id="rId1386" ref="V725"/>
    <hyperlink r:id="rId1387" ref="V726"/>
    <hyperlink r:id="rId1388" ref="W726"/>
    <hyperlink r:id="rId1389" ref="V727"/>
    <hyperlink r:id="rId1390" ref="W727"/>
    <hyperlink r:id="rId1391" ref="V728"/>
    <hyperlink r:id="rId1392" ref="W728"/>
    <hyperlink r:id="rId1393" ref="V729"/>
    <hyperlink r:id="rId1394" ref="W729"/>
    <hyperlink r:id="rId1395" ref="V730"/>
    <hyperlink r:id="rId1396" ref="W730"/>
    <hyperlink r:id="rId1397" ref="V731"/>
    <hyperlink r:id="rId1398" ref="W731"/>
    <hyperlink r:id="rId1399" ref="V732"/>
    <hyperlink r:id="rId1400" ref="W732"/>
    <hyperlink r:id="rId1401" ref="V733"/>
    <hyperlink r:id="rId1402" ref="W733"/>
    <hyperlink r:id="rId1403" ref="V734"/>
    <hyperlink r:id="rId1404" ref="W734"/>
    <hyperlink r:id="rId1405" ref="V735"/>
    <hyperlink r:id="rId1406" ref="W735"/>
    <hyperlink r:id="rId1407" ref="V737"/>
    <hyperlink r:id="rId1408" ref="W737"/>
    <hyperlink r:id="rId1409" ref="V738"/>
    <hyperlink r:id="rId1410" ref="W738"/>
    <hyperlink r:id="rId1411" ref="V739"/>
    <hyperlink r:id="rId1412" ref="W739"/>
    <hyperlink r:id="rId1413" ref="V740"/>
    <hyperlink r:id="rId1414" ref="W740"/>
    <hyperlink r:id="rId1415" ref="V741"/>
    <hyperlink r:id="rId1416" ref="W741"/>
    <hyperlink r:id="rId1417" ref="V742"/>
    <hyperlink r:id="rId1418" ref="W742"/>
    <hyperlink r:id="rId1419" ref="V743"/>
    <hyperlink r:id="rId1420" ref="W743"/>
    <hyperlink r:id="rId1421" ref="V744"/>
    <hyperlink r:id="rId1422" ref="W744"/>
    <hyperlink r:id="rId1423" ref="V745"/>
    <hyperlink r:id="rId1424" ref="W745"/>
    <hyperlink r:id="rId1425" ref="V746"/>
    <hyperlink r:id="rId1426" ref="W746"/>
    <hyperlink r:id="rId1427" ref="V747"/>
    <hyperlink r:id="rId1428" ref="V748"/>
    <hyperlink r:id="rId1429" ref="W748"/>
    <hyperlink r:id="rId1430" ref="V749"/>
    <hyperlink r:id="rId1431" ref="W749"/>
    <hyperlink r:id="rId1432" ref="V750"/>
    <hyperlink r:id="rId1433" ref="W750"/>
    <hyperlink r:id="rId1434" ref="V751"/>
    <hyperlink r:id="rId1435" ref="W751"/>
    <hyperlink r:id="rId1436" ref="V752"/>
    <hyperlink r:id="rId1437" ref="W752"/>
    <hyperlink r:id="rId1438" ref="V753"/>
    <hyperlink r:id="rId1439" ref="W753"/>
    <hyperlink r:id="rId1440" ref="V754"/>
    <hyperlink r:id="rId1441" ref="W754"/>
    <hyperlink r:id="rId1442" ref="V755"/>
    <hyperlink r:id="rId1443" ref="W755"/>
    <hyperlink r:id="rId1444" ref="V756"/>
    <hyperlink r:id="rId1445" ref="W756"/>
    <hyperlink r:id="rId1446" ref="V757"/>
    <hyperlink r:id="rId1447" ref="W757"/>
    <hyperlink r:id="rId1448" ref="V758"/>
    <hyperlink r:id="rId1449" ref="W758"/>
    <hyperlink r:id="rId1450" ref="V759"/>
    <hyperlink r:id="rId1451" ref="W759"/>
    <hyperlink r:id="rId1452" ref="V760"/>
    <hyperlink r:id="rId1453" ref="W760"/>
    <hyperlink r:id="rId1454" ref="V761"/>
    <hyperlink r:id="rId1455" ref="W761"/>
    <hyperlink r:id="rId1456" ref="V762"/>
    <hyperlink r:id="rId1457" ref="W762"/>
    <hyperlink r:id="rId1458" ref="V763"/>
    <hyperlink r:id="rId1459" ref="W763"/>
    <hyperlink r:id="rId1460" ref="V764"/>
    <hyperlink r:id="rId1461" ref="W764"/>
    <hyperlink r:id="rId1462" ref="V765"/>
    <hyperlink r:id="rId1463" ref="W765"/>
    <hyperlink r:id="rId1464" ref="V766"/>
    <hyperlink r:id="rId1465" ref="W766"/>
    <hyperlink r:id="rId1466" location="societyofstvincentdepaul" ref="V767"/>
    <hyperlink r:id="rId1467" ref="W767"/>
    <hyperlink r:id="rId1468" location="societyofstvincentdepaul" ref="V768"/>
    <hyperlink r:id="rId1469" ref="W768"/>
    <hyperlink r:id="rId1470" ref="V769"/>
    <hyperlink r:id="rId1471" ref="W769"/>
    <hyperlink r:id="rId1472" ref="V770"/>
    <hyperlink r:id="rId1473" ref="W770"/>
    <hyperlink r:id="rId1474" ref="V771"/>
    <hyperlink r:id="rId1475" ref="W771"/>
    <hyperlink r:id="rId1476" ref="V772"/>
    <hyperlink r:id="rId1477" ref="W772"/>
    <hyperlink r:id="rId1478" ref="V773"/>
    <hyperlink r:id="rId1479" ref="W773"/>
    <hyperlink r:id="rId1480" ref="V774"/>
    <hyperlink r:id="rId1481" ref="W774"/>
    <hyperlink r:id="rId1482" ref="V775"/>
    <hyperlink r:id="rId1483" ref="W775"/>
    <hyperlink r:id="rId1484" ref="V776"/>
    <hyperlink r:id="rId1485" ref="W776"/>
    <hyperlink r:id="rId1486" ref="V777"/>
    <hyperlink r:id="rId1487" ref="W777"/>
    <hyperlink r:id="rId1488" ref="V778"/>
    <hyperlink r:id="rId1489" ref="W778"/>
    <hyperlink r:id="rId1490" ref="V779"/>
    <hyperlink r:id="rId1491" ref="W779"/>
    <hyperlink r:id="rId1492" ref="V780"/>
    <hyperlink r:id="rId1493" ref="W780"/>
    <hyperlink r:id="rId1494" ref="V781"/>
    <hyperlink r:id="rId1495" ref="W781"/>
    <hyperlink r:id="rId1496" ref="V782"/>
    <hyperlink r:id="rId1497" ref="W782"/>
    <hyperlink r:id="rId1498" ref="V783"/>
    <hyperlink r:id="rId1499" ref="W783"/>
    <hyperlink r:id="rId1500" ref="V784"/>
    <hyperlink r:id="rId1501" ref="W784"/>
    <hyperlink r:id="rId1502" ref="V785"/>
    <hyperlink r:id="rId1503" ref="W785"/>
    <hyperlink r:id="rId1504" ref="V786"/>
    <hyperlink r:id="rId1505" ref="W786"/>
    <hyperlink r:id="rId1506" ref="V787"/>
    <hyperlink r:id="rId1507" ref="W787"/>
    <hyperlink r:id="rId1508" ref="V788"/>
    <hyperlink r:id="rId1509" ref="W788"/>
    <hyperlink r:id="rId1510" ref="V789"/>
    <hyperlink r:id="rId1511" ref="W789"/>
    <hyperlink r:id="rId1512" ref="V790"/>
    <hyperlink r:id="rId1513" ref="W790"/>
    <hyperlink r:id="rId1514" ref="V791"/>
    <hyperlink r:id="rId1515" ref="W791"/>
    <hyperlink r:id="rId1516" ref="V792"/>
    <hyperlink r:id="rId1517" ref="W792"/>
    <hyperlink r:id="rId1518" ref="V793"/>
    <hyperlink r:id="rId1519" ref="W793"/>
    <hyperlink r:id="rId1520" ref="V794"/>
    <hyperlink r:id="rId1521" ref="W794"/>
    <hyperlink r:id="rId1522" ref="V795"/>
    <hyperlink r:id="rId1523" ref="W795"/>
    <hyperlink r:id="rId1524" ref="V796"/>
    <hyperlink r:id="rId1525" ref="W796"/>
    <hyperlink r:id="rId1526" ref="V797"/>
    <hyperlink r:id="rId1527" ref="W797"/>
    <hyperlink r:id="rId1528" ref="V798"/>
    <hyperlink r:id="rId1529" ref="W798"/>
    <hyperlink r:id="rId1530" ref="V799"/>
    <hyperlink r:id="rId1531" ref="W799"/>
    <hyperlink r:id="rId1532" ref="V800"/>
    <hyperlink r:id="rId1533" ref="W800"/>
    <hyperlink r:id="rId1534" ref="V801"/>
    <hyperlink r:id="rId1535" ref="W801"/>
    <hyperlink r:id="rId1536" ref="V802"/>
    <hyperlink r:id="rId1537" ref="W802"/>
    <hyperlink r:id="rId1538" ref="V803"/>
    <hyperlink r:id="rId1539" ref="W803"/>
    <hyperlink r:id="rId1540" ref="V804"/>
    <hyperlink r:id="rId1541" ref="W804"/>
    <hyperlink r:id="rId1542" ref="V805"/>
    <hyperlink r:id="rId1543" ref="W805"/>
    <hyperlink r:id="rId1544" ref="V806"/>
    <hyperlink r:id="rId1545" ref="W806"/>
    <hyperlink r:id="rId1546" ref="V807"/>
    <hyperlink r:id="rId1547" ref="W807"/>
    <hyperlink r:id="rId1548" ref="V808"/>
    <hyperlink r:id="rId1549" ref="W808"/>
    <hyperlink r:id="rId1550" ref="V809"/>
    <hyperlink r:id="rId1551" ref="W809"/>
    <hyperlink r:id="rId1552" ref="V810"/>
    <hyperlink r:id="rId1553" ref="W810"/>
    <hyperlink r:id="rId1554" ref="V811"/>
    <hyperlink r:id="rId1555" ref="W811"/>
    <hyperlink r:id="rId1556" ref="V812"/>
    <hyperlink r:id="rId1557" ref="W812"/>
    <hyperlink r:id="rId1558" ref="V813"/>
    <hyperlink r:id="rId1559" ref="W813"/>
    <hyperlink r:id="rId1560" ref="V814"/>
    <hyperlink r:id="rId1561" ref="W814"/>
    <hyperlink r:id="rId1562" ref="V815"/>
    <hyperlink r:id="rId1563" ref="W815"/>
    <hyperlink r:id="rId1564" ref="V816"/>
    <hyperlink r:id="rId1565" ref="W816"/>
    <hyperlink r:id="rId1566" ref="V817"/>
    <hyperlink r:id="rId1567" ref="W817"/>
    <hyperlink r:id="rId1568" ref="V818"/>
    <hyperlink r:id="rId1569" ref="W818"/>
    <hyperlink r:id="rId1570" ref="V819"/>
    <hyperlink r:id="rId1571" ref="W819"/>
    <hyperlink r:id="rId1572" ref="V820"/>
    <hyperlink r:id="rId1573" ref="W820"/>
    <hyperlink r:id="rId1574" ref="V821"/>
    <hyperlink r:id="rId1575" ref="W821"/>
    <hyperlink r:id="rId1576" ref="V822"/>
    <hyperlink r:id="rId1577" ref="W822"/>
    <hyperlink r:id="rId1578" ref="V823"/>
    <hyperlink r:id="rId1579" ref="W823"/>
    <hyperlink r:id="rId1580" ref="V824"/>
    <hyperlink r:id="rId1581" ref="W824"/>
    <hyperlink r:id="rId1582" ref="V825"/>
    <hyperlink r:id="rId1583" ref="W825"/>
    <hyperlink r:id="rId1584" ref="V826"/>
    <hyperlink r:id="rId1585" ref="W826"/>
    <hyperlink r:id="rId1586" ref="V827"/>
    <hyperlink r:id="rId1587" ref="W827"/>
    <hyperlink r:id="rId1588" ref="V828"/>
    <hyperlink r:id="rId1589" ref="W828"/>
    <hyperlink r:id="rId1590" ref="V829"/>
    <hyperlink r:id="rId1591" ref="W829"/>
    <hyperlink r:id="rId1592" ref="V830"/>
    <hyperlink r:id="rId1593" ref="W830"/>
    <hyperlink r:id="rId1594" ref="V831"/>
    <hyperlink r:id="rId1595" ref="W831"/>
    <hyperlink r:id="rId1596" ref="V832"/>
    <hyperlink r:id="rId1597" ref="W832"/>
    <hyperlink r:id="rId1598" ref="V833"/>
    <hyperlink r:id="rId1599" ref="W833"/>
    <hyperlink r:id="rId1600" ref="V834"/>
    <hyperlink r:id="rId1601" ref="W834"/>
    <hyperlink r:id="rId1602" ref="V835"/>
    <hyperlink r:id="rId1603" ref="W835"/>
    <hyperlink r:id="rId1604" ref="V836"/>
    <hyperlink r:id="rId1605" ref="W836"/>
    <hyperlink r:id="rId1606" ref="V837"/>
    <hyperlink r:id="rId1607" ref="W837"/>
    <hyperlink r:id="rId1608" ref="V838"/>
    <hyperlink r:id="rId1609" ref="W838"/>
    <hyperlink r:id="rId1610" ref="V839"/>
    <hyperlink r:id="rId1611" ref="W839"/>
    <hyperlink r:id="rId1612" ref="V840"/>
    <hyperlink r:id="rId1613" ref="W840"/>
    <hyperlink r:id="rId1614" ref="V841"/>
    <hyperlink r:id="rId1615" ref="W841"/>
    <hyperlink r:id="rId1616" ref="V842"/>
    <hyperlink r:id="rId1617" ref="W842"/>
    <hyperlink r:id="rId1618" ref="V843"/>
    <hyperlink r:id="rId1619" ref="W843"/>
    <hyperlink r:id="rId1620" ref="V844"/>
    <hyperlink r:id="rId1621" ref="W844"/>
    <hyperlink r:id="rId1622" ref="V845"/>
    <hyperlink r:id="rId1623" ref="W845"/>
    <hyperlink r:id="rId1624" ref="V846"/>
    <hyperlink r:id="rId1625" ref="W846"/>
    <hyperlink r:id="rId1626" ref="V847"/>
    <hyperlink r:id="rId1627" ref="W847"/>
    <hyperlink r:id="rId1628" ref="V848"/>
    <hyperlink r:id="rId1629" ref="W848"/>
    <hyperlink r:id="rId1630" ref="V849"/>
    <hyperlink r:id="rId1631" ref="W849"/>
    <hyperlink r:id="rId1632" ref="V850"/>
    <hyperlink r:id="rId1633" ref="W850"/>
    <hyperlink r:id="rId1634" ref="V851"/>
    <hyperlink r:id="rId1635" ref="W851"/>
    <hyperlink r:id="rId1636" ref="V852"/>
    <hyperlink r:id="rId1637" ref="W852"/>
    <hyperlink r:id="rId1638" ref="V853"/>
    <hyperlink r:id="rId1639" ref="W853"/>
    <hyperlink r:id="rId1640" ref="V854"/>
    <hyperlink r:id="rId1641" ref="W854"/>
    <hyperlink r:id="rId1642" ref="V855"/>
    <hyperlink r:id="rId1643" ref="W855"/>
    <hyperlink r:id="rId1644" ref="V856"/>
    <hyperlink r:id="rId1645" ref="W856"/>
    <hyperlink r:id="rId1646" ref="V857"/>
    <hyperlink r:id="rId1647" ref="W857"/>
    <hyperlink r:id="rId1648" ref="V858"/>
    <hyperlink r:id="rId1649" ref="W858"/>
    <hyperlink r:id="rId1650" ref="V859"/>
    <hyperlink r:id="rId1651" ref="W859"/>
    <hyperlink r:id="rId1652" ref="V860"/>
    <hyperlink r:id="rId1653" ref="W860"/>
    <hyperlink r:id="rId1654" ref="V861"/>
    <hyperlink r:id="rId1655" ref="W861"/>
    <hyperlink r:id="rId1656" ref="V862"/>
    <hyperlink r:id="rId1657" ref="W862"/>
    <hyperlink r:id="rId1658" ref="V863"/>
    <hyperlink r:id="rId1659" ref="W863"/>
    <hyperlink r:id="rId1660" ref="V864"/>
    <hyperlink r:id="rId1661" ref="W864"/>
    <hyperlink r:id="rId1662" ref="V865"/>
    <hyperlink r:id="rId1663" ref="W865"/>
    <hyperlink r:id="rId1664" ref="V866"/>
    <hyperlink r:id="rId1665" ref="W866"/>
    <hyperlink r:id="rId1666" ref="V867"/>
    <hyperlink r:id="rId1667" ref="W867"/>
    <hyperlink r:id="rId1668" ref="V868"/>
    <hyperlink r:id="rId1669" ref="W868"/>
    <hyperlink r:id="rId1670" ref="V869"/>
    <hyperlink r:id="rId1671" ref="W869"/>
    <hyperlink r:id="rId1672" ref="V870"/>
    <hyperlink r:id="rId1673" ref="W870"/>
    <hyperlink r:id="rId1674" ref="V871"/>
    <hyperlink r:id="rId1675" ref="W871"/>
    <hyperlink r:id="rId1676" ref="V872"/>
    <hyperlink r:id="rId1677" ref="W872"/>
    <hyperlink r:id="rId1678" ref="V873"/>
    <hyperlink r:id="rId1679" ref="W873"/>
    <hyperlink r:id="rId1680" ref="V874"/>
    <hyperlink r:id="rId1681" ref="W874"/>
    <hyperlink r:id="rId1682" ref="V875"/>
    <hyperlink r:id="rId1683" ref="W875"/>
    <hyperlink r:id="rId1684" ref="V876"/>
    <hyperlink r:id="rId1685" ref="W876"/>
    <hyperlink r:id="rId1686" ref="V877"/>
    <hyperlink r:id="rId1687" ref="W877"/>
    <hyperlink r:id="rId1688" ref="V878"/>
    <hyperlink r:id="rId1689" ref="W878"/>
    <hyperlink r:id="rId1690" ref="V879"/>
    <hyperlink r:id="rId1691" ref="W879"/>
    <hyperlink r:id="rId1692" ref="V880"/>
    <hyperlink r:id="rId1693" ref="W880"/>
    <hyperlink r:id="rId1694" ref="V881"/>
    <hyperlink r:id="rId1695" ref="W881"/>
    <hyperlink r:id="rId1696" ref="V882"/>
    <hyperlink r:id="rId1697" ref="W882"/>
    <hyperlink r:id="rId1698" ref="V883"/>
    <hyperlink r:id="rId1699" ref="W883"/>
    <hyperlink r:id="rId1700" ref="V884"/>
    <hyperlink r:id="rId1701" ref="W884"/>
    <hyperlink r:id="rId1702" ref="V885"/>
    <hyperlink r:id="rId1703" ref="W885"/>
    <hyperlink r:id="rId1704" ref="V886"/>
    <hyperlink r:id="rId1705" ref="W886"/>
    <hyperlink r:id="rId1706" ref="V887"/>
    <hyperlink r:id="rId1707" ref="W887"/>
    <hyperlink r:id="rId1708" ref="V888"/>
    <hyperlink r:id="rId1709" ref="W888"/>
    <hyperlink r:id="rId1710" ref="V889"/>
    <hyperlink r:id="rId1711" ref="W889"/>
    <hyperlink r:id="rId1712" ref="V890"/>
    <hyperlink r:id="rId1713" ref="W890"/>
    <hyperlink r:id="rId1714" ref="V891"/>
    <hyperlink r:id="rId1715" ref="W891"/>
    <hyperlink r:id="rId1716" ref="V892"/>
    <hyperlink r:id="rId1717" ref="W892"/>
    <hyperlink r:id="rId1718" ref="V893"/>
    <hyperlink r:id="rId1719" ref="W893"/>
    <hyperlink r:id="rId1720" ref="V894"/>
    <hyperlink r:id="rId1721" ref="W894"/>
    <hyperlink r:id="rId1722" ref="V895"/>
    <hyperlink r:id="rId1723" ref="W895"/>
    <hyperlink r:id="rId1724" ref="V896"/>
    <hyperlink r:id="rId1725" ref="W896"/>
    <hyperlink r:id="rId1726" ref="V897"/>
    <hyperlink r:id="rId1727" ref="W897"/>
    <hyperlink r:id="rId1728" ref="V898"/>
    <hyperlink r:id="rId1729" ref="W898"/>
    <hyperlink r:id="rId1730" ref="V899"/>
    <hyperlink r:id="rId1731" ref="W899"/>
    <hyperlink r:id="rId1732" ref="V900"/>
    <hyperlink r:id="rId1733" ref="W900"/>
    <hyperlink r:id="rId1734" ref="V901"/>
    <hyperlink r:id="rId1735" ref="W901"/>
    <hyperlink r:id="rId1736" ref="V902"/>
    <hyperlink r:id="rId1737" ref="W902"/>
    <hyperlink r:id="rId1738" ref="V903"/>
    <hyperlink r:id="rId1739" ref="W903"/>
    <hyperlink r:id="rId1740" ref="V904"/>
    <hyperlink r:id="rId1741" ref="W904"/>
    <hyperlink r:id="rId1742" ref="V905"/>
    <hyperlink r:id="rId1743" ref="W905"/>
    <hyperlink r:id="rId1744" ref="V906"/>
    <hyperlink r:id="rId1745" ref="W906"/>
    <hyperlink r:id="rId1746" ref="V907"/>
    <hyperlink r:id="rId1747" ref="W907"/>
    <hyperlink r:id="rId1748" ref="V908"/>
    <hyperlink r:id="rId1749" ref="V909"/>
    <hyperlink r:id="rId1750" ref="W909"/>
    <hyperlink r:id="rId1751" ref="V910"/>
    <hyperlink r:id="rId1752" ref="W910"/>
    <hyperlink r:id="rId1753" ref="V911"/>
    <hyperlink r:id="rId1754" ref="W911"/>
    <hyperlink r:id="rId1755" ref="V912"/>
    <hyperlink r:id="rId1756" ref="W912"/>
    <hyperlink r:id="rId1757" ref="V913"/>
    <hyperlink r:id="rId1758" ref="W913"/>
    <hyperlink r:id="rId1759" ref="V914"/>
    <hyperlink r:id="rId1760" ref="W914"/>
    <hyperlink r:id="rId1761" ref="V915"/>
    <hyperlink r:id="rId1762" ref="W915"/>
    <hyperlink r:id="rId1763" ref="V916"/>
    <hyperlink r:id="rId1764" ref="W916"/>
    <hyperlink r:id="rId1765" ref="V917"/>
    <hyperlink r:id="rId1766" ref="W917"/>
    <hyperlink r:id="rId1767" ref="V918"/>
    <hyperlink r:id="rId1768" ref="W918"/>
    <hyperlink r:id="rId1769" ref="V919"/>
    <hyperlink r:id="rId1770" ref="W919"/>
    <hyperlink r:id="rId1771" ref="V920"/>
    <hyperlink r:id="rId1772" ref="W920"/>
    <hyperlink r:id="rId1773" ref="V921"/>
    <hyperlink r:id="rId1774" ref="W921"/>
    <hyperlink r:id="rId1775" ref="V922"/>
    <hyperlink r:id="rId1776" ref="V923"/>
    <hyperlink r:id="rId1777" ref="V924"/>
    <hyperlink r:id="rId1778" ref="W924"/>
    <hyperlink r:id="rId1779" ref="V925"/>
    <hyperlink r:id="rId1780" ref="W925"/>
    <hyperlink r:id="rId1781" ref="V926"/>
    <hyperlink r:id="rId1782" ref="V927"/>
    <hyperlink r:id="rId1783" ref="V928"/>
    <hyperlink r:id="rId1784" ref="V929"/>
    <hyperlink r:id="rId1785" ref="V930"/>
    <hyperlink r:id="rId1786" ref="W930"/>
    <hyperlink r:id="rId1787" ref="V931"/>
    <hyperlink r:id="rId1788" ref="W931"/>
    <hyperlink r:id="rId1789" ref="V932"/>
    <hyperlink r:id="rId1790" ref="W932"/>
    <hyperlink r:id="rId1791" ref="V933"/>
    <hyperlink r:id="rId1792" ref="W933"/>
    <hyperlink r:id="rId1793" ref="V934"/>
    <hyperlink r:id="rId1794" ref="W934"/>
    <hyperlink r:id="rId1795" ref="V935"/>
    <hyperlink r:id="rId1796" ref="W935"/>
    <hyperlink r:id="rId1797" ref="V936"/>
    <hyperlink r:id="rId1798" ref="W936"/>
    <hyperlink r:id="rId1799" ref="V937"/>
    <hyperlink r:id="rId1800" ref="W937"/>
    <hyperlink r:id="rId1801" ref="V938"/>
    <hyperlink r:id="rId1802" ref="W938"/>
    <hyperlink r:id="rId1803" ref="V939"/>
    <hyperlink r:id="rId1804" ref="W939"/>
    <hyperlink r:id="rId1805" ref="V940"/>
    <hyperlink r:id="rId1806" ref="W940"/>
    <hyperlink r:id="rId1807" ref="V941"/>
    <hyperlink r:id="rId1808" ref="W941"/>
    <hyperlink r:id="rId1809" ref="V942"/>
    <hyperlink r:id="rId1810" ref="W942"/>
    <hyperlink r:id="rId1811" ref="V943"/>
    <hyperlink r:id="rId1812" ref="W943"/>
    <hyperlink r:id="rId1813" ref="V944"/>
    <hyperlink r:id="rId1814" ref="W944"/>
    <hyperlink r:id="rId1815" ref="V945"/>
    <hyperlink r:id="rId1816" ref="W945"/>
    <hyperlink r:id="rId1817" ref="V946"/>
    <hyperlink r:id="rId1818" ref="W946"/>
    <hyperlink r:id="rId1819" ref="V947"/>
    <hyperlink r:id="rId1820" ref="W947"/>
    <hyperlink r:id="rId1821" ref="V948"/>
    <hyperlink r:id="rId1822" ref="W948"/>
    <hyperlink r:id="rId1823" ref="V949"/>
    <hyperlink r:id="rId1824" ref="V950"/>
    <hyperlink r:id="rId1825" ref="V951"/>
    <hyperlink r:id="rId1826" ref="W951"/>
    <hyperlink r:id="rId1827" ref="V952"/>
    <hyperlink r:id="rId1828" ref="W952"/>
    <hyperlink r:id="rId1829" ref="V953"/>
    <hyperlink r:id="rId1830" ref="W953"/>
    <hyperlink r:id="rId1831" ref="V954"/>
    <hyperlink r:id="rId1832" ref="W954"/>
    <hyperlink r:id="rId1833" ref="V955"/>
    <hyperlink r:id="rId1834" ref="W955"/>
    <hyperlink r:id="rId1835" ref="V956"/>
    <hyperlink r:id="rId1836" ref="W956"/>
    <hyperlink r:id="rId1837" ref="V957"/>
    <hyperlink r:id="rId1838" ref="W957"/>
    <hyperlink r:id="rId1839" ref="V958"/>
    <hyperlink r:id="rId1840" ref="W958"/>
    <hyperlink r:id="rId1841" ref="V959"/>
    <hyperlink r:id="rId1842" ref="V960"/>
    <hyperlink r:id="rId1843" ref="W960"/>
    <hyperlink r:id="rId1844" ref="V961"/>
    <hyperlink r:id="rId1845" ref="W961"/>
    <hyperlink r:id="rId1846" ref="V962"/>
    <hyperlink r:id="rId1847" ref="W962"/>
    <hyperlink r:id="rId1848" ref="V963"/>
    <hyperlink r:id="rId1849" ref="W963"/>
    <hyperlink r:id="rId1850" ref="V964"/>
    <hyperlink r:id="rId1851" ref="W964"/>
    <hyperlink r:id="rId1852" ref="V965"/>
    <hyperlink r:id="rId1853" ref="W965"/>
    <hyperlink r:id="rId1854" ref="V966"/>
    <hyperlink r:id="rId1855" ref="W966"/>
    <hyperlink r:id="rId1856" ref="V967"/>
    <hyperlink r:id="rId1857" ref="W967"/>
    <hyperlink r:id="rId1858" ref="V968"/>
    <hyperlink r:id="rId1859" ref="W968"/>
    <hyperlink r:id="rId1860" ref="V969"/>
    <hyperlink r:id="rId1861" ref="W969"/>
    <hyperlink r:id="rId1862" ref="V970"/>
    <hyperlink r:id="rId1863" ref="W970"/>
    <hyperlink r:id="rId1864" ref="V971"/>
    <hyperlink r:id="rId1865" ref="W971"/>
    <hyperlink r:id="rId1866" ref="V972"/>
    <hyperlink r:id="rId1867" ref="W972"/>
    <hyperlink r:id="rId1868" ref="V973"/>
    <hyperlink r:id="rId1869" ref="W973"/>
    <hyperlink r:id="rId1870" ref="V974"/>
    <hyperlink r:id="rId1871" ref="W974"/>
    <hyperlink r:id="rId1872" ref="V975"/>
    <hyperlink r:id="rId1873" ref="W975"/>
    <hyperlink r:id="rId1874" ref="V976"/>
    <hyperlink r:id="rId1875" ref="W976"/>
    <hyperlink r:id="rId1876" ref="V977"/>
    <hyperlink r:id="rId1877" ref="W977"/>
    <hyperlink r:id="rId1878" ref="V978"/>
    <hyperlink r:id="rId1879" ref="W978"/>
    <hyperlink r:id="rId1880" ref="V979"/>
    <hyperlink r:id="rId1881" ref="W979"/>
    <hyperlink r:id="rId1882" ref="V980"/>
    <hyperlink r:id="rId1883" ref="W980"/>
    <hyperlink r:id="rId1884" ref="V981"/>
    <hyperlink r:id="rId1885" ref="W981"/>
    <hyperlink r:id="rId1886" ref="V982"/>
    <hyperlink r:id="rId1887" ref="W982"/>
    <hyperlink r:id="rId1888" ref="V983"/>
    <hyperlink r:id="rId1889" ref="W983"/>
    <hyperlink r:id="rId1890" ref="V984"/>
    <hyperlink r:id="rId1891" ref="W984"/>
    <hyperlink r:id="rId1892" ref="V985"/>
    <hyperlink r:id="rId1893" ref="W985"/>
    <hyperlink r:id="rId1894" ref="V986"/>
    <hyperlink r:id="rId1895" ref="V987"/>
    <hyperlink r:id="rId1896" ref="V988"/>
  </hyperlinks>
  <drawing r:id="rId18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3.0"/>
    <col customWidth="1" min="3" max="4" width="26.63"/>
    <col customWidth="1" min="7" max="8" width="16.38"/>
    <col customWidth="1" min="9" max="10" width="20.5"/>
    <col customWidth="1" min="11" max="11" width="14.25"/>
    <col customWidth="1" min="12" max="12" width="29.88"/>
    <col customWidth="1" min="13" max="13" width="11.38"/>
    <col customWidth="1" min="14" max="14" width="15.13"/>
    <col customWidth="1" min="15" max="15" width="13.63"/>
    <col customWidth="1" min="16" max="16" width="19.0"/>
    <col customWidth="1" min="17" max="17" width="14.25"/>
    <col customWidth="1" min="18" max="18" width="65.75"/>
    <col customWidth="1" min="19" max="19" width="14.38"/>
    <col customWidth="1" min="20" max="20" width="13.38"/>
    <col customWidth="1" min="21" max="21" width="23.25"/>
    <col customWidth="1" min="22" max="22" width="18.88"/>
    <col customWidth="1" min="23" max="23" width="20.75"/>
    <col customWidth="1" min="25" max="25" width="14.38"/>
    <col customWidth="1" min="26" max="26" width="51.25"/>
    <col customWidth="1" min="27" max="27" width="57.63"/>
    <col customWidth="1" min="28" max="28" width="34.0"/>
    <col customWidth="1" min="29" max="29" width="27.75"/>
    <col customWidth="1" min="30" max="32" width="34.0"/>
  </cols>
  <sheetData>
    <row r="1">
      <c r="A1" s="20" t="s">
        <v>2</v>
      </c>
      <c r="B1" s="21" t="s">
        <v>3</v>
      </c>
      <c r="C1" s="22" t="s">
        <v>4</v>
      </c>
      <c r="D1" s="22" t="s">
        <v>5</v>
      </c>
      <c r="E1" s="22" t="s">
        <v>6</v>
      </c>
      <c r="F1" s="22" t="s">
        <v>7</v>
      </c>
      <c r="G1" s="23" t="s">
        <v>8</v>
      </c>
      <c r="H1" s="23" t="s">
        <v>9</v>
      </c>
      <c r="I1" s="24" t="s">
        <v>10</v>
      </c>
      <c r="J1" s="23" t="s">
        <v>11</v>
      </c>
      <c r="K1" s="25" t="s">
        <v>12</v>
      </c>
      <c r="L1" s="22" t="s">
        <v>13</v>
      </c>
      <c r="M1" s="26" t="s">
        <v>14</v>
      </c>
      <c r="N1" s="27" t="s">
        <v>15</v>
      </c>
      <c r="O1" s="23" t="s">
        <v>16</v>
      </c>
      <c r="P1" s="23" t="s">
        <v>17</v>
      </c>
      <c r="Q1" s="23" t="s">
        <v>18</v>
      </c>
      <c r="R1" s="23" t="s">
        <v>19</v>
      </c>
      <c r="S1" s="23" t="s">
        <v>20</v>
      </c>
      <c r="T1" s="23" t="s">
        <v>21</v>
      </c>
      <c r="U1" s="28" t="s">
        <v>22</v>
      </c>
      <c r="V1" s="29" t="s">
        <v>23</v>
      </c>
      <c r="W1" s="29" t="s">
        <v>24</v>
      </c>
      <c r="X1" s="29" t="s">
        <v>25</v>
      </c>
      <c r="Y1" s="30" t="s">
        <v>26</v>
      </c>
      <c r="Z1" s="31" t="s">
        <v>27</v>
      </c>
      <c r="AA1" s="30" t="s">
        <v>28</v>
      </c>
      <c r="AB1" s="32" t="s">
        <v>29</v>
      </c>
      <c r="AC1" s="33" t="s">
        <v>30</v>
      </c>
      <c r="AD1" s="32" t="s">
        <v>31</v>
      </c>
      <c r="AE1" s="32"/>
      <c r="AF1" s="32"/>
    </row>
    <row r="2" ht="66.75" customHeight="1">
      <c r="A2" s="34" t="s">
        <v>32</v>
      </c>
      <c r="B2" s="35" t="s">
        <v>33</v>
      </c>
      <c r="C2" s="36" t="s">
        <v>34</v>
      </c>
      <c r="D2" s="36" t="s">
        <v>35</v>
      </c>
      <c r="E2" s="36" t="s">
        <v>36</v>
      </c>
      <c r="F2" s="36" t="s">
        <v>37</v>
      </c>
      <c r="G2" s="35" t="s">
        <v>38</v>
      </c>
      <c r="H2" s="35" t="s">
        <v>39</v>
      </c>
      <c r="I2" s="35" t="s">
        <v>40</v>
      </c>
      <c r="J2" s="35"/>
      <c r="K2" s="37">
        <f>IFERROR(__xludf.DUMMYFUNCTION("query(assistance!$A$2:$E988,""Select C Where D = '""&amp;L2&amp;""'"")"),65.0)</f>
        <v>65</v>
      </c>
      <c r="L2" s="36" t="s">
        <v>41</v>
      </c>
      <c r="M2" s="38">
        <f>if(N2="Inactive",3,if(N2="Limited", 2, 1))</f>
        <v>1</v>
      </c>
      <c r="N2" s="39" t="s">
        <v>42</v>
      </c>
      <c r="O2" s="40">
        <v>45789.0</v>
      </c>
      <c r="P2" s="35" t="s">
        <v>43</v>
      </c>
      <c r="Q2" s="35"/>
      <c r="R2" s="35" t="s">
        <v>44</v>
      </c>
      <c r="S2" s="35" t="b">
        <v>0</v>
      </c>
      <c r="T2" s="35" t="b">
        <v>0</v>
      </c>
      <c r="U2" s="41" t="str">
        <f>IFERROR(__xludf.DUMMYFUNCTION("""["" &amp; JOIN("", "", ARRAYFORMULA("""""""" &amp; TRIM(SPLIT(A2,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V2" s="42" t="s">
        <v>45</v>
      </c>
      <c r="W2" s="42" t="s">
        <v>46</v>
      </c>
      <c r="X2" s="43"/>
      <c r="Y2" s="44" t="str">
        <f>vlookup(G2,zip_codes!$B$6:$J988,3,false)</f>
        <v>Houston</v>
      </c>
      <c r="Z2" s="45" t="str">
        <f>vlookup(G2,zip_codes!$B$6:$J988,9,false)</f>
        <v>MacGregor, Riverside Terrace, South Side</v>
      </c>
      <c r="AA2" s="44" t="str">
        <f>vlookup(B2,organizations!$B$1:$C988,2,false)</f>
        <v>3 "A" Bereavement Foundation (3ABF)</v>
      </c>
      <c r="AB2" s="46" t="s">
        <v>47</v>
      </c>
      <c r="AC2" s="47" t="s">
        <v>48</v>
      </c>
      <c r="AD2" s="48" t="s">
        <v>49</v>
      </c>
      <c r="AE2" s="48" t="str">
        <f t="shared" ref="AE2:AE22" si="1">B2&amp;C2&amp;K2</f>
        <v>3 "A" Bereavement Foundation (3ABF)5330 Griggs Road65</v>
      </c>
      <c r="AF2" s="48" t="str">
        <f t="shared" ref="AF2:AF15" si="2">if(AE2=AE1,"XXX","")</f>
        <v/>
      </c>
    </row>
    <row r="3" ht="66.75" customHeight="1">
      <c r="A3" s="49" t="s">
        <v>50</v>
      </c>
      <c r="B3" s="35" t="s">
        <v>51</v>
      </c>
      <c r="C3" s="36" t="s">
        <v>52</v>
      </c>
      <c r="D3" s="36" t="s">
        <v>53</v>
      </c>
      <c r="E3" s="36" t="s">
        <v>36</v>
      </c>
      <c r="F3" s="36" t="s">
        <v>37</v>
      </c>
      <c r="G3" s="35" t="s">
        <v>54</v>
      </c>
      <c r="H3" s="35" t="s">
        <v>55</v>
      </c>
      <c r="I3" s="50"/>
      <c r="J3" s="50"/>
      <c r="K3" s="37">
        <f>IFERROR(__xludf.DUMMYFUNCTION("query(assistance!$A$2:$E988,""Select C Where D = '""&amp;L3&amp;""'"")"),56.0)</f>
        <v>56</v>
      </c>
      <c r="L3" s="36" t="s">
        <v>56</v>
      </c>
      <c r="M3" s="39">
        <f>if(N3="Inactive",3,if(N3="Limited", 2, if(N3="Closed", 4, 1)))</f>
        <v>4</v>
      </c>
      <c r="N3" s="51" t="s">
        <v>57</v>
      </c>
      <c r="O3" s="40">
        <v>45670.0</v>
      </c>
      <c r="P3" s="35" t="s">
        <v>58</v>
      </c>
      <c r="Q3" s="35"/>
      <c r="R3" s="35" t="s">
        <v>59</v>
      </c>
      <c r="S3" s="35" t="b">
        <v>0</v>
      </c>
      <c r="T3" s="35" t="b">
        <v>0</v>
      </c>
      <c r="U3" s="41" t="str">
        <f>IFERROR(__xludf.DUMMYFUNCTION("""["" &amp; JOIN("", "", ARRAYFORMULA("""""""" &amp; TRIM(SPLIT(A3, "","")) &amp; """""""")) &amp; ""]"""),"[""99999""]")</f>
        <v>["99999"]</v>
      </c>
      <c r="V3" s="43"/>
      <c r="W3" s="52" t="s">
        <v>60</v>
      </c>
      <c r="X3" s="43"/>
      <c r="Y3" s="44" t="str">
        <f>vlookup(G3,zip_codes!$B$6:$J988,3,false)</f>
        <v>Houston</v>
      </c>
      <c r="Z3" s="45" t="str">
        <f>vlookup(G3,zip_codes!$B$6:$J988,9,false)</f>
        <v>Brays Oaks, Meyerland, Westbury, Willow Meadows</v>
      </c>
      <c r="AA3" s="44" t="str">
        <f>vlookup(B3,organizations!$B$1:$C988,2,false)</f>
        <v>A Touch of God's Love Outreach</v>
      </c>
      <c r="AB3" s="46" t="s">
        <v>61</v>
      </c>
      <c r="AC3" s="53"/>
      <c r="AD3" s="48" t="s">
        <v>62</v>
      </c>
      <c r="AE3" s="48" t="str">
        <f t="shared" si="1"/>
        <v>A Touch of God's Love Outreach10103 Fondren Road56</v>
      </c>
      <c r="AF3" s="48" t="str">
        <f t="shared" si="2"/>
        <v/>
      </c>
    </row>
    <row r="4" ht="66.75" customHeight="1">
      <c r="A4" s="49" t="s">
        <v>50</v>
      </c>
      <c r="B4" s="35" t="s">
        <v>63</v>
      </c>
      <c r="C4" s="36" t="s">
        <v>64</v>
      </c>
      <c r="D4" s="36"/>
      <c r="E4" s="36" t="s">
        <v>36</v>
      </c>
      <c r="F4" s="36" t="s">
        <v>37</v>
      </c>
      <c r="G4" s="35" t="s">
        <v>65</v>
      </c>
      <c r="H4" s="35" t="s">
        <v>66</v>
      </c>
      <c r="I4" s="35" t="s">
        <v>67</v>
      </c>
      <c r="J4" s="35"/>
      <c r="K4" s="37">
        <f>IFERROR(__xludf.DUMMYFUNCTION("query(assistance!$A$2:$E988,""Select C Where D = '""&amp;L4&amp;""'"")"),43.0)</f>
        <v>43</v>
      </c>
      <c r="L4" s="36" t="s">
        <v>68</v>
      </c>
      <c r="M4" s="38">
        <f t="shared" ref="M4:M24" si="3">if(N4="Inactive",3,if(N4="Limited", 2, 1))</f>
        <v>1</v>
      </c>
      <c r="N4" s="51" t="s">
        <v>42</v>
      </c>
      <c r="O4" s="40">
        <v>45893.0</v>
      </c>
      <c r="P4" s="50"/>
      <c r="Q4" s="35"/>
      <c r="R4" s="35" t="s">
        <v>69</v>
      </c>
      <c r="S4" s="35" t="b">
        <v>0</v>
      </c>
      <c r="T4" s="35" t="b">
        <v>0</v>
      </c>
      <c r="U4" s="41" t="str">
        <f>IFERROR(__xludf.DUMMYFUNCTION("""["" &amp; JOIN("", "", ARRAYFORMULA("""""""" &amp; TRIM(SPLIT(A4, "","")) &amp; """""""")) &amp; ""]"""),"[""99999""]")</f>
        <v>["99999"]</v>
      </c>
      <c r="V4" s="54" t="s">
        <v>70</v>
      </c>
      <c r="W4" s="54" t="s">
        <v>71</v>
      </c>
      <c r="X4" s="43"/>
      <c r="Y4" s="44" t="str">
        <f>vlookup(G4,zip_codes!$B$2:$J988,3,false)</f>
        <v>Houston</v>
      </c>
      <c r="Z4" s="45" t="str">
        <f>vlookup(G4,zip_codes!$B$6:$J988,9,false)</f>
        <v>Independence Heights, Northline, Northside / Northline</v>
      </c>
      <c r="AA4" s="44" t="str">
        <f>vlookup(B4,organizations!$B$1:$C988,2,false)</f>
        <v>Association for Advancement of Mexican Americans (AAMA)</v>
      </c>
      <c r="AB4" s="55" t="s">
        <v>72</v>
      </c>
      <c r="AC4" s="47" t="s">
        <v>73</v>
      </c>
      <c r="AD4" s="48" t="s">
        <v>74</v>
      </c>
      <c r="AE4" s="48" t="str">
        <f t="shared" si="1"/>
        <v>AAMA George L Sanchez Charter School North170 Rittenhouse Street43</v>
      </c>
      <c r="AF4" s="48" t="str">
        <f t="shared" si="2"/>
        <v/>
      </c>
    </row>
    <row r="5" ht="66.75" customHeight="1">
      <c r="A5" s="49" t="s">
        <v>50</v>
      </c>
      <c r="B5" s="35" t="s">
        <v>75</v>
      </c>
      <c r="C5" s="36" t="s">
        <v>76</v>
      </c>
      <c r="D5" s="36"/>
      <c r="E5" s="36" t="s">
        <v>36</v>
      </c>
      <c r="F5" s="36" t="s">
        <v>37</v>
      </c>
      <c r="G5" s="35" t="s">
        <v>77</v>
      </c>
      <c r="H5" s="35" t="s">
        <v>66</v>
      </c>
      <c r="I5" s="35" t="s">
        <v>67</v>
      </c>
      <c r="J5" s="35"/>
      <c r="K5" s="37">
        <f>IFERROR(__xludf.DUMMYFUNCTION("query(assistance!$A$2:$E988,""Select C Where D = '""&amp;L5&amp;""'"")"),43.0)</f>
        <v>43</v>
      </c>
      <c r="L5" s="36" t="s">
        <v>68</v>
      </c>
      <c r="M5" s="38">
        <f t="shared" si="3"/>
        <v>1</v>
      </c>
      <c r="N5" s="51" t="s">
        <v>42</v>
      </c>
      <c r="O5" s="40">
        <v>45893.0</v>
      </c>
      <c r="P5" s="50"/>
      <c r="Q5" s="35"/>
      <c r="R5" s="35" t="s">
        <v>78</v>
      </c>
      <c r="S5" s="35" t="b">
        <v>0</v>
      </c>
      <c r="T5" s="35" t="b">
        <v>0</v>
      </c>
      <c r="U5" s="41" t="str">
        <f>IFERROR(__xludf.DUMMYFUNCTION("""["" &amp; JOIN("", "", ARRAYFORMULA("""""""" &amp; TRIM(SPLIT(A5, "","")) &amp; """""""")) &amp; ""]"""),"[""99999""]")</f>
        <v>["99999"]</v>
      </c>
      <c r="V5" s="42" t="s">
        <v>70</v>
      </c>
      <c r="W5" s="54" t="s">
        <v>79</v>
      </c>
      <c r="X5" s="43"/>
      <c r="Y5" s="44" t="str">
        <f>vlookup(G5,zip_codes!$B$2:$J988,3,false)</f>
        <v>Houston</v>
      </c>
      <c r="Z5" s="45" t="str">
        <f>vlookup(G5,zip_codes!$B$6:$J988,9,false)</f>
        <v>Eastwood, Gulfgate Riverview / Pine Valley, Idylwood, Lawndale / Wayside, Magnolia Park, South Central Houston</v>
      </c>
      <c r="AA5" s="44" t="str">
        <f>vlookup(B5,organizations!$B$1:$C988,2,false)</f>
        <v>Association for Advancement of Mexican Americans (AAMA)</v>
      </c>
      <c r="AB5" s="55" t="s">
        <v>80</v>
      </c>
      <c r="AC5" s="47" t="s">
        <v>73</v>
      </c>
      <c r="AD5" s="48" t="s">
        <v>81</v>
      </c>
      <c r="AE5" s="48" t="str">
        <f t="shared" si="1"/>
        <v>AAMA George L Sanchez Charter School South6001 Gulf Fwy43</v>
      </c>
      <c r="AF5" s="48" t="str">
        <f t="shared" si="2"/>
        <v/>
      </c>
    </row>
    <row r="6" ht="66.75" customHeight="1">
      <c r="A6" s="49" t="s">
        <v>50</v>
      </c>
      <c r="B6" s="35" t="s">
        <v>82</v>
      </c>
      <c r="C6" s="36" t="s">
        <v>83</v>
      </c>
      <c r="D6" s="36"/>
      <c r="E6" s="36" t="s">
        <v>84</v>
      </c>
      <c r="F6" s="36" t="s">
        <v>85</v>
      </c>
      <c r="G6" s="56" t="s">
        <v>86</v>
      </c>
      <c r="H6" s="35" t="s">
        <v>87</v>
      </c>
      <c r="I6" s="35" t="s">
        <v>88</v>
      </c>
      <c r="J6" s="35" t="s">
        <v>89</v>
      </c>
      <c r="K6" s="37">
        <f>IFERROR(__xludf.DUMMYFUNCTION("query(assistance!$A$2:$E988,""Select C Where D = '""&amp;L6&amp;""'"")"),31.0)</f>
        <v>31</v>
      </c>
      <c r="L6" s="36" t="s">
        <v>90</v>
      </c>
      <c r="M6" s="38">
        <f t="shared" si="3"/>
        <v>1</v>
      </c>
      <c r="N6" s="39" t="s">
        <v>42</v>
      </c>
      <c r="O6" s="57">
        <v>46045.0</v>
      </c>
      <c r="P6" s="35" t="s">
        <v>43</v>
      </c>
      <c r="Q6" s="35"/>
      <c r="R6" s="35" t="s">
        <v>91</v>
      </c>
      <c r="S6" s="35" t="b">
        <v>0</v>
      </c>
      <c r="T6" s="35" t="b">
        <v>0</v>
      </c>
      <c r="U6" s="41" t="str">
        <f>IFERROR(__xludf.DUMMYFUNCTION("""["" &amp; JOIN("", "", ARRAYFORMULA("""""""" &amp; TRIM(SPLIT(A6, "","")) &amp; """""""")) &amp; ""]"""),"[""99999""]")</f>
        <v>["99999"]</v>
      </c>
      <c r="V6" s="42" t="s">
        <v>92</v>
      </c>
      <c r="W6" s="42" t="s">
        <v>93</v>
      </c>
      <c r="X6" s="43"/>
      <c r="Y6" s="44" t="str">
        <f>vlookup(G6,zip_codes!$B$6:$J988,3,false)</f>
        <v>West Valley City</v>
      </c>
      <c r="Z6" s="45" t="str">
        <f>vlookup(G6,zip_codes!$B$6:$J988,9,false)</f>
        <v>West Valley City</v>
      </c>
      <c r="AA6" s="44" t="str">
        <f>vlookup(B6,organizations!$B$1:$C988,2,false)</f>
        <v>Ability Found</v>
      </c>
      <c r="AB6" s="55" t="s">
        <v>94</v>
      </c>
      <c r="AC6" s="47" t="s">
        <v>73</v>
      </c>
      <c r="AD6" s="58" t="s">
        <v>84</v>
      </c>
      <c r="AE6" s="48" t="str">
        <f t="shared" si="1"/>
        <v>Ability Found2324 S Constitution Blvd31</v>
      </c>
      <c r="AF6" s="48" t="str">
        <f t="shared" si="2"/>
        <v/>
      </c>
    </row>
    <row r="7" ht="66.75" customHeight="1">
      <c r="A7" s="34" t="s">
        <v>95</v>
      </c>
      <c r="B7" s="35" t="s">
        <v>96</v>
      </c>
      <c r="C7" s="36" t="s">
        <v>97</v>
      </c>
      <c r="D7" s="36"/>
      <c r="E7" s="36" t="s">
        <v>98</v>
      </c>
      <c r="F7" s="36" t="s">
        <v>37</v>
      </c>
      <c r="G7" s="35" t="s">
        <v>99</v>
      </c>
      <c r="H7" s="35" t="s">
        <v>100</v>
      </c>
      <c r="I7" s="35" t="s">
        <v>101</v>
      </c>
      <c r="J7" s="35"/>
      <c r="K7" s="37">
        <f>IFERROR(__xludf.DUMMYFUNCTION("query(assistance!$A$2:$E988,""Select C Where D = '""&amp;L7&amp;""'"")"),44.0)</f>
        <v>44</v>
      </c>
      <c r="L7" s="36" t="s">
        <v>102</v>
      </c>
      <c r="M7" s="38">
        <f t="shared" si="3"/>
        <v>1</v>
      </c>
      <c r="N7" s="39" t="s">
        <v>42</v>
      </c>
      <c r="O7" s="57">
        <v>45831.0</v>
      </c>
      <c r="P7" s="35" t="s">
        <v>43</v>
      </c>
      <c r="Q7" s="35"/>
      <c r="R7" s="35" t="s">
        <v>103</v>
      </c>
      <c r="S7" s="35" t="b">
        <v>0</v>
      </c>
      <c r="T7" s="35" t="b">
        <v>0</v>
      </c>
      <c r="U7" s="41" t="str">
        <f>IFERROR(__xludf.DUMMYFUNCTION("""["" &amp; JOIN("", "", ARRAYFORMULA("""""""" &amp; TRIM(SPLIT(A7, "","")) &amp; """""""")) &amp; ""]"""),"[""77418"", ""77452"", ""77474""]")</f>
        <v>["77418", "77452", "77474"]</v>
      </c>
      <c r="V7" s="59" t="s">
        <v>104</v>
      </c>
      <c r="W7" s="42" t="s">
        <v>105</v>
      </c>
      <c r="X7" s="43"/>
      <c r="Y7" s="44" t="str">
        <f>vlookup(G7,zip_codes!$B$6:$J988,3,false)</f>
        <v>Bellville</v>
      </c>
      <c r="Z7" s="45" t="str">
        <f>vlookup(G7,zip_codes!$B$6:$J988,9,false)</f>
        <v>Bellville</v>
      </c>
      <c r="AA7" s="44" t="str">
        <f>vlookup(B7,organizations!$B$1:$C988,2,false)</f>
        <v>AccessHealth</v>
      </c>
      <c r="AB7" s="46" t="s">
        <v>106</v>
      </c>
      <c r="AC7" s="47" t="s">
        <v>107</v>
      </c>
      <c r="AD7" s="48" t="s">
        <v>98</v>
      </c>
      <c r="AE7" s="48" t="str">
        <f t="shared" si="1"/>
        <v>AccessHealth Bellville WIC Center800 E Wendt Street44</v>
      </c>
      <c r="AF7" s="48" t="str">
        <f t="shared" si="2"/>
        <v/>
      </c>
    </row>
    <row r="8" ht="66.75" customHeight="1">
      <c r="A8" s="34" t="s">
        <v>108</v>
      </c>
      <c r="B8" s="35" t="s">
        <v>109</v>
      </c>
      <c r="C8" s="36" t="s">
        <v>110</v>
      </c>
      <c r="D8" s="36"/>
      <c r="E8" s="36" t="s">
        <v>111</v>
      </c>
      <c r="F8" s="36" t="s">
        <v>37</v>
      </c>
      <c r="G8" s="35" t="s">
        <v>112</v>
      </c>
      <c r="H8" s="35" t="s">
        <v>113</v>
      </c>
      <c r="I8" s="35" t="s">
        <v>114</v>
      </c>
      <c r="J8" s="35"/>
      <c r="K8" s="37">
        <f>IFERROR(__xludf.DUMMYFUNCTION("query(assistance!$A$2:$E988,""Select C Where D = '""&amp;L8&amp;""'"")"),31.0)</f>
        <v>31</v>
      </c>
      <c r="L8" s="36" t="s">
        <v>90</v>
      </c>
      <c r="M8" s="38">
        <f t="shared" si="3"/>
        <v>1</v>
      </c>
      <c r="N8" s="39" t="s">
        <v>42</v>
      </c>
      <c r="O8" s="57">
        <v>45831.0</v>
      </c>
      <c r="P8" s="35" t="s">
        <v>43</v>
      </c>
      <c r="Q8" s="35"/>
      <c r="R8" s="35" t="s">
        <v>115</v>
      </c>
      <c r="S8" s="35" t="b">
        <v>0</v>
      </c>
      <c r="T8" s="35" t="b">
        <v>0</v>
      </c>
      <c r="U8" s="41" t="str">
        <f>IFERROR(__xludf.DUMMYFUNCTION("""["" &amp; JOIN("", "", ARRAYFORMULA("""""""" &amp; TRIM(SPLIT(A8,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8" s="42" t="s">
        <v>104</v>
      </c>
      <c r="W8" s="42" t="s">
        <v>116</v>
      </c>
      <c r="X8" s="43"/>
      <c r="Y8" s="44" t="str">
        <f>vlookup(G8,zip_codes!$B$6:$J988,3,false)</f>
        <v>Brookshire</v>
      </c>
      <c r="Z8" s="45" t="str">
        <f>vlookup(G8,zip_codes!$B$6:$J988,9,false)</f>
        <v>Brookshire</v>
      </c>
      <c r="AA8" s="44" t="str">
        <f>vlookup(B8,organizations!$B$1:$C988,2,false)</f>
        <v>AccessHealth</v>
      </c>
      <c r="AB8" s="46" t="s">
        <v>117</v>
      </c>
      <c r="AC8" s="47" t="s">
        <v>118</v>
      </c>
      <c r="AD8" s="48" t="s">
        <v>111</v>
      </c>
      <c r="AE8" s="48" t="str">
        <f t="shared" si="1"/>
        <v>AccessHealth Brookshire Clinic533 FM 359 S31</v>
      </c>
      <c r="AF8" s="48" t="str">
        <f t="shared" si="2"/>
        <v/>
      </c>
    </row>
    <row r="9" ht="66.75" customHeight="1">
      <c r="A9" s="34" t="s">
        <v>108</v>
      </c>
      <c r="B9" s="35" t="s">
        <v>119</v>
      </c>
      <c r="C9" s="36" t="s">
        <v>120</v>
      </c>
      <c r="D9" s="36"/>
      <c r="E9" s="36" t="s">
        <v>111</v>
      </c>
      <c r="F9" s="36" t="s">
        <v>37</v>
      </c>
      <c r="G9" s="35" t="s">
        <v>112</v>
      </c>
      <c r="H9" s="35" t="s">
        <v>121</v>
      </c>
      <c r="I9" s="35" t="s">
        <v>122</v>
      </c>
      <c r="J9" s="35"/>
      <c r="K9" s="37">
        <f>IFERROR(__xludf.DUMMYFUNCTION("query(assistance!$A$2:$E988,""Select C Where D = '""&amp;L9&amp;""'"")"),44.0)</f>
        <v>44</v>
      </c>
      <c r="L9" s="36" t="s">
        <v>102</v>
      </c>
      <c r="M9" s="38">
        <f t="shared" si="3"/>
        <v>1</v>
      </c>
      <c r="N9" s="39" t="s">
        <v>42</v>
      </c>
      <c r="O9" s="57">
        <v>45831.0</v>
      </c>
      <c r="P9" s="35" t="s">
        <v>43</v>
      </c>
      <c r="Q9" s="35"/>
      <c r="R9" s="35" t="s">
        <v>123</v>
      </c>
      <c r="S9" s="35" t="b">
        <v>0</v>
      </c>
      <c r="T9" s="35" t="b">
        <v>0</v>
      </c>
      <c r="U9" s="41" t="str">
        <f>IFERROR(__xludf.DUMMYFUNCTION("""["" &amp; JOIN("", "", ARRAYFORMULA("""""""" &amp; TRIM(SPLIT(A9,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9" s="42" t="s">
        <v>104</v>
      </c>
      <c r="W9" s="42" t="s">
        <v>124</v>
      </c>
      <c r="X9" s="43"/>
      <c r="Y9" s="44" t="str">
        <f>vlookup(G9,zip_codes!$B$6:$J988,3,false)</f>
        <v>Brookshire</v>
      </c>
      <c r="Z9" s="45" t="str">
        <f>vlookup(G9,zip_codes!$B$6:$J988,9,false)</f>
        <v>Brookshire</v>
      </c>
      <c r="AA9" s="44" t="str">
        <f>vlookup(B9,organizations!$B$1:$C988,2,false)</f>
        <v>AccessHealth</v>
      </c>
      <c r="AB9" s="46" t="s">
        <v>125</v>
      </c>
      <c r="AC9" s="47" t="s">
        <v>126</v>
      </c>
      <c r="AD9" s="48" t="s">
        <v>111</v>
      </c>
      <c r="AE9" s="48" t="str">
        <f t="shared" si="1"/>
        <v>AccessHealth Brookshire WIC Center531 FM 359 S44</v>
      </c>
      <c r="AF9" s="48" t="str">
        <f t="shared" si="2"/>
        <v/>
      </c>
    </row>
    <row r="10" ht="66.75" customHeight="1">
      <c r="A10" s="34" t="s">
        <v>108</v>
      </c>
      <c r="B10" s="35" t="s">
        <v>127</v>
      </c>
      <c r="C10" s="36" t="s">
        <v>128</v>
      </c>
      <c r="D10" s="36"/>
      <c r="E10" s="36" t="s">
        <v>129</v>
      </c>
      <c r="F10" s="36" t="s">
        <v>37</v>
      </c>
      <c r="G10" s="35" t="s">
        <v>130</v>
      </c>
      <c r="H10" s="35" t="s">
        <v>113</v>
      </c>
      <c r="I10" s="35" t="s">
        <v>131</v>
      </c>
      <c r="J10" s="35"/>
      <c r="K10" s="37">
        <f>IFERROR(__xludf.DUMMYFUNCTION("query(assistance!$A$2:$E988,""Select C Where D = '""&amp;L10&amp;""'"")"),31.0)</f>
        <v>31</v>
      </c>
      <c r="L10" s="36" t="s">
        <v>90</v>
      </c>
      <c r="M10" s="38">
        <f t="shared" si="3"/>
        <v>1</v>
      </c>
      <c r="N10" s="39" t="s">
        <v>42</v>
      </c>
      <c r="O10" s="57">
        <v>45831.0</v>
      </c>
      <c r="P10" s="35" t="s">
        <v>43</v>
      </c>
      <c r="Q10" s="35"/>
      <c r="R10" s="35" t="s">
        <v>115</v>
      </c>
      <c r="S10" s="35" t="b">
        <v>0</v>
      </c>
      <c r="T10" s="35" t="b">
        <v>0</v>
      </c>
      <c r="U10" s="41" t="str">
        <f>IFERROR(__xludf.DUMMYFUNCTION("""["" &amp; JOIN("", "", ARRAYFORMULA("""""""" &amp; TRIM(SPLIT(A10,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0" s="42" t="s">
        <v>104</v>
      </c>
      <c r="W10" s="42" t="s">
        <v>132</v>
      </c>
      <c r="X10" s="43"/>
      <c r="Y10" s="44" t="str">
        <f>vlookup(G10,zip_codes!$B$6:$J988,3,false)</f>
        <v>Missouri City</v>
      </c>
      <c r="Z10" s="45" t="str">
        <f>vlookup(G10,zip_codes!$B$6:$J988,9,false)</f>
        <v>Missouri City, Plantation Park, Sienna</v>
      </c>
      <c r="AA10" s="44" t="str">
        <f>vlookup(B10,organizations!$B$1:$C988,2,false)</f>
        <v>AccessHealth</v>
      </c>
      <c r="AB10" s="46" t="s">
        <v>133</v>
      </c>
      <c r="AC10" s="47" t="s">
        <v>134</v>
      </c>
      <c r="AD10" s="48" t="s">
        <v>129</v>
      </c>
      <c r="AE10" s="48" t="str">
        <f t="shared" si="1"/>
        <v>AccessHealth East Fort Bend Clinic7707 Highway 6 South31</v>
      </c>
      <c r="AF10" s="48" t="str">
        <f t="shared" si="2"/>
        <v/>
      </c>
    </row>
    <row r="11" ht="66.75" customHeight="1">
      <c r="A11" s="34" t="s">
        <v>135</v>
      </c>
      <c r="B11" s="35" t="s">
        <v>136</v>
      </c>
      <c r="C11" s="36" t="s">
        <v>137</v>
      </c>
      <c r="D11" s="36"/>
      <c r="E11" s="36" t="s">
        <v>138</v>
      </c>
      <c r="F11" s="36" t="s">
        <v>37</v>
      </c>
      <c r="G11" s="35" t="s">
        <v>139</v>
      </c>
      <c r="H11" s="35" t="s">
        <v>140</v>
      </c>
      <c r="I11" s="35" t="s">
        <v>141</v>
      </c>
      <c r="J11" s="35"/>
      <c r="K11" s="37">
        <f>IFERROR(__xludf.DUMMYFUNCTION("query(assistance!$A$2:$E988,""Select C Where D = '""&amp;L11&amp;""'"")"),44.0)</f>
        <v>44</v>
      </c>
      <c r="L11" s="36" t="s">
        <v>102</v>
      </c>
      <c r="M11" s="38">
        <f t="shared" si="3"/>
        <v>1</v>
      </c>
      <c r="N11" s="39" t="s">
        <v>42</v>
      </c>
      <c r="O11" s="57">
        <v>45831.0</v>
      </c>
      <c r="P11" s="35" t="s">
        <v>43</v>
      </c>
      <c r="Q11" s="35"/>
      <c r="R11" s="35" t="s">
        <v>123</v>
      </c>
      <c r="S11" s="35" t="b">
        <v>0</v>
      </c>
      <c r="T11" s="35" t="b">
        <v>0</v>
      </c>
      <c r="U11" s="41" t="str">
        <f>IFERROR(__xludf.DUMMYFUNCTION("""["" &amp; JOIN("", "", ARRAYFORMULA("""""""" &amp; TRIM(SPLIT(A11, "","")) &amp; """""""")) &amp; ""]"""),"[""77445"", ""77446"", ""77466"", ""77492""]")</f>
        <v>["77445", "77446", "77466", "77492"]</v>
      </c>
      <c r="V11" s="42" t="s">
        <v>104</v>
      </c>
      <c r="W11" s="42" t="s">
        <v>142</v>
      </c>
      <c r="X11" s="43"/>
      <c r="Y11" s="44" t="str">
        <f>vlookup(G11,zip_codes!$B$6:$J988,3,false)</f>
        <v>Hempstead</v>
      </c>
      <c r="Z11" s="45" t="str">
        <f>vlookup(G11,zip_codes!$B$6:$J988,9,false)</f>
        <v>Hempstead, Northside</v>
      </c>
      <c r="AA11" s="44" t="str">
        <f>vlookup(B11,organizations!$B$1:$C988,2,false)</f>
        <v>AccessHealth</v>
      </c>
      <c r="AB11" s="46" t="s">
        <v>143</v>
      </c>
      <c r="AC11" s="47" t="s">
        <v>144</v>
      </c>
      <c r="AD11" s="48" t="s">
        <v>138</v>
      </c>
      <c r="AE11" s="48" t="str">
        <f t="shared" si="1"/>
        <v>AccessHealth Hempstead WIC Center1737 13th Street44</v>
      </c>
      <c r="AF11" s="48" t="str">
        <f t="shared" si="2"/>
        <v/>
      </c>
    </row>
    <row r="12" ht="66.75" customHeight="1">
      <c r="A12" s="34" t="s">
        <v>108</v>
      </c>
      <c r="B12" s="35" t="s">
        <v>145</v>
      </c>
      <c r="C12" s="36" t="s">
        <v>146</v>
      </c>
      <c r="D12" s="36" t="s">
        <v>147</v>
      </c>
      <c r="E12" s="36" t="s">
        <v>148</v>
      </c>
      <c r="F12" s="36" t="s">
        <v>37</v>
      </c>
      <c r="G12" s="35" t="s">
        <v>149</v>
      </c>
      <c r="H12" s="35" t="s">
        <v>150</v>
      </c>
      <c r="I12" s="35" t="s">
        <v>151</v>
      </c>
      <c r="J12" s="35"/>
      <c r="K12" s="37">
        <f>IFERROR(__xludf.DUMMYFUNCTION("query(assistance!$A$2:$E988,""Select C Where D = '""&amp;L12&amp;""'"")"),44.0)</f>
        <v>44</v>
      </c>
      <c r="L12" s="36" t="s">
        <v>102</v>
      </c>
      <c r="M12" s="38">
        <f t="shared" si="3"/>
        <v>1</v>
      </c>
      <c r="N12" s="39" t="s">
        <v>42</v>
      </c>
      <c r="O12" s="57">
        <v>45831.0</v>
      </c>
      <c r="P12" s="35" t="s">
        <v>43</v>
      </c>
      <c r="Q12" s="35"/>
      <c r="R12" s="35" t="s">
        <v>123</v>
      </c>
      <c r="S12" s="35" t="b">
        <v>0</v>
      </c>
      <c r="T12" s="35" t="b">
        <v>0</v>
      </c>
      <c r="U12" s="41" t="str">
        <f>IFERROR(__xludf.DUMMYFUNCTION("""["" &amp; JOIN("", "", ARRAYFORMULA("""""""" &amp; TRIM(SPLIT(A12,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2" s="42" t="s">
        <v>104</v>
      </c>
      <c r="W12" s="42" t="s">
        <v>152</v>
      </c>
      <c r="X12" s="43"/>
      <c r="Y12" s="44" t="str">
        <f>vlookup(G12,zip_codes!$B$6:$J988,3,false)</f>
        <v>Katy</v>
      </c>
      <c r="Z12" s="45" t="str">
        <f>vlookup(G12,zip_codes!$B$6:$J988,9,false)</f>
        <v>Cinco Ranch West, Firethorne, Katy, Seven Meadows</v>
      </c>
      <c r="AA12" s="44" t="str">
        <f>vlookup(B12,organizations!$B$1:$C988,2,false)</f>
        <v>AccessHealth</v>
      </c>
      <c r="AB12" s="46" t="s">
        <v>153</v>
      </c>
      <c r="AC12" s="47" t="s">
        <v>154</v>
      </c>
      <c r="AD12" s="48" t="s">
        <v>148</v>
      </c>
      <c r="AE12" s="48" t="str">
        <f t="shared" si="1"/>
        <v>AccessHealth Katy WIC Center1260 Pin Oak Road44</v>
      </c>
      <c r="AF12" s="48" t="str">
        <f t="shared" si="2"/>
        <v/>
      </c>
    </row>
    <row r="13" ht="66.75" customHeight="1">
      <c r="A13" s="34" t="s">
        <v>108</v>
      </c>
      <c r="B13" s="35" t="s">
        <v>155</v>
      </c>
      <c r="C13" s="36" t="s">
        <v>156</v>
      </c>
      <c r="D13" s="36" t="s">
        <v>157</v>
      </c>
      <c r="E13" s="36" t="s">
        <v>129</v>
      </c>
      <c r="F13" s="36" t="s">
        <v>37</v>
      </c>
      <c r="G13" s="35" t="s">
        <v>158</v>
      </c>
      <c r="H13" s="35" t="s">
        <v>113</v>
      </c>
      <c r="I13" s="35" t="s">
        <v>159</v>
      </c>
      <c r="J13" s="35"/>
      <c r="K13" s="37">
        <f>IFERROR(__xludf.DUMMYFUNCTION("query(assistance!$A$2:$E988,""Select C Where D = '""&amp;L13&amp;""'"")"),31.0)</f>
        <v>31</v>
      </c>
      <c r="L13" s="36" t="s">
        <v>90</v>
      </c>
      <c r="M13" s="38">
        <f t="shared" si="3"/>
        <v>1</v>
      </c>
      <c r="N13" s="39" t="s">
        <v>42</v>
      </c>
      <c r="O13" s="57">
        <v>45831.0</v>
      </c>
      <c r="P13" s="35" t="s">
        <v>43</v>
      </c>
      <c r="Q13" s="35"/>
      <c r="R13" s="35" t="s">
        <v>115</v>
      </c>
      <c r="S13" s="35" t="b">
        <v>0</v>
      </c>
      <c r="T13" s="35" t="b">
        <v>0</v>
      </c>
      <c r="U13" s="41" t="str">
        <f>IFERROR(__xludf.DUMMYFUNCTION("""["" &amp; JOIN("", "", ARRAYFORMULA("""""""" &amp; TRIM(SPLIT(A13,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3" s="42" t="s">
        <v>104</v>
      </c>
      <c r="W13" s="42" t="s">
        <v>160</v>
      </c>
      <c r="X13" s="43"/>
      <c r="Y13" s="44" t="str">
        <f>vlookup(G13,zip_codes!$B$6:$J988,3,false)</f>
        <v>Missouri City</v>
      </c>
      <c r="Z13" s="45" t="str">
        <f>vlookup(G13,zip_codes!$B$6:$J988,9,false)</f>
        <v>Missouri City, Olde Missouri City Market Place, Quail Green South, Quail Valley, Sta-mo Annex</v>
      </c>
      <c r="AA13" s="44" t="str">
        <f>vlookup(B13,organizations!$B$1:$C988,2,false)</f>
        <v>AccessHealth</v>
      </c>
      <c r="AB13" s="46" t="s">
        <v>161</v>
      </c>
      <c r="AC13" s="47" t="s">
        <v>162</v>
      </c>
      <c r="AD13" s="48" t="s">
        <v>163</v>
      </c>
      <c r="AE13" s="48" t="str">
        <f t="shared" si="1"/>
        <v>AccessHealth Missouri City Clinic307 Texas Parkway31</v>
      </c>
      <c r="AF13" s="48" t="str">
        <f t="shared" si="2"/>
        <v/>
      </c>
    </row>
    <row r="14" ht="66.75" customHeight="1">
      <c r="A14" s="34" t="s">
        <v>108</v>
      </c>
      <c r="B14" s="35" t="s">
        <v>164</v>
      </c>
      <c r="C14" s="36" t="s">
        <v>165</v>
      </c>
      <c r="D14" s="36"/>
      <c r="E14" s="36" t="s">
        <v>166</v>
      </c>
      <c r="F14" s="36" t="s">
        <v>37</v>
      </c>
      <c r="G14" s="35" t="s">
        <v>167</v>
      </c>
      <c r="H14" s="35" t="s">
        <v>113</v>
      </c>
      <c r="I14" s="35" t="s">
        <v>168</v>
      </c>
      <c r="J14" s="35"/>
      <c r="K14" s="37">
        <f>IFERROR(__xludf.DUMMYFUNCTION("query(assistance!$A$2:$E988,""Select C Where D = '""&amp;L14&amp;""'"")"),31.0)</f>
        <v>31</v>
      </c>
      <c r="L14" s="36" t="s">
        <v>90</v>
      </c>
      <c r="M14" s="38">
        <f t="shared" si="3"/>
        <v>1</v>
      </c>
      <c r="N14" s="39" t="s">
        <v>42</v>
      </c>
      <c r="O14" s="57">
        <v>45831.0</v>
      </c>
      <c r="P14" s="35" t="s">
        <v>43</v>
      </c>
      <c r="Q14" s="35"/>
      <c r="R14" s="35" t="s">
        <v>115</v>
      </c>
      <c r="S14" s="35" t="b">
        <v>0</v>
      </c>
      <c r="T14" s="35" t="b">
        <v>0</v>
      </c>
      <c r="U14" s="41" t="str">
        <f>IFERROR(__xludf.DUMMYFUNCTION("""["" &amp; JOIN("", "", ARRAYFORMULA("""""""" &amp; TRIM(SPLIT(A14,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4" s="42" t="s">
        <v>104</v>
      </c>
      <c r="W14" s="42" t="s">
        <v>169</v>
      </c>
      <c r="X14" s="43"/>
      <c r="Y14" s="44" t="str">
        <f>vlookup(G14,zip_codes!$B$6:$J988,3,false)</f>
        <v>Richmond</v>
      </c>
      <c r="Z14" s="45" t="str">
        <f>vlookup(G14,zip_codes!$B$6:$J988,9,false)</f>
        <v>Greatwood, Richmond</v>
      </c>
      <c r="AA14" s="44" t="str">
        <f>vlookup(B14,organizations!$B$1:$C988,2,false)</f>
        <v>AccessHealth</v>
      </c>
      <c r="AB14" s="46" t="s">
        <v>170</v>
      </c>
      <c r="AC14" s="47" t="s">
        <v>171</v>
      </c>
      <c r="AD14" s="48" t="s">
        <v>166</v>
      </c>
      <c r="AE14" s="48" t="str">
        <f t="shared" si="1"/>
        <v>AccessHealth Richmond Clinic400 Austin Street31</v>
      </c>
      <c r="AF14" s="48" t="str">
        <f t="shared" si="2"/>
        <v/>
      </c>
    </row>
    <row r="15" ht="66.75" customHeight="1">
      <c r="A15" s="34" t="s">
        <v>108</v>
      </c>
      <c r="B15" s="35" t="s">
        <v>172</v>
      </c>
      <c r="C15" s="36" t="s">
        <v>173</v>
      </c>
      <c r="D15" s="36" t="s">
        <v>174</v>
      </c>
      <c r="E15" s="36" t="s">
        <v>175</v>
      </c>
      <c r="F15" s="36" t="s">
        <v>37</v>
      </c>
      <c r="G15" s="35" t="s">
        <v>176</v>
      </c>
      <c r="H15" s="35" t="s">
        <v>177</v>
      </c>
      <c r="I15" s="35" t="s">
        <v>178</v>
      </c>
      <c r="J15" s="35"/>
      <c r="K15" s="37">
        <f>IFERROR(__xludf.DUMMYFUNCTION("query(assistance!$A$2:$E988,""Select C Where D = '""&amp;L15&amp;""'"")"),44.0)</f>
        <v>44</v>
      </c>
      <c r="L15" s="36" t="s">
        <v>102</v>
      </c>
      <c r="M15" s="38">
        <f t="shared" si="3"/>
        <v>1</v>
      </c>
      <c r="N15" s="39" t="s">
        <v>42</v>
      </c>
      <c r="O15" s="57">
        <v>45831.0</v>
      </c>
      <c r="P15" s="35" t="s">
        <v>43</v>
      </c>
      <c r="Q15" s="35"/>
      <c r="R15" s="35" t="s">
        <v>123</v>
      </c>
      <c r="S15" s="35" t="b">
        <v>0</v>
      </c>
      <c r="T15" s="35" t="b">
        <v>0</v>
      </c>
      <c r="U15" s="41" t="str">
        <f>IFERROR(__xludf.DUMMYFUNCTION("""["" &amp; JOIN("", "", ARRAYFORMULA("""""""" &amp; TRIM(SPLIT(A15,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5" s="42" t="s">
        <v>104</v>
      </c>
      <c r="W15" s="42" t="s">
        <v>179</v>
      </c>
      <c r="X15" s="43"/>
      <c r="Y15" s="44" t="str">
        <f>vlookup(G15,zip_codes!$B$6:$J988,3,false)</f>
        <v>Rosenberg</v>
      </c>
      <c r="Z15" s="45" t="str">
        <f>vlookup(G15,zip_codes!$B$6:$J988,9,false)</f>
        <v>Allendale Manor, Rosenberg, Timberlane Addition</v>
      </c>
      <c r="AA15" s="44" t="str">
        <f>vlookup(B15,organizations!$B$1:$C988,2,false)</f>
        <v>AccessHealth</v>
      </c>
      <c r="AB15" s="46" t="s">
        <v>180</v>
      </c>
      <c r="AC15" s="47" t="s">
        <v>181</v>
      </c>
      <c r="AD15" s="48" t="s">
        <v>175</v>
      </c>
      <c r="AE15" s="48" t="str">
        <f t="shared" si="1"/>
        <v>AccessHealth Rosenberg WIC Center1720 BF Terry Blvd44</v>
      </c>
      <c r="AF15" s="48" t="str">
        <f t="shared" si="2"/>
        <v/>
      </c>
    </row>
    <row r="16" ht="66.75" customHeight="1">
      <c r="A16" s="34" t="s">
        <v>95</v>
      </c>
      <c r="B16" s="35" t="s">
        <v>182</v>
      </c>
      <c r="C16" s="36" t="s">
        <v>183</v>
      </c>
      <c r="D16" s="36"/>
      <c r="E16" s="36" t="s">
        <v>184</v>
      </c>
      <c r="F16" s="36" t="s">
        <v>37</v>
      </c>
      <c r="G16" s="35" t="s">
        <v>185</v>
      </c>
      <c r="H16" s="35" t="s">
        <v>186</v>
      </c>
      <c r="I16" s="35" t="s">
        <v>187</v>
      </c>
      <c r="J16" s="35"/>
      <c r="K16" s="37">
        <f>IFERROR(__xludf.DUMMYFUNCTION("query(assistance!$A$2:$E988,""Select C Where D = '""&amp;L16&amp;""'"")"),44.0)</f>
        <v>44</v>
      </c>
      <c r="L16" s="36" t="s">
        <v>102</v>
      </c>
      <c r="M16" s="38">
        <f t="shared" si="3"/>
        <v>1</v>
      </c>
      <c r="N16" s="39" t="s">
        <v>42</v>
      </c>
      <c r="O16" s="57">
        <v>45831.0</v>
      </c>
      <c r="P16" s="35" t="s">
        <v>43</v>
      </c>
      <c r="Q16" s="35"/>
      <c r="R16" s="35" t="s">
        <v>123</v>
      </c>
      <c r="S16" s="35" t="b">
        <v>0</v>
      </c>
      <c r="T16" s="35" t="b">
        <v>0</v>
      </c>
      <c r="U16" s="41" t="str">
        <f>IFERROR(__xludf.DUMMYFUNCTION("""["" &amp; JOIN("", "", ARRAYFORMULA("""""""" &amp; TRIM(SPLIT(A16, "","")) &amp; """""""")) &amp; ""]"""),"[""77418"", ""77452"", ""77474""]")</f>
        <v>["77418", "77452", "77474"]</v>
      </c>
      <c r="V16" s="42" t="s">
        <v>104</v>
      </c>
      <c r="W16" s="42" t="s">
        <v>188</v>
      </c>
      <c r="X16" s="43"/>
      <c r="Y16" s="44" t="str">
        <f>vlookup(G16,zip_codes!$B$6:$J988,3,false)</f>
        <v>Sealy</v>
      </c>
      <c r="Z16" s="45" t="str">
        <f>vlookup(G16,zip_codes!$B$6:$J988,9,false)</f>
        <v>Brazos Country, San Felipe, Sealy</v>
      </c>
      <c r="AA16" s="44" t="str">
        <f>vlookup(B16,organizations!$B$1:$C988,2,false)</f>
        <v>AccessHealth</v>
      </c>
      <c r="AB16" s="46" t="s">
        <v>189</v>
      </c>
      <c r="AC16" s="47" t="s">
        <v>190</v>
      </c>
      <c r="AD16" s="48" t="s">
        <v>184</v>
      </c>
      <c r="AE16" s="48" t="str">
        <f t="shared" si="1"/>
        <v>AccessHealth Sealy WIC Center526 Ward Street44</v>
      </c>
      <c r="AF16" s="48" t="str">
        <f>if(AE16=AE14,"XXX","")</f>
        <v/>
      </c>
    </row>
    <row r="17" ht="66.75" customHeight="1">
      <c r="A17" s="34" t="s">
        <v>108</v>
      </c>
      <c r="B17" s="35" t="s">
        <v>191</v>
      </c>
      <c r="C17" s="36" t="s">
        <v>192</v>
      </c>
      <c r="D17" s="36"/>
      <c r="E17" s="36" t="s">
        <v>129</v>
      </c>
      <c r="F17" s="36" t="s">
        <v>37</v>
      </c>
      <c r="G17" s="35" t="s">
        <v>158</v>
      </c>
      <c r="H17" s="35" t="s">
        <v>113</v>
      </c>
      <c r="I17" s="35" t="s">
        <v>193</v>
      </c>
      <c r="J17" s="35"/>
      <c r="K17" s="37">
        <f>IFERROR(__xludf.DUMMYFUNCTION("query(assistance!$A$2:$E988,""Select C Where D = '""&amp;L17&amp;""'"")"),31.0)</f>
        <v>31</v>
      </c>
      <c r="L17" s="36" t="s">
        <v>90</v>
      </c>
      <c r="M17" s="38">
        <f t="shared" si="3"/>
        <v>1</v>
      </c>
      <c r="N17" s="39" t="s">
        <v>42</v>
      </c>
      <c r="O17" s="57">
        <v>45831.0</v>
      </c>
      <c r="P17" s="35" t="s">
        <v>43</v>
      </c>
      <c r="Q17" s="35"/>
      <c r="R17" s="35" t="s">
        <v>115</v>
      </c>
      <c r="S17" s="35" t="b">
        <v>0</v>
      </c>
      <c r="T17" s="35" t="b">
        <v>0</v>
      </c>
      <c r="U17" s="41" t="str">
        <f>IFERROR(__xludf.DUMMYFUNCTION("""["" &amp; JOIN("", "", ARRAYFORMULA("""""""" &amp; TRIM(SPLIT(A17,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7" s="42" t="s">
        <v>104</v>
      </c>
      <c r="W17" s="42" t="s">
        <v>194</v>
      </c>
      <c r="X17" s="43"/>
      <c r="Y17" s="44" t="str">
        <f>vlookup(G17,zip_codes!$B$6:$J988,3,false)</f>
        <v>Missouri City</v>
      </c>
      <c r="Z17" s="45" t="str">
        <f>vlookup(G17,zip_codes!$B$6:$J988,9,false)</f>
        <v>Missouri City, Olde Missouri City Market Place, Quail Green South, Quail Valley, Sta-mo Annex</v>
      </c>
      <c r="AA17" s="44" t="str">
        <f>vlookup(B17,organizations!$B$1:$C988,2,false)</f>
        <v>AccessHealth</v>
      </c>
      <c r="AB17" s="46" t="s">
        <v>195</v>
      </c>
      <c r="AC17" s="47" t="s">
        <v>196</v>
      </c>
      <c r="AD17" s="48" t="s">
        <v>129</v>
      </c>
      <c r="AE17" s="48" t="str">
        <f t="shared" si="1"/>
        <v>AccessHealth Second Mile Clinic1135 Hwy 90 Alt31</v>
      </c>
      <c r="AF17" s="48" t="str">
        <f t="shared" ref="AF17:AF22" si="4">if(AE17=AE16,"XXX","")</f>
        <v/>
      </c>
    </row>
    <row r="18" ht="66.75" customHeight="1">
      <c r="A18" s="34" t="s">
        <v>108</v>
      </c>
      <c r="B18" s="35" t="s">
        <v>197</v>
      </c>
      <c r="C18" s="36" t="s">
        <v>198</v>
      </c>
      <c r="D18" s="36" t="s">
        <v>199</v>
      </c>
      <c r="E18" s="36" t="s">
        <v>200</v>
      </c>
      <c r="F18" s="36" t="s">
        <v>37</v>
      </c>
      <c r="G18" s="35" t="s">
        <v>201</v>
      </c>
      <c r="H18" s="35" t="s">
        <v>113</v>
      </c>
      <c r="I18" s="35" t="s">
        <v>202</v>
      </c>
      <c r="J18" s="35"/>
      <c r="K18" s="37">
        <f>IFERROR(__xludf.DUMMYFUNCTION("query(assistance!$A$2:$E988,""Select C Where D = '""&amp;L18&amp;""'"")"),31.0)</f>
        <v>31</v>
      </c>
      <c r="L18" s="36" t="s">
        <v>90</v>
      </c>
      <c r="M18" s="38">
        <f t="shared" si="3"/>
        <v>1</v>
      </c>
      <c r="N18" s="39" t="s">
        <v>42</v>
      </c>
      <c r="O18" s="57">
        <v>45831.0</v>
      </c>
      <c r="P18" s="35" t="s">
        <v>43</v>
      </c>
      <c r="Q18" s="35"/>
      <c r="R18" s="35" t="s">
        <v>203</v>
      </c>
      <c r="S18" s="35" t="b">
        <v>0</v>
      </c>
      <c r="T18" s="35" t="b">
        <v>0</v>
      </c>
      <c r="U18" s="41" t="str">
        <f>IFERROR(__xludf.DUMMYFUNCTION("""["" &amp; JOIN("", "", ARRAYFORMULA("""""""" &amp; TRIM(SPLIT(A18,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8" s="42" t="s">
        <v>104</v>
      </c>
      <c r="W18" s="42" t="s">
        <v>204</v>
      </c>
      <c r="X18" s="43"/>
      <c r="Y18" s="44" t="str">
        <f>vlookup(G18,zip_codes!$B$6:$J988,3,false)</f>
        <v>Stafford</v>
      </c>
      <c r="Z18" s="45" t="str">
        <f>vlookup(G18,zip_codes!$B$6:$J988,9,false)</f>
        <v>Clark Plaza One, Corporate Bus Park, Greenbriar Southwest, Stafford, The Fountains</v>
      </c>
      <c r="AA18" s="44" t="str">
        <f>vlookup(B18,organizations!$B$1:$C988,2,false)</f>
        <v>AccessHealth</v>
      </c>
      <c r="AB18" s="46" t="s">
        <v>205</v>
      </c>
      <c r="AC18" s="47" t="s">
        <v>206</v>
      </c>
      <c r="AD18" s="48" t="s">
        <v>207</v>
      </c>
      <c r="AE18" s="48" t="str">
        <f t="shared" si="1"/>
        <v>AccessHealth Stafford Clinic10435 Greenbough Drive31</v>
      </c>
      <c r="AF18" s="48" t="str">
        <f t="shared" si="4"/>
        <v/>
      </c>
    </row>
    <row r="19" ht="66.75" customHeight="1">
      <c r="A19" s="34" t="s">
        <v>108</v>
      </c>
      <c r="B19" s="35" t="s">
        <v>197</v>
      </c>
      <c r="C19" s="36" t="s">
        <v>198</v>
      </c>
      <c r="D19" s="36" t="s">
        <v>199</v>
      </c>
      <c r="E19" s="36" t="s">
        <v>200</v>
      </c>
      <c r="F19" s="36" t="s">
        <v>37</v>
      </c>
      <c r="G19" s="35" t="s">
        <v>201</v>
      </c>
      <c r="H19" s="35" t="s">
        <v>113</v>
      </c>
      <c r="I19" s="35" t="s">
        <v>202</v>
      </c>
      <c r="J19" s="35"/>
      <c r="K19" s="37">
        <f>IFERROR(__xludf.DUMMYFUNCTION("query(assistance!$A$2:$E988,""Select C Where D = '""&amp;L19&amp;""'"")"),32.0)</f>
        <v>32</v>
      </c>
      <c r="L19" s="36" t="s">
        <v>208</v>
      </c>
      <c r="M19" s="38">
        <f t="shared" si="3"/>
        <v>1</v>
      </c>
      <c r="N19" s="39" t="s">
        <v>42</v>
      </c>
      <c r="O19" s="57">
        <v>46048.0</v>
      </c>
      <c r="P19" s="35" t="s">
        <v>43</v>
      </c>
      <c r="Q19" s="35"/>
      <c r="R19" s="35" t="s">
        <v>209</v>
      </c>
      <c r="S19" s="35" t="b">
        <v>1</v>
      </c>
      <c r="T19" s="35" t="b">
        <v>0</v>
      </c>
      <c r="U19" s="41" t="str">
        <f>IFERROR(__xludf.DUMMYFUNCTION("""["" &amp; JOIN("", "", ARRAYFORMULA("""""""" &amp; TRIM(SPLIT(A19,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19" s="42" t="s">
        <v>104</v>
      </c>
      <c r="W19" s="42" t="s">
        <v>204</v>
      </c>
      <c r="X19" s="43"/>
      <c r="Y19" s="44" t="str">
        <f>vlookup(G19,zip_codes!$B$6:$J988,3,false)</f>
        <v>Stafford</v>
      </c>
      <c r="Z19" s="45" t="str">
        <f>vlookup(G19,zip_codes!$B$6:$J988,9,false)</f>
        <v>Clark Plaza One, Corporate Bus Park, Greenbriar Southwest, Stafford, The Fountains</v>
      </c>
      <c r="AA19" s="44" t="str">
        <f>vlookup(B19,organizations!$B$1:$C988,2,false)</f>
        <v>AccessHealth</v>
      </c>
      <c r="AB19" s="46" t="s">
        <v>205</v>
      </c>
      <c r="AC19" s="47" t="s">
        <v>206</v>
      </c>
      <c r="AD19" s="48" t="s">
        <v>207</v>
      </c>
      <c r="AE19" s="48" t="str">
        <f t="shared" si="1"/>
        <v>AccessHealth Stafford Clinic10435 Greenbough Drive32</v>
      </c>
      <c r="AF19" s="48" t="str">
        <f t="shared" si="4"/>
        <v/>
      </c>
    </row>
    <row r="20" ht="66.75" customHeight="1">
      <c r="A20" s="34" t="s">
        <v>108</v>
      </c>
      <c r="B20" s="35" t="s">
        <v>210</v>
      </c>
      <c r="C20" s="36" t="s">
        <v>198</v>
      </c>
      <c r="D20" s="36" t="s">
        <v>199</v>
      </c>
      <c r="E20" s="36" t="s">
        <v>200</v>
      </c>
      <c r="F20" s="36" t="s">
        <v>37</v>
      </c>
      <c r="G20" s="35" t="s">
        <v>201</v>
      </c>
      <c r="H20" s="35" t="s">
        <v>211</v>
      </c>
      <c r="I20" s="35" t="s">
        <v>178</v>
      </c>
      <c r="J20" s="35"/>
      <c r="K20" s="37">
        <f>IFERROR(__xludf.DUMMYFUNCTION("query(assistance!$A$2:$E988,""Select C Where D = '""&amp;L20&amp;""'"")"),44.0)</f>
        <v>44</v>
      </c>
      <c r="L20" s="36" t="s">
        <v>102</v>
      </c>
      <c r="M20" s="38">
        <f t="shared" si="3"/>
        <v>1</v>
      </c>
      <c r="N20" s="39" t="s">
        <v>42</v>
      </c>
      <c r="O20" s="57">
        <v>45831.0</v>
      </c>
      <c r="P20" s="35" t="s">
        <v>43</v>
      </c>
      <c r="Q20" s="35"/>
      <c r="R20" s="35" t="s">
        <v>123</v>
      </c>
      <c r="S20" s="35" t="b">
        <v>0</v>
      </c>
      <c r="T20" s="35" t="b">
        <v>0</v>
      </c>
      <c r="U20" s="41" t="str">
        <f>IFERROR(__xludf.DUMMYFUNCTION("""["" &amp; JOIN("", "", ARRAYFORMULA("""""""" &amp; TRIM(SPLIT(A20, "","")) &amp; """""""")) &amp; ""]"""),"[""77053"", ""77406"", ""77407"", ""77417"", ""77423"", ""77430"", ""77441"", ""77444"", ""77451"", ""77459"", ""77461"", ""77464"", ""77469"", ""77471"", ""77476"", ""77477"", ""77478"", ""77479"", ""77481"", ""77485"", ""77489"", ""77494"", ""77498"", "&amp;"""77545"", ""77583"", ""77584""]")</f>
        <v>["77053", "77406", "77407", "77417", "77423", "77430", "77441", "77444", "77451", "77459", "77461", "77464", "77469", "77471", "77476", "77477", "77478", "77479", "77481", "77485", "77489", "77494", "77498", "77545", "77583", "77584"]</v>
      </c>
      <c r="V20" s="42" t="s">
        <v>104</v>
      </c>
      <c r="W20" s="42" t="s">
        <v>212</v>
      </c>
      <c r="X20" s="43"/>
      <c r="Y20" s="44" t="str">
        <f>vlookup(G20,zip_codes!$B$6:$J988,3,false)</f>
        <v>Stafford</v>
      </c>
      <c r="Z20" s="45" t="str">
        <f>vlookup(G20,zip_codes!$B$6:$J988,9,false)</f>
        <v>Clark Plaza One, Corporate Bus Park, Greenbriar Southwest, Stafford, The Fountains</v>
      </c>
      <c r="AA20" s="44" t="str">
        <f>vlookup(B20,organizations!$B$1:$C988,2,false)</f>
        <v>AccessHealth</v>
      </c>
      <c r="AB20" s="46" t="s">
        <v>205</v>
      </c>
      <c r="AC20" s="47" t="s">
        <v>181</v>
      </c>
      <c r="AD20" s="48" t="s">
        <v>207</v>
      </c>
      <c r="AE20" s="48" t="str">
        <f t="shared" si="1"/>
        <v>AccessHealth Stafford WIC Center10435 Greenbough Drive44</v>
      </c>
      <c r="AF20" s="48" t="str">
        <f t="shared" si="4"/>
        <v/>
      </c>
    </row>
    <row r="21" ht="66.75" customHeight="1">
      <c r="A21" s="60" t="s">
        <v>213</v>
      </c>
      <c r="B21" s="35" t="s">
        <v>214</v>
      </c>
      <c r="C21" s="36" t="s">
        <v>215</v>
      </c>
      <c r="D21" s="36"/>
      <c r="E21" s="36" t="s">
        <v>216</v>
      </c>
      <c r="F21" s="36" t="s">
        <v>37</v>
      </c>
      <c r="G21" s="35" t="s">
        <v>213</v>
      </c>
      <c r="H21" s="35" t="s">
        <v>217</v>
      </c>
      <c r="I21" s="35" t="s">
        <v>178</v>
      </c>
      <c r="J21" s="35"/>
      <c r="K21" s="37">
        <f>IFERROR(__xludf.DUMMYFUNCTION("query(assistance!$A$2:$E988,""Select C Where D = '""&amp;L21&amp;""'"")"),44.0)</f>
        <v>44</v>
      </c>
      <c r="L21" s="36" t="s">
        <v>102</v>
      </c>
      <c r="M21" s="38">
        <f t="shared" si="3"/>
        <v>1</v>
      </c>
      <c r="N21" s="39" t="s">
        <v>42</v>
      </c>
      <c r="O21" s="57">
        <v>45831.0</v>
      </c>
      <c r="P21" s="35" t="s">
        <v>43</v>
      </c>
      <c r="Q21" s="35"/>
      <c r="R21" s="35" t="s">
        <v>123</v>
      </c>
      <c r="S21" s="35" t="b">
        <v>0</v>
      </c>
      <c r="T21" s="35" t="b">
        <v>0</v>
      </c>
      <c r="U21" s="41" t="str">
        <f>IFERROR(__xludf.DUMMYFUNCTION("""["" &amp; JOIN("", "", ARRAYFORMULA("""""""" &amp; TRIM(SPLIT(A21, "","")) &amp; """""""")) &amp; ""]"""),"[""77488""]")</f>
        <v>["77488"]</v>
      </c>
      <c r="V21" s="42" t="s">
        <v>104</v>
      </c>
      <c r="W21" s="42" t="s">
        <v>218</v>
      </c>
      <c r="X21" s="43"/>
      <c r="Y21" s="44" t="str">
        <f>vlookup(G21,zip_codes!$B$6:$J988,3,false)</f>
        <v>Wharton</v>
      </c>
      <c r="Z21" s="45" t="str">
        <f>vlookup(G21,zip_codes!$B$6:$J988,9,false)</f>
        <v>Wharton</v>
      </c>
      <c r="AA21" s="44" t="str">
        <f>vlookup(B21,organizations!$B$1:$C988,2,false)</f>
        <v>AccessHealth</v>
      </c>
      <c r="AB21" s="46" t="s">
        <v>219</v>
      </c>
      <c r="AC21" s="47" t="s">
        <v>181</v>
      </c>
      <c r="AD21" s="48" t="s">
        <v>216</v>
      </c>
      <c r="AE21" s="48" t="str">
        <f t="shared" si="1"/>
        <v>AccessHealth Wharton WIC Center20115 N Fulton Street44</v>
      </c>
      <c r="AF21" s="48" t="str">
        <f t="shared" si="4"/>
        <v/>
      </c>
    </row>
    <row r="22" ht="66.75" customHeight="1">
      <c r="A22" s="49" t="s">
        <v>50</v>
      </c>
      <c r="B22" s="35" t="s">
        <v>220</v>
      </c>
      <c r="C22" s="36" t="s">
        <v>221</v>
      </c>
      <c r="D22" s="36"/>
      <c r="E22" s="36" t="s">
        <v>222</v>
      </c>
      <c r="F22" s="36" t="s">
        <v>223</v>
      </c>
      <c r="G22" s="56" t="s">
        <v>224</v>
      </c>
      <c r="H22" s="35" t="s">
        <v>225</v>
      </c>
      <c r="I22" s="35" t="s">
        <v>226</v>
      </c>
      <c r="J22" s="35" t="s">
        <v>89</v>
      </c>
      <c r="K22" s="37">
        <f>IFERROR(__xludf.DUMMYFUNCTION("query(assistance!$A$2:$E988,""Select C Where D = '""&amp;L22&amp;""'"")"),36.0)</f>
        <v>36</v>
      </c>
      <c r="L22" s="36" t="s">
        <v>227</v>
      </c>
      <c r="M22" s="38">
        <f t="shared" si="3"/>
        <v>1</v>
      </c>
      <c r="N22" s="39" t="s">
        <v>42</v>
      </c>
      <c r="O22" s="40">
        <v>6693457.0</v>
      </c>
      <c r="P22" s="35" t="s">
        <v>43</v>
      </c>
      <c r="Q22" s="35"/>
      <c r="R22" s="35" t="s">
        <v>228</v>
      </c>
      <c r="S22" s="35" t="b">
        <v>0</v>
      </c>
      <c r="T22" s="35" t="b">
        <v>0</v>
      </c>
      <c r="U22" s="41" t="str">
        <f>IFERROR(__xludf.DUMMYFUNCTION("""["" &amp; JOIN("", "", ARRAYFORMULA("""""""" &amp; TRIM(SPLIT(A22, "","")) &amp; """""""")) &amp; ""]"""),"[""99999""]")</f>
        <v>["99999"]</v>
      </c>
      <c r="V22" s="59" t="s">
        <v>229</v>
      </c>
      <c r="W22" s="42" t="s">
        <v>230</v>
      </c>
      <c r="X22" s="43"/>
      <c r="Y22" s="44" t="str">
        <f>vlookup(G22,zip_codes!$B$6:$J988,3,false)</f>
        <v>Midlothian</v>
      </c>
      <c r="Z22" s="45" t="str">
        <f>vlookup(G22,zip_codes!$B$6:$J988,9,false)</f>
        <v>Brandermill</v>
      </c>
      <c r="AA22" s="44" t="str">
        <f>vlookup(B22,organizations!$B$1:$C988,2,false)</f>
        <v>Accessia Health</v>
      </c>
      <c r="AB22" s="55" t="s">
        <v>231</v>
      </c>
      <c r="AC22" s="61" t="s">
        <v>232</v>
      </c>
      <c r="AD22" s="58" t="s">
        <v>233</v>
      </c>
      <c r="AE22" s="48" t="str">
        <f t="shared" si="1"/>
        <v>Accessia Health3104 E Boundary Court36</v>
      </c>
      <c r="AF22" s="48" t="str">
        <f t="shared" si="4"/>
        <v/>
      </c>
    </row>
    <row r="23" ht="66.75" customHeight="1">
      <c r="A23" s="34" t="s">
        <v>234</v>
      </c>
      <c r="B23" s="35" t="s">
        <v>235</v>
      </c>
      <c r="C23" s="36" t="s">
        <v>236</v>
      </c>
      <c r="D23" s="36"/>
      <c r="E23" s="36" t="s">
        <v>36</v>
      </c>
      <c r="F23" s="36" t="s">
        <v>37</v>
      </c>
      <c r="G23" s="56" t="s">
        <v>237</v>
      </c>
      <c r="H23" s="35" t="s">
        <v>238</v>
      </c>
      <c r="I23" s="35" t="s">
        <v>239</v>
      </c>
      <c r="J23" s="35"/>
      <c r="K23" s="37">
        <f>IFERROR(__xludf.DUMMYFUNCTION("query(assistance!$A$2:$E988,""Select C Where D = '""&amp;L23&amp;""'"")"),13.0)</f>
        <v>13</v>
      </c>
      <c r="L23" s="36" t="s">
        <v>240</v>
      </c>
      <c r="M23" s="38">
        <f t="shared" si="3"/>
        <v>1</v>
      </c>
      <c r="N23" s="39" t="s">
        <v>42</v>
      </c>
      <c r="O23" s="57">
        <v>46057.0</v>
      </c>
      <c r="P23" s="35" t="s">
        <v>43</v>
      </c>
      <c r="Q23" s="35"/>
      <c r="R23" s="35" t="s">
        <v>241</v>
      </c>
      <c r="S23" s="35" t="b">
        <v>1</v>
      </c>
      <c r="T23" s="35" t="b">
        <v>0</v>
      </c>
      <c r="U23" s="41" t="str">
        <f>IFERROR(__xludf.DUMMYFUNCTION("""["" &amp; JOIN("", "", ARRAYFORMULA("""""""" &amp; TRIM(SPLIT(A23,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23" s="42" t="s">
        <v>242</v>
      </c>
      <c r="W23" s="42" t="s">
        <v>243</v>
      </c>
      <c r="X23" s="43"/>
      <c r="Y23" s="44" t="str">
        <f>vlookup(G23,zip_codes!$B$6:$J988,3,false)</f>
        <v>Houston</v>
      </c>
      <c r="Z23" s="45" t="str">
        <f>vlookup(G23,zip_codes!$B$6:$J988,9,false)</f>
        <v>Acres Home, Garden Oaks North, Northside / Northline</v>
      </c>
      <c r="AA23" s="44" t="str">
        <f>vlookup(B23,organizations!$B$1:$C988,2,false)</f>
        <v>City of Houston</v>
      </c>
      <c r="AB23" s="55" t="s">
        <v>244</v>
      </c>
      <c r="AC23" s="47" t="str">
        <f t="shared" ref="AC23:AC24" si="5">PARSE_HOURS(I23)</f>
        <v>{"special":[{"pattern":"2nd Tu","open":"08:00","close":"11:00"}]}</v>
      </c>
      <c r="AD23" s="58" t="s">
        <v>74</v>
      </c>
      <c r="AE23" s="48"/>
      <c r="AF23" s="48"/>
    </row>
    <row r="24" ht="66.75" customHeight="1">
      <c r="A24" s="34" t="s">
        <v>234</v>
      </c>
      <c r="B24" s="35" t="s">
        <v>235</v>
      </c>
      <c r="C24" s="36" t="s">
        <v>236</v>
      </c>
      <c r="D24" s="36"/>
      <c r="E24" s="36" t="s">
        <v>36</v>
      </c>
      <c r="F24" s="36" t="s">
        <v>37</v>
      </c>
      <c r="G24" s="56" t="s">
        <v>237</v>
      </c>
      <c r="H24" s="35" t="s">
        <v>245</v>
      </c>
      <c r="I24" s="35" t="s">
        <v>131</v>
      </c>
      <c r="J24" s="35"/>
      <c r="K24" s="37">
        <f>IFERROR(__xludf.DUMMYFUNCTION("query(assistance!$A$2:$E988,""Select C Where D = '""&amp;L24&amp;""'"")"),44.0)</f>
        <v>44</v>
      </c>
      <c r="L24" s="36" t="s">
        <v>102</v>
      </c>
      <c r="M24" s="38">
        <f t="shared" si="3"/>
        <v>1</v>
      </c>
      <c r="N24" s="39" t="s">
        <v>42</v>
      </c>
      <c r="O24" s="57">
        <v>46057.0</v>
      </c>
      <c r="P24" s="35" t="s">
        <v>43</v>
      </c>
      <c r="Q24" s="35"/>
      <c r="R24" s="35" t="s">
        <v>246</v>
      </c>
      <c r="S24" s="35" t="b">
        <v>1</v>
      </c>
      <c r="T24" s="35" t="b">
        <v>0</v>
      </c>
      <c r="U24" s="41" t="str">
        <f>IFERROR(__xludf.DUMMYFUNCTION("""["" &amp; JOIN("", "", ARRAYFORMULA("""""""" &amp; TRIM(SPLIT(A24,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24" s="42" t="s">
        <v>242</v>
      </c>
      <c r="W24" s="42" t="s">
        <v>243</v>
      </c>
      <c r="X24" s="43"/>
      <c r="Y24" s="44" t="str">
        <f>vlookup(G24,zip_codes!$B$6:$J988,3,false)</f>
        <v>Houston</v>
      </c>
      <c r="Z24" s="45" t="str">
        <f>vlookup(G24,zip_codes!$B$6:$J988,9,false)</f>
        <v>Acres Home, Garden Oaks North, Northside / Northline</v>
      </c>
      <c r="AA24" s="44" t="str">
        <f>vlookup(B24,organizations!$B$1:$C988,2,false)</f>
        <v>City of Houston</v>
      </c>
      <c r="AB24" s="55" t="s">
        <v>244</v>
      </c>
      <c r="AC24" s="47" t="str">
        <f t="shared" si="5"/>
        <v>{"regular":[{"days":["Mo","Tu","We","Th"],"open":"08:00","close":"17:00"}]}</v>
      </c>
      <c r="AD24" s="58" t="s">
        <v>74</v>
      </c>
      <c r="AE24" s="48"/>
      <c r="AF24" s="48"/>
    </row>
    <row r="25" ht="66.75" customHeight="1">
      <c r="A25" s="49" t="s">
        <v>247</v>
      </c>
      <c r="B25" s="35" t="s">
        <v>235</v>
      </c>
      <c r="C25" s="36" t="s">
        <v>236</v>
      </c>
      <c r="D25" s="36"/>
      <c r="E25" s="36" t="s">
        <v>36</v>
      </c>
      <c r="F25" s="36" t="s">
        <v>37</v>
      </c>
      <c r="G25" s="56" t="s">
        <v>237</v>
      </c>
      <c r="H25" s="35" t="s">
        <v>248</v>
      </c>
      <c r="I25" s="35" t="s">
        <v>249</v>
      </c>
      <c r="J25" s="35"/>
      <c r="K25" s="37">
        <v>44.0</v>
      </c>
      <c r="L25" s="36" t="s">
        <v>102</v>
      </c>
      <c r="M25" s="38">
        <v>1.0</v>
      </c>
      <c r="N25" s="39" t="s">
        <v>42</v>
      </c>
      <c r="O25" s="57">
        <v>46057.0</v>
      </c>
      <c r="P25" s="35" t="s">
        <v>43</v>
      </c>
      <c r="Q25" s="35"/>
      <c r="R25" s="35" t="s">
        <v>250</v>
      </c>
      <c r="S25" s="35" t="b">
        <v>1</v>
      </c>
      <c r="T25" s="35" t="b">
        <v>0</v>
      </c>
      <c r="U25" s="41" t="s">
        <v>251</v>
      </c>
      <c r="V25" s="42" t="s">
        <v>242</v>
      </c>
      <c r="W25" s="42" t="s">
        <v>243</v>
      </c>
      <c r="X25" s="43"/>
      <c r="Y25" s="44" t="s">
        <v>252</v>
      </c>
      <c r="Z25" s="45" t="str">
        <f>vlookup(G25,zip_codes!$B$6:$J988,9,false)</f>
        <v>Acres Home, Garden Oaks North, Northside / Northline</v>
      </c>
      <c r="AA25" s="44" t="s">
        <v>253</v>
      </c>
      <c r="AB25" s="55" t="s">
        <v>244</v>
      </c>
      <c r="AC25" s="47" t="s">
        <v>134</v>
      </c>
      <c r="AD25" s="58" t="s">
        <v>74</v>
      </c>
      <c r="AE25" s="48"/>
      <c r="AF25" s="48"/>
    </row>
    <row r="26" ht="66.75" customHeight="1">
      <c r="A26" s="49" t="s">
        <v>50</v>
      </c>
      <c r="B26" s="35" t="s">
        <v>254</v>
      </c>
      <c r="C26" s="36" t="s">
        <v>255</v>
      </c>
      <c r="D26" s="36"/>
      <c r="E26" s="36" t="s">
        <v>256</v>
      </c>
      <c r="F26" s="36" t="s">
        <v>37</v>
      </c>
      <c r="G26" s="35" t="s">
        <v>257</v>
      </c>
      <c r="H26" s="35" t="s">
        <v>258</v>
      </c>
      <c r="I26" s="35" t="s">
        <v>259</v>
      </c>
      <c r="J26" s="35"/>
      <c r="K26" s="37">
        <f>IFERROR(__xludf.DUMMYFUNCTION("query(assistance!$A$2:$E988,""Select C Where D = '""&amp;L26&amp;""'"")"),34.0)</f>
        <v>34</v>
      </c>
      <c r="L26" s="36" t="s">
        <v>260</v>
      </c>
      <c r="M26" s="38">
        <f t="shared" ref="M26:M47" si="6">if(N26="Inactive",3,if(N26="Limited", 2, 1))</f>
        <v>1</v>
      </c>
      <c r="N26" s="39" t="s">
        <v>42</v>
      </c>
      <c r="O26" s="57">
        <v>45765.0</v>
      </c>
      <c r="P26" s="50"/>
      <c r="Q26" s="35"/>
      <c r="R26" s="35" t="s">
        <v>261</v>
      </c>
      <c r="S26" s="35" t="b">
        <v>0</v>
      </c>
      <c r="T26" s="35" t="b">
        <v>0</v>
      </c>
      <c r="U26" s="41" t="str">
        <f>IFERROR(__xludf.DUMMYFUNCTION("""["" &amp; JOIN("", "", ARRAYFORMULA("""""""" &amp; TRIM(SPLIT(A26, "","")) &amp; """""""")) &amp; ""]"""),"[""99999""]")</f>
        <v>["99999"]</v>
      </c>
      <c r="V26" s="52" t="s">
        <v>262</v>
      </c>
      <c r="W26" s="42" t="s">
        <v>263</v>
      </c>
      <c r="X26" s="43"/>
      <c r="Y26" s="44" t="str">
        <f>vlookup(G26,zip_codes!$B$6:$J988,3,false)</f>
        <v>Magnolia</v>
      </c>
      <c r="Z26" s="45" t="str">
        <f>vlookup(G26,zip_codes!$B$6:$J988,9,false)</f>
        <v>Magnolia</v>
      </c>
      <c r="AA26" s="44" t="str">
        <f>vlookup(B26,organizations!$B$1:$C988,2,false)</f>
        <v>Adult &amp; Teen Challenge</v>
      </c>
      <c r="AB26" s="46" t="s">
        <v>264</v>
      </c>
      <c r="AC26" s="47" t="s">
        <v>265</v>
      </c>
      <c r="AD26" s="48" t="s">
        <v>256</v>
      </c>
      <c r="AE26" s="48" t="str">
        <f t="shared" ref="AE26:AE38" si="7">B26&amp;C26&amp;K26</f>
        <v>Adult &amp; Teen Challenge30310 Misty Meadow Drive34</v>
      </c>
      <c r="AF26" s="48" t="str">
        <f t="shared" ref="AF26:AF38" si="8">if(AE26=AE25,"XXX","")</f>
        <v/>
      </c>
    </row>
    <row r="27" ht="66.75" customHeight="1">
      <c r="A27" s="34" t="s">
        <v>266</v>
      </c>
      <c r="B27" s="35" t="s">
        <v>267</v>
      </c>
      <c r="C27" s="36" t="s">
        <v>268</v>
      </c>
      <c r="D27" s="36" t="s">
        <v>269</v>
      </c>
      <c r="E27" s="36" t="s">
        <v>36</v>
      </c>
      <c r="F27" s="36" t="s">
        <v>37</v>
      </c>
      <c r="G27" s="35" t="s">
        <v>270</v>
      </c>
      <c r="H27" s="35" t="s">
        <v>271</v>
      </c>
      <c r="I27" s="35" t="s">
        <v>272</v>
      </c>
      <c r="J27" s="35"/>
      <c r="K27" s="37">
        <f>IFERROR(__xludf.DUMMYFUNCTION("query(assistance!$A$2:$E988,""Select C Where D = '""&amp;L27&amp;""'"")"),42.0)</f>
        <v>42</v>
      </c>
      <c r="L27" s="36" t="s">
        <v>273</v>
      </c>
      <c r="M27" s="38">
        <f t="shared" si="6"/>
        <v>1</v>
      </c>
      <c r="N27" s="39" t="s">
        <v>42</v>
      </c>
      <c r="O27" s="57">
        <v>46040.0</v>
      </c>
      <c r="P27" s="35" t="s">
        <v>43</v>
      </c>
      <c r="Q27" s="35"/>
      <c r="R27" s="35" t="s">
        <v>274</v>
      </c>
      <c r="S27" s="35" t="b">
        <v>0</v>
      </c>
      <c r="T27" s="35" t="b">
        <v>0</v>
      </c>
      <c r="U27" s="41" t="str">
        <f>IFERROR(__xludf.DUMMYFUNCTION("""["" &amp; JOIN("", "", ARRAYFORMULA("""""""" &amp; TRIM(SPLIT(A27,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27" s="42" t="s">
        <v>275</v>
      </c>
      <c r="W27" s="42" t="s">
        <v>276</v>
      </c>
      <c r="X27" s="43"/>
      <c r="Y27" s="44" t="str">
        <f>vlookup(G27,zip_codes!$B$6:$J988,3,false)</f>
        <v>Houston</v>
      </c>
      <c r="Z27" s="45" t="str">
        <f>vlookup(G27,zip_codes!$B$6:$J988,9,false)</f>
        <v>Central Business District, Downtown Houston, East Downtown, South Central Houston, Theater District, University Place, Warehouse District</v>
      </c>
      <c r="AA27" s="44" t="str">
        <f>vlookup(B27,organizations!$B$1:$C988,2,false)</f>
        <v>Aid to Victims of Domestic Abuse (AVDA)</v>
      </c>
      <c r="AB27" s="46" t="s">
        <v>277</v>
      </c>
      <c r="AC27" s="47" t="s">
        <v>278</v>
      </c>
      <c r="AD27" s="48" t="s">
        <v>279</v>
      </c>
      <c r="AE27" s="48" t="str">
        <f t="shared" si="7"/>
        <v>Aid to Victims of Domestic Abuse (AVDA)1001 Texas Avenue42</v>
      </c>
      <c r="AF27" s="48" t="str">
        <f t="shared" si="8"/>
        <v/>
      </c>
    </row>
    <row r="28" ht="66.75" customHeight="1">
      <c r="A28" s="34" t="s">
        <v>280</v>
      </c>
      <c r="B28" s="35" t="s">
        <v>267</v>
      </c>
      <c r="C28" s="36" t="s">
        <v>281</v>
      </c>
      <c r="D28" s="36" t="s">
        <v>282</v>
      </c>
      <c r="E28" s="36" t="s">
        <v>200</v>
      </c>
      <c r="F28" s="36" t="s">
        <v>37</v>
      </c>
      <c r="G28" s="56" t="s">
        <v>201</v>
      </c>
      <c r="H28" s="35" t="s">
        <v>283</v>
      </c>
      <c r="I28" s="35" t="s">
        <v>272</v>
      </c>
      <c r="J28" s="35"/>
      <c r="K28" s="37">
        <f>IFERROR(__xludf.DUMMYFUNCTION("query(assistance!$A$2:$E988,""Select C Where D = '""&amp;L28&amp;""'"")"),42.0)</f>
        <v>42</v>
      </c>
      <c r="L28" s="36" t="s">
        <v>273</v>
      </c>
      <c r="M28" s="38">
        <f t="shared" si="6"/>
        <v>1</v>
      </c>
      <c r="N28" s="39" t="s">
        <v>42</v>
      </c>
      <c r="O28" s="57">
        <v>46040.0</v>
      </c>
      <c r="P28" s="35" t="s">
        <v>43</v>
      </c>
      <c r="Q28" s="35"/>
      <c r="R28" s="35" t="s">
        <v>274</v>
      </c>
      <c r="S28" s="35" t="b">
        <v>0</v>
      </c>
      <c r="T28" s="35" t="b">
        <v>0</v>
      </c>
      <c r="U28" s="41" t="str">
        <f>IFERROR(__xludf.DUMMYFUNCTION("""["" &amp; JOIN("", "", ARRAYFORMULA("""""""" &amp; TRIM(SPLIT(A28,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28" s="42" t="s">
        <v>275</v>
      </c>
      <c r="W28" s="42" t="s">
        <v>284</v>
      </c>
      <c r="X28" s="43"/>
      <c r="Y28" s="44" t="str">
        <f>vlookup(G28,zip_codes!$B$6:$J988,3,false)</f>
        <v>Stafford</v>
      </c>
      <c r="Z28" s="45" t="str">
        <f>vlookup(G28,zip_codes!$B$6:$J988,9,false)</f>
        <v>Clark Plaza One, Corporate Bus Park, Greenbriar Southwest, Stafford, The Fountains</v>
      </c>
      <c r="AA28" s="44" t="str">
        <f>vlookup(B28,organizations!$B$1:$C988,2,false)</f>
        <v>Aid to Victims of Domestic Abuse (AVDA)</v>
      </c>
      <c r="AB28" s="55" t="s">
        <v>285</v>
      </c>
      <c r="AC28" s="47" t="s">
        <v>278</v>
      </c>
      <c r="AD28" s="58" t="s">
        <v>200</v>
      </c>
      <c r="AE28" s="48" t="str">
        <f t="shared" si="7"/>
        <v>Aid to Victims of Domestic Abuse (AVDA)12300 Parc Crest Drive42</v>
      </c>
      <c r="AF28" s="48" t="str">
        <f t="shared" si="8"/>
        <v/>
      </c>
    </row>
    <row r="29" ht="66.75" customHeight="1">
      <c r="A29" s="34" t="s">
        <v>286</v>
      </c>
      <c r="B29" s="35" t="s">
        <v>267</v>
      </c>
      <c r="C29" s="36" t="s">
        <v>287</v>
      </c>
      <c r="D29" s="36"/>
      <c r="E29" s="36" t="s">
        <v>138</v>
      </c>
      <c r="F29" s="36" t="s">
        <v>37</v>
      </c>
      <c r="G29" s="56" t="s">
        <v>139</v>
      </c>
      <c r="H29" s="35" t="s">
        <v>288</v>
      </c>
      <c r="I29" s="35" t="s">
        <v>272</v>
      </c>
      <c r="J29" s="35"/>
      <c r="K29" s="37">
        <f>IFERROR(__xludf.DUMMYFUNCTION("query(assistance!$A$2:$E988,""Select C Where D = '""&amp;L29&amp;""'"")"),42.0)</f>
        <v>42</v>
      </c>
      <c r="L29" s="36" t="s">
        <v>273</v>
      </c>
      <c r="M29" s="38">
        <f t="shared" si="6"/>
        <v>1</v>
      </c>
      <c r="N29" s="39" t="s">
        <v>42</v>
      </c>
      <c r="O29" s="57">
        <v>46040.0</v>
      </c>
      <c r="P29" s="35" t="s">
        <v>43</v>
      </c>
      <c r="Q29" s="35"/>
      <c r="R29" s="35" t="s">
        <v>274</v>
      </c>
      <c r="S29" s="35" t="b">
        <v>0</v>
      </c>
      <c r="T29" s="35" t="b">
        <v>0</v>
      </c>
      <c r="U29" s="41" t="str">
        <f>IFERROR(__xludf.DUMMYFUNCTION("""["" &amp; JOIN("", "", ARRAYFORMULA("""""""" &amp; TRIM(SPLIT(A29, "","")) &amp; """""""")) &amp; ""]"""),"[""77363"", ""77418"", ""77423"", ""77426"", ""77445"", ""77446"", ""77452"", ""77466"", ""77474"", ""77484"", ""77492"", ""77833"", ""77835"", ""77868"", ""77880"", ""78932"", ""78946""]")</f>
        <v>["77363", "77418", "77423", "77426", "77445", "77446", "77452", "77466", "77474", "77484", "77492", "77833", "77835", "77868", "77880", "78932", "78946"]</v>
      </c>
      <c r="V29" s="42" t="s">
        <v>275</v>
      </c>
      <c r="W29" s="42" t="s">
        <v>289</v>
      </c>
      <c r="X29" s="43"/>
      <c r="Y29" s="44" t="str">
        <f>vlookup(G29,zip_codes!$B$6:$J988,3,false)</f>
        <v>Hempstead</v>
      </c>
      <c r="Z29" s="45" t="str">
        <f>vlookup(G29,zip_codes!$B$6:$J988,9,false)</f>
        <v>Hempstead, Northside</v>
      </c>
      <c r="AA29" s="44" t="str">
        <f>vlookup(B29,organizations!$B$1:$C988,2,false)</f>
        <v>Aid to Victims of Domestic Abuse (AVDA)</v>
      </c>
      <c r="AB29" s="55" t="s">
        <v>290</v>
      </c>
      <c r="AC29" s="47" t="s">
        <v>278</v>
      </c>
      <c r="AD29" s="58" t="s">
        <v>138</v>
      </c>
      <c r="AE29" s="48" t="str">
        <f t="shared" si="7"/>
        <v>Aid to Victims of Domestic Abuse (AVDA)910 Ninth Street42</v>
      </c>
      <c r="AF29" s="48" t="str">
        <f t="shared" si="8"/>
        <v/>
      </c>
    </row>
    <row r="30" ht="66.75" customHeight="1">
      <c r="A30" s="34" t="s">
        <v>266</v>
      </c>
      <c r="B30" s="35" t="s">
        <v>267</v>
      </c>
      <c r="C30" s="36" t="s">
        <v>268</v>
      </c>
      <c r="D30" s="36" t="s">
        <v>269</v>
      </c>
      <c r="E30" s="36" t="s">
        <v>36</v>
      </c>
      <c r="F30" s="36" t="s">
        <v>37</v>
      </c>
      <c r="G30" s="35" t="s">
        <v>270</v>
      </c>
      <c r="H30" s="35" t="s">
        <v>271</v>
      </c>
      <c r="I30" s="35" t="s">
        <v>272</v>
      </c>
      <c r="J30" s="35"/>
      <c r="K30" s="37">
        <f>IFERROR(__xludf.DUMMYFUNCTION("query(assistance!$A$2:$E988,""Select C Where D = '""&amp;L30&amp;""'"")"),54.0)</f>
        <v>54</v>
      </c>
      <c r="L30" s="36" t="s">
        <v>291</v>
      </c>
      <c r="M30" s="38">
        <f t="shared" si="6"/>
        <v>1</v>
      </c>
      <c r="N30" s="39" t="s">
        <v>42</v>
      </c>
      <c r="O30" s="57">
        <v>46040.0</v>
      </c>
      <c r="P30" s="35" t="s">
        <v>43</v>
      </c>
      <c r="Q30" s="35"/>
      <c r="R30" s="35" t="s">
        <v>292</v>
      </c>
      <c r="S30" s="35" t="b">
        <v>0</v>
      </c>
      <c r="T30" s="35" t="b">
        <v>0</v>
      </c>
      <c r="U30" s="41" t="str">
        <f>IFERROR(__xludf.DUMMYFUNCTION("""["" &amp; JOIN("", "", ARRAYFORMULA("""""""" &amp; TRIM(SPLIT(A30,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30" s="52" t="s">
        <v>293</v>
      </c>
      <c r="W30" s="42" t="s">
        <v>276</v>
      </c>
      <c r="X30" s="43"/>
      <c r="Y30" s="44" t="str">
        <f>vlookup(G30,zip_codes!$B$6:$J988,3,false)</f>
        <v>Houston</v>
      </c>
      <c r="Z30" s="45" t="str">
        <f>vlookup(G30,zip_codes!$B$6:$J988,9,false)</f>
        <v>Central Business District, Downtown Houston, East Downtown, South Central Houston, Theater District, University Place, Warehouse District</v>
      </c>
      <c r="AA30" s="44" t="str">
        <f>vlookup(B30,organizations!$B$1:$C988,2,false)</f>
        <v>Aid to Victims of Domestic Abuse (AVDA)</v>
      </c>
      <c r="AB30" s="46" t="s">
        <v>277</v>
      </c>
      <c r="AC30" s="47" t="s">
        <v>278</v>
      </c>
      <c r="AD30" s="48" t="s">
        <v>279</v>
      </c>
      <c r="AE30" s="48" t="str">
        <f t="shared" si="7"/>
        <v>Aid to Victims of Domestic Abuse (AVDA)1001 Texas Avenue54</v>
      </c>
      <c r="AF30" s="48" t="str">
        <f t="shared" si="8"/>
        <v/>
      </c>
    </row>
    <row r="31" ht="66.75" customHeight="1">
      <c r="A31" s="34" t="s">
        <v>280</v>
      </c>
      <c r="B31" s="35" t="s">
        <v>267</v>
      </c>
      <c r="C31" s="36" t="s">
        <v>281</v>
      </c>
      <c r="D31" s="36" t="s">
        <v>282</v>
      </c>
      <c r="E31" s="36" t="s">
        <v>200</v>
      </c>
      <c r="F31" s="36" t="s">
        <v>37</v>
      </c>
      <c r="G31" s="56" t="s">
        <v>201</v>
      </c>
      <c r="H31" s="35" t="s">
        <v>283</v>
      </c>
      <c r="I31" s="35" t="s">
        <v>272</v>
      </c>
      <c r="J31" s="35"/>
      <c r="K31" s="37">
        <f>IFERROR(__xludf.DUMMYFUNCTION("query(assistance!$A$2:$E988,""Select C Where D = '""&amp;L31&amp;""'"")"),54.0)</f>
        <v>54</v>
      </c>
      <c r="L31" s="36" t="s">
        <v>291</v>
      </c>
      <c r="M31" s="38">
        <f t="shared" si="6"/>
        <v>1</v>
      </c>
      <c r="N31" s="39" t="s">
        <v>42</v>
      </c>
      <c r="O31" s="57">
        <v>46040.0</v>
      </c>
      <c r="P31" s="35" t="s">
        <v>43</v>
      </c>
      <c r="Q31" s="35"/>
      <c r="R31" s="35" t="s">
        <v>292</v>
      </c>
      <c r="S31" s="35" t="b">
        <v>0</v>
      </c>
      <c r="T31" s="35" t="b">
        <v>0</v>
      </c>
      <c r="U31" s="41" t="str">
        <f>IFERROR(__xludf.DUMMYFUNCTION("""["" &amp; JOIN("", "", ARRAYFORMULA("""""""" &amp; TRIM(SPLIT(A31,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1" s="52" t="s">
        <v>293</v>
      </c>
      <c r="W31" s="42" t="s">
        <v>284</v>
      </c>
      <c r="X31" s="43"/>
      <c r="Y31" s="44" t="str">
        <f>vlookup(G31,zip_codes!$B$6:$J988,3,false)</f>
        <v>Stafford</v>
      </c>
      <c r="Z31" s="45" t="str">
        <f>vlookup(G31,zip_codes!$B$6:$J988,9,false)</f>
        <v>Clark Plaza One, Corporate Bus Park, Greenbriar Southwest, Stafford, The Fountains</v>
      </c>
      <c r="AA31" s="44" t="str">
        <f>vlookup(B31,organizations!$B$1:$C988,2,false)</f>
        <v>Aid to Victims of Domestic Abuse (AVDA)</v>
      </c>
      <c r="AB31" s="55" t="s">
        <v>285</v>
      </c>
      <c r="AC31" s="47" t="s">
        <v>278</v>
      </c>
      <c r="AD31" s="58" t="s">
        <v>200</v>
      </c>
      <c r="AE31" s="48" t="str">
        <f t="shared" si="7"/>
        <v>Aid to Victims of Domestic Abuse (AVDA)12300 Parc Crest Drive54</v>
      </c>
      <c r="AF31" s="48" t="str">
        <f t="shared" si="8"/>
        <v/>
      </c>
    </row>
    <row r="32" ht="66.75" customHeight="1">
      <c r="A32" s="34" t="s">
        <v>286</v>
      </c>
      <c r="B32" s="35" t="s">
        <v>267</v>
      </c>
      <c r="C32" s="36" t="s">
        <v>287</v>
      </c>
      <c r="D32" s="36"/>
      <c r="E32" s="36" t="s">
        <v>138</v>
      </c>
      <c r="F32" s="36" t="s">
        <v>37</v>
      </c>
      <c r="G32" s="56" t="s">
        <v>139</v>
      </c>
      <c r="H32" s="35" t="s">
        <v>288</v>
      </c>
      <c r="I32" s="35" t="s">
        <v>272</v>
      </c>
      <c r="J32" s="35"/>
      <c r="K32" s="37">
        <f>IFERROR(__xludf.DUMMYFUNCTION("query(assistance!$A$2:$E988,""Select C Where D = '""&amp;L32&amp;""'"")"),54.0)</f>
        <v>54</v>
      </c>
      <c r="L32" s="36" t="s">
        <v>291</v>
      </c>
      <c r="M32" s="38">
        <f t="shared" si="6"/>
        <v>1</v>
      </c>
      <c r="N32" s="39" t="s">
        <v>42</v>
      </c>
      <c r="O32" s="57">
        <v>46040.0</v>
      </c>
      <c r="P32" s="35" t="s">
        <v>43</v>
      </c>
      <c r="Q32" s="35"/>
      <c r="R32" s="35" t="s">
        <v>292</v>
      </c>
      <c r="S32" s="35" t="b">
        <v>0</v>
      </c>
      <c r="T32" s="35" t="b">
        <v>0</v>
      </c>
      <c r="U32" s="41" t="str">
        <f>IFERROR(__xludf.DUMMYFUNCTION("""["" &amp; JOIN("", "", ARRAYFORMULA("""""""" &amp; TRIM(SPLIT(A32, "","")) &amp; """""""")) &amp; ""]"""),"[""77363"", ""77418"", ""77423"", ""77426"", ""77445"", ""77446"", ""77452"", ""77466"", ""77474"", ""77484"", ""77492"", ""77833"", ""77835"", ""77868"", ""77880"", ""78932"", ""78946""]")</f>
        <v>["77363", "77418", "77423", "77426", "77445", "77446", "77452", "77466", "77474", "77484", "77492", "77833", "77835", "77868", "77880", "78932", "78946"]</v>
      </c>
      <c r="V32" s="52" t="s">
        <v>293</v>
      </c>
      <c r="W32" s="42" t="s">
        <v>289</v>
      </c>
      <c r="X32" s="43"/>
      <c r="Y32" s="44" t="str">
        <f>vlookup(G32,zip_codes!$B$6:$J988,3,false)</f>
        <v>Hempstead</v>
      </c>
      <c r="Z32" s="45" t="str">
        <f>vlookup(G32,zip_codes!$B$6:$J988,9,false)</f>
        <v>Hempstead, Northside</v>
      </c>
      <c r="AA32" s="44" t="str">
        <f>vlookup(B32,organizations!$B$1:$C988,2,false)</f>
        <v>Aid to Victims of Domestic Abuse (AVDA)</v>
      </c>
      <c r="AB32" s="55" t="s">
        <v>290</v>
      </c>
      <c r="AC32" s="47" t="s">
        <v>278</v>
      </c>
      <c r="AD32" s="58" t="s">
        <v>138</v>
      </c>
      <c r="AE32" s="48" t="str">
        <f t="shared" si="7"/>
        <v>Aid to Victims of Domestic Abuse (AVDA)910 Ninth Street54</v>
      </c>
      <c r="AF32" s="48" t="str">
        <f t="shared" si="8"/>
        <v/>
      </c>
    </row>
    <row r="33" ht="66.75" customHeight="1">
      <c r="A33" s="49" t="s">
        <v>50</v>
      </c>
      <c r="B33" s="35" t="s">
        <v>294</v>
      </c>
      <c r="C33" s="36" t="s">
        <v>295</v>
      </c>
      <c r="D33" s="36"/>
      <c r="E33" s="36" t="s">
        <v>36</v>
      </c>
      <c r="F33" s="36" t="s">
        <v>37</v>
      </c>
      <c r="G33" s="56" t="s">
        <v>65</v>
      </c>
      <c r="H33" s="35" t="s">
        <v>296</v>
      </c>
      <c r="I33" s="35" t="s">
        <v>297</v>
      </c>
      <c r="J33" s="35" t="s">
        <v>298</v>
      </c>
      <c r="K33" s="37">
        <f>IFERROR(__xludf.DUMMYFUNCTION("query(assistance!$A$2:$E988,""Select C Where D = '""&amp;L33&amp;""'"")"),31.0)</f>
        <v>31</v>
      </c>
      <c r="L33" s="36" t="s">
        <v>90</v>
      </c>
      <c r="M33" s="38">
        <f t="shared" si="6"/>
        <v>1</v>
      </c>
      <c r="N33" s="39" t="s">
        <v>42</v>
      </c>
      <c r="O33" s="57">
        <v>46049.0</v>
      </c>
      <c r="P33" s="35" t="s">
        <v>43</v>
      </c>
      <c r="Q33" s="35"/>
      <c r="R33" s="35" t="s">
        <v>299</v>
      </c>
      <c r="S33" s="35" t="b">
        <v>0</v>
      </c>
      <c r="T33" s="35" t="b">
        <v>0</v>
      </c>
      <c r="U33" s="41" t="str">
        <f>IFERROR(__xludf.DUMMYFUNCTION("""["" &amp; JOIN("", "", ARRAYFORMULA("""""""" &amp; TRIM(SPLIT(A33, "","")) &amp; """""""")) &amp; ""]"""),"[""99999""]")</f>
        <v>["99999"]</v>
      </c>
      <c r="V33" s="52" t="s">
        <v>300</v>
      </c>
      <c r="W33" s="52" t="s">
        <v>301</v>
      </c>
      <c r="X33" s="43"/>
      <c r="Y33" s="44" t="str">
        <f>vlookup(G33,zip_codes!$B$6:$J988,3,false)</f>
        <v>Houston</v>
      </c>
      <c r="Z33" s="45" t="str">
        <f>vlookup(G33,zip_codes!$B$6:$J988,9,false)</f>
        <v>Independence Heights, Northline, Northside / Northline</v>
      </c>
      <c r="AA33" s="44" t="str">
        <f>vlookup(B33,organizations!$B$1:$C988,2,false)</f>
        <v>Vecino Health Centers</v>
      </c>
      <c r="AB33" s="46" t="s">
        <v>302</v>
      </c>
      <c r="AC33" s="47" t="s">
        <v>303</v>
      </c>
      <c r="AD33" s="48" t="s">
        <v>304</v>
      </c>
      <c r="AE33" s="48" t="str">
        <f t="shared" si="7"/>
        <v>Airline Children &amp; Women's Center5808 Airline Drive31</v>
      </c>
      <c r="AF33" s="48" t="str">
        <f t="shared" si="8"/>
        <v/>
      </c>
    </row>
    <row r="34" ht="66.75" customHeight="1">
      <c r="A34" s="49" t="s">
        <v>50</v>
      </c>
      <c r="B34" s="35" t="s">
        <v>305</v>
      </c>
      <c r="C34" s="36" t="s">
        <v>306</v>
      </c>
      <c r="D34" s="36"/>
      <c r="E34" s="36" t="s">
        <v>36</v>
      </c>
      <c r="F34" s="36" t="s">
        <v>37</v>
      </c>
      <c r="G34" s="56" t="s">
        <v>307</v>
      </c>
      <c r="H34" s="35" t="s">
        <v>308</v>
      </c>
      <c r="I34" s="35" t="s">
        <v>40</v>
      </c>
      <c r="J34" s="35" t="s">
        <v>89</v>
      </c>
      <c r="K34" s="37">
        <f>IFERROR(__xludf.DUMMYFUNCTION("query(assistance!$A$2:$E988,""Select C Where D = '""&amp;L34&amp;""'"")"),37.0)</f>
        <v>37</v>
      </c>
      <c r="L34" s="36" t="s">
        <v>309</v>
      </c>
      <c r="M34" s="38">
        <f t="shared" si="6"/>
        <v>1</v>
      </c>
      <c r="N34" s="39" t="s">
        <v>42</v>
      </c>
      <c r="O34" s="62">
        <v>46036.0</v>
      </c>
      <c r="P34" s="35" t="s">
        <v>43</v>
      </c>
      <c r="Q34" s="35"/>
      <c r="R34" s="35" t="s">
        <v>310</v>
      </c>
      <c r="S34" s="35" t="b">
        <v>0</v>
      </c>
      <c r="T34" s="35" t="b">
        <v>0</v>
      </c>
      <c r="U34" s="41" t="str">
        <f>IFERROR(__xludf.DUMMYFUNCTION("""["" &amp; JOIN("", "", ARRAYFORMULA("""""""" &amp; TRIM(SPLIT(A34, "","")) &amp; """""""")) &amp; ""]"""),"[""99999""]")</f>
        <v>["99999"]</v>
      </c>
      <c r="V34" s="42" t="s">
        <v>311</v>
      </c>
      <c r="W34" s="42" t="s">
        <v>312</v>
      </c>
      <c r="X34" s="43"/>
      <c r="Y34" s="44" t="str">
        <f>vlookup(G34,zip_codes!$B$6:$J988,3,false)</f>
        <v>Houston</v>
      </c>
      <c r="Z34" s="45" t="str">
        <f>vlookup(G34,zip_codes!$B$6:$J988,9,false)</f>
        <v>Central Southwest, Houston Museum District, South Central Houston, Southgate, Texas Medical Center</v>
      </c>
      <c r="AA34" s="44" t="str">
        <f>vlookup(B34,organizations!$B$1:$C988,2,false)</f>
        <v>Aishel House</v>
      </c>
      <c r="AB34" s="55" t="s">
        <v>313</v>
      </c>
      <c r="AC34" s="61" t="s">
        <v>48</v>
      </c>
      <c r="AD34" s="58" t="s">
        <v>314</v>
      </c>
      <c r="AE34" s="48" t="str">
        <f t="shared" si="7"/>
        <v>Aishel House1955 University Blvd37</v>
      </c>
      <c r="AF34" s="48" t="str">
        <f t="shared" si="8"/>
        <v/>
      </c>
    </row>
    <row r="35" ht="66.75" customHeight="1">
      <c r="A35" s="49" t="s">
        <v>315</v>
      </c>
      <c r="B35" s="35" t="s">
        <v>316</v>
      </c>
      <c r="C35" s="36" t="s">
        <v>317</v>
      </c>
      <c r="D35" s="36"/>
      <c r="E35" s="36" t="s">
        <v>36</v>
      </c>
      <c r="F35" s="36" t="s">
        <v>37</v>
      </c>
      <c r="G35" s="35" t="s">
        <v>318</v>
      </c>
      <c r="H35" s="35" t="s">
        <v>319</v>
      </c>
      <c r="I35" s="35" t="s">
        <v>320</v>
      </c>
      <c r="J35" s="35" t="s">
        <v>321</v>
      </c>
      <c r="K35" s="37">
        <f>IFERROR(__xludf.DUMMYFUNCTION("query(assistance!$A$2:$E988,""Select C Where D = '""&amp;L35&amp;""'"")"),11.0)</f>
        <v>11</v>
      </c>
      <c r="L35" s="36" t="s">
        <v>322</v>
      </c>
      <c r="M35" s="38">
        <f t="shared" si="6"/>
        <v>1</v>
      </c>
      <c r="N35" s="39" t="s">
        <v>42</v>
      </c>
      <c r="O35" s="40">
        <v>45793.0</v>
      </c>
      <c r="P35" s="35" t="s">
        <v>323</v>
      </c>
      <c r="Q35" s="35"/>
      <c r="R35" s="35" t="s">
        <v>324</v>
      </c>
      <c r="S35" s="35" t="b">
        <v>0</v>
      </c>
      <c r="T35" s="35" t="b">
        <v>0</v>
      </c>
      <c r="U35" s="41" t="str">
        <f>IFERROR(__xludf.DUMMYFUNCTION("""["" &amp; JOIN("", "", ARRAYFORMULA("""""""" &amp; TRIM(SPLIT(A35, "","")) &amp; """""""")) &amp; ""]"""),"[""77025"", ""77030"", ""77031"", ""77035"", ""77036"", ""77045"", ""77046"", ""77054"", ""77071"", ""77072"", ""77074"", ""77081"", ""77083"", ""77085"", ""77096"", ""77099""]")</f>
        <v>["77025", "77030", "77031", "77035", "77036", "77045", "77046", "77054", "77071", "77072", "77074", "77081", "77083", "77085", "77096", "77099"]</v>
      </c>
      <c r="V35" s="52" t="s">
        <v>325</v>
      </c>
      <c r="W35" s="52" t="s">
        <v>326</v>
      </c>
      <c r="X35" s="43"/>
      <c r="Y35" s="44" t="str">
        <f>vlookup(G35,zip_codes!$B$6:$J988,3,false)</f>
        <v>Houston</v>
      </c>
      <c r="Z35" s="45" t="str">
        <f>vlookup(G35,zip_codes!$B$6:$J988,9,false)</f>
        <v>Braeswood, Braeswood Place, Knollwood Village</v>
      </c>
      <c r="AA35" s="63" t="str">
        <f>vlookup(B35,organizations!$B$1:$C988,2,false)</f>
        <v>Alexander Jewish Family Service</v>
      </c>
      <c r="AB35" s="46" t="s">
        <v>327</v>
      </c>
      <c r="AC35" s="47" t="s">
        <v>328</v>
      </c>
      <c r="AD35" s="48" t="s">
        <v>329</v>
      </c>
      <c r="AE35" s="48" t="str">
        <f t="shared" si="7"/>
        <v>Alexander Jewish Family Service4131 S. Braeswood Blvd11</v>
      </c>
      <c r="AF35" s="48" t="str">
        <f t="shared" si="8"/>
        <v/>
      </c>
    </row>
    <row r="36" ht="66.75" customHeight="1">
      <c r="A36" s="49" t="s">
        <v>315</v>
      </c>
      <c r="B36" s="35" t="s">
        <v>316</v>
      </c>
      <c r="C36" s="36" t="s">
        <v>317</v>
      </c>
      <c r="D36" s="36"/>
      <c r="E36" s="36" t="s">
        <v>36</v>
      </c>
      <c r="F36" s="36" t="s">
        <v>37</v>
      </c>
      <c r="G36" s="35" t="s">
        <v>318</v>
      </c>
      <c r="H36" s="35" t="s">
        <v>319</v>
      </c>
      <c r="I36" s="35" t="s">
        <v>320</v>
      </c>
      <c r="J36" s="35" t="s">
        <v>321</v>
      </c>
      <c r="K36" s="37">
        <f>IFERROR(__xludf.DUMMYFUNCTION("query(assistance!$A$2:$E988,""Select C Where D = '""&amp;L36&amp;""'"")"),12.0)</f>
        <v>12</v>
      </c>
      <c r="L36" s="36" t="s">
        <v>330</v>
      </c>
      <c r="M36" s="38">
        <f t="shared" si="6"/>
        <v>1</v>
      </c>
      <c r="N36" s="39" t="s">
        <v>42</v>
      </c>
      <c r="O36" s="40">
        <v>45793.0</v>
      </c>
      <c r="P36" s="35" t="s">
        <v>323</v>
      </c>
      <c r="Q36" s="35"/>
      <c r="R36" s="35" t="s">
        <v>324</v>
      </c>
      <c r="S36" s="35" t="b">
        <v>0</v>
      </c>
      <c r="T36" s="35" t="b">
        <v>0</v>
      </c>
      <c r="U36" s="41" t="str">
        <f>IFERROR(__xludf.DUMMYFUNCTION("""["" &amp; JOIN("", "", ARRAYFORMULA("""""""" &amp; TRIM(SPLIT(A36, "","")) &amp; """""""")) &amp; ""]"""),"[""77025"", ""77030"", ""77031"", ""77035"", ""77036"", ""77045"", ""77046"", ""77054"", ""77071"", ""77072"", ""77074"", ""77081"", ""77083"", ""77085"", ""77096"", ""77099""]")</f>
        <v>["77025", "77030", "77031", "77035", "77036", "77045", "77046", "77054", "77071", "77072", "77074", "77081", "77083", "77085", "77096", "77099"]</v>
      </c>
      <c r="V36" s="52" t="s">
        <v>325</v>
      </c>
      <c r="W36" s="52" t="s">
        <v>326</v>
      </c>
      <c r="X36" s="43"/>
      <c r="Y36" s="44" t="str">
        <f>vlookup(G36,zip_codes!$B$6:$J988,3,false)</f>
        <v>Houston</v>
      </c>
      <c r="Z36" s="45" t="str">
        <f>vlookup(G36,zip_codes!$B$6:$J988,9,false)</f>
        <v>Braeswood, Braeswood Place, Knollwood Village</v>
      </c>
      <c r="AA36" s="63" t="str">
        <f>vlookup(B36,organizations!$B$1:$C988,2,false)</f>
        <v>Alexander Jewish Family Service</v>
      </c>
      <c r="AB36" s="46" t="s">
        <v>327</v>
      </c>
      <c r="AC36" s="47" t="s">
        <v>328</v>
      </c>
      <c r="AD36" s="48" t="s">
        <v>329</v>
      </c>
      <c r="AE36" s="48" t="str">
        <f t="shared" si="7"/>
        <v>Alexander Jewish Family Service4131 S. Braeswood Blvd12</v>
      </c>
      <c r="AF36" s="48" t="str">
        <f t="shared" si="8"/>
        <v/>
      </c>
    </row>
    <row r="37" ht="66.75" customHeight="1">
      <c r="A37" s="49" t="s">
        <v>315</v>
      </c>
      <c r="B37" s="35" t="s">
        <v>316</v>
      </c>
      <c r="C37" s="36" t="s">
        <v>317</v>
      </c>
      <c r="D37" s="36"/>
      <c r="E37" s="36" t="s">
        <v>36</v>
      </c>
      <c r="F37" s="36" t="s">
        <v>37</v>
      </c>
      <c r="G37" s="35" t="s">
        <v>318</v>
      </c>
      <c r="H37" s="35" t="s">
        <v>331</v>
      </c>
      <c r="I37" s="35" t="s">
        <v>332</v>
      </c>
      <c r="J37" s="35"/>
      <c r="K37" s="37">
        <f>IFERROR(__xludf.DUMMYFUNCTION("query(assistance!$A$2:$E988,""Select C Where D = '""&amp;L37&amp;""'"")"),33.0)</f>
        <v>33</v>
      </c>
      <c r="L37" s="36" t="s">
        <v>333</v>
      </c>
      <c r="M37" s="38">
        <f t="shared" si="6"/>
        <v>1</v>
      </c>
      <c r="N37" s="39" t="s">
        <v>42</v>
      </c>
      <c r="O37" s="40">
        <v>45674.0</v>
      </c>
      <c r="P37" s="35" t="s">
        <v>323</v>
      </c>
      <c r="Q37" s="35"/>
      <c r="R37" s="35" t="s">
        <v>334</v>
      </c>
      <c r="S37" s="35" t="b">
        <v>0</v>
      </c>
      <c r="T37" s="35" t="b">
        <v>0</v>
      </c>
      <c r="U37" s="41" t="str">
        <f>IFERROR(__xludf.DUMMYFUNCTION("""["" &amp; JOIN("", "", ARRAYFORMULA("""""""" &amp; TRIM(SPLIT(A37, "","")) &amp; """""""")) &amp; ""]"""),"[""77025"", ""77030"", ""77031"", ""77035"", ""77036"", ""77045"", ""77046"", ""77054"", ""77071"", ""77072"", ""77074"", ""77081"", ""77083"", ""77085"", ""77096"", ""77099""]")</f>
        <v>["77025", "77030", "77031", "77035", "77036", "77045", "77046", "77054", "77071", "77072", "77074", "77081", "77083", "77085", "77096", "77099"]</v>
      </c>
      <c r="V37" s="52" t="s">
        <v>325</v>
      </c>
      <c r="W37" s="52" t="s">
        <v>326</v>
      </c>
      <c r="X37" s="43"/>
      <c r="Y37" s="44" t="str">
        <f>vlookup(G37,zip_codes!$B$6:$J988,3,false)</f>
        <v>Houston</v>
      </c>
      <c r="Z37" s="45" t="str">
        <f>vlookup(G37,zip_codes!$B$6:$J988,9,false)</f>
        <v>Braeswood, Braeswood Place, Knollwood Village</v>
      </c>
      <c r="AA37" s="63" t="str">
        <f>vlookup(B37,organizations!$B$1:$C988,2,false)</f>
        <v>Alexander Jewish Family Service</v>
      </c>
      <c r="AB37" s="46" t="s">
        <v>327</v>
      </c>
      <c r="AC37" s="47" t="s">
        <v>335</v>
      </c>
      <c r="AD37" s="48" t="s">
        <v>329</v>
      </c>
      <c r="AE37" s="48" t="str">
        <f t="shared" si="7"/>
        <v>Alexander Jewish Family Service4131 S. Braeswood Blvd33</v>
      </c>
      <c r="AF37" s="48" t="str">
        <f t="shared" si="8"/>
        <v/>
      </c>
    </row>
    <row r="38" ht="66.75" customHeight="1">
      <c r="A38" s="49" t="s">
        <v>315</v>
      </c>
      <c r="B38" s="35" t="s">
        <v>316</v>
      </c>
      <c r="C38" s="36" t="s">
        <v>317</v>
      </c>
      <c r="D38" s="36"/>
      <c r="E38" s="36" t="s">
        <v>36</v>
      </c>
      <c r="F38" s="36" t="s">
        <v>37</v>
      </c>
      <c r="G38" s="35" t="s">
        <v>318</v>
      </c>
      <c r="H38" s="35" t="s">
        <v>331</v>
      </c>
      <c r="I38" s="35" t="s">
        <v>332</v>
      </c>
      <c r="J38" s="35"/>
      <c r="K38" s="37">
        <f>IFERROR(__xludf.DUMMYFUNCTION("query(assistance!$A$2:$E988,""Select C Where D = '""&amp;L38&amp;""'"")"),52.0)</f>
        <v>52</v>
      </c>
      <c r="L38" s="36" t="s">
        <v>336</v>
      </c>
      <c r="M38" s="38">
        <f t="shared" si="6"/>
        <v>1</v>
      </c>
      <c r="N38" s="39" t="s">
        <v>42</v>
      </c>
      <c r="O38" s="40">
        <v>45674.0</v>
      </c>
      <c r="P38" s="35" t="s">
        <v>323</v>
      </c>
      <c r="Q38" s="35"/>
      <c r="R38" s="35" t="s">
        <v>337</v>
      </c>
      <c r="S38" s="35" t="b">
        <v>0</v>
      </c>
      <c r="T38" s="35" t="b">
        <v>0</v>
      </c>
      <c r="U38" s="41" t="str">
        <f>IFERROR(__xludf.DUMMYFUNCTION("""["" &amp; JOIN("", "", ARRAYFORMULA("""""""" &amp; TRIM(SPLIT(A38, "","")) &amp; """""""")) &amp; ""]"""),"[""77025"", ""77030"", ""77031"", ""77035"", ""77036"", ""77045"", ""77046"", ""77054"", ""77071"", ""77072"", ""77074"", ""77081"", ""77083"", ""77085"", ""77096"", ""77099""]")</f>
        <v>["77025", "77030", "77031", "77035", "77036", "77045", "77046", "77054", "77071", "77072", "77074", "77081", "77083", "77085", "77096", "77099"]</v>
      </c>
      <c r="V38" s="52" t="s">
        <v>325</v>
      </c>
      <c r="W38" s="52" t="s">
        <v>326</v>
      </c>
      <c r="X38" s="43"/>
      <c r="Y38" s="44" t="str">
        <f>vlookup(G38,zip_codes!$B$6:$J988,3,false)</f>
        <v>Houston</v>
      </c>
      <c r="Z38" s="45" t="str">
        <f>vlookup(G38,zip_codes!$B$6:$J988,9,false)</f>
        <v>Braeswood, Braeswood Place, Knollwood Village</v>
      </c>
      <c r="AA38" s="63" t="str">
        <f>vlookup(B38,organizations!$B$1:$C988,2,false)</f>
        <v>Alexander Jewish Family Service</v>
      </c>
      <c r="AB38" s="46" t="s">
        <v>327</v>
      </c>
      <c r="AC38" s="47" t="s">
        <v>335</v>
      </c>
      <c r="AD38" s="48" t="s">
        <v>329</v>
      </c>
      <c r="AE38" s="48" t="str">
        <f t="shared" si="7"/>
        <v>Alexander Jewish Family Service4131 S. Braeswood Blvd52</v>
      </c>
      <c r="AF38" s="48" t="str">
        <f t="shared" si="8"/>
        <v/>
      </c>
    </row>
    <row r="39" ht="66.75" customHeight="1">
      <c r="A39" s="34" t="s">
        <v>234</v>
      </c>
      <c r="B39" s="35" t="s">
        <v>338</v>
      </c>
      <c r="C39" s="36" t="s">
        <v>339</v>
      </c>
      <c r="D39" s="36"/>
      <c r="E39" s="36" t="s">
        <v>36</v>
      </c>
      <c r="F39" s="36" t="s">
        <v>37</v>
      </c>
      <c r="G39" s="56" t="s">
        <v>340</v>
      </c>
      <c r="H39" s="35" t="s">
        <v>341</v>
      </c>
      <c r="I39" s="35" t="s">
        <v>131</v>
      </c>
      <c r="J39" s="35"/>
      <c r="K39" s="37">
        <f>IFERROR(__xludf.DUMMYFUNCTION("query(assistance!$A$2:$E988,""Select C Where D = '""&amp;L39&amp;""'"")"),44.0)</f>
        <v>44</v>
      </c>
      <c r="L39" s="36" t="s">
        <v>102</v>
      </c>
      <c r="M39" s="38">
        <f t="shared" si="6"/>
        <v>1</v>
      </c>
      <c r="N39" s="39" t="s">
        <v>42</v>
      </c>
      <c r="O39" s="57">
        <v>46057.0</v>
      </c>
      <c r="P39" s="35" t="s">
        <v>43</v>
      </c>
      <c r="Q39" s="35"/>
      <c r="R39" s="35" t="s">
        <v>246</v>
      </c>
      <c r="S39" s="35" t="b">
        <v>0</v>
      </c>
      <c r="T39" s="35" t="b">
        <v>0</v>
      </c>
      <c r="U39" s="41" t="str">
        <f>IFERROR(__xludf.DUMMYFUNCTION("""["" &amp; JOIN("", "", ARRAYFORMULA("""""""" &amp; TRIM(SPLIT(A39,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39" s="42" t="s">
        <v>342</v>
      </c>
      <c r="W39" s="42" t="s">
        <v>343</v>
      </c>
      <c r="X39" s="43"/>
      <c r="Y39" s="44" t="str">
        <f>vlookup(G39,zip_codes!$B$6:$J988,3,false)</f>
        <v>Houston</v>
      </c>
      <c r="Z39" s="45" t="str">
        <f>vlookup(G39,zip_codes!$B$6:$J988,9,false)</f>
        <v>Alief</v>
      </c>
      <c r="AA39" s="44" t="str">
        <f>vlookup(B39,organizations!$B$1:$C988,2,false)</f>
        <v>City of Houston</v>
      </c>
      <c r="AB39" s="55" t="s">
        <v>344</v>
      </c>
      <c r="AC39" s="47" t="str">
        <f>PARSE_HOURS(I39)</f>
        <v>{"regular":[{"days":["Mo","Tu","We","Th"],"open":"08:00","close":"17:00"}]}</v>
      </c>
      <c r="AD39" s="58" t="s">
        <v>345</v>
      </c>
      <c r="AE39" s="48"/>
      <c r="AF39" s="48"/>
    </row>
    <row r="40" ht="66.75" customHeight="1">
      <c r="A40" s="49" t="s">
        <v>346</v>
      </c>
      <c r="B40" s="35" t="s">
        <v>347</v>
      </c>
      <c r="C40" s="36" t="s">
        <v>348</v>
      </c>
      <c r="D40" s="36"/>
      <c r="E40" s="36" t="s">
        <v>36</v>
      </c>
      <c r="F40" s="36" t="s">
        <v>37</v>
      </c>
      <c r="G40" s="35" t="s">
        <v>349</v>
      </c>
      <c r="H40" s="35" t="s">
        <v>350</v>
      </c>
      <c r="I40" s="35" t="s">
        <v>351</v>
      </c>
      <c r="J40" s="35"/>
      <c r="K40" s="37">
        <f>IFERROR(__xludf.DUMMYFUNCTION("query(assistance!$A$2:$E988,""Select C Where D = '""&amp;L40&amp;""'"")"),11.0)</f>
        <v>11</v>
      </c>
      <c r="L40" s="36" t="s">
        <v>322</v>
      </c>
      <c r="M40" s="38">
        <f t="shared" si="6"/>
        <v>1</v>
      </c>
      <c r="N40" s="39" t="s">
        <v>42</v>
      </c>
      <c r="O40" s="40">
        <v>45758.0</v>
      </c>
      <c r="P40" s="50"/>
      <c r="Q40" s="35"/>
      <c r="R40" s="35"/>
      <c r="S40" s="35" t="b">
        <v>0</v>
      </c>
      <c r="T40" s="35" t="b">
        <v>0</v>
      </c>
      <c r="U40" s="41" t="str">
        <f>IFERROR(__xludf.DUMMYFUNCTION("""["" &amp; JOIN("", "", ARRAYFORMULA("""""""" &amp; TRIM(SPLIT(A40, "","")) &amp; """""""")) &amp; ""]"""),"[""77007"", ""77008"", ""77009""]")</f>
        <v>["77007", "77008", "77009"]</v>
      </c>
      <c r="V40" s="52" t="s">
        <v>352</v>
      </c>
      <c r="W40" s="52" t="s">
        <v>353</v>
      </c>
      <c r="X40" s="43"/>
      <c r="Y40" s="44" t="str">
        <f>vlookup(G40,zip_codes!$B$6:$J988,3,false)</f>
        <v>Houston</v>
      </c>
      <c r="Z40" s="45" t="str">
        <f>vlookup(G40,zip_codes!$B$6:$J988,9,false)</f>
        <v>Lazybrook / Timbergrove, Northside, Shady Acres, The Heights, Timbergrove</v>
      </c>
      <c r="AA40" s="44" t="str">
        <f>vlookup(B40,organizations!$B$1:$C988,2,false)</f>
        <v>Society of St Vincent de Paul</v>
      </c>
      <c r="AB40" s="46" t="s">
        <v>354</v>
      </c>
      <c r="AC40" s="47" t="s">
        <v>355</v>
      </c>
      <c r="AD40" s="48" t="s">
        <v>356</v>
      </c>
      <c r="AE40" s="48" t="str">
        <f t="shared" ref="AE40:AE146" si="9">B40&amp;C40&amp;K40</f>
        <v>All Saints (SVdP D4)1035 Cortlandt Street11</v>
      </c>
      <c r="AF40" s="48" t="str">
        <f t="shared" ref="AF40:AF97" si="10">if(AE40=AE39,"XXX","")</f>
        <v/>
      </c>
    </row>
    <row r="41" ht="66.75" customHeight="1">
      <c r="A41" s="49" t="s">
        <v>346</v>
      </c>
      <c r="B41" s="35" t="s">
        <v>347</v>
      </c>
      <c r="C41" s="36" t="s">
        <v>348</v>
      </c>
      <c r="D41" s="36"/>
      <c r="E41" s="36" t="s">
        <v>36</v>
      </c>
      <c r="F41" s="36" t="s">
        <v>37</v>
      </c>
      <c r="G41" s="35" t="s">
        <v>349</v>
      </c>
      <c r="H41" s="35" t="s">
        <v>350</v>
      </c>
      <c r="I41" s="35" t="s">
        <v>351</v>
      </c>
      <c r="J41" s="35"/>
      <c r="K41" s="37">
        <f>IFERROR(__xludf.DUMMYFUNCTION("query(assistance!$A$2:$E988,""Select C Where D = '""&amp;L41&amp;""'"")"),12.0)</f>
        <v>12</v>
      </c>
      <c r="L41" s="36" t="s">
        <v>330</v>
      </c>
      <c r="M41" s="38">
        <f t="shared" si="6"/>
        <v>1</v>
      </c>
      <c r="N41" s="39" t="s">
        <v>42</v>
      </c>
      <c r="O41" s="40">
        <v>45758.0</v>
      </c>
      <c r="P41" s="50"/>
      <c r="Q41" s="35"/>
      <c r="R41" s="35"/>
      <c r="S41" s="35" t="b">
        <v>0</v>
      </c>
      <c r="T41" s="35" t="b">
        <v>0</v>
      </c>
      <c r="U41" s="41" t="str">
        <f>IFERROR(__xludf.DUMMYFUNCTION("""["" &amp; JOIN("", "", ARRAYFORMULA("""""""" &amp; TRIM(SPLIT(A41, "","")) &amp; """""""")) &amp; ""]"""),"[""77007"", ""77008"", ""77009""]")</f>
        <v>["77007", "77008", "77009"]</v>
      </c>
      <c r="V41" s="52" t="s">
        <v>352</v>
      </c>
      <c r="W41" s="52" t="s">
        <v>353</v>
      </c>
      <c r="X41" s="43"/>
      <c r="Y41" s="44" t="str">
        <f>vlookup(G41,zip_codes!$B$6:$J988,3,false)</f>
        <v>Houston</v>
      </c>
      <c r="Z41" s="45" t="str">
        <f>vlookup(G41,zip_codes!$B$6:$J988,9,false)</f>
        <v>Lazybrook / Timbergrove, Northside, Shady Acres, The Heights, Timbergrove</v>
      </c>
      <c r="AA41" s="44" t="str">
        <f>vlookup(B41,organizations!$B$1:$C988,2,false)</f>
        <v>Society of St Vincent de Paul</v>
      </c>
      <c r="AB41" s="46" t="s">
        <v>354</v>
      </c>
      <c r="AC41" s="47" t="s">
        <v>355</v>
      </c>
      <c r="AD41" s="48" t="s">
        <v>356</v>
      </c>
      <c r="AE41" s="48" t="str">
        <f t="shared" si="9"/>
        <v>All Saints (SVdP D4)1035 Cortlandt Street12</v>
      </c>
      <c r="AF41" s="48" t="str">
        <f t="shared" si="10"/>
        <v/>
      </c>
    </row>
    <row r="42" ht="66.75" customHeight="1">
      <c r="A42" s="49" t="s">
        <v>346</v>
      </c>
      <c r="B42" s="35" t="s">
        <v>347</v>
      </c>
      <c r="C42" s="36" t="s">
        <v>348</v>
      </c>
      <c r="D42" s="36"/>
      <c r="E42" s="36" t="s">
        <v>36</v>
      </c>
      <c r="F42" s="36" t="s">
        <v>37</v>
      </c>
      <c r="G42" s="35" t="s">
        <v>349</v>
      </c>
      <c r="H42" s="35" t="s">
        <v>350</v>
      </c>
      <c r="I42" s="35" t="s">
        <v>357</v>
      </c>
      <c r="J42" s="35"/>
      <c r="K42" s="37">
        <f>IFERROR(__xludf.DUMMYFUNCTION("query(assistance!$A$2:$E988,""Select C Where D = '""&amp;L42&amp;""'"")"),13.0)</f>
        <v>13</v>
      </c>
      <c r="L42" s="36" t="s">
        <v>240</v>
      </c>
      <c r="M42" s="38">
        <f t="shared" si="6"/>
        <v>1</v>
      </c>
      <c r="N42" s="39" t="s">
        <v>42</v>
      </c>
      <c r="O42" s="40">
        <v>45758.0</v>
      </c>
      <c r="P42" s="50"/>
      <c r="Q42" s="35"/>
      <c r="R42" s="35" t="s">
        <v>358</v>
      </c>
      <c r="S42" s="35" t="b">
        <v>0</v>
      </c>
      <c r="T42" s="35" t="b">
        <v>0</v>
      </c>
      <c r="U42" s="41" t="str">
        <f>IFERROR(__xludf.DUMMYFUNCTION("""["" &amp; JOIN("", "", ARRAYFORMULA("""""""" &amp; TRIM(SPLIT(A42, "","")) &amp; """""""")) &amp; ""]"""),"[""77007"", ""77008"", ""77009""]")</f>
        <v>["77007", "77008", "77009"]</v>
      </c>
      <c r="V42" s="52" t="s">
        <v>352</v>
      </c>
      <c r="W42" s="52" t="s">
        <v>353</v>
      </c>
      <c r="X42" s="43"/>
      <c r="Y42" s="44" t="str">
        <f>vlookup(G42,zip_codes!$B$6:$J988,3,false)</f>
        <v>Houston</v>
      </c>
      <c r="Z42" s="45" t="str">
        <f>vlookup(G42,zip_codes!$B$6:$J988,9,false)</f>
        <v>Lazybrook / Timbergrove, Northside, Shady Acres, The Heights, Timbergrove</v>
      </c>
      <c r="AA42" s="44" t="str">
        <f>vlookup(B42,organizations!$B$1:$C988,2,false)</f>
        <v>Society of St Vincent de Paul</v>
      </c>
      <c r="AB42" s="46" t="s">
        <v>354</v>
      </c>
      <c r="AC42" s="47" t="s">
        <v>359</v>
      </c>
      <c r="AD42" s="48" t="s">
        <v>356</v>
      </c>
      <c r="AE42" s="48" t="str">
        <f t="shared" si="9"/>
        <v>All Saints (SVdP D4)1035 Cortlandt Street13</v>
      </c>
      <c r="AF42" s="48" t="str">
        <f t="shared" si="10"/>
        <v/>
      </c>
    </row>
    <row r="43" ht="66.75" customHeight="1">
      <c r="A43" s="49" t="s">
        <v>50</v>
      </c>
      <c r="B43" s="35" t="s">
        <v>360</v>
      </c>
      <c r="C43" s="36" t="s">
        <v>361</v>
      </c>
      <c r="D43" s="36" t="s">
        <v>362</v>
      </c>
      <c r="E43" s="36" t="s">
        <v>363</v>
      </c>
      <c r="F43" s="36" t="s">
        <v>364</v>
      </c>
      <c r="G43" s="35" t="s">
        <v>365</v>
      </c>
      <c r="H43" s="35"/>
      <c r="I43" s="35"/>
      <c r="J43" s="35" t="s">
        <v>89</v>
      </c>
      <c r="K43" s="37">
        <f>IFERROR(__xludf.DUMMYFUNCTION("query(assistance!$A$2:$E988,""Select C Where D = '""&amp;L43&amp;""'"")"),36.0)</f>
        <v>36</v>
      </c>
      <c r="L43" s="36" t="s">
        <v>227</v>
      </c>
      <c r="M43" s="38">
        <f t="shared" si="6"/>
        <v>1</v>
      </c>
      <c r="N43" s="39" t="s">
        <v>42</v>
      </c>
      <c r="O43" s="57">
        <v>45816.0</v>
      </c>
      <c r="P43" s="35" t="s">
        <v>43</v>
      </c>
      <c r="Q43" s="35"/>
      <c r="R43" s="35" t="s">
        <v>366</v>
      </c>
      <c r="S43" s="35" t="b">
        <v>0</v>
      </c>
      <c r="T43" s="35" t="b">
        <v>0</v>
      </c>
      <c r="U43" s="41" t="str">
        <f>IFERROR(__xludf.DUMMYFUNCTION("""["" &amp; JOIN("", "", ARRAYFORMULA("""""""" &amp; TRIM(SPLIT(A43, "","")) &amp; """""""")) &amp; ""]"""),"[""99999""]")</f>
        <v>["99999"]</v>
      </c>
      <c r="V43" s="42" t="s">
        <v>367</v>
      </c>
      <c r="W43" s="52"/>
      <c r="X43" s="43"/>
      <c r="Y43" s="44" t="str">
        <f>vlookup(G43,zip_codes!$B$6:$J988,3,false)</f>
        <v>Fort Myers</v>
      </c>
      <c r="Z43" s="45" t="str">
        <f>vlookup(G43,zip_codes!$B$6:$J988,9,false)</f>
        <v>Gateway</v>
      </c>
      <c r="AA43" s="44" t="str">
        <f>vlookup(B43,organizations!$B$1:$C988,2,false)</f>
        <v>Allyson Whitney Foundation</v>
      </c>
      <c r="AB43" s="55" t="s">
        <v>368</v>
      </c>
      <c r="AC43" s="53"/>
      <c r="AD43" s="48" t="s">
        <v>369</v>
      </c>
      <c r="AE43" s="48" t="str">
        <f t="shared" si="9"/>
        <v>Allyson Whitney Foundation12221 Towne Lake Drive36</v>
      </c>
      <c r="AF43" s="48" t="str">
        <f t="shared" si="10"/>
        <v/>
      </c>
    </row>
    <row r="44" ht="86.25" customHeight="1">
      <c r="A44" s="49" t="s">
        <v>50</v>
      </c>
      <c r="B44" s="35" t="s">
        <v>370</v>
      </c>
      <c r="C44" s="36" t="s">
        <v>371</v>
      </c>
      <c r="D44" s="36" t="s">
        <v>199</v>
      </c>
      <c r="E44" s="36" t="s">
        <v>372</v>
      </c>
      <c r="F44" s="36" t="s">
        <v>373</v>
      </c>
      <c r="G44" s="56" t="s">
        <v>374</v>
      </c>
      <c r="H44" s="35" t="s">
        <v>375</v>
      </c>
      <c r="I44" s="35" t="s">
        <v>40</v>
      </c>
      <c r="J44" s="35" t="s">
        <v>89</v>
      </c>
      <c r="K44" s="37">
        <f>IFERROR(__xludf.DUMMYFUNCTION("query(assistance!$A$2:$E988,""Select C Where D = '""&amp;L44&amp;""'"")"),36.0)</f>
        <v>36</v>
      </c>
      <c r="L44" s="36" t="s">
        <v>227</v>
      </c>
      <c r="M44" s="38">
        <f t="shared" si="6"/>
        <v>1</v>
      </c>
      <c r="N44" s="39" t="s">
        <v>42</v>
      </c>
      <c r="O44" s="40">
        <v>6693457.0</v>
      </c>
      <c r="P44" s="35" t="s">
        <v>43</v>
      </c>
      <c r="Q44" s="35"/>
      <c r="R44" s="35" t="s">
        <v>376</v>
      </c>
      <c r="S44" s="35" t="b">
        <v>0</v>
      </c>
      <c r="T44" s="35" t="b">
        <v>0</v>
      </c>
      <c r="U44" s="41" t="str">
        <f>IFERROR(__xludf.DUMMYFUNCTION("""["" &amp; JOIN("", "", ARRAYFORMULA("""""""" &amp; TRIM(SPLIT(A44, "","")) &amp; """""""")) &amp; ""]"""),"[""99999""]")</f>
        <v>["99999"]</v>
      </c>
      <c r="V44" s="42" t="s">
        <v>377</v>
      </c>
      <c r="W44" s="42" t="s">
        <v>378</v>
      </c>
      <c r="X44" s="43"/>
      <c r="Y44" s="44" t="str">
        <f>vlookup(G44,zip_codes!$B$6:$J988,3,false)</f>
        <v>Rockville</v>
      </c>
      <c r="Z44" s="45" t="str">
        <f>vlookup(G44,zip_codes!$B$6:$J988,9,false)</f>
        <v>North Bethesda</v>
      </c>
      <c r="AA44" s="44" t="str">
        <f>vlookup(B44,organizations!$B$1:$C988,2,false)</f>
        <v>American Kidney Fund</v>
      </c>
      <c r="AB44" s="55" t="s">
        <v>379</v>
      </c>
      <c r="AC44" s="61" t="s">
        <v>48</v>
      </c>
      <c r="AD44" s="58" t="s">
        <v>380</v>
      </c>
      <c r="AE44" s="48" t="str">
        <f t="shared" si="9"/>
        <v>American Kidney Fund11921 Rockville Pike36</v>
      </c>
      <c r="AF44" s="48" t="str">
        <f t="shared" si="10"/>
        <v/>
      </c>
    </row>
    <row r="45" ht="66.75" customHeight="1">
      <c r="A45" s="49" t="s">
        <v>50</v>
      </c>
      <c r="B45" s="35" t="s">
        <v>381</v>
      </c>
      <c r="C45" s="36" t="s">
        <v>382</v>
      </c>
      <c r="D45" s="36"/>
      <c r="E45" s="36" t="s">
        <v>36</v>
      </c>
      <c r="F45" s="36" t="s">
        <v>37</v>
      </c>
      <c r="G45" s="35" t="s">
        <v>383</v>
      </c>
      <c r="H45" s="35" t="s">
        <v>384</v>
      </c>
      <c r="I45" s="50"/>
      <c r="J45" s="64"/>
      <c r="K45" s="37">
        <f>IFERROR(__xludf.DUMMYFUNCTION("query(assistance!$A$2:$E988,""Select C Where D = '""&amp;L45&amp;""'"")"),12.0)</f>
        <v>12</v>
      </c>
      <c r="L45" s="36" t="s">
        <v>330</v>
      </c>
      <c r="M45" s="38">
        <f t="shared" si="6"/>
        <v>2</v>
      </c>
      <c r="N45" s="39" t="s">
        <v>385</v>
      </c>
      <c r="O45" s="65"/>
      <c r="P45" s="35" t="s">
        <v>386</v>
      </c>
      <c r="Q45" s="50"/>
      <c r="R45" s="50"/>
      <c r="S45" s="35" t="b">
        <v>0</v>
      </c>
      <c r="T45" s="35" t="b">
        <v>0</v>
      </c>
      <c r="U45" s="41" t="str">
        <f>IFERROR(__xludf.DUMMYFUNCTION("""["" &amp; JOIN("", "", ARRAYFORMULA("""""""" &amp; TRIM(SPLIT(A45, "","")) &amp; """""""")) &amp; ""]"""),"[""99999""]")</f>
        <v>["99999"]</v>
      </c>
      <c r="V45" s="52" t="s">
        <v>387</v>
      </c>
      <c r="W45" s="52" t="s">
        <v>388</v>
      </c>
      <c r="X45" s="43"/>
      <c r="Y45" s="44" t="str">
        <f>vlookup(G45,zip_codes!$B$6:$J988,3,false)</f>
        <v>Houston</v>
      </c>
      <c r="Z45" s="45" t="str">
        <f>vlookup(G45,zip_codes!$B$6:$J988,9,false)</f>
        <v>Greenway / Upper Kirby Area, River Oaks, Upper Kirby</v>
      </c>
      <c r="AA45" s="44" t="str">
        <f>vlookup(B45,organizations!$B$1:$C988,2,false)</f>
        <v>American Red Cross</v>
      </c>
      <c r="AB45" s="46" t="s">
        <v>389</v>
      </c>
      <c r="AC45" s="53"/>
      <c r="AD45" s="48" t="s">
        <v>390</v>
      </c>
      <c r="AE45" s="48" t="str">
        <f t="shared" si="9"/>
        <v>American Red Cross2700 Southwest Fwy12</v>
      </c>
      <c r="AF45" s="48" t="str">
        <f t="shared" si="10"/>
        <v/>
      </c>
    </row>
    <row r="46" ht="66.75" customHeight="1">
      <c r="A46" s="49" t="s">
        <v>50</v>
      </c>
      <c r="B46" s="35" t="s">
        <v>381</v>
      </c>
      <c r="C46" s="36" t="s">
        <v>382</v>
      </c>
      <c r="D46" s="36"/>
      <c r="E46" s="36" t="s">
        <v>36</v>
      </c>
      <c r="F46" s="36" t="s">
        <v>37</v>
      </c>
      <c r="G46" s="35" t="s">
        <v>383</v>
      </c>
      <c r="H46" s="35" t="s">
        <v>384</v>
      </c>
      <c r="I46" s="50"/>
      <c r="J46" s="64"/>
      <c r="K46" s="37">
        <f>IFERROR(__xludf.DUMMYFUNCTION("query(assistance!$A$2:$E988,""Select C Where D = '""&amp;L46&amp;""'"")"),13.0)</f>
        <v>13</v>
      </c>
      <c r="L46" s="36" t="s">
        <v>240</v>
      </c>
      <c r="M46" s="38">
        <f t="shared" si="6"/>
        <v>2</v>
      </c>
      <c r="N46" s="39" t="s">
        <v>385</v>
      </c>
      <c r="O46" s="65"/>
      <c r="P46" s="35" t="s">
        <v>386</v>
      </c>
      <c r="Q46" s="50"/>
      <c r="R46" s="50"/>
      <c r="S46" s="35" t="b">
        <v>0</v>
      </c>
      <c r="T46" s="35" t="b">
        <v>0</v>
      </c>
      <c r="U46" s="41" t="str">
        <f>IFERROR(__xludf.DUMMYFUNCTION("""["" &amp; JOIN("", "", ARRAYFORMULA("""""""" &amp; TRIM(SPLIT(A46, "","")) &amp; """""""")) &amp; ""]"""),"[""99999""]")</f>
        <v>["99999"]</v>
      </c>
      <c r="V46" s="52" t="s">
        <v>387</v>
      </c>
      <c r="W46" s="52" t="s">
        <v>388</v>
      </c>
      <c r="X46" s="43"/>
      <c r="Y46" s="44" t="str">
        <f>vlookup(G46,zip_codes!$B$6:$J988,3,false)</f>
        <v>Houston</v>
      </c>
      <c r="Z46" s="45" t="str">
        <f>vlookup(G46,zip_codes!$B$6:$J988,9,false)</f>
        <v>Greenway / Upper Kirby Area, River Oaks, Upper Kirby</v>
      </c>
      <c r="AA46" s="44" t="str">
        <f>vlookup(B46,organizations!$B$1:$C988,2,false)</f>
        <v>American Red Cross</v>
      </c>
      <c r="AB46" s="46" t="s">
        <v>389</v>
      </c>
      <c r="AC46" s="53"/>
      <c r="AD46" s="48" t="s">
        <v>390</v>
      </c>
      <c r="AE46" s="48" t="str">
        <f t="shared" si="9"/>
        <v>American Red Cross2700 Southwest Fwy13</v>
      </c>
      <c r="AF46" s="48" t="str">
        <f t="shared" si="10"/>
        <v/>
      </c>
    </row>
    <row r="47" ht="66.75" customHeight="1">
      <c r="A47" s="49" t="s">
        <v>50</v>
      </c>
      <c r="B47" s="35" t="s">
        <v>381</v>
      </c>
      <c r="C47" s="36" t="s">
        <v>382</v>
      </c>
      <c r="D47" s="36"/>
      <c r="E47" s="36" t="s">
        <v>36</v>
      </c>
      <c r="F47" s="36" t="s">
        <v>37</v>
      </c>
      <c r="G47" s="35" t="s">
        <v>383</v>
      </c>
      <c r="H47" s="35" t="s">
        <v>384</v>
      </c>
      <c r="I47" s="50"/>
      <c r="J47" s="64"/>
      <c r="K47" s="37">
        <f>IFERROR(__xludf.DUMMYFUNCTION("query(assistance!$A$2:$E988,""Select C Where D = '""&amp;L47&amp;""'"")"),14.0)</f>
        <v>14</v>
      </c>
      <c r="L47" s="36" t="s">
        <v>391</v>
      </c>
      <c r="M47" s="38">
        <f t="shared" si="6"/>
        <v>2</v>
      </c>
      <c r="N47" s="39" t="s">
        <v>385</v>
      </c>
      <c r="O47" s="65"/>
      <c r="P47" s="35" t="s">
        <v>386</v>
      </c>
      <c r="Q47" s="50"/>
      <c r="R47" s="50"/>
      <c r="S47" s="35" t="b">
        <v>0</v>
      </c>
      <c r="T47" s="35" t="b">
        <v>0</v>
      </c>
      <c r="U47" s="41" t="str">
        <f>IFERROR(__xludf.DUMMYFUNCTION("""["" &amp; JOIN("", "", ARRAYFORMULA("""""""" &amp; TRIM(SPLIT(A47, "","")) &amp; """""""")) &amp; ""]"""),"[""99999""]")</f>
        <v>["99999"]</v>
      </c>
      <c r="V47" s="52" t="s">
        <v>387</v>
      </c>
      <c r="W47" s="52" t="s">
        <v>388</v>
      </c>
      <c r="X47" s="43"/>
      <c r="Y47" s="44" t="str">
        <f>vlookup(G47,zip_codes!$B$6:$J988,3,false)</f>
        <v>Houston</v>
      </c>
      <c r="Z47" s="45" t="str">
        <f>vlookup(G47,zip_codes!$B$6:$J988,9,false)</f>
        <v>Greenway / Upper Kirby Area, River Oaks, Upper Kirby</v>
      </c>
      <c r="AA47" s="44" t="str">
        <f>vlookup(B47,organizations!$B$1:$C988,2,false)</f>
        <v>American Red Cross</v>
      </c>
      <c r="AB47" s="46" t="s">
        <v>389</v>
      </c>
      <c r="AC47" s="53"/>
      <c r="AD47" s="48" t="s">
        <v>390</v>
      </c>
      <c r="AE47" s="48" t="str">
        <f t="shared" si="9"/>
        <v>American Red Cross2700 Southwest Fwy14</v>
      </c>
      <c r="AF47" s="48" t="str">
        <f t="shared" si="10"/>
        <v/>
      </c>
    </row>
    <row r="48" ht="66.75" customHeight="1">
      <c r="A48" s="49" t="s">
        <v>50</v>
      </c>
      <c r="B48" s="35" t="s">
        <v>392</v>
      </c>
      <c r="C48" s="36" t="s">
        <v>393</v>
      </c>
      <c r="D48" s="36"/>
      <c r="E48" s="36" t="s">
        <v>394</v>
      </c>
      <c r="F48" s="36" t="s">
        <v>37</v>
      </c>
      <c r="G48" s="35" t="s">
        <v>395</v>
      </c>
      <c r="H48" s="35" t="s">
        <v>396</v>
      </c>
      <c r="I48" s="35" t="s">
        <v>67</v>
      </c>
      <c r="J48" s="35"/>
      <c r="K48" s="37">
        <f>IFERROR(__xludf.DUMMYFUNCTION("query(assistance!$A$2:$E988,""Select C Where D = '""&amp;L48&amp;""'"")"),65.0)</f>
        <v>65</v>
      </c>
      <c r="L48" s="36" t="s">
        <v>41</v>
      </c>
      <c r="M48" s="39">
        <f>if(N48="Inactive",3,if(N48="Limited", 2, if(N48="Closed", 4, 1)))</f>
        <v>4</v>
      </c>
      <c r="N48" s="39" t="s">
        <v>57</v>
      </c>
      <c r="O48" s="40">
        <v>45948.0</v>
      </c>
      <c r="P48" s="35" t="s">
        <v>397</v>
      </c>
      <c r="Q48" s="50"/>
      <c r="R48" s="50"/>
      <c r="S48" s="35" t="b">
        <v>0</v>
      </c>
      <c r="T48" s="35" t="b">
        <v>0</v>
      </c>
      <c r="U48" s="41" t="str">
        <f>IFERROR(__xludf.DUMMYFUNCTION("""["" &amp; JOIN("", "", ARRAYFORMULA("""""""" &amp; TRIM(SPLIT(A48, "","")) &amp; """""""")) &amp; ""]"""),"[""99999""]")</f>
        <v>["99999"]</v>
      </c>
      <c r="V48" s="52" t="s">
        <v>398</v>
      </c>
      <c r="W48" s="52" t="s">
        <v>399</v>
      </c>
      <c r="X48" s="43"/>
      <c r="Y48" s="44" t="str">
        <f>vlookup(G48,zip_codes!$B$6:$J988,3,false)</f>
        <v>League City</v>
      </c>
      <c r="Z48" s="45" t="str">
        <f>vlookup(G48,zip_codes!$B$6:$J988,9,false)</f>
        <v>League City, South Shore Harbour, Victory Lakes</v>
      </c>
      <c r="AA48" s="44" t="str">
        <f>vlookup(B48,organizations!$B$1:$C988,2,false)</f>
        <v>Anchor Point</v>
      </c>
      <c r="AB48" s="46" t="s">
        <v>400</v>
      </c>
      <c r="AC48" s="47" t="s">
        <v>73</v>
      </c>
      <c r="AD48" s="48" t="s">
        <v>394</v>
      </c>
      <c r="AE48" s="48" t="str">
        <f t="shared" si="9"/>
        <v>Anchor Point103 Davis Road, Suite B65</v>
      </c>
      <c r="AF48" s="48" t="str">
        <f t="shared" si="10"/>
        <v/>
      </c>
    </row>
    <row r="49" ht="66.75" customHeight="1">
      <c r="A49" s="49" t="s">
        <v>50</v>
      </c>
      <c r="B49" s="35" t="s">
        <v>401</v>
      </c>
      <c r="C49" s="36" t="s">
        <v>402</v>
      </c>
      <c r="D49" s="36"/>
      <c r="E49" s="36" t="s">
        <v>36</v>
      </c>
      <c r="F49" s="36" t="s">
        <v>37</v>
      </c>
      <c r="G49" s="35" t="s">
        <v>403</v>
      </c>
      <c r="H49" s="35" t="s">
        <v>404</v>
      </c>
      <c r="I49" s="35" t="s">
        <v>67</v>
      </c>
      <c r="J49" s="35"/>
      <c r="K49" s="37">
        <f>IFERROR(__xludf.DUMMYFUNCTION("query(assistance!$A$2:$E988,""Select C Where D = '""&amp;L49&amp;""'"")"),24.0)</f>
        <v>24</v>
      </c>
      <c r="L49" s="36" t="s">
        <v>405</v>
      </c>
      <c r="M49" s="38">
        <f t="shared" ref="M49:M121" si="11">if(N49="Inactive",3,if(N49="Limited", 2, 1))</f>
        <v>1</v>
      </c>
      <c r="N49" s="39" t="s">
        <v>42</v>
      </c>
      <c r="O49" s="40">
        <v>45761.0</v>
      </c>
      <c r="P49" s="35" t="s">
        <v>406</v>
      </c>
      <c r="Q49" s="35"/>
      <c r="R49" s="35" t="s">
        <v>407</v>
      </c>
      <c r="S49" s="35" t="b">
        <v>0</v>
      </c>
      <c r="T49" s="35" t="b">
        <v>0</v>
      </c>
      <c r="U49" s="41" t="str">
        <f>IFERROR(__xludf.DUMMYFUNCTION("""["" &amp; JOIN("", "", ARRAYFORMULA("""""""" &amp; TRIM(SPLIT(A49, "","")) &amp; """""""")) &amp; ""]"""),"[""99999""]")</f>
        <v>["99999"]</v>
      </c>
      <c r="V49" s="52" t="s">
        <v>408</v>
      </c>
      <c r="W49" s="52" t="s">
        <v>409</v>
      </c>
      <c r="X49" s="43"/>
      <c r="Y49" s="44" t="str">
        <f>vlookup(G49,zip_codes!$B$6:$J988,3,false)</f>
        <v>Houston</v>
      </c>
      <c r="Z49" s="45" t="str">
        <f>vlookup(G49,zip_codes!$B$6:$J988,9,false)</f>
        <v>Gulfgate, Gulfgate Riverview / Pine Valley, Pine Valley, Southeast Houston</v>
      </c>
      <c r="AA49" s="44" t="str">
        <f>vlookup(B49,organizations!$B$1:$C988,2,false)</f>
        <v>Angela House</v>
      </c>
      <c r="AB49" s="46" t="s">
        <v>410</v>
      </c>
      <c r="AC49" s="47" t="s">
        <v>73</v>
      </c>
      <c r="AD49" s="48" t="s">
        <v>411</v>
      </c>
      <c r="AE49" s="48" t="str">
        <f t="shared" si="9"/>
        <v>Angela House6725 Reed Road24</v>
      </c>
      <c r="AF49" s="48" t="str">
        <f t="shared" si="10"/>
        <v/>
      </c>
    </row>
    <row r="50" ht="66.75" customHeight="1">
      <c r="A50" s="49" t="s">
        <v>50</v>
      </c>
      <c r="B50" s="35" t="s">
        <v>412</v>
      </c>
      <c r="C50" s="36" t="s">
        <v>413</v>
      </c>
      <c r="D50" s="36"/>
      <c r="E50" s="36" t="s">
        <v>414</v>
      </c>
      <c r="F50" s="36" t="s">
        <v>37</v>
      </c>
      <c r="G50" s="35" t="s">
        <v>415</v>
      </c>
      <c r="H50" s="66"/>
      <c r="I50" s="35" t="s">
        <v>67</v>
      </c>
      <c r="J50" s="35"/>
      <c r="K50" s="37">
        <f>IFERROR(__xludf.DUMMYFUNCTION("query(assistance!$A$2:$E988,""Select C Where D = '""&amp;L50&amp;""'"")"),24.0)</f>
        <v>24</v>
      </c>
      <c r="L50" s="36" t="s">
        <v>405</v>
      </c>
      <c r="M50" s="38">
        <f t="shared" si="11"/>
        <v>1</v>
      </c>
      <c r="N50" s="39" t="s">
        <v>42</v>
      </c>
      <c r="O50" s="40">
        <v>45761.0</v>
      </c>
      <c r="P50" s="35" t="s">
        <v>406</v>
      </c>
      <c r="Q50" s="35"/>
      <c r="R50" s="35" t="s">
        <v>416</v>
      </c>
      <c r="S50" s="35" t="b">
        <v>0</v>
      </c>
      <c r="T50" s="35" t="b">
        <v>0</v>
      </c>
      <c r="U50" s="41" t="str">
        <f>IFERROR(__xludf.DUMMYFUNCTION("""["" &amp; JOIN("", "", ARRAYFORMULA("""""""" &amp; TRIM(SPLIT(A50, "","")) &amp; """""""")) &amp; ""]"""),"[""99999""]")</f>
        <v>["99999"]</v>
      </c>
      <c r="V50" s="52" t="s">
        <v>417</v>
      </c>
      <c r="W50" s="52" t="s">
        <v>418</v>
      </c>
      <c r="X50" s="43"/>
      <c r="Y50" s="44" t="str">
        <f>vlookup(G50,zip_codes!$B$6:$J988,3,false)</f>
        <v>Georgetown</v>
      </c>
      <c r="Z50" s="45" t="str">
        <f>vlookup(G50,zip_codes!$B$6:$J988,9,false)</f>
        <v>Georgetown</v>
      </c>
      <c r="AA50" s="44" t="str">
        <f>vlookup(B50,organizations!$B$1:$C988,2,false)</f>
        <v>Annunciation Maternity Home</v>
      </c>
      <c r="AB50" s="46" t="s">
        <v>419</v>
      </c>
      <c r="AC50" s="47" t="s">
        <v>73</v>
      </c>
      <c r="AD50" s="48" t="s">
        <v>414</v>
      </c>
      <c r="AE50" s="48" t="str">
        <f t="shared" si="9"/>
        <v>Annunciation Maternity Home3610 Shell Road24</v>
      </c>
      <c r="AF50" s="48" t="str">
        <f t="shared" si="10"/>
        <v/>
      </c>
    </row>
    <row r="51" ht="66.75" customHeight="1">
      <c r="A51" s="34" t="s">
        <v>266</v>
      </c>
      <c r="B51" s="35" t="s">
        <v>420</v>
      </c>
      <c r="C51" s="36" t="s">
        <v>421</v>
      </c>
      <c r="D51" s="36"/>
      <c r="E51" s="36" t="s">
        <v>36</v>
      </c>
      <c r="F51" s="36" t="s">
        <v>37</v>
      </c>
      <c r="G51" s="56" t="s">
        <v>237</v>
      </c>
      <c r="H51" s="35" t="s">
        <v>422</v>
      </c>
      <c r="I51" s="35" t="s">
        <v>423</v>
      </c>
      <c r="J51" s="35"/>
      <c r="K51" s="37">
        <f>IFERROR(__xludf.DUMMYFUNCTION("query(assistance!$A$2:$E988,""Select C Where D = '""&amp;L51&amp;""'"")"),31.0)</f>
        <v>31</v>
      </c>
      <c r="L51" s="36" t="s">
        <v>90</v>
      </c>
      <c r="M51" s="38">
        <f t="shared" si="11"/>
        <v>1</v>
      </c>
      <c r="N51" s="39" t="s">
        <v>42</v>
      </c>
      <c r="O51" s="57">
        <v>46050.0</v>
      </c>
      <c r="P51" s="35" t="s">
        <v>424</v>
      </c>
      <c r="Q51" s="35"/>
      <c r="R51" s="35" t="s">
        <v>425</v>
      </c>
      <c r="S51" s="35" t="b">
        <v>0</v>
      </c>
      <c r="T51" s="35" t="b">
        <v>0</v>
      </c>
      <c r="U51" s="41" t="str">
        <f>IFERROR(__xludf.DUMMYFUNCTION("""["" &amp; JOIN("", "", ARRAYFORMULA("""""""" &amp; TRIM(SPLIT(A51,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51" s="42" t="s">
        <v>426</v>
      </c>
      <c r="W51" s="42" t="s">
        <v>427</v>
      </c>
      <c r="X51" s="43"/>
      <c r="Y51" s="44" t="str">
        <f>vlookup(G51,zip_codes!$B$6:$J988,3,false)</f>
        <v>Houston</v>
      </c>
      <c r="Z51" s="45" t="str">
        <f>vlookup(G51,zip_codes!$B$6:$J988,9,false)</f>
        <v>Acres Home, Garden Oaks North, Northside / Northline</v>
      </c>
      <c r="AA51" s="44" t="str">
        <f>vlookup(B51,organizations!$B$1:$C988,2,false)</f>
        <v>Harris County Public Health</v>
      </c>
      <c r="AB51" s="55" t="s">
        <v>428</v>
      </c>
      <c r="AC51" s="47" t="s">
        <v>429</v>
      </c>
      <c r="AD51" s="58" t="s">
        <v>356</v>
      </c>
      <c r="AE51" s="48" t="str">
        <f t="shared" si="9"/>
        <v>Antoine Clinic5815 Antoine Drive31</v>
      </c>
      <c r="AF51" s="48" t="str">
        <f t="shared" si="10"/>
        <v/>
      </c>
    </row>
    <row r="52" ht="66.75" customHeight="1">
      <c r="A52" s="34" t="s">
        <v>266</v>
      </c>
      <c r="B52" s="35" t="s">
        <v>420</v>
      </c>
      <c r="C52" s="36" t="s">
        <v>421</v>
      </c>
      <c r="D52" s="36"/>
      <c r="E52" s="36" t="s">
        <v>36</v>
      </c>
      <c r="F52" s="36" t="s">
        <v>37</v>
      </c>
      <c r="G52" s="56" t="s">
        <v>237</v>
      </c>
      <c r="H52" s="35" t="s">
        <v>422</v>
      </c>
      <c r="I52" s="35" t="s">
        <v>430</v>
      </c>
      <c r="J52" s="35" t="s">
        <v>298</v>
      </c>
      <c r="K52" s="37">
        <f>IFERROR(__xludf.DUMMYFUNCTION("query(assistance!$A$2:$E988,""Select C Where D = '""&amp;L52&amp;""'"")"),31.0)</f>
        <v>31</v>
      </c>
      <c r="L52" s="36" t="s">
        <v>90</v>
      </c>
      <c r="M52" s="38">
        <f t="shared" si="11"/>
        <v>1</v>
      </c>
      <c r="N52" s="39" t="s">
        <v>42</v>
      </c>
      <c r="O52" s="57">
        <v>46050.0</v>
      </c>
      <c r="P52" s="35" t="s">
        <v>43</v>
      </c>
      <c r="Q52" s="35"/>
      <c r="R52" s="35" t="s">
        <v>431</v>
      </c>
      <c r="S52" s="35" t="b">
        <v>0</v>
      </c>
      <c r="T52" s="35" t="b">
        <v>0</v>
      </c>
      <c r="U52" s="41" t="str">
        <f>IFERROR(__xludf.DUMMYFUNCTION("""["" &amp; JOIN("", "", ARRAYFORMULA("""""""" &amp; TRIM(SPLIT(A52,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52" s="42" t="s">
        <v>432</v>
      </c>
      <c r="W52" s="42" t="s">
        <v>427</v>
      </c>
      <c r="X52" s="43"/>
      <c r="Y52" s="44" t="str">
        <f>vlookup(G52,zip_codes!$B$6:$J988,3,false)</f>
        <v>Houston</v>
      </c>
      <c r="Z52" s="45" t="str">
        <f>vlookup(G52,zip_codes!$B$6:$J988,9,false)</f>
        <v>Acres Home, Garden Oaks North, Northside / Northline</v>
      </c>
      <c r="AA52" s="44" t="str">
        <f>vlookup(B52,organizations!$B$1:$C988,2,false)</f>
        <v>Harris County Public Health</v>
      </c>
      <c r="AB52" s="55" t="s">
        <v>428</v>
      </c>
      <c r="AC52" s="47" t="s">
        <v>433</v>
      </c>
      <c r="AD52" s="58" t="s">
        <v>356</v>
      </c>
      <c r="AE52" s="48" t="str">
        <f t="shared" si="9"/>
        <v>Antoine Clinic5815 Antoine Drive31</v>
      </c>
      <c r="AF52" s="48" t="str">
        <f t="shared" si="10"/>
        <v>XXX</v>
      </c>
    </row>
    <row r="53" ht="66.75" customHeight="1">
      <c r="A53" s="34" t="s">
        <v>266</v>
      </c>
      <c r="B53" s="35" t="s">
        <v>420</v>
      </c>
      <c r="C53" s="36" t="s">
        <v>421</v>
      </c>
      <c r="D53" s="36"/>
      <c r="E53" s="36" t="s">
        <v>36</v>
      </c>
      <c r="F53" s="36" t="s">
        <v>37</v>
      </c>
      <c r="G53" s="56" t="s">
        <v>237</v>
      </c>
      <c r="H53" s="35" t="s">
        <v>434</v>
      </c>
      <c r="I53" s="35" t="s">
        <v>272</v>
      </c>
      <c r="J53" s="35" t="s">
        <v>298</v>
      </c>
      <c r="K53" s="37">
        <f>IFERROR(__xludf.DUMMYFUNCTION("query(assistance!$A$2:$E988,""Select C Where D = '""&amp;L53&amp;""'"")"),33.0)</f>
        <v>33</v>
      </c>
      <c r="L53" s="36" t="s">
        <v>333</v>
      </c>
      <c r="M53" s="38">
        <f t="shared" si="11"/>
        <v>1</v>
      </c>
      <c r="N53" s="39" t="s">
        <v>42</v>
      </c>
      <c r="O53" s="57">
        <v>46050.0</v>
      </c>
      <c r="P53" s="35" t="s">
        <v>43</v>
      </c>
      <c r="Q53" s="35"/>
      <c r="R53" s="35" t="s">
        <v>435</v>
      </c>
      <c r="S53" s="35" t="b">
        <v>0</v>
      </c>
      <c r="T53" s="35" t="b">
        <v>0</v>
      </c>
      <c r="U53" s="41" t="str">
        <f>IFERROR(__xludf.DUMMYFUNCTION("""["" &amp; JOIN("", "", ARRAYFORMULA("""""""" &amp; TRIM(SPLIT(A53,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53" s="42" t="s">
        <v>432</v>
      </c>
      <c r="W53" s="42" t="s">
        <v>427</v>
      </c>
      <c r="X53" s="43"/>
      <c r="Y53" s="44" t="str">
        <f>vlookup(G53,zip_codes!$B$6:$J988,3,false)</f>
        <v>Houston</v>
      </c>
      <c r="Z53" s="45" t="str">
        <f>vlookup(G53,zip_codes!$B$6:$J988,9,false)</f>
        <v>Acres Home, Garden Oaks North, Northside / Northline</v>
      </c>
      <c r="AA53" s="44" t="str">
        <f>vlookup(B53,organizations!$B$1:$C988,2,false)</f>
        <v>Harris County Public Health</v>
      </c>
      <c r="AB53" s="55" t="s">
        <v>428</v>
      </c>
      <c r="AC53" s="47" t="s">
        <v>278</v>
      </c>
      <c r="AD53" s="58" t="s">
        <v>356</v>
      </c>
      <c r="AE53" s="48" t="str">
        <f t="shared" si="9"/>
        <v>Antoine Clinic5815 Antoine Drive33</v>
      </c>
      <c r="AF53" s="48" t="str">
        <f t="shared" si="10"/>
        <v/>
      </c>
    </row>
    <row r="54" ht="66.75" customHeight="1">
      <c r="A54" s="34" t="s">
        <v>266</v>
      </c>
      <c r="B54" s="35" t="s">
        <v>420</v>
      </c>
      <c r="C54" s="36" t="s">
        <v>421</v>
      </c>
      <c r="D54" s="36"/>
      <c r="E54" s="36" t="s">
        <v>36</v>
      </c>
      <c r="F54" s="36" t="s">
        <v>37</v>
      </c>
      <c r="G54" s="56" t="s">
        <v>237</v>
      </c>
      <c r="H54" s="35" t="s">
        <v>434</v>
      </c>
      <c r="I54" s="35" t="s">
        <v>272</v>
      </c>
      <c r="J54" s="35" t="s">
        <v>298</v>
      </c>
      <c r="K54" s="37">
        <f>IFERROR(__xludf.DUMMYFUNCTION("query(assistance!$A$2:$E988,""Select C Where D = '""&amp;L54&amp;""'"")"),55.0)</f>
        <v>55</v>
      </c>
      <c r="L54" s="36" t="s">
        <v>436</v>
      </c>
      <c r="M54" s="38">
        <f t="shared" si="11"/>
        <v>1</v>
      </c>
      <c r="N54" s="39" t="s">
        <v>42</v>
      </c>
      <c r="O54" s="57">
        <v>46050.0</v>
      </c>
      <c r="P54" s="35" t="s">
        <v>43</v>
      </c>
      <c r="Q54" s="35"/>
      <c r="R54" s="35" t="s">
        <v>437</v>
      </c>
      <c r="S54" s="35" t="b">
        <v>0</v>
      </c>
      <c r="T54" s="35" t="b">
        <v>0</v>
      </c>
      <c r="U54" s="41" t="str">
        <f>IFERROR(__xludf.DUMMYFUNCTION("""["" &amp; JOIN("", "", ARRAYFORMULA("""""""" &amp; TRIM(SPLIT(A54,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54" s="42" t="s">
        <v>438</v>
      </c>
      <c r="W54" s="42" t="s">
        <v>427</v>
      </c>
      <c r="X54" s="43"/>
      <c r="Y54" s="44" t="str">
        <f>vlookup(G54,zip_codes!$B$6:$J988,3,false)</f>
        <v>Houston</v>
      </c>
      <c r="Z54" s="45" t="str">
        <f>vlookup(G54,zip_codes!$B$6:$J988,9,false)</f>
        <v>Acres Home, Garden Oaks North, Northside / Northline</v>
      </c>
      <c r="AA54" s="44" t="str">
        <f>vlookup(B54,organizations!$B$1:$C988,2,false)</f>
        <v>Harris County Public Health</v>
      </c>
      <c r="AB54" s="55" t="s">
        <v>428</v>
      </c>
      <c r="AC54" s="47" t="s">
        <v>278</v>
      </c>
      <c r="AD54" s="58" t="s">
        <v>356</v>
      </c>
      <c r="AE54" s="48" t="str">
        <f t="shared" si="9"/>
        <v>Antoine Clinic5815 Antoine Drive55</v>
      </c>
      <c r="AF54" s="48" t="str">
        <f t="shared" si="10"/>
        <v/>
      </c>
    </row>
    <row r="55" ht="66.75" customHeight="1">
      <c r="A55" s="49" t="s">
        <v>50</v>
      </c>
      <c r="B55" s="35" t="s">
        <v>439</v>
      </c>
      <c r="C55" s="36" t="s">
        <v>440</v>
      </c>
      <c r="D55" s="36" t="s">
        <v>441</v>
      </c>
      <c r="E55" s="36" t="s">
        <v>442</v>
      </c>
      <c r="F55" s="36" t="s">
        <v>37</v>
      </c>
      <c r="G55" s="35" t="s">
        <v>443</v>
      </c>
      <c r="H55" s="50"/>
      <c r="I55" s="35" t="s">
        <v>67</v>
      </c>
      <c r="J55" s="35"/>
      <c r="K55" s="37">
        <f>IFERROR(__xludf.DUMMYFUNCTION("query(assistance!$A$2:$E988,""Select C Where D = '""&amp;L55&amp;""'"")"),55.0)</f>
        <v>55</v>
      </c>
      <c r="L55" s="36" t="s">
        <v>436</v>
      </c>
      <c r="M55" s="38">
        <f t="shared" si="11"/>
        <v>2</v>
      </c>
      <c r="N55" s="51" t="s">
        <v>385</v>
      </c>
      <c r="O55" s="40">
        <v>45893.0</v>
      </c>
      <c r="P55" s="35" t="s">
        <v>444</v>
      </c>
      <c r="Q55" s="35"/>
      <c r="R55" s="35" t="s">
        <v>445</v>
      </c>
      <c r="S55" s="35" t="b">
        <v>0</v>
      </c>
      <c r="T55" s="35" t="b">
        <v>0</v>
      </c>
      <c r="U55" s="41" t="str">
        <f>IFERROR(__xludf.DUMMYFUNCTION("""["" &amp; JOIN("", "", ARRAYFORMULA("""""""" &amp; TRIM(SPLIT(A55, "","")) &amp; """""""")) &amp; ""]"""),"[""99999""]")</f>
        <v>["99999"]</v>
      </c>
      <c r="V55" s="52" t="s">
        <v>446</v>
      </c>
      <c r="W55" s="43"/>
      <c r="X55" s="43"/>
      <c r="Y55" s="44" t="str">
        <f>vlookup(G55,zip_codes!$B$6:$J988,3,false)</f>
        <v>Austin</v>
      </c>
      <c r="Z55" s="45" t="str">
        <f>vlookup(G55,zip_codes!$B$6:$J988,9,false)</f>
        <v>Downtown Austin</v>
      </c>
      <c r="AA55" s="44" t="str">
        <f>vlookup(B55,organizations!$B$1:$C988,2,false)</f>
        <v>Appleseed Network</v>
      </c>
      <c r="AB55" s="46" t="s">
        <v>447</v>
      </c>
      <c r="AC55" s="47" t="s">
        <v>73</v>
      </c>
      <c r="AD55" s="48" t="s">
        <v>448</v>
      </c>
      <c r="AE55" s="48" t="str">
        <f t="shared" si="9"/>
        <v>Appleseed Network1609 Shoal Creek Blvd55</v>
      </c>
      <c r="AF55" s="48" t="str">
        <f t="shared" si="10"/>
        <v/>
      </c>
    </row>
    <row r="56" ht="66.75" customHeight="1">
      <c r="A56" s="49" t="s">
        <v>50</v>
      </c>
      <c r="B56" s="35" t="s">
        <v>449</v>
      </c>
      <c r="C56" s="36" t="s">
        <v>450</v>
      </c>
      <c r="D56" s="36"/>
      <c r="E56" s="36" t="s">
        <v>451</v>
      </c>
      <c r="F56" s="36" t="s">
        <v>37</v>
      </c>
      <c r="G56" s="35" t="s">
        <v>452</v>
      </c>
      <c r="H56" s="35" t="s">
        <v>453</v>
      </c>
      <c r="I56" s="50"/>
      <c r="J56" s="64"/>
      <c r="K56" s="37">
        <f>IFERROR(__xludf.DUMMYFUNCTION("query(assistance!$A$2:$E988,""Select C Where D = '""&amp;L56&amp;""'"")"),31.0)</f>
        <v>31</v>
      </c>
      <c r="L56" s="36" t="s">
        <v>90</v>
      </c>
      <c r="M56" s="38">
        <f t="shared" si="11"/>
        <v>1</v>
      </c>
      <c r="N56" s="39" t="s">
        <v>42</v>
      </c>
      <c r="O56" s="65"/>
      <c r="P56" s="50"/>
      <c r="Q56" s="35"/>
      <c r="R56" s="35" t="s">
        <v>454</v>
      </c>
      <c r="S56" s="35" t="b">
        <v>0</v>
      </c>
      <c r="T56" s="35" t="b">
        <v>0</v>
      </c>
      <c r="U56" s="41" t="str">
        <f>IFERROR(__xludf.DUMMYFUNCTION("""["" &amp; JOIN("", "", ARRAYFORMULA("""""""" &amp; TRIM(SPLIT(A56, "","")) &amp; """""""")) &amp; ""]"""),"[""99999""]")</f>
        <v>["99999"]</v>
      </c>
      <c r="V56" s="52" t="s">
        <v>455</v>
      </c>
      <c r="W56" s="52" t="s">
        <v>456</v>
      </c>
      <c r="X56" s="43"/>
      <c r="Y56" s="44" t="str">
        <f>vlookup(G56,zip_codes!$B$6:$J988,3,false)</f>
        <v>Spring</v>
      </c>
      <c r="Z56" s="45" t="str">
        <f>vlookup(G56,zip_codes!$B$6:$J988,9,false)</f>
        <v>Farmette Meadows, Gleannloch Farms, Spring, Windrose</v>
      </c>
      <c r="AA56" s="44" t="str">
        <f>vlookup(B56,organizations!$B$1:$C988,2,false)</f>
        <v>AsSalam Clinic</v>
      </c>
      <c r="AB56" s="46" t="s">
        <v>457</v>
      </c>
      <c r="AC56" s="53"/>
      <c r="AD56" s="48" t="s">
        <v>451</v>
      </c>
      <c r="AE56" s="48" t="str">
        <f t="shared" si="9"/>
        <v>AsSalam Clinic9041 Louetta Road31</v>
      </c>
      <c r="AF56" s="48" t="str">
        <f t="shared" si="10"/>
        <v/>
      </c>
    </row>
    <row r="57" ht="66.75" customHeight="1">
      <c r="A57" s="49" t="s">
        <v>50</v>
      </c>
      <c r="B57" s="35" t="s">
        <v>458</v>
      </c>
      <c r="C57" s="36" t="s">
        <v>76</v>
      </c>
      <c r="D57" s="36"/>
      <c r="E57" s="36" t="s">
        <v>36</v>
      </c>
      <c r="F57" s="36" t="s">
        <v>37</v>
      </c>
      <c r="G57" s="35" t="s">
        <v>77</v>
      </c>
      <c r="H57" s="35" t="s">
        <v>459</v>
      </c>
      <c r="I57" s="35" t="s">
        <v>67</v>
      </c>
      <c r="J57" s="35"/>
      <c r="K57" s="37">
        <f>IFERROR(__xludf.DUMMYFUNCTION("query(assistance!$A$2:$E988,""Select C Where D = '""&amp;L57&amp;""'"")"),34.0)</f>
        <v>34</v>
      </c>
      <c r="L57" s="36" t="s">
        <v>260</v>
      </c>
      <c r="M57" s="38">
        <f t="shared" si="11"/>
        <v>1</v>
      </c>
      <c r="N57" s="51" t="s">
        <v>42</v>
      </c>
      <c r="O57" s="40">
        <v>45893.0</v>
      </c>
      <c r="P57" s="50"/>
      <c r="Q57" s="35"/>
      <c r="R57" s="35" t="s">
        <v>460</v>
      </c>
      <c r="S57" s="35" t="b">
        <v>0</v>
      </c>
      <c r="T57" s="35" t="b">
        <v>0</v>
      </c>
      <c r="U57" s="41" t="str">
        <f>IFERROR(__xludf.DUMMYFUNCTION("""["" &amp; JOIN("", "", ARRAYFORMULA("""""""" &amp; TRIM(SPLIT(A57, "","")) &amp; """""""")) &amp; ""]"""),"[""99999""]")</f>
        <v>["99999"]</v>
      </c>
      <c r="V57" s="42" t="s">
        <v>461</v>
      </c>
      <c r="W57" s="42" t="s">
        <v>79</v>
      </c>
      <c r="X57" s="43"/>
      <c r="Y57" s="44" t="str">
        <f>vlookup(G57,zip_codes!$B$6:$J988,3,false)</f>
        <v>Houston</v>
      </c>
      <c r="Z57" s="45" t="str">
        <f>vlookup(G57,zip_codes!$B$6:$J988,9,false)</f>
        <v>Eastwood, Gulfgate Riverview / Pine Valley, Idylwood, Lawndale / Wayside, Magnolia Park, South Central Houston</v>
      </c>
      <c r="AA57" s="44" t="str">
        <f>vlookup(B57,organizations!$B$1:$C988,2,false)</f>
        <v>Association for Advancement of Mexican Americans (AAMA)</v>
      </c>
      <c r="AB57" s="55" t="s">
        <v>80</v>
      </c>
      <c r="AC57" s="47" t="s">
        <v>73</v>
      </c>
      <c r="AD57" s="48" t="s">
        <v>81</v>
      </c>
      <c r="AE57" s="48" t="str">
        <f t="shared" si="9"/>
        <v>Association for Advancement of Mexican Americans (AAMA)6001 Gulf Fwy34</v>
      </c>
      <c r="AF57" s="48" t="str">
        <f t="shared" si="10"/>
        <v/>
      </c>
    </row>
    <row r="58" ht="66.75" customHeight="1">
      <c r="A58" s="49" t="s">
        <v>50</v>
      </c>
      <c r="B58" s="35" t="s">
        <v>458</v>
      </c>
      <c r="C58" s="36" t="s">
        <v>76</v>
      </c>
      <c r="D58" s="36"/>
      <c r="E58" s="36" t="s">
        <v>36</v>
      </c>
      <c r="F58" s="36" t="s">
        <v>37</v>
      </c>
      <c r="G58" s="35" t="s">
        <v>77</v>
      </c>
      <c r="H58" s="35" t="s">
        <v>462</v>
      </c>
      <c r="I58" s="35" t="s">
        <v>463</v>
      </c>
      <c r="J58" s="35"/>
      <c r="K58" s="37">
        <f>IFERROR(__xludf.DUMMYFUNCTION("query(assistance!$A$2:$E988,""Select C Where D = '""&amp;L58&amp;""'"")"),44.0)</f>
        <v>44</v>
      </c>
      <c r="L58" s="36" t="s">
        <v>102</v>
      </c>
      <c r="M58" s="38">
        <f t="shared" si="11"/>
        <v>1</v>
      </c>
      <c r="N58" s="51" t="s">
        <v>42</v>
      </c>
      <c r="O58" s="40">
        <v>45893.0</v>
      </c>
      <c r="P58" s="50"/>
      <c r="Q58" s="35"/>
      <c r="R58" s="35" t="s">
        <v>464</v>
      </c>
      <c r="S58" s="35" t="b">
        <v>1</v>
      </c>
      <c r="T58" s="35" t="b">
        <v>0</v>
      </c>
      <c r="U58" s="41" t="str">
        <f>IFERROR(__xludf.DUMMYFUNCTION("""["" &amp; JOIN("", "", ARRAYFORMULA("""""""" &amp; TRIM(SPLIT(A58, "","")) &amp; """""""")) &amp; ""]"""),"[""99999""]")</f>
        <v>["99999"]</v>
      </c>
      <c r="V58" s="54" t="s">
        <v>465</v>
      </c>
      <c r="W58" s="42" t="s">
        <v>79</v>
      </c>
      <c r="X58" s="43"/>
      <c r="Y58" s="44" t="str">
        <f>vlookup(G58,zip_codes!$B$6:$J988,3,false)</f>
        <v>Houston</v>
      </c>
      <c r="Z58" s="45" t="str">
        <f>vlookup(G58,zip_codes!$B$6:$J988,9,false)</f>
        <v>Eastwood, Gulfgate Riverview / Pine Valley, Idylwood, Lawndale / Wayside, Magnolia Park, South Central Houston</v>
      </c>
      <c r="AA58" s="44" t="str">
        <f>vlookup(B58,organizations!$B$1:$C988,2,false)</f>
        <v>Association for Advancement of Mexican Americans (AAMA)</v>
      </c>
      <c r="AB58" s="55" t="s">
        <v>80</v>
      </c>
      <c r="AC58" s="47" t="s">
        <v>466</v>
      </c>
      <c r="AD58" s="48" t="s">
        <v>81</v>
      </c>
      <c r="AE58" s="48" t="str">
        <f t="shared" si="9"/>
        <v>Association for Advancement of Mexican Americans (AAMA)6001 Gulf Fwy44</v>
      </c>
      <c r="AF58" s="48" t="str">
        <f t="shared" si="10"/>
        <v/>
      </c>
    </row>
    <row r="59" ht="66.75" customHeight="1">
      <c r="A59" s="49" t="s">
        <v>50</v>
      </c>
      <c r="B59" s="35" t="s">
        <v>458</v>
      </c>
      <c r="C59" s="36" t="s">
        <v>76</v>
      </c>
      <c r="D59" s="36"/>
      <c r="E59" s="36" t="s">
        <v>36</v>
      </c>
      <c r="F59" s="36" t="s">
        <v>37</v>
      </c>
      <c r="G59" s="35" t="s">
        <v>77</v>
      </c>
      <c r="H59" s="35" t="s">
        <v>467</v>
      </c>
      <c r="I59" s="35" t="s">
        <v>67</v>
      </c>
      <c r="J59" s="35"/>
      <c r="K59" s="37">
        <f>IFERROR(__xludf.DUMMYFUNCTION("query(assistance!$A$2:$E988,""Select C Where D = '""&amp;L59&amp;""'"")"),51.0)</f>
        <v>51</v>
      </c>
      <c r="L59" s="36" t="s">
        <v>468</v>
      </c>
      <c r="M59" s="38">
        <f t="shared" si="11"/>
        <v>1</v>
      </c>
      <c r="N59" s="51" t="s">
        <v>42</v>
      </c>
      <c r="O59" s="40">
        <v>45893.0</v>
      </c>
      <c r="P59" s="50"/>
      <c r="Q59" s="35"/>
      <c r="R59" s="35" t="s">
        <v>469</v>
      </c>
      <c r="S59" s="35" t="b">
        <v>0</v>
      </c>
      <c r="T59" s="35" t="b">
        <v>0</v>
      </c>
      <c r="U59" s="41" t="str">
        <f>IFERROR(__xludf.DUMMYFUNCTION("""["" &amp; JOIN("", "", ARRAYFORMULA("""""""" &amp; TRIM(SPLIT(A59, "","")) &amp; """""""")) &amp; ""]"""),"[""99999""]")</f>
        <v>["99999"]</v>
      </c>
      <c r="V59" s="52" t="s">
        <v>470</v>
      </c>
      <c r="W59" s="42" t="s">
        <v>79</v>
      </c>
      <c r="X59" s="43"/>
      <c r="Y59" s="44" t="str">
        <f>vlookup(G59,zip_codes!$B$6:$J988,3,false)</f>
        <v>Houston</v>
      </c>
      <c r="Z59" s="45" t="str">
        <f>vlookup(G59,zip_codes!$B$6:$J988,9,false)</f>
        <v>Eastwood, Gulfgate Riverview / Pine Valley, Idylwood, Lawndale / Wayside, Magnolia Park, South Central Houston</v>
      </c>
      <c r="AA59" s="44" t="str">
        <f>vlookup(B59,organizations!$B$1:$C988,2,false)</f>
        <v>Association for Advancement of Mexican Americans (AAMA)</v>
      </c>
      <c r="AB59" s="46" t="s">
        <v>471</v>
      </c>
      <c r="AC59" s="47" t="s">
        <v>73</v>
      </c>
      <c r="AD59" s="48" t="s">
        <v>472</v>
      </c>
      <c r="AE59" s="48" t="str">
        <f t="shared" si="9"/>
        <v>Association for Advancement of Mexican Americans (AAMA)6001 Gulf Fwy51</v>
      </c>
      <c r="AF59" s="48" t="str">
        <f t="shared" si="10"/>
        <v/>
      </c>
    </row>
    <row r="60" ht="66.75" customHeight="1">
      <c r="A60" s="49" t="s">
        <v>473</v>
      </c>
      <c r="B60" s="35" t="s">
        <v>474</v>
      </c>
      <c r="C60" s="36" t="s">
        <v>475</v>
      </c>
      <c r="D60" s="36" t="s">
        <v>199</v>
      </c>
      <c r="E60" s="36" t="s">
        <v>36</v>
      </c>
      <c r="F60" s="36" t="s">
        <v>37</v>
      </c>
      <c r="G60" s="35" t="s">
        <v>349</v>
      </c>
      <c r="H60" s="35" t="s">
        <v>476</v>
      </c>
      <c r="I60" s="35" t="s">
        <v>477</v>
      </c>
      <c r="J60" s="35"/>
      <c r="K60" s="37">
        <f>IFERROR(__xludf.DUMMYFUNCTION("query(assistance!$A$2:$E988,""Select C Where D = '""&amp;L60&amp;""'"")"),31.0)</f>
        <v>31</v>
      </c>
      <c r="L60" s="36" t="s">
        <v>90</v>
      </c>
      <c r="M60" s="38">
        <f t="shared" si="11"/>
        <v>1</v>
      </c>
      <c r="N60" s="39" t="s">
        <v>42</v>
      </c>
      <c r="O60" s="57">
        <v>46049.0</v>
      </c>
      <c r="P60" s="35" t="s">
        <v>43</v>
      </c>
      <c r="Q60" s="35"/>
      <c r="R60" s="35" t="s">
        <v>478</v>
      </c>
      <c r="S60" s="35" t="b">
        <v>0</v>
      </c>
      <c r="T60" s="35" t="b">
        <v>0</v>
      </c>
      <c r="U60" s="41" t="str">
        <f>IFERROR(__xludf.DUMMYFUNCTION("""["" &amp; JOIN("", "", ARRAYFORMULA("""""""" &amp; TRIM(SPLIT(A60,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0" s="42" t="s">
        <v>479</v>
      </c>
      <c r="W60" s="42" t="s">
        <v>480</v>
      </c>
      <c r="X60" s="43"/>
      <c r="Y60" s="44" t="str">
        <f>vlookup(G60,zip_codes!$B$6:$J988,3,false)</f>
        <v>Houston</v>
      </c>
      <c r="Z60" s="45" t="str">
        <f>vlookup(G60,zip_codes!$B$6:$J988,9,false)</f>
        <v>Lazybrook / Timbergrove, Northside, Shady Acres, The Heights, Timbergrove</v>
      </c>
      <c r="AA60" s="44" t="str">
        <f>vlookup(B60,organizations!$B$1:$C988,2,false)</f>
        <v>Avenue 360</v>
      </c>
      <c r="AB60" s="46" t="s">
        <v>481</v>
      </c>
      <c r="AC60" s="47" t="s">
        <v>482</v>
      </c>
      <c r="AD60" s="48" t="s">
        <v>483</v>
      </c>
      <c r="AE60" s="48" t="str">
        <f t="shared" si="9"/>
        <v>Avenue 360 Heights2150 West 18th Street31</v>
      </c>
      <c r="AF60" s="48" t="str">
        <f t="shared" si="10"/>
        <v/>
      </c>
    </row>
    <row r="61" ht="66.75" customHeight="1">
      <c r="A61" s="49" t="s">
        <v>473</v>
      </c>
      <c r="B61" s="35" t="s">
        <v>474</v>
      </c>
      <c r="C61" s="36" t="s">
        <v>475</v>
      </c>
      <c r="D61" s="36" t="s">
        <v>199</v>
      </c>
      <c r="E61" s="36" t="s">
        <v>36</v>
      </c>
      <c r="F61" s="36" t="s">
        <v>37</v>
      </c>
      <c r="G61" s="35" t="s">
        <v>349</v>
      </c>
      <c r="H61" s="35" t="s">
        <v>476</v>
      </c>
      <c r="I61" s="35" t="s">
        <v>477</v>
      </c>
      <c r="J61" s="35"/>
      <c r="K61" s="37">
        <f>IFERROR(__xludf.DUMMYFUNCTION("query(assistance!$A$2:$E988,""Select C Where D = '""&amp;L61&amp;""'"")"),33.0)</f>
        <v>33</v>
      </c>
      <c r="L61" s="36" t="s">
        <v>333</v>
      </c>
      <c r="M61" s="38">
        <f t="shared" si="11"/>
        <v>1</v>
      </c>
      <c r="N61" s="39" t="s">
        <v>42</v>
      </c>
      <c r="O61" s="57">
        <v>46049.0</v>
      </c>
      <c r="P61" s="35" t="s">
        <v>43</v>
      </c>
      <c r="Q61" s="35"/>
      <c r="R61" s="35" t="s">
        <v>484</v>
      </c>
      <c r="S61" s="35" t="b">
        <v>0</v>
      </c>
      <c r="T61" s="35" t="b">
        <v>0</v>
      </c>
      <c r="U61" s="41" t="str">
        <f>IFERROR(__xludf.DUMMYFUNCTION("""["" &amp; JOIN("", "", ARRAYFORMULA("""""""" &amp; TRIM(SPLIT(A61,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1" s="42" t="s">
        <v>479</v>
      </c>
      <c r="W61" s="42" t="s">
        <v>480</v>
      </c>
      <c r="X61" s="43"/>
      <c r="Y61" s="44" t="str">
        <f>vlookup(G61,zip_codes!$B$6:$J988,3,false)</f>
        <v>Houston</v>
      </c>
      <c r="Z61" s="45" t="str">
        <f>vlookup(G61,zip_codes!$B$6:$J988,9,false)</f>
        <v>Lazybrook / Timbergrove, Northside, Shady Acres, The Heights, Timbergrove</v>
      </c>
      <c r="AA61" s="44" t="str">
        <f>vlookup(B61,organizations!$B$1:$C988,2,false)</f>
        <v>Avenue 360</v>
      </c>
      <c r="AB61" s="46" t="s">
        <v>481</v>
      </c>
      <c r="AC61" s="47" t="s">
        <v>482</v>
      </c>
      <c r="AD61" s="48" t="s">
        <v>483</v>
      </c>
      <c r="AE61" s="48" t="str">
        <f t="shared" si="9"/>
        <v>Avenue 360 Heights2150 West 18th Street33</v>
      </c>
      <c r="AF61" s="48" t="str">
        <f t="shared" si="10"/>
        <v/>
      </c>
    </row>
    <row r="62" ht="66.75" customHeight="1">
      <c r="A62" s="49" t="s">
        <v>473</v>
      </c>
      <c r="B62" s="35" t="s">
        <v>485</v>
      </c>
      <c r="C62" s="36" t="s">
        <v>486</v>
      </c>
      <c r="D62" s="36" t="s">
        <v>487</v>
      </c>
      <c r="E62" s="36" t="s">
        <v>488</v>
      </c>
      <c r="F62" s="36" t="s">
        <v>37</v>
      </c>
      <c r="G62" s="35" t="s">
        <v>489</v>
      </c>
      <c r="H62" s="35" t="s">
        <v>490</v>
      </c>
      <c r="I62" s="35" t="s">
        <v>272</v>
      </c>
      <c r="J62" s="35"/>
      <c r="K62" s="37">
        <f>IFERROR(__xludf.DUMMYFUNCTION("query(assistance!$A$2:$E988,""Select C Where D = '""&amp;L62&amp;""'"")"),31.0)</f>
        <v>31</v>
      </c>
      <c r="L62" s="36" t="s">
        <v>90</v>
      </c>
      <c r="M62" s="38">
        <f t="shared" si="11"/>
        <v>1</v>
      </c>
      <c r="N62" s="39" t="s">
        <v>42</v>
      </c>
      <c r="O62" s="57">
        <v>45789.0</v>
      </c>
      <c r="P62" s="35" t="s">
        <v>43</v>
      </c>
      <c r="Q62" s="35"/>
      <c r="R62" s="35" t="s">
        <v>491</v>
      </c>
      <c r="S62" s="35" t="b">
        <v>0</v>
      </c>
      <c r="T62" s="35" t="b">
        <v>0</v>
      </c>
      <c r="U62" s="41" t="str">
        <f>IFERROR(__xludf.DUMMYFUNCTION("""["" &amp; JOIN("", "", ARRAYFORMULA("""""""" &amp; TRIM(SPLIT(A62,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2" s="42" t="s">
        <v>479</v>
      </c>
      <c r="W62" s="42" t="s">
        <v>492</v>
      </c>
      <c r="X62" s="43"/>
      <c r="Y62" s="44" t="str">
        <f>vlookup(G62,zip_codes!$B$6:$J988,3,false)</f>
        <v>Humble</v>
      </c>
      <c r="Z62" s="45" t="str">
        <f>vlookup(G62,zip_codes!$B$6:$J988,9,false)</f>
        <v>Humble, Humble (Old Town), Northshire</v>
      </c>
      <c r="AA62" s="44" t="str">
        <f>vlookup(B62,organizations!$B$1:$C988,2,false)</f>
        <v>Avenue 360</v>
      </c>
      <c r="AB62" s="46" t="s">
        <v>493</v>
      </c>
      <c r="AC62" s="47" t="s">
        <v>278</v>
      </c>
      <c r="AD62" s="48" t="s">
        <v>488</v>
      </c>
      <c r="AE62" s="48" t="str">
        <f t="shared" si="9"/>
        <v>Avenue 360 Humble18842 South Memorial Drive31</v>
      </c>
      <c r="AF62" s="48" t="str">
        <f t="shared" si="10"/>
        <v/>
      </c>
    </row>
    <row r="63" ht="66.75" customHeight="1">
      <c r="A63" s="49" t="s">
        <v>473</v>
      </c>
      <c r="B63" s="35" t="s">
        <v>494</v>
      </c>
      <c r="C63" s="36" t="s">
        <v>495</v>
      </c>
      <c r="D63" s="36" t="s">
        <v>496</v>
      </c>
      <c r="E63" s="36" t="s">
        <v>36</v>
      </c>
      <c r="F63" s="36" t="s">
        <v>37</v>
      </c>
      <c r="G63" s="35" t="s">
        <v>497</v>
      </c>
      <c r="H63" s="35" t="s">
        <v>498</v>
      </c>
      <c r="I63" s="35" t="s">
        <v>499</v>
      </c>
      <c r="J63" s="35"/>
      <c r="K63" s="37">
        <f>IFERROR(__xludf.DUMMYFUNCTION("query(assistance!$A$2:$E988,""Select C Where D = '""&amp;L63&amp;""'"")"),31.0)</f>
        <v>31</v>
      </c>
      <c r="L63" s="36" t="s">
        <v>90</v>
      </c>
      <c r="M63" s="38">
        <f t="shared" si="11"/>
        <v>1</v>
      </c>
      <c r="N63" s="39" t="s">
        <v>42</v>
      </c>
      <c r="O63" s="57">
        <v>45789.0</v>
      </c>
      <c r="P63" s="35" t="s">
        <v>43</v>
      </c>
      <c r="Q63" s="35"/>
      <c r="R63" s="35" t="s">
        <v>500</v>
      </c>
      <c r="S63" s="35" t="b">
        <v>0</v>
      </c>
      <c r="T63" s="35" t="b">
        <v>0</v>
      </c>
      <c r="U63" s="41" t="str">
        <f>IFERROR(__xludf.DUMMYFUNCTION("""["" &amp; JOIN("", "", ARRAYFORMULA("""""""" &amp; TRIM(SPLIT(A63,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3" s="42" t="s">
        <v>479</v>
      </c>
      <c r="W63" s="42" t="s">
        <v>501</v>
      </c>
      <c r="X63" s="43"/>
      <c r="Y63" s="44" t="str">
        <f>vlookup(G63,zip_codes!$B$6:$J988,3,false)</f>
        <v>Houston</v>
      </c>
      <c r="Z63" s="45" t="str">
        <f>vlookup(G63,zip_codes!$B$6:$J988,9,false)</f>
        <v>Hedwig Village, Hunters Creek, Memorial City, Memorial Villages, Northwest Houston, Westside</v>
      </c>
      <c r="AA63" s="44" t="str">
        <f>vlookup(B63,organizations!$B$1:$C988,2,false)</f>
        <v>Avenue 360</v>
      </c>
      <c r="AB63" s="46" t="s">
        <v>502</v>
      </c>
      <c r="AC63" s="47" t="s">
        <v>503</v>
      </c>
      <c r="AD63" s="48" t="s">
        <v>504</v>
      </c>
      <c r="AE63" s="48" t="str">
        <f t="shared" si="9"/>
        <v>Avenue 360 Memorial City902 Frostwood Drive31</v>
      </c>
      <c r="AF63" s="48" t="str">
        <f t="shared" si="10"/>
        <v/>
      </c>
    </row>
    <row r="64" ht="66.75" customHeight="1">
      <c r="A64" s="49" t="s">
        <v>473</v>
      </c>
      <c r="B64" s="35" t="s">
        <v>505</v>
      </c>
      <c r="C64" s="36" t="s">
        <v>506</v>
      </c>
      <c r="D64" s="36"/>
      <c r="E64" s="36" t="s">
        <v>36</v>
      </c>
      <c r="F64" s="36" t="s">
        <v>37</v>
      </c>
      <c r="G64" s="35" t="s">
        <v>270</v>
      </c>
      <c r="H64" s="35" t="s">
        <v>507</v>
      </c>
      <c r="I64" s="35" t="s">
        <v>477</v>
      </c>
      <c r="J64" s="35"/>
      <c r="K64" s="37">
        <f>IFERROR(__xludf.DUMMYFUNCTION("query(assistance!$A$2:$E988,""Select C Where D = '""&amp;L64&amp;""'"")"),31.0)</f>
        <v>31</v>
      </c>
      <c r="L64" s="36" t="s">
        <v>90</v>
      </c>
      <c r="M64" s="38">
        <f t="shared" si="11"/>
        <v>1</v>
      </c>
      <c r="N64" s="39" t="s">
        <v>42</v>
      </c>
      <c r="O64" s="57">
        <v>46049.0</v>
      </c>
      <c r="P64" s="35" t="s">
        <v>43</v>
      </c>
      <c r="Q64" s="35"/>
      <c r="R64" s="35" t="s">
        <v>508</v>
      </c>
      <c r="S64" s="35" t="b">
        <v>0</v>
      </c>
      <c r="T64" s="35" t="b">
        <v>0</v>
      </c>
      <c r="U64" s="41" t="str">
        <f>IFERROR(__xludf.DUMMYFUNCTION("""["" &amp; JOIN("", "", ARRAYFORMULA("""""""" &amp; TRIM(SPLIT(A64,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4" s="42" t="s">
        <v>479</v>
      </c>
      <c r="W64" s="42" t="s">
        <v>509</v>
      </c>
      <c r="X64" s="43"/>
      <c r="Y64" s="44" t="str">
        <f>vlookup(G64,zip_codes!$B$6:$J988,3,false)</f>
        <v>Houston</v>
      </c>
      <c r="Z64" s="45" t="str">
        <f>vlookup(G64,zip_codes!$B$6:$J988,9,false)</f>
        <v>Central Business District, Downtown Houston, East Downtown, South Central Houston, Theater District, University Place, Warehouse District</v>
      </c>
      <c r="AA64" s="44" t="str">
        <f>vlookup(B64,organizations!$B$1:$C988,2,false)</f>
        <v>Avenue 360</v>
      </c>
      <c r="AB64" s="46" t="s">
        <v>510</v>
      </c>
      <c r="AC64" s="47" t="s">
        <v>482</v>
      </c>
      <c r="AD64" s="48" t="s">
        <v>314</v>
      </c>
      <c r="AE64" s="48" t="str">
        <f t="shared" si="9"/>
        <v>Avenue 360 Midtown2920 Fannin Street31</v>
      </c>
      <c r="AF64" s="48" t="str">
        <f t="shared" si="10"/>
        <v/>
      </c>
    </row>
    <row r="65" ht="66.75" customHeight="1">
      <c r="A65" s="49" t="s">
        <v>473</v>
      </c>
      <c r="B65" s="35" t="s">
        <v>505</v>
      </c>
      <c r="C65" s="36" t="s">
        <v>506</v>
      </c>
      <c r="D65" s="36"/>
      <c r="E65" s="36" t="s">
        <v>36</v>
      </c>
      <c r="F65" s="36" t="s">
        <v>37</v>
      </c>
      <c r="G65" s="35" t="s">
        <v>270</v>
      </c>
      <c r="H65" s="35" t="s">
        <v>507</v>
      </c>
      <c r="I65" s="35" t="s">
        <v>477</v>
      </c>
      <c r="J65" s="35"/>
      <c r="K65" s="37">
        <f>IFERROR(__xludf.DUMMYFUNCTION("query(assistance!$A$2:$E988,""Select C Where D = '""&amp;L65&amp;""'"")"),32.0)</f>
        <v>32</v>
      </c>
      <c r="L65" s="36" t="s">
        <v>208</v>
      </c>
      <c r="M65" s="38">
        <f t="shared" si="11"/>
        <v>1</v>
      </c>
      <c r="N65" s="39" t="s">
        <v>42</v>
      </c>
      <c r="O65" s="57">
        <v>46048.0</v>
      </c>
      <c r="P65" s="35" t="s">
        <v>43</v>
      </c>
      <c r="Q65" s="35"/>
      <c r="R65" s="35" t="s">
        <v>511</v>
      </c>
      <c r="S65" s="35" t="b">
        <v>1</v>
      </c>
      <c r="T65" s="35" t="b">
        <v>0</v>
      </c>
      <c r="U65" s="41" t="str">
        <f>IFERROR(__xludf.DUMMYFUNCTION("""["" &amp; JOIN("", "", ARRAYFORMULA("""""""" &amp; TRIM(SPLIT(A65,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5" s="42" t="s">
        <v>479</v>
      </c>
      <c r="W65" s="42" t="s">
        <v>509</v>
      </c>
      <c r="X65" s="43"/>
      <c r="Y65" s="44" t="str">
        <f>vlookup(G65,zip_codes!$B$6:$J988,3,false)</f>
        <v>Houston</v>
      </c>
      <c r="Z65" s="45" t="str">
        <f>vlookup(G65,zip_codes!$B$6:$J988,9,false)</f>
        <v>Central Business District, Downtown Houston, East Downtown, South Central Houston, Theater District, University Place, Warehouse District</v>
      </c>
      <c r="AA65" s="44" t="str">
        <f>vlookup(B65,organizations!$B$1:$C988,2,false)</f>
        <v>Avenue 360</v>
      </c>
      <c r="AB65" s="46" t="s">
        <v>510</v>
      </c>
      <c r="AC65" s="47" t="s">
        <v>482</v>
      </c>
      <c r="AD65" s="48" t="s">
        <v>314</v>
      </c>
      <c r="AE65" s="48" t="str">
        <f t="shared" si="9"/>
        <v>Avenue 360 Midtown2920 Fannin Street32</v>
      </c>
      <c r="AF65" s="48" t="str">
        <f t="shared" si="10"/>
        <v/>
      </c>
    </row>
    <row r="66" ht="66.75" customHeight="1">
      <c r="A66" s="49" t="s">
        <v>473</v>
      </c>
      <c r="B66" s="35" t="s">
        <v>505</v>
      </c>
      <c r="C66" s="36" t="s">
        <v>506</v>
      </c>
      <c r="D66" s="36"/>
      <c r="E66" s="36" t="s">
        <v>36</v>
      </c>
      <c r="F66" s="36" t="s">
        <v>37</v>
      </c>
      <c r="G66" s="35" t="s">
        <v>270</v>
      </c>
      <c r="H66" s="35" t="s">
        <v>507</v>
      </c>
      <c r="I66" s="35" t="s">
        <v>477</v>
      </c>
      <c r="J66" s="35"/>
      <c r="K66" s="37">
        <f>IFERROR(__xludf.DUMMYFUNCTION("query(assistance!$A$2:$E988,""Select C Where D = '""&amp;L66&amp;""'"")"),33.0)</f>
        <v>33</v>
      </c>
      <c r="L66" s="36" t="s">
        <v>333</v>
      </c>
      <c r="M66" s="38">
        <f t="shared" si="11"/>
        <v>1</v>
      </c>
      <c r="N66" s="39" t="s">
        <v>42</v>
      </c>
      <c r="O66" s="57">
        <v>46049.0</v>
      </c>
      <c r="P66" s="35" t="s">
        <v>43</v>
      </c>
      <c r="Q66" s="35"/>
      <c r="R66" s="35" t="s">
        <v>484</v>
      </c>
      <c r="S66" s="35" t="b">
        <v>0</v>
      </c>
      <c r="T66" s="35" t="b">
        <v>0</v>
      </c>
      <c r="U66" s="41" t="str">
        <f>IFERROR(__xludf.DUMMYFUNCTION("""["" &amp; JOIN("", "", ARRAYFORMULA("""""""" &amp; TRIM(SPLIT(A66,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6" s="42" t="s">
        <v>479</v>
      </c>
      <c r="W66" s="42" t="s">
        <v>509</v>
      </c>
      <c r="X66" s="43"/>
      <c r="Y66" s="44" t="str">
        <f>vlookup(G66,zip_codes!$B$6:$J988,3,false)</f>
        <v>Houston</v>
      </c>
      <c r="Z66" s="45" t="str">
        <f>vlookup(G66,zip_codes!$B$6:$J988,9,false)</f>
        <v>Central Business District, Downtown Houston, East Downtown, South Central Houston, Theater District, University Place, Warehouse District</v>
      </c>
      <c r="AA66" s="44" t="str">
        <f>vlookup(B66,organizations!$B$1:$C988,2,false)</f>
        <v>Avenue 360</v>
      </c>
      <c r="AB66" s="46" t="s">
        <v>510</v>
      </c>
      <c r="AC66" s="47" t="s">
        <v>482</v>
      </c>
      <c r="AD66" s="48" t="s">
        <v>314</v>
      </c>
      <c r="AE66" s="48" t="str">
        <f t="shared" si="9"/>
        <v>Avenue 360 Midtown2920 Fannin Street33</v>
      </c>
      <c r="AF66" s="48" t="str">
        <f t="shared" si="10"/>
        <v/>
      </c>
    </row>
    <row r="67" ht="66.75" customHeight="1">
      <c r="A67" s="49" t="s">
        <v>473</v>
      </c>
      <c r="B67" s="35" t="s">
        <v>512</v>
      </c>
      <c r="C67" s="36" t="s">
        <v>513</v>
      </c>
      <c r="D67" s="36"/>
      <c r="E67" s="36" t="s">
        <v>36</v>
      </c>
      <c r="F67" s="36" t="s">
        <v>37</v>
      </c>
      <c r="G67" s="35" t="s">
        <v>514</v>
      </c>
      <c r="H67" s="35" t="s">
        <v>515</v>
      </c>
      <c r="I67" s="35" t="s">
        <v>516</v>
      </c>
      <c r="J67" s="35"/>
      <c r="K67" s="37">
        <f>IFERROR(__xludf.DUMMYFUNCTION("query(assistance!$A$2:$E988,""Select C Where D = '""&amp;L67&amp;""'"")"),31.0)</f>
        <v>31</v>
      </c>
      <c r="L67" s="36" t="s">
        <v>90</v>
      </c>
      <c r="M67" s="38">
        <f t="shared" si="11"/>
        <v>1</v>
      </c>
      <c r="N67" s="39" t="s">
        <v>42</v>
      </c>
      <c r="O67" s="57">
        <v>45789.0</v>
      </c>
      <c r="P67" s="35" t="s">
        <v>43</v>
      </c>
      <c r="Q67" s="35"/>
      <c r="R67" s="35" t="s">
        <v>517</v>
      </c>
      <c r="S67" s="35" t="b">
        <v>0</v>
      </c>
      <c r="T67" s="35" t="b">
        <v>0</v>
      </c>
      <c r="U67" s="41" t="str">
        <f>IFERROR(__xludf.DUMMYFUNCTION("""["" &amp; JOIN("", "", ARRAYFORMULA("""""""" &amp; TRIM(SPLIT(A67,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7" s="42" t="s">
        <v>479</v>
      </c>
      <c r="W67" s="42" t="s">
        <v>518</v>
      </c>
      <c r="X67" s="43"/>
      <c r="Y67" s="44" t="str">
        <f>vlookup(G67,zip_codes!$B$6:$J988,3,false)</f>
        <v>Houston</v>
      </c>
      <c r="Z67" s="45" t="str">
        <f>vlookup(G67,zip_codes!$B$6:$J988,9,false)</f>
        <v>Hyde Park, Montrose, South Central Houston</v>
      </c>
      <c r="AA67" s="44" t="str">
        <f>vlookup(B67,organizations!$B$1:$C988,2,false)</f>
        <v>Avenue 360</v>
      </c>
      <c r="AB67" s="46" t="s">
        <v>519</v>
      </c>
      <c r="AC67" s="47" t="s">
        <v>520</v>
      </c>
      <c r="AD67" s="48" t="s">
        <v>521</v>
      </c>
      <c r="AE67" s="48" t="str">
        <f t="shared" si="9"/>
        <v>Avenue 360 Omega House Hospice602 Branard Street31</v>
      </c>
      <c r="AF67" s="48" t="str">
        <f t="shared" si="10"/>
        <v/>
      </c>
    </row>
    <row r="68" ht="66.75" customHeight="1">
      <c r="A68" s="49" t="s">
        <v>473</v>
      </c>
      <c r="B68" s="35" t="s">
        <v>522</v>
      </c>
      <c r="C68" s="36" t="s">
        <v>523</v>
      </c>
      <c r="D68" s="36"/>
      <c r="E68" s="36" t="s">
        <v>36</v>
      </c>
      <c r="F68" s="36" t="s">
        <v>37</v>
      </c>
      <c r="G68" s="35" t="s">
        <v>524</v>
      </c>
      <c r="H68" s="35" t="s">
        <v>525</v>
      </c>
      <c r="I68" s="35" t="s">
        <v>272</v>
      </c>
      <c r="J68" s="35"/>
      <c r="K68" s="37">
        <f>IFERROR(__xludf.DUMMYFUNCTION("query(assistance!$A$2:$E988,""Select C Where D = '""&amp;L68&amp;""'"")"),31.0)</f>
        <v>31</v>
      </c>
      <c r="L68" s="36" t="s">
        <v>90</v>
      </c>
      <c r="M68" s="38">
        <f t="shared" si="11"/>
        <v>1</v>
      </c>
      <c r="N68" s="39" t="s">
        <v>42</v>
      </c>
      <c r="O68" s="57">
        <v>46049.0</v>
      </c>
      <c r="P68" s="35" t="s">
        <v>43</v>
      </c>
      <c r="Q68" s="35"/>
      <c r="R68" s="35" t="s">
        <v>526</v>
      </c>
      <c r="S68" s="35" t="b">
        <v>0</v>
      </c>
      <c r="T68" s="35" t="b">
        <v>0</v>
      </c>
      <c r="U68" s="41" t="str">
        <f>IFERROR(__xludf.DUMMYFUNCTION("""["" &amp; JOIN("", "", ARRAYFORMULA("""""""" &amp; TRIM(SPLIT(A68,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8" s="42" t="s">
        <v>479</v>
      </c>
      <c r="W68" s="42" t="s">
        <v>527</v>
      </c>
      <c r="X68" s="43"/>
      <c r="Y68" s="44" t="str">
        <f>vlookup(G68,zip_codes!$B$6:$J988,3,false)</f>
        <v>Houston</v>
      </c>
      <c r="Z68" s="45" t="str">
        <f>vlookup(G68,zip_codes!$B$6:$J988,9,false)</f>
        <v>Bellaire, Brays Oaks, Fondren Gardens, Westbury, Willow Meadows/ Willowbend Area, Willowbend</v>
      </c>
      <c r="AA68" s="44" t="str">
        <f>vlookup(B68,organizations!$B$1:$C988,2,false)</f>
        <v>Avenue 360</v>
      </c>
      <c r="AB68" s="46" t="s">
        <v>528</v>
      </c>
      <c r="AC68" s="47" t="s">
        <v>278</v>
      </c>
      <c r="AD68" s="48" t="s">
        <v>529</v>
      </c>
      <c r="AE68" s="48" t="str">
        <f t="shared" si="9"/>
        <v>Avenue 360 Southwest14095 South Main Street31</v>
      </c>
      <c r="AF68" s="48" t="str">
        <f t="shared" si="10"/>
        <v/>
      </c>
    </row>
    <row r="69" ht="66.75" customHeight="1">
      <c r="A69" s="49" t="s">
        <v>473</v>
      </c>
      <c r="B69" s="35" t="s">
        <v>522</v>
      </c>
      <c r="C69" s="36" t="s">
        <v>523</v>
      </c>
      <c r="D69" s="36"/>
      <c r="E69" s="36" t="s">
        <v>36</v>
      </c>
      <c r="F69" s="36" t="s">
        <v>37</v>
      </c>
      <c r="G69" s="35" t="s">
        <v>524</v>
      </c>
      <c r="H69" s="35" t="s">
        <v>525</v>
      </c>
      <c r="I69" s="35" t="s">
        <v>272</v>
      </c>
      <c r="J69" s="35"/>
      <c r="K69" s="37">
        <f>IFERROR(__xludf.DUMMYFUNCTION("query(assistance!$A$2:$E988,""Select C Where D = '""&amp;L69&amp;""'"")"),32.0)</f>
        <v>32</v>
      </c>
      <c r="L69" s="36" t="s">
        <v>208</v>
      </c>
      <c r="M69" s="38">
        <f t="shared" si="11"/>
        <v>1</v>
      </c>
      <c r="N69" s="39" t="s">
        <v>42</v>
      </c>
      <c r="O69" s="57">
        <v>46049.0</v>
      </c>
      <c r="P69" s="35" t="s">
        <v>43</v>
      </c>
      <c r="Q69" s="35"/>
      <c r="R69" s="35" t="s">
        <v>530</v>
      </c>
      <c r="S69" s="35" t="b">
        <v>1</v>
      </c>
      <c r="T69" s="35" t="b">
        <v>0</v>
      </c>
      <c r="U69" s="41" t="str">
        <f>IFERROR(__xludf.DUMMYFUNCTION("""["" &amp; JOIN("", "", ARRAYFORMULA("""""""" &amp; TRIM(SPLIT(A69,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69" s="42" t="s">
        <v>479</v>
      </c>
      <c r="W69" s="42" t="s">
        <v>527</v>
      </c>
      <c r="X69" s="43"/>
      <c r="Y69" s="44" t="str">
        <f>vlookup(G69,zip_codes!$B$6:$J988,3,false)</f>
        <v>Houston</v>
      </c>
      <c r="Z69" s="45" t="str">
        <f>vlookup(G69,zip_codes!$B$6:$J988,9,false)</f>
        <v>Bellaire, Brays Oaks, Fondren Gardens, Westbury, Willow Meadows/ Willowbend Area, Willowbend</v>
      </c>
      <c r="AA69" s="44" t="str">
        <f>vlookup(B69,organizations!$B$1:$C988,2,false)</f>
        <v>Avenue 360</v>
      </c>
      <c r="AB69" s="46" t="s">
        <v>528</v>
      </c>
      <c r="AC69" s="47" t="s">
        <v>278</v>
      </c>
      <c r="AD69" s="48" t="s">
        <v>529</v>
      </c>
      <c r="AE69" s="48" t="str">
        <f t="shared" si="9"/>
        <v>Avenue 360 Southwest14095 South Main Street32</v>
      </c>
      <c r="AF69" s="48" t="str">
        <f t="shared" si="10"/>
        <v/>
      </c>
    </row>
    <row r="70" ht="66.75" customHeight="1">
      <c r="A70" s="49" t="s">
        <v>473</v>
      </c>
      <c r="B70" s="35" t="s">
        <v>522</v>
      </c>
      <c r="C70" s="36" t="s">
        <v>523</v>
      </c>
      <c r="D70" s="36"/>
      <c r="E70" s="36" t="s">
        <v>36</v>
      </c>
      <c r="F70" s="36" t="s">
        <v>37</v>
      </c>
      <c r="G70" s="35" t="s">
        <v>524</v>
      </c>
      <c r="H70" s="35" t="s">
        <v>525</v>
      </c>
      <c r="I70" s="35" t="s">
        <v>272</v>
      </c>
      <c r="J70" s="35"/>
      <c r="K70" s="37">
        <f>IFERROR(__xludf.DUMMYFUNCTION("query(assistance!$A$2:$E988,""Select C Where D = '""&amp;L70&amp;""'"")"),33.0)</f>
        <v>33</v>
      </c>
      <c r="L70" s="36" t="s">
        <v>333</v>
      </c>
      <c r="M70" s="38">
        <f t="shared" si="11"/>
        <v>1</v>
      </c>
      <c r="N70" s="39" t="s">
        <v>42</v>
      </c>
      <c r="O70" s="57">
        <v>46049.0</v>
      </c>
      <c r="P70" s="35" t="s">
        <v>43</v>
      </c>
      <c r="Q70" s="35"/>
      <c r="R70" s="35" t="s">
        <v>484</v>
      </c>
      <c r="S70" s="35" t="b">
        <v>0</v>
      </c>
      <c r="T70" s="35" t="b">
        <v>0</v>
      </c>
      <c r="U70" s="41" t="str">
        <f>IFERROR(__xludf.DUMMYFUNCTION("""["" &amp; JOIN("", "", ARRAYFORMULA("""""""" &amp; TRIM(SPLIT(A70,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70" s="42" t="s">
        <v>479</v>
      </c>
      <c r="W70" s="42" t="s">
        <v>527</v>
      </c>
      <c r="X70" s="43"/>
      <c r="Y70" s="44" t="str">
        <f>vlookup(G70,zip_codes!$B$6:$J988,3,false)</f>
        <v>Houston</v>
      </c>
      <c r="Z70" s="45" t="str">
        <f>vlookup(G70,zip_codes!$B$6:$J988,9,false)</f>
        <v>Bellaire, Brays Oaks, Fondren Gardens, Westbury, Willow Meadows/ Willowbend Area, Willowbend</v>
      </c>
      <c r="AA70" s="44" t="str">
        <f>vlookup(B70,organizations!$B$1:$C988,2,false)</f>
        <v>Avenue 360</v>
      </c>
      <c r="AB70" s="46" t="s">
        <v>528</v>
      </c>
      <c r="AC70" s="47" t="s">
        <v>278</v>
      </c>
      <c r="AD70" s="48" t="s">
        <v>529</v>
      </c>
      <c r="AE70" s="48" t="str">
        <f t="shared" si="9"/>
        <v>Avenue 360 Southwest14095 South Main Street33</v>
      </c>
      <c r="AF70" s="48" t="str">
        <f t="shared" si="10"/>
        <v/>
      </c>
    </row>
    <row r="71" ht="66.75" customHeight="1">
      <c r="A71" s="49" t="s">
        <v>473</v>
      </c>
      <c r="B71" s="35" t="s">
        <v>531</v>
      </c>
      <c r="C71" s="36" t="s">
        <v>532</v>
      </c>
      <c r="D71" s="36"/>
      <c r="E71" s="36" t="s">
        <v>36</v>
      </c>
      <c r="F71" s="36" t="s">
        <v>37</v>
      </c>
      <c r="G71" s="35" t="s">
        <v>533</v>
      </c>
      <c r="H71" s="35" t="s">
        <v>534</v>
      </c>
      <c r="I71" s="35" t="s">
        <v>272</v>
      </c>
      <c r="J71" s="35"/>
      <c r="K71" s="37">
        <f>IFERROR(__xludf.DUMMYFUNCTION("query(assistance!$A$2:$E988,""Select C Where D = '""&amp;L71&amp;""'"")"),31.0)</f>
        <v>31</v>
      </c>
      <c r="L71" s="36" t="s">
        <v>90</v>
      </c>
      <c r="M71" s="38">
        <f t="shared" si="11"/>
        <v>1</v>
      </c>
      <c r="N71" s="39" t="s">
        <v>42</v>
      </c>
      <c r="O71" s="57">
        <v>46049.0</v>
      </c>
      <c r="P71" s="35" t="s">
        <v>43</v>
      </c>
      <c r="Q71" s="35"/>
      <c r="R71" s="35" t="s">
        <v>535</v>
      </c>
      <c r="S71" s="35" t="b">
        <v>0</v>
      </c>
      <c r="T71" s="35" t="b">
        <v>0</v>
      </c>
      <c r="U71" s="41" t="str">
        <f>IFERROR(__xludf.DUMMYFUNCTION("""["" &amp; JOIN("", "", ARRAYFORMULA("""""""" &amp; TRIM(SPLIT(A71,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71" s="42" t="s">
        <v>479</v>
      </c>
      <c r="W71" s="42" t="s">
        <v>536</v>
      </c>
      <c r="X71" s="43"/>
      <c r="Y71" s="44" t="str">
        <f>vlookup(G71,zip_codes!$B$6:$J988,3,false)</f>
        <v>Houston</v>
      </c>
      <c r="Z71" s="45" t="str">
        <f>vlookup(G71,zip_codes!$B$6:$J988,9,false)</f>
        <v>Cypress Station, Ella Crossing, Westador</v>
      </c>
      <c r="AA71" s="44" t="str">
        <f>vlookup(B71,organizations!$B$1:$C988,2,false)</f>
        <v>Avenue 360</v>
      </c>
      <c r="AB71" s="46" t="s">
        <v>537</v>
      </c>
      <c r="AC71" s="47" t="s">
        <v>278</v>
      </c>
      <c r="AD71" s="58" t="s">
        <v>538</v>
      </c>
      <c r="AE71" s="48" t="str">
        <f t="shared" si="9"/>
        <v>Avenue 360 Spring Cypress17010 Sugar Pine Drive31</v>
      </c>
      <c r="AF71" s="48" t="str">
        <f t="shared" si="10"/>
        <v/>
      </c>
    </row>
    <row r="72" ht="66.75" customHeight="1">
      <c r="A72" s="49" t="s">
        <v>473</v>
      </c>
      <c r="B72" s="35" t="s">
        <v>531</v>
      </c>
      <c r="C72" s="36" t="s">
        <v>532</v>
      </c>
      <c r="D72" s="36"/>
      <c r="E72" s="36" t="s">
        <v>36</v>
      </c>
      <c r="F72" s="36" t="s">
        <v>37</v>
      </c>
      <c r="G72" s="35" t="s">
        <v>533</v>
      </c>
      <c r="H72" s="35" t="s">
        <v>534</v>
      </c>
      <c r="I72" s="35" t="s">
        <v>272</v>
      </c>
      <c r="J72" s="35"/>
      <c r="K72" s="37">
        <f>IFERROR(__xludf.DUMMYFUNCTION("query(assistance!$A$2:$E988,""Select C Where D = '""&amp;L72&amp;""'"")"),33.0)</f>
        <v>33</v>
      </c>
      <c r="L72" s="36" t="s">
        <v>333</v>
      </c>
      <c r="M72" s="38">
        <f t="shared" si="11"/>
        <v>1</v>
      </c>
      <c r="N72" s="39" t="s">
        <v>42</v>
      </c>
      <c r="O72" s="57">
        <v>46049.0</v>
      </c>
      <c r="P72" s="35" t="s">
        <v>43</v>
      </c>
      <c r="Q72" s="35"/>
      <c r="R72" s="35" t="s">
        <v>484</v>
      </c>
      <c r="S72" s="35" t="b">
        <v>0</v>
      </c>
      <c r="T72" s="35" t="b">
        <v>0</v>
      </c>
      <c r="U72" s="41" t="str">
        <f>IFERROR(__xludf.DUMMYFUNCTION("""["" &amp; JOIN("", "", ARRAYFORMULA("""""""" &amp; TRIM(SPLIT(A72,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""77338"", ""77347"", ""77396""]")</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"77338", "77347", "77396"]</v>
      </c>
      <c r="V72" s="42" t="s">
        <v>479</v>
      </c>
      <c r="W72" s="42" t="s">
        <v>536</v>
      </c>
      <c r="X72" s="43"/>
      <c r="Y72" s="44" t="str">
        <f>vlookup(G72,zip_codes!$B$6:$J988,3,false)</f>
        <v>Houston</v>
      </c>
      <c r="Z72" s="45" t="str">
        <f>vlookup(G72,zip_codes!$B$6:$J988,9,false)</f>
        <v>Cypress Station, Ella Crossing, Westador</v>
      </c>
      <c r="AA72" s="44" t="str">
        <f>vlookup(B72,organizations!$B$1:$C988,2,false)</f>
        <v>Avenue 360</v>
      </c>
      <c r="AB72" s="46" t="s">
        <v>537</v>
      </c>
      <c r="AC72" s="47" t="s">
        <v>278</v>
      </c>
      <c r="AD72" s="58" t="s">
        <v>538</v>
      </c>
      <c r="AE72" s="48" t="str">
        <f t="shared" si="9"/>
        <v>Avenue 360 Spring Cypress17010 Sugar Pine Drive33</v>
      </c>
      <c r="AF72" s="48" t="str">
        <f t="shared" si="10"/>
        <v/>
      </c>
    </row>
    <row r="73" ht="66.75" customHeight="1">
      <c r="A73" s="49" t="s">
        <v>50</v>
      </c>
      <c r="B73" s="35" t="s">
        <v>539</v>
      </c>
      <c r="C73" s="36" t="s">
        <v>540</v>
      </c>
      <c r="D73" s="36" t="s">
        <v>541</v>
      </c>
      <c r="E73" s="36" t="s">
        <v>36</v>
      </c>
      <c r="F73" s="36" t="s">
        <v>37</v>
      </c>
      <c r="G73" s="35" t="s">
        <v>542</v>
      </c>
      <c r="H73" s="35" t="s">
        <v>543</v>
      </c>
      <c r="I73" s="35" t="s">
        <v>544</v>
      </c>
      <c r="J73" s="35" t="s">
        <v>545</v>
      </c>
      <c r="K73" s="37">
        <f>IFERROR(__xludf.DUMMYFUNCTION("query(assistance!$A$2:$E988,""Select C Where D = '""&amp;L73&amp;""'"")"),12.0)</f>
        <v>12</v>
      </c>
      <c r="L73" s="36" t="s">
        <v>330</v>
      </c>
      <c r="M73" s="38">
        <f t="shared" si="11"/>
        <v>1</v>
      </c>
      <c r="N73" s="51" t="s">
        <v>42</v>
      </c>
      <c r="O73" s="40">
        <v>46079.0</v>
      </c>
      <c r="P73" s="35" t="s">
        <v>546</v>
      </c>
      <c r="Q73" s="35"/>
      <c r="R73" s="35" t="s">
        <v>547</v>
      </c>
      <c r="S73" s="67" t="b">
        <v>1</v>
      </c>
      <c r="T73" s="67" t="b">
        <v>1</v>
      </c>
      <c r="U73" s="41" t="str">
        <f>IFERROR(__xludf.DUMMYFUNCTION("""["" &amp; JOIN("", "", ARRAYFORMULA("""""""" &amp; TRIM(SPLIT(A73, "","")) &amp; """""""")) &amp; ""]"""),"[""99999""]")</f>
        <v>["99999"]</v>
      </c>
      <c r="V73" s="52" t="s">
        <v>548</v>
      </c>
      <c r="W73" s="52" t="s">
        <v>549</v>
      </c>
      <c r="X73" s="43"/>
      <c r="Y73" s="44" t="str">
        <f>vlookup(G73,zip_codes!$B$6:$J988,3,false)</f>
        <v>Houston</v>
      </c>
      <c r="Z73" s="45" t="str">
        <f>vlookup(G73,zip_codes!$B$6:$J988,9,false)</f>
        <v>Eastwood, Magnolia Park, Second Ward, South Central Houston</v>
      </c>
      <c r="AA73" s="44" t="str">
        <f>vlookup(B73,organizations!$B$1:$C988,2,false)</f>
        <v>BakerRipley</v>
      </c>
      <c r="AB73" s="46" t="s">
        <v>550</v>
      </c>
      <c r="AC73" s="47" t="s">
        <v>551</v>
      </c>
      <c r="AD73" s="48" t="s">
        <v>314</v>
      </c>
      <c r="AE73" s="48" t="str">
        <f t="shared" si="9"/>
        <v>BakerRipley4450 Harrisburg Blvd12</v>
      </c>
      <c r="AF73" s="48" t="str">
        <f t="shared" si="10"/>
        <v/>
      </c>
    </row>
    <row r="74" ht="66.75" customHeight="1">
      <c r="A74" s="34" t="s">
        <v>552</v>
      </c>
      <c r="B74" s="35" t="s">
        <v>539</v>
      </c>
      <c r="C74" s="36" t="s">
        <v>540</v>
      </c>
      <c r="D74" s="36" t="s">
        <v>541</v>
      </c>
      <c r="E74" s="36" t="s">
        <v>36</v>
      </c>
      <c r="F74" s="36" t="s">
        <v>37</v>
      </c>
      <c r="G74" s="35" t="s">
        <v>542</v>
      </c>
      <c r="H74" s="35"/>
      <c r="I74" s="35"/>
      <c r="J74" s="35" t="s">
        <v>89</v>
      </c>
      <c r="K74" s="37">
        <f>IFERROR(__xludf.DUMMYFUNCTION("query(assistance!$A$2:$E988,""Select C Where D = '""&amp;L74&amp;""'"")"),65.0)</f>
        <v>65</v>
      </c>
      <c r="L74" s="36" t="s">
        <v>41</v>
      </c>
      <c r="M74" s="38">
        <f t="shared" si="11"/>
        <v>1</v>
      </c>
      <c r="N74" s="51" t="s">
        <v>42</v>
      </c>
      <c r="O74" s="40">
        <v>45859.0</v>
      </c>
      <c r="P74" s="35" t="s">
        <v>43</v>
      </c>
      <c r="Q74" s="35"/>
      <c r="R74" s="35" t="s">
        <v>553</v>
      </c>
      <c r="S74" s="35" t="b">
        <v>0</v>
      </c>
      <c r="T74" s="35" t="b">
        <v>0</v>
      </c>
      <c r="U74" s="41" t="str">
        <f>IFERROR(__xludf.DUMMYFUNCTION("""["" &amp; JOIN("", "", ARRAYFORMULA("""""""" &amp; TRIM(SPLIT(A74,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""77242"", ""77257"", ""77277"", ""77279"", ""77336"", ""77338"", ""77339"", ""77345"", ""77346"", ""77347"", ""77357"", ""77365"", ""77373"", ""77375"", ""77377"", ""77379"", ""77383"", ""77387"", ""77388"", ""77389"", ""77393"&amp;""", ""77396"", ""77401"", ""77410"", ""77429"", ""77433"", ""77447"", ""77449"", ""77450"", ""77484"", ""77493"", ""77501"", ""77502"", ""77503"", ""77504"", ""77505"", ""77506"", ""77507"", ""77508"", ""77520"", ""77521"", ""77530"", ""77532"", ""77535"""&amp;",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"77410", "77429", "77433", "77447", "77449", "77450", "77484", "77493", "77501", "77502", "77503", "77504", "77505", "77506", "77507", "77508", "77520", "77521", "77530", "77532", "77535", "77536", "77546", "77547", "77562", "77571", "77581", "77586", "77587", "77598"]</v>
      </c>
      <c r="V74" s="42" t="s">
        <v>554</v>
      </c>
      <c r="W74" s="52" t="s">
        <v>549</v>
      </c>
      <c r="X74" s="43"/>
      <c r="Y74" s="44" t="str">
        <f>vlookup(G74,zip_codes!$B$6:$J988,3,false)</f>
        <v>Houston</v>
      </c>
      <c r="Z74" s="45" t="str">
        <f>vlookup(G74,zip_codes!$B$6:$J988,9,false)</f>
        <v>Eastwood, Magnolia Park, Second Ward, South Central Houston</v>
      </c>
      <c r="AA74" s="44" t="str">
        <f>vlookup(B74,organizations!$B$1:$C988,2,false)</f>
        <v>BakerRipley</v>
      </c>
      <c r="AB74" s="46" t="s">
        <v>550</v>
      </c>
      <c r="AC74" s="53"/>
      <c r="AD74" s="48" t="s">
        <v>314</v>
      </c>
      <c r="AE74" s="48" t="str">
        <f t="shared" si="9"/>
        <v>BakerRipley4450 Harrisburg Blvd65</v>
      </c>
      <c r="AF74" s="48" t="str">
        <f t="shared" si="10"/>
        <v/>
      </c>
    </row>
    <row r="75" ht="66.75" customHeight="1">
      <c r="A75" s="49" t="s">
        <v>50</v>
      </c>
      <c r="B75" s="35" t="s">
        <v>555</v>
      </c>
      <c r="C75" s="36" t="s">
        <v>556</v>
      </c>
      <c r="D75" s="36"/>
      <c r="E75" s="36" t="s">
        <v>36</v>
      </c>
      <c r="F75" s="36" t="s">
        <v>37</v>
      </c>
      <c r="G75" s="35" t="s">
        <v>557</v>
      </c>
      <c r="H75" s="35" t="s">
        <v>558</v>
      </c>
      <c r="I75" s="35" t="s">
        <v>559</v>
      </c>
      <c r="J75" s="35"/>
      <c r="K75" s="37">
        <f>IFERROR(__xludf.DUMMYFUNCTION("query(assistance!$A$2:$E988,""Select C Where D = '""&amp;L75&amp;""'"")"),43.0)</f>
        <v>43</v>
      </c>
      <c r="L75" s="36" t="s">
        <v>68</v>
      </c>
      <c r="M75" s="38">
        <f t="shared" si="11"/>
        <v>1</v>
      </c>
      <c r="N75" s="51" t="s">
        <v>42</v>
      </c>
      <c r="O75" s="40">
        <v>45859.0</v>
      </c>
      <c r="P75" s="35" t="s">
        <v>43</v>
      </c>
      <c r="Q75" s="35"/>
      <c r="R75" s="35" t="s">
        <v>560</v>
      </c>
      <c r="S75" s="35" t="b">
        <v>0</v>
      </c>
      <c r="T75" s="35" t="b">
        <v>0</v>
      </c>
      <c r="U75" s="41" t="str">
        <f>IFERROR(__xludf.DUMMYFUNCTION("""["" &amp; JOIN("", "", ARRAYFORMULA("""""""" &amp; TRIM(SPLIT(A75, "","")) &amp; """""""")) &amp; ""]"""),"[""99999""]")</f>
        <v>["99999"]</v>
      </c>
      <c r="V75" s="42" t="s">
        <v>561</v>
      </c>
      <c r="W75" s="42" t="s">
        <v>562</v>
      </c>
      <c r="X75" s="43"/>
      <c r="Y75" s="44" t="str">
        <f>vlookup(G75,zip_codes!$B$6:$J988,3,false)</f>
        <v>Houston</v>
      </c>
      <c r="Z75" s="45" t="str">
        <f>vlookup(G75,zip_codes!$B$6:$J988,9,false)</f>
        <v>East Downtown, Downtown Houston, Second Ward, South Central Houston, South Side</v>
      </c>
      <c r="AA75" s="44" t="str">
        <f>vlookup(B75,organizations!$B$1:$C988,2,false)</f>
        <v>BakerRipley</v>
      </c>
      <c r="AB75" s="55" t="s">
        <v>563</v>
      </c>
      <c r="AC75" s="47" t="s">
        <v>564</v>
      </c>
      <c r="AD75" s="48" t="s">
        <v>314</v>
      </c>
      <c r="AE75" s="48" t="str">
        <f t="shared" si="9"/>
        <v>BakerRipley Angelita Fraga Pre-K209 N York Street43</v>
      </c>
      <c r="AF75" s="48" t="str">
        <f t="shared" si="10"/>
        <v/>
      </c>
    </row>
    <row r="76" ht="66.75" customHeight="1">
      <c r="A76" s="49" t="s">
        <v>50</v>
      </c>
      <c r="B76" s="35" t="s">
        <v>565</v>
      </c>
      <c r="C76" s="36" t="s">
        <v>566</v>
      </c>
      <c r="D76" s="36"/>
      <c r="E76" s="36" t="s">
        <v>36</v>
      </c>
      <c r="F76" s="36" t="s">
        <v>37</v>
      </c>
      <c r="G76" s="35" t="s">
        <v>567</v>
      </c>
      <c r="H76" s="35" t="s">
        <v>568</v>
      </c>
      <c r="I76" s="35" t="s">
        <v>559</v>
      </c>
      <c r="J76" s="35"/>
      <c r="K76" s="37">
        <f>IFERROR(__xludf.DUMMYFUNCTION("query(assistance!$A$2:$E988,""Select C Where D = '""&amp;L76&amp;""'"")"),43.0)</f>
        <v>43</v>
      </c>
      <c r="L76" s="36" t="s">
        <v>68</v>
      </c>
      <c r="M76" s="38">
        <f t="shared" si="11"/>
        <v>1</v>
      </c>
      <c r="N76" s="51" t="s">
        <v>42</v>
      </c>
      <c r="O76" s="40">
        <v>45859.0</v>
      </c>
      <c r="P76" s="35" t="s">
        <v>43</v>
      </c>
      <c r="Q76" s="35"/>
      <c r="R76" s="35" t="s">
        <v>560</v>
      </c>
      <c r="S76" s="35" t="b">
        <v>0</v>
      </c>
      <c r="T76" s="35" t="b">
        <v>0</v>
      </c>
      <c r="U76" s="41" t="str">
        <f>IFERROR(__xludf.DUMMYFUNCTION("""["" &amp; JOIN("", "", ARRAYFORMULA("""""""" &amp; TRIM(SPLIT(A76, "","")) &amp; """""""")) &amp; ""]"""),"[""99999""]")</f>
        <v>["99999"]</v>
      </c>
      <c r="V76" s="42" t="s">
        <v>569</v>
      </c>
      <c r="W76" s="42" t="s">
        <v>570</v>
      </c>
      <c r="X76" s="43"/>
      <c r="Y76" s="44" t="str">
        <f>vlookup(G76,zip_codes!$B$6:$J988,3,false)</f>
        <v>Houston</v>
      </c>
      <c r="Z76" s="45" t="str">
        <f>vlookup(G76,zip_codes!$B$6:$J988,9,false)</f>
        <v>Braeburn, Robindell, Sharpstown</v>
      </c>
      <c r="AA76" s="44" t="str">
        <f>vlookup(B76,organizations!$B$1:$C988,2,false)</f>
        <v>BakerRipley</v>
      </c>
      <c r="AB76" s="55" t="s">
        <v>571</v>
      </c>
      <c r="AC76" s="47" t="s">
        <v>564</v>
      </c>
      <c r="AD76" s="48" t="s">
        <v>572</v>
      </c>
      <c r="AE76" s="48" t="str">
        <f t="shared" si="9"/>
        <v>BakerRipley Community School Gulfton6500 Rookin Street43</v>
      </c>
      <c r="AF76" s="48" t="str">
        <f t="shared" si="10"/>
        <v/>
      </c>
    </row>
    <row r="77" ht="66.75" customHeight="1">
      <c r="A77" s="49" t="s">
        <v>50</v>
      </c>
      <c r="B77" s="35" t="s">
        <v>573</v>
      </c>
      <c r="C77" s="36" t="s">
        <v>574</v>
      </c>
      <c r="D77" s="36"/>
      <c r="E77" s="36" t="s">
        <v>36</v>
      </c>
      <c r="F77" s="36" t="s">
        <v>37</v>
      </c>
      <c r="G77" s="35" t="s">
        <v>542</v>
      </c>
      <c r="H77" s="35" t="s">
        <v>575</v>
      </c>
      <c r="I77" s="35" t="s">
        <v>559</v>
      </c>
      <c r="J77" s="35"/>
      <c r="K77" s="37">
        <f>IFERROR(__xludf.DUMMYFUNCTION("query(assistance!$A$2:$E988,""Select C Where D = '""&amp;L77&amp;""'"")"),43.0)</f>
        <v>43</v>
      </c>
      <c r="L77" s="36" t="s">
        <v>68</v>
      </c>
      <c r="M77" s="38">
        <f t="shared" si="11"/>
        <v>1</v>
      </c>
      <c r="N77" s="51" t="s">
        <v>42</v>
      </c>
      <c r="O77" s="40">
        <v>45859.0</v>
      </c>
      <c r="P77" s="35" t="s">
        <v>43</v>
      </c>
      <c r="Q77" s="35"/>
      <c r="R77" s="35" t="s">
        <v>560</v>
      </c>
      <c r="S77" s="35" t="b">
        <v>0</v>
      </c>
      <c r="T77" s="35" t="b">
        <v>0</v>
      </c>
      <c r="U77" s="41" t="str">
        <f>IFERROR(__xludf.DUMMYFUNCTION("""["" &amp; JOIN("", "", ARRAYFORMULA("""""""" &amp; TRIM(SPLIT(A77, "","")) &amp; """""""")) &amp; ""]"""),"[""99999""]")</f>
        <v>["99999"]</v>
      </c>
      <c r="V77" s="42" t="s">
        <v>569</v>
      </c>
      <c r="W77" s="42" t="s">
        <v>576</v>
      </c>
      <c r="X77" s="43"/>
      <c r="Y77" s="44" t="str">
        <f>vlookup(G77,zip_codes!$B$6:$J988,3,false)</f>
        <v>Houston</v>
      </c>
      <c r="Z77" s="45" t="str">
        <f>vlookup(G77,zip_codes!$B$6:$J988,9,false)</f>
        <v>Eastwood, Magnolia Park, Second Ward, South Central Houston</v>
      </c>
      <c r="AA77" s="44" t="str">
        <f>vlookup(B77,organizations!$B$1:$C988,2,false)</f>
        <v>BakerRipley</v>
      </c>
      <c r="AB77" s="55" t="s">
        <v>577</v>
      </c>
      <c r="AC77" s="47" t="s">
        <v>564</v>
      </c>
      <c r="AD77" s="48" t="s">
        <v>314</v>
      </c>
      <c r="AE77" s="48" t="str">
        <f t="shared" si="9"/>
        <v>BakerRipley Community School Ripley House4414 Navigation Blvd43</v>
      </c>
      <c r="AF77" s="48" t="str">
        <f t="shared" si="10"/>
        <v/>
      </c>
    </row>
    <row r="78" ht="66.75" customHeight="1">
      <c r="A78" s="49" t="s">
        <v>50</v>
      </c>
      <c r="B78" s="35" t="s">
        <v>578</v>
      </c>
      <c r="C78" s="36" t="s">
        <v>579</v>
      </c>
      <c r="D78" s="36"/>
      <c r="E78" s="36" t="s">
        <v>36</v>
      </c>
      <c r="F78" s="36" t="s">
        <v>37</v>
      </c>
      <c r="G78" s="35" t="s">
        <v>580</v>
      </c>
      <c r="H78" s="35" t="s">
        <v>581</v>
      </c>
      <c r="I78" s="35"/>
      <c r="J78" s="35" t="s">
        <v>582</v>
      </c>
      <c r="K78" s="37">
        <f>IFERROR(__xludf.DUMMYFUNCTION("query(assistance!$A$2:$E988,""Select C Where D = '""&amp;L78&amp;""'"")"),13.0)</f>
        <v>13</v>
      </c>
      <c r="L78" s="36" t="s">
        <v>240</v>
      </c>
      <c r="M78" s="38">
        <f t="shared" si="11"/>
        <v>1</v>
      </c>
      <c r="N78" s="51" t="s">
        <v>42</v>
      </c>
      <c r="O78" s="40">
        <v>45859.0</v>
      </c>
      <c r="P78" s="35" t="s">
        <v>43</v>
      </c>
      <c r="Q78" s="35"/>
      <c r="R78" s="35" t="s">
        <v>583</v>
      </c>
      <c r="S78" s="35" t="b">
        <v>0</v>
      </c>
      <c r="T78" s="35" t="b">
        <v>0</v>
      </c>
      <c r="U78" s="41" t="str">
        <f>IFERROR(__xludf.DUMMYFUNCTION("""["" &amp; JOIN("", "", ARRAYFORMULA("""""""" &amp; TRIM(SPLIT(A78, "","")) &amp; """""""")) &amp; ""]"""),"[""99999""]")</f>
        <v>["99999"]</v>
      </c>
      <c r="V78" s="42" t="s">
        <v>584</v>
      </c>
      <c r="W78" s="42" t="s">
        <v>585</v>
      </c>
      <c r="X78" s="43"/>
      <c r="Y78" s="44" t="str">
        <f>vlookup(G78,zip_codes!$B$6:$J988,3,false)</f>
        <v>Houston</v>
      </c>
      <c r="Z78" s="45" t="str">
        <f>vlookup(G78,zip_codes!$B$6:$J988,9,false)</f>
        <v>Airline, Aldine, Fairgreen, High Meadows</v>
      </c>
      <c r="AA78" s="44" t="str">
        <f>vlookup(B78,organizations!$B$1:$C988,2,false)</f>
        <v>BakerRipley</v>
      </c>
      <c r="AB78" s="55" t="s">
        <v>586</v>
      </c>
      <c r="AC78" s="53"/>
      <c r="AD78" s="48" t="s">
        <v>587</v>
      </c>
      <c r="AE78" s="48" t="str">
        <f t="shared" si="9"/>
        <v>BakerRipley East Aldine3000 Aldine Mail Route Road13</v>
      </c>
      <c r="AF78" s="48" t="str">
        <f t="shared" si="10"/>
        <v/>
      </c>
    </row>
    <row r="79" ht="66.75" customHeight="1">
      <c r="A79" s="49" t="s">
        <v>50</v>
      </c>
      <c r="B79" s="35" t="s">
        <v>578</v>
      </c>
      <c r="C79" s="36" t="s">
        <v>579</v>
      </c>
      <c r="D79" s="36"/>
      <c r="E79" s="36" t="s">
        <v>36</v>
      </c>
      <c r="F79" s="36" t="s">
        <v>37</v>
      </c>
      <c r="G79" s="35" t="s">
        <v>580</v>
      </c>
      <c r="H79" s="35" t="s">
        <v>581</v>
      </c>
      <c r="I79" s="35" t="s">
        <v>588</v>
      </c>
      <c r="J79" s="35" t="s">
        <v>589</v>
      </c>
      <c r="K79" s="37">
        <f>IFERROR(__xludf.DUMMYFUNCTION("query(assistance!$A$2:$E988,""Select C Where D = '""&amp;L79&amp;""'"")"),65.0)</f>
        <v>65</v>
      </c>
      <c r="L79" s="36" t="s">
        <v>41</v>
      </c>
      <c r="M79" s="38">
        <f t="shared" si="11"/>
        <v>1</v>
      </c>
      <c r="N79" s="51" t="s">
        <v>42</v>
      </c>
      <c r="O79" s="40">
        <v>46033.0</v>
      </c>
      <c r="P79" s="35" t="s">
        <v>43</v>
      </c>
      <c r="Q79" s="35"/>
      <c r="R79" s="35" t="s">
        <v>590</v>
      </c>
      <c r="S79" s="35" t="b">
        <v>0</v>
      </c>
      <c r="T79" s="35" t="b">
        <v>0</v>
      </c>
      <c r="U79" s="41" t="str">
        <f>IFERROR(__xludf.DUMMYFUNCTION("""["" &amp; JOIN("", "", ARRAYFORMULA("""""""" &amp; TRIM(SPLIT(A79, "","")) &amp; """""""")) &amp; ""]"""),"[""99999""]")</f>
        <v>["99999"]</v>
      </c>
      <c r="V79" s="42" t="s">
        <v>591</v>
      </c>
      <c r="W79" s="42" t="s">
        <v>585</v>
      </c>
      <c r="X79" s="43"/>
      <c r="Y79" s="44" t="str">
        <f>vlookup(G79,zip_codes!$B$6:$J988,3,false)</f>
        <v>Houston</v>
      </c>
      <c r="Z79" s="45" t="str">
        <f>vlookup(G79,zip_codes!$B$6:$J988,9,false)</f>
        <v>Airline, Aldine, Fairgreen, High Meadows</v>
      </c>
      <c r="AA79" s="44" t="str">
        <f>vlookup(B79,organizations!$B$1:$C988,2,false)</f>
        <v>BakerRipley</v>
      </c>
      <c r="AB79" s="55" t="s">
        <v>586</v>
      </c>
      <c r="AC79" s="47" t="s">
        <v>592</v>
      </c>
      <c r="AD79" s="48" t="s">
        <v>587</v>
      </c>
      <c r="AE79" s="48" t="str">
        <f t="shared" si="9"/>
        <v>BakerRipley East Aldine3000 Aldine Mail Route Road65</v>
      </c>
      <c r="AF79" s="48" t="str">
        <f t="shared" si="10"/>
        <v/>
      </c>
    </row>
    <row r="80" ht="66.75" customHeight="1">
      <c r="A80" s="49" t="s">
        <v>50</v>
      </c>
      <c r="B80" s="35" t="s">
        <v>578</v>
      </c>
      <c r="C80" s="36" t="s">
        <v>579</v>
      </c>
      <c r="D80" s="36"/>
      <c r="E80" s="36" t="s">
        <v>36</v>
      </c>
      <c r="F80" s="36" t="s">
        <v>37</v>
      </c>
      <c r="G80" s="35" t="s">
        <v>580</v>
      </c>
      <c r="H80" s="35" t="s">
        <v>581</v>
      </c>
      <c r="I80" s="35" t="s">
        <v>593</v>
      </c>
      <c r="J80" s="35"/>
      <c r="K80" s="37">
        <f>IFERROR(__xludf.DUMMYFUNCTION("query(assistance!$A$2:$E988,""Select C Where D = '""&amp;L80&amp;""'"")"),65.0)</f>
        <v>65</v>
      </c>
      <c r="L80" s="36" t="s">
        <v>41</v>
      </c>
      <c r="M80" s="38">
        <f t="shared" si="11"/>
        <v>1</v>
      </c>
      <c r="N80" s="51" t="s">
        <v>42</v>
      </c>
      <c r="O80" s="40">
        <v>46033.0</v>
      </c>
      <c r="P80" s="35" t="s">
        <v>43</v>
      </c>
      <c r="Q80" s="35"/>
      <c r="R80" s="35" t="s">
        <v>594</v>
      </c>
      <c r="S80" s="35" t="b">
        <v>0</v>
      </c>
      <c r="T80" s="35" t="b">
        <v>0</v>
      </c>
      <c r="U80" s="41" t="str">
        <f>IFERROR(__xludf.DUMMYFUNCTION("""["" &amp; JOIN("", "", ARRAYFORMULA("""""""" &amp; TRIM(SPLIT(A80, "","")) &amp; """""""")) &amp; ""]"""),"[""99999""]")</f>
        <v>["99999"]</v>
      </c>
      <c r="V80" s="42" t="s">
        <v>584</v>
      </c>
      <c r="W80" s="42" t="s">
        <v>585</v>
      </c>
      <c r="X80" s="43"/>
      <c r="Y80" s="44" t="str">
        <f>vlookup(G80,zip_codes!$B$6:$J988,3,false)</f>
        <v>Houston</v>
      </c>
      <c r="Z80" s="45" t="str">
        <f>vlookup(G80,zip_codes!$B$6:$J988,9,false)</f>
        <v>Airline, Aldine, Fairgreen, High Meadows</v>
      </c>
      <c r="AA80" s="44" t="str">
        <f>vlookup(B80,organizations!$B$1:$C988,2,false)</f>
        <v>BakerRipley</v>
      </c>
      <c r="AB80" s="55" t="s">
        <v>586</v>
      </c>
      <c r="AC80" s="47" t="s">
        <v>595</v>
      </c>
      <c r="AD80" s="48" t="s">
        <v>587</v>
      </c>
      <c r="AE80" s="48" t="str">
        <f t="shared" si="9"/>
        <v>BakerRipley East Aldine3000 Aldine Mail Route Road65</v>
      </c>
      <c r="AF80" s="48" t="str">
        <f t="shared" si="10"/>
        <v>XXX</v>
      </c>
    </row>
    <row r="81" ht="66.75" customHeight="1">
      <c r="A81" s="49" t="s">
        <v>50</v>
      </c>
      <c r="B81" s="35" t="s">
        <v>596</v>
      </c>
      <c r="C81" s="36" t="s">
        <v>597</v>
      </c>
      <c r="D81" s="36" t="s">
        <v>598</v>
      </c>
      <c r="E81" s="36" t="s">
        <v>36</v>
      </c>
      <c r="F81" s="36" t="s">
        <v>37</v>
      </c>
      <c r="G81" s="35" t="s">
        <v>599</v>
      </c>
      <c r="H81" s="35" t="s">
        <v>600</v>
      </c>
      <c r="I81" s="35" t="s">
        <v>601</v>
      </c>
      <c r="J81" s="35" t="s">
        <v>602</v>
      </c>
      <c r="K81" s="37">
        <f>IFERROR(__xludf.DUMMYFUNCTION("query(assistance!$A$2:$E988,""Select C Where D = '""&amp;L81&amp;""'"")"),55.0)</f>
        <v>55</v>
      </c>
      <c r="L81" s="36" t="s">
        <v>436</v>
      </c>
      <c r="M81" s="38">
        <f t="shared" si="11"/>
        <v>1</v>
      </c>
      <c r="N81" s="51" t="s">
        <v>42</v>
      </c>
      <c r="O81" s="40">
        <v>45879.0</v>
      </c>
      <c r="P81" s="35" t="s">
        <v>43</v>
      </c>
      <c r="Q81" s="35"/>
      <c r="R81" s="35" t="s">
        <v>603</v>
      </c>
      <c r="S81" s="35" t="b">
        <v>0</v>
      </c>
      <c r="T81" s="35" t="b">
        <v>0</v>
      </c>
      <c r="U81" s="41" t="str">
        <f>IFERROR(__xludf.DUMMYFUNCTION("""["" &amp; JOIN("", "", ARRAYFORMULA("""""""" &amp; TRIM(SPLIT(A81, "","")) &amp; """""""")) &amp; ""]"""),"[""99999""]")</f>
        <v>["99999"]</v>
      </c>
      <c r="V81" s="42" t="s">
        <v>604</v>
      </c>
      <c r="W81" s="59" t="s">
        <v>605</v>
      </c>
      <c r="X81" s="43"/>
      <c r="Y81" s="44" t="str">
        <f>vlookup(G81,zip_codes!$B$6:$J988,3,false)</f>
        <v>Houston</v>
      </c>
      <c r="Z81" s="45" t="str">
        <f>vlookup(G81,zip_codes!$B$6:$J988,9,false)</f>
        <v>Chinatown, Sharpstown, Westside</v>
      </c>
      <c r="AA81" s="44" t="str">
        <f>vlookup(B81,organizations!$B$1:$C988,2,false)</f>
        <v>BakerRipley</v>
      </c>
      <c r="AB81" s="55" t="s">
        <v>606</v>
      </c>
      <c r="AC81" s="47" t="s">
        <v>607</v>
      </c>
      <c r="AD81" s="48" t="s">
        <v>572</v>
      </c>
      <c r="AE81" s="48" t="str">
        <f t="shared" si="9"/>
        <v>BakerRipley Gulfton6200 Savoy Drive55</v>
      </c>
      <c r="AF81" s="48" t="str">
        <f t="shared" si="10"/>
        <v/>
      </c>
    </row>
    <row r="82" ht="66.75" customHeight="1">
      <c r="A82" s="49" t="s">
        <v>50</v>
      </c>
      <c r="B82" s="35" t="s">
        <v>608</v>
      </c>
      <c r="C82" s="36" t="s">
        <v>566</v>
      </c>
      <c r="D82" s="36"/>
      <c r="E82" s="36" t="s">
        <v>36</v>
      </c>
      <c r="F82" s="36" t="s">
        <v>37</v>
      </c>
      <c r="G82" s="35" t="s">
        <v>567</v>
      </c>
      <c r="H82" s="35" t="s">
        <v>609</v>
      </c>
      <c r="I82" s="35"/>
      <c r="J82" s="35" t="s">
        <v>582</v>
      </c>
      <c r="K82" s="37">
        <f>IFERROR(__xludf.DUMMYFUNCTION("query(assistance!$A$2:$E988,""Select C Where D = '""&amp;L82&amp;""'"")"),13.0)</f>
        <v>13</v>
      </c>
      <c r="L82" s="36" t="s">
        <v>240</v>
      </c>
      <c r="M82" s="38">
        <f t="shared" si="11"/>
        <v>1</v>
      </c>
      <c r="N82" s="51" t="s">
        <v>42</v>
      </c>
      <c r="O82" s="40">
        <v>45859.0</v>
      </c>
      <c r="P82" s="35" t="s">
        <v>43</v>
      </c>
      <c r="Q82" s="35"/>
      <c r="R82" s="35" t="s">
        <v>583</v>
      </c>
      <c r="S82" s="35" t="b">
        <v>0</v>
      </c>
      <c r="T82" s="35" t="b">
        <v>0</v>
      </c>
      <c r="U82" s="41" t="str">
        <f>IFERROR(__xludf.DUMMYFUNCTION("""["" &amp; JOIN("", "", ARRAYFORMULA("""""""" &amp; TRIM(SPLIT(A82, "","")) &amp; """""""")) &amp; ""]"""),"[""99999""]")</f>
        <v>["99999"]</v>
      </c>
      <c r="V82" s="42" t="s">
        <v>610</v>
      </c>
      <c r="W82" s="42" t="s">
        <v>611</v>
      </c>
      <c r="X82" s="43"/>
      <c r="Y82" s="44" t="str">
        <f>vlookup(G82,zip_codes!$B$6:$J988,3,false)</f>
        <v>Houston</v>
      </c>
      <c r="Z82" s="45" t="str">
        <f>vlookup(G82,zip_codes!$B$6:$J988,9,false)</f>
        <v>Braeburn, Robindell, Sharpstown</v>
      </c>
      <c r="AA82" s="44" t="str">
        <f>vlookup(B82,organizations!$B$1:$C988,2,false)</f>
        <v>BakerRipley</v>
      </c>
      <c r="AB82" s="55" t="s">
        <v>612</v>
      </c>
      <c r="AC82" s="53"/>
      <c r="AD82" s="48" t="s">
        <v>572</v>
      </c>
      <c r="AE82" s="48" t="str">
        <f t="shared" si="9"/>
        <v>BakerRipley Gulfton Sharpstown6500 Rookin Street13</v>
      </c>
      <c r="AF82" s="48" t="str">
        <f t="shared" si="10"/>
        <v/>
      </c>
    </row>
    <row r="83" ht="66.75" customHeight="1">
      <c r="A83" s="49" t="s">
        <v>50</v>
      </c>
      <c r="B83" s="35" t="s">
        <v>608</v>
      </c>
      <c r="C83" s="36" t="s">
        <v>566</v>
      </c>
      <c r="D83" s="36"/>
      <c r="E83" s="36" t="s">
        <v>36</v>
      </c>
      <c r="F83" s="36" t="s">
        <v>37</v>
      </c>
      <c r="G83" s="35" t="s">
        <v>567</v>
      </c>
      <c r="H83" s="35" t="s">
        <v>609</v>
      </c>
      <c r="I83" s="35" t="s">
        <v>613</v>
      </c>
      <c r="J83" s="35"/>
      <c r="K83" s="37">
        <f>IFERROR(__xludf.DUMMYFUNCTION("query(assistance!$A$2:$E988,""Select C Where D = '""&amp;L83&amp;""'"")"),52.0)</f>
        <v>52</v>
      </c>
      <c r="L83" s="36" t="s">
        <v>336</v>
      </c>
      <c r="M83" s="38">
        <f t="shared" si="11"/>
        <v>1</v>
      </c>
      <c r="N83" s="51" t="s">
        <v>42</v>
      </c>
      <c r="O83" s="40">
        <v>46033.0</v>
      </c>
      <c r="P83" s="35" t="s">
        <v>43</v>
      </c>
      <c r="Q83" s="35"/>
      <c r="R83" s="35" t="s">
        <v>614</v>
      </c>
      <c r="S83" s="35" t="b">
        <v>0</v>
      </c>
      <c r="T83" s="35" t="b">
        <v>0</v>
      </c>
      <c r="U83" s="41" t="str">
        <f>IFERROR(__xludf.DUMMYFUNCTION("""["" &amp; JOIN("", "", ARRAYFORMULA("""""""" &amp; TRIM(SPLIT(A83, "","")) &amp; """""""")) &amp; ""]"""),"[""99999""]")</f>
        <v>["99999"]</v>
      </c>
      <c r="V83" s="42" t="s">
        <v>610</v>
      </c>
      <c r="W83" s="42" t="s">
        <v>611</v>
      </c>
      <c r="X83" s="43"/>
      <c r="Y83" s="44" t="str">
        <f>vlookup(G83,zip_codes!$B$6:$J988,3,false)</f>
        <v>Houston</v>
      </c>
      <c r="Z83" s="45" t="str">
        <f>vlookup(G83,zip_codes!$B$6:$J988,9,false)</f>
        <v>Braeburn, Robindell, Sharpstown</v>
      </c>
      <c r="AA83" s="44" t="str">
        <f>vlookup(B83,organizations!$B$1:$C988,2,false)</f>
        <v>BakerRipley</v>
      </c>
      <c r="AB83" s="55" t="s">
        <v>612</v>
      </c>
      <c r="AC83" s="47" t="s">
        <v>615</v>
      </c>
      <c r="AD83" s="48" t="s">
        <v>572</v>
      </c>
      <c r="AE83" s="48" t="str">
        <f t="shared" si="9"/>
        <v>BakerRipley Gulfton Sharpstown6500 Rookin Street52</v>
      </c>
      <c r="AF83" s="48" t="str">
        <f t="shared" si="10"/>
        <v/>
      </c>
    </row>
    <row r="84" ht="66.75" customHeight="1">
      <c r="A84" s="49" t="s">
        <v>50</v>
      </c>
      <c r="B84" s="35" t="s">
        <v>608</v>
      </c>
      <c r="C84" s="36" t="s">
        <v>566</v>
      </c>
      <c r="D84" s="36"/>
      <c r="E84" s="36" t="s">
        <v>36</v>
      </c>
      <c r="F84" s="36" t="s">
        <v>37</v>
      </c>
      <c r="G84" s="35" t="s">
        <v>567</v>
      </c>
      <c r="H84" s="35" t="s">
        <v>600</v>
      </c>
      <c r="I84" s="35" t="s">
        <v>616</v>
      </c>
      <c r="J84" s="35"/>
      <c r="K84" s="37">
        <f>IFERROR(__xludf.DUMMYFUNCTION("query(assistance!$A$2:$E988,""Select C Where D = '""&amp;L84&amp;""'"")"),55.0)</f>
        <v>55</v>
      </c>
      <c r="L84" s="36" t="s">
        <v>436</v>
      </c>
      <c r="M84" s="38">
        <f t="shared" si="11"/>
        <v>1</v>
      </c>
      <c r="N84" s="51" t="s">
        <v>42</v>
      </c>
      <c r="O84" s="40">
        <v>45879.0</v>
      </c>
      <c r="P84" s="35" t="s">
        <v>43</v>
      </c>
      <c r="Q84" s="35"/>
      <c r="R84" s="35" t="s">
        <v>617</v>
      </c>
      <c r="S84" s="35" t="b">
        <v>0</v>
      </c>
      <c r="T84" s="35" t="b">
        <v>0</v>
      </c>
      <c r="U84" s="41" t="str">
        <f>IFERROR(__xludf.DUMMYFUNCTION("""["" &amp; JOIN("", "", ARRAYFORMULA("""""""" &amp; TRIM(SPLIT(A84, "","")) &amp; """""""")) &amp; ""]"""),"[""99999""]")</f>
        <v>["99999"]</v>
      </c>
      <c r="V84" s="42" t="s">
        <v>618</v>
      </c>
      <c r="W84" s="42" t="s">
        <v>619</v>
      </c>
      <c r="X84" s="43"/>
      <c r="Y84" s="44" t="str">
        <f>vlookup(G84,zip_codes!$B$6:$J988,3,false)</f>
        <v>Houston</v>
      </c>
      <c r="Z84" s="45" t="str">
        <f>vlookup(G84,zip_codes!$B$6:$J988,9,false)</f>
        <v>Braeburn, Robindell, Sharpstown</v>
      </c>
      <c r="AA84" s="44" t="str">
        <f>vlookup(B84,organizations!$B$1:$C988,2,false)</f>
        <v>BakerRipley</v>
      </c>
      <c r="AB84" s="55" t="s">
        <v>620</v>
      </c>
      <c r="AC84" s="47" t="s">
        <v>621</v>
      </c>
      <c r="AD84" s="48" t="s">
        <v>572</v>
      </c>
      <c r="AE84" s="48" t="str">
        <f t="shared" si="9"/>
        <v>BakerRipley Gulfton Sharpstown6500 Rookin Street55</v>
      </c>
      <c r="AF84" s="48" t="str">
        <f t="shared" si="10"/>
        <v/>
      </c>
    </row>
    <row r="85" ht="66.75" customHeight="1">
      <c r="A85" s="49" t="s">
        <v>50</v>
      </c>
      <c r="B85" s="35" t="s">
        <v>608</v>
      </c>
      <c r="C85" s="36" t="s">
        <v>566</v>
      </c>
      <c r="D85" s="36"/>
      <c r="E85" s="36" t="s">
        <v>36</v>
      </c>
      <c r="F85" s="36" t="s">
        <v>37</v>
      </c>
      <c r="G85" s="35" t="s">
        <v>567</v>
      </c>
      <c r="H85" s="35" t="s">
        <v>609</v>
      </c>
      <c r="I85" s="35" t="s">
        <v>622</v>
      </c>
      <c r="J85" s="35" t="s">
        <v>623</v>
      </c>
      <c r="K85" s="37">
        <f>IFERROR(__xludf.DUMMYFUNCTION("query(assistance!$A$2:$E988,""Select C Where D = '""&amp;L85&amp;""'"")"),65.0)</f>
        <v>65</v>
      </c>
      <c r="L85" s="36" t="s">
        <v>41</v>
      </c>
      <c r="M85" s="38">
        <f t="shared" si="11"/>
        <v>1</v>
      </c>
      <c r="N85" s="51" t="s">
        <v>42</v>
      </c>
      <c r="O85" s="40">
        <v>46033.0</v>
      </c>
      <c r="P85" s="35" t="s">
        <v>43</v>
      </c>
      <c r="Q85" s="35"/>
      <c r="R85" s="35" t="s">
        <v>590</v>
      </c>
      <c r="S85" s="35" t="b">
        <v>0</v>
      </c>
      <c r="T85" s="35" t="b">
        <v>0</v>
      </c>
      <c r="U85" s="41" t="str">
        <f>IFERROR(__xludf.DUMMYFUNCTION("""["" &amp; JOIN("", "", ARRAYFORMULA("""""""" &amp; TRIM(SPLIT(A85, "","")) &amp; """""""")) &amp; ""]"""),"[""99999""]")</f>
        <v>["99999"]</v>
      </c>
      <c r="V85" s="42" t="s">
        <v>591</v>
      </c>
      <c r="W85" s="42" t="s">
        <v>611</v>
      </c>
      <c r="X85" s="43"/>
      <c r="Y85" s="44" t="str">
        <f>vlookup(G85,zip_codes!$B$6:$J988,3,false)</f>
        <v>Houston</v>
      </c>
      <c r="Z85" s="45" t="str">
        <f>vlookup(G85,zip_codes!$B$6:$J988,9,false)</f>
        <v>Braeburn, Robindell, Sharpstown</v>
      </c>
      <c r="AA85" s="44" t="str">
        <f>vlookup(B85,organizations!$B$1:$C988,2,false)</f>
        <v>BakerRipley</v>
      </c>
      <c r="AB85" s="55" t="s">
        <v>612</v>
      </c>
      <c r="AC85" s="47" t="s">
        <v>624</v>
      </c>
      <c r="AD85" s="48" t="s">
        <v>572</v>
      </c>
      <c r="AE85" s="48" t="str">
        <f t="shared" si="9"/>
        <v>BakerRipley Gulfton Sharpstown6500 Rookin Street65</v>
      </c>
      <c r="AF85" s="48" t="str">
        <f t="shared" si="10"/>
        <v/>
      </c>
    </row>
    <row r="86" ht="66.75" customHeight="1">
      <c r="A86" s="49" t="s">
        <v>50</v>
      </c>
      <c r="B86" s="35" t="s">
        <v>625</v>
      </c>
      <c r="C86" s="36" t="s">
        <v>626</v>
      </c>
      <c r="D86" s="36"/>
      <c r="E86" s="36" t="s">
        <v>36</v>
      </c>
      <c r="F86" s="36" t="s">
        <v>37</v>
      </c>
      <c r="G86" s="35" t="s">
        <v>54</v>
      </c>
      <c r="H86" s="35" t="s">
        <v>627</v>
      </c>
      <c r="I86" s="35" t="s">
        <v>628</v>
      </c>
      <c r="J86" s="35"/>
      <c r="K86" s="37">
        <f>IFERROR(__xludf.DUMMYFUNCTION("query(assistance!$A$2:$E988,""Select C Where D = '""&amp;L86&amp;""'"")"),44.0)</f>
        <v>44</v>
      </c>
      <c r="L86" s="36" t="s">
        <v>102</v>
      </c>
      <c r="M86" s="38">
        <f t="shared" si="11"/>
        <v>1</v>
      </c>
      <c r="N86" s="51" t="s">
        <v>42</v>
      </c>
      <c r="O86" s="40">
        <v>45859.0</v>
      </c>
      <c r="P86" s="35" t="s">
        <v>43</v>
      </c>
      <c r="Q86" s="35"/>
      <c r="R86" s="35" t="s">
        <v>629</v>
      </c>
      <c r="S86" s="35" t="b">
        <v>1</v>
      </c>
      <c r="T86" s="35" t="b">
        <v>0</v>
      </c>
      <c r="U86" s="41" t="str">
        <f>IFERROR(__xludf.DUMMYFUNCTION("""["" &amp; JOIN("", "", ARRAYFORMULA("""""""" &amp; TRIM(SPLIT(A86, "","")) &amp; """""""")) &amp; ""]"""),"[""99999""]")</f>
        <v>["99999"]</v>
      </c>
      <c r="V86" s="42" t="s">
        <v>630</v>
      </c>
      <c r="W86" s="42" t="s">
        <v>631</v>
      </c>
      <c r="X86" s="43"/>
      <c r="Y86" s="44" t="str">
        <f>vlookup(G86,zip_codes!$B$6:$J988,3,false)</f>
        <v>Houston</v>
      </c>
      <c r="Z86" s="45" t="str">
        <f>vlookup(G86,zip_codes!$B$6:$J988,9,false)</f>
        <v>Brays Oaks, Meyerland, Westbury, Willow Meadows</v>
      </c>
      <c r="AA86" s="44" t="str">
        <f>vlookup(B86,organizations!$B$1:$C988,2,false)</f>
        <v>BakerRipley</v>
      </c>
      <c r="AB86" s="55" t="s">
        <v>632</v>
      </c>
      <c r="AC86" s="47" t="s">
        <v>633</v>
      </c>
      <c r="AD86" s="48" t="s">
        <v>634</v>
      </c>
      <c r="AE86" s="48" t="str">
        <f t="shared" si="9"/>
        <v>BakerRipley Head Start Albury Drive11125 Albury Drive44</v>
      </c>
      <c r="AF86" s="48" t="str">
        <f t="shared" si="10"/>
        <v/>
      </c>
    </row>
    <row r="87" ht="66.75" customHeight="1">
      <c r="A87" s="49" t="s">
        <v>50</v>
      </c>
      <c r="B87" s="35" t="s">
        <v>635</v>
      </c>
      <c r="C87" s="36" t="s">
        <v>636</v>
      </c>
      <c r="D87" s="36"/>
      <c r="E87" s="36" t="s">
        <v>166</v>
      </c>
      <c r="F87" s="36" t="s">
        <v>37</v>
      </c>
      <c r="G87" s="35" t="s">
        <v>167</v>
      </c>
      <c r="H87" s="35" t="s">
        <v>637</v>
      </c>
      <c r="I87" s="35" t="s">
        <v>628</v>
      </c>
      <c r="J87" s="35"/>
      <c r="K87" s="37">
        <f>IFERROR(__xludf.DUMMYFUNCTION("query(assistance!$A$2:$E988,""Select C Where D = '""&amp;L87&amp;""'"")"),44.0)</f>
        <v>44</v>
      </c>
      <c r="L87" s="36" t="s">
        <v>102</v>
      </c>
      <c r="M87" s="38">
        <f t="shared" si="11"/>
        <v>1</v>
      </c>
      <c r="N87" s="51" t="s">
        <v>42</v>
      </c>
      <c r="O87" s="40">
        <v>45859.0</v>
      </c>
      <c r="P87" s="35" t="s">
        <v>43</v>
      </c>
      <c r="Q87" s="35"/>
      <c r="R87" s="35" t="s">
        <v>629</v>
      </c>
      <c r="S87" s="35" t="b">
        <v>1</v>
      </c>
      <c r="T87" s="35" t="b">
        <v>0</v>
      </c>
      <c r="U87" s="41" t="str">
        <f>IFERROR(__xludf.DUMMYFUNCTION("""["" &amp; JOIN("", "", ARRAYFORMULA("""""""" &amp; TRIM(SPLIT(A87, "","")) &amp; """""""")) &amp; ""]"""),"[""99999""]")</f>
        <v>["99999"]</v>
      </c>
      <c r="V87" s="42" t="s">
        <v>630</v>
      </c>
      <c r="W87" s="42" t="s">
        <v>638</v>
      </c>
      <c r="X87" s="43"/>
      <c r="Y87" s="44" t="str">
        <f>vlookup(G87,zip_codes!$B$6:$J988,3,false)</f>
        <v>Richmond</v>
      </c>
      <c r="Z87" s="45" t="str">
        <f>vlookup(G87,zip_codes!$B$6:$J988,9,false)</f>
        <v>Greatwood, Richmond</v>
      </c>
      <c r="AA87" s="44" t="str">
        <f>vlookup(B87,organizations!$B$1:$C988,2,false)</f>
        <v>BakerRipley</v>
      </c>
      <c r="AB87" s="55" t="s">
        <v>639</v>
      </c>
      <c r="AC87" s="47" t="s">
        <v>633</v>
      </c>
      <c r="AD87" s="48" t="s">
        <v>166</v>
      </c>
      <c r="AE87" s="48" t="str">
        <f t="shared" si="9"/>
        <v>BakerRipley Head Start Christine Smith1000 Pultar Road44</v>
      </c>
      <c r="AF87" s="48" t="str">
        <f t="shared" si="10"/>
        <v/>
      </c>
    </row>
    <row r="88" ht="66.75" customHeight="1">
      <c r="A88" s="49" t="s">
        <v>50</v>
      </c>
      <c r="B88" s="35" t="s">
        <v>640</v>
      </c>
      <c r="C88" s="36" t="s">
        <v>641</v>
      </c>
      <c r="D88" s="36"/>
      <c r="E88" s="36" t="s">
        <v>36</v>
      </c>
      <c r="F88" s="36" t="s">
        <v>37</v>
      </c>
      <c r="G88" s="35" t="s">
        <v>642</v>
      </c>
      <c r="H88" s="35" t="s">
        <v>643</v>
      </c>
      <c r="I88" s="35" t="s">
        <v>628</v>
      </c>
      <c r="J88" s="35"/>
      <c r="K88" s="37">
        <f>IFERROR(__xludf.DUMMYFUNCTION("query(assistance!$A$2:$E988,""Select C Where D = '""&amp;L88&amp;""'"")"),44.0)</f>
        <v>44</v>
      </c>
      <c r="L88" s="36" t="s">
        <v>102</v>
      </c>
      <c r="M88" s="38">
        <f t="shared" si="11"/>
        <v>1</v>
      </c>
      <c r="N88" s="51" t="s">
        <v>42</v>
      </c>
      <c r="O88" s="40">
        <v>45859.0</v>
      </c>
      <c r="P88" s="35" t="s">
        <v>43</v>
      </c>
      <c r="Q88" s="35"/>
      <c r="R88" s="35" t="s">
        <v>629</v>
      </c>
      <c r="S88" s="35" t="b">
        <v>1</v>
      </c>
      <c r="T88" s="35" t="b">
        <v>0</v>
      </c>
      <c r="U88" s="41" t="str">
        <f>IFERROR(__xludf.DUMMYFUNCTION("""["" &amp; JOIN("", "", ARRAYFORMULA("""""""" &amp; TRIM(SPLIT(A88, "","")) &amp; """""""")) &amp; ""]"""),"[""99999""]")</f>
        <v>["99999"]</v>
      </c>
      <c r="V88" s="42" t="s">
        <v>630</v>
      </c>
      <c r="W88" s="42" t="s">
        <v>644</v>
      </c>
      <c r="X88" s="43"/>
      <c r="Y88" s="44" t="str">
        <f>vlookup(G88,zip_codes!$B$6:$J988,3,false)</f>
        <v>Houston</v>
      </c>
      <c r="Z88" s="45" t="str">
        <f>vlookup(G88,zip_codes!$B$6:$J988,9,false)</f>
        <v>Alief, Eldridge/West Oaks, Westside</v>
      </c>
      <c r="AA88" s="44" t="str">
        <f>vlookup(B88,organizations!$B$1:$C988,2,false)</f>
        <v>BakerRipley</v>
      </c>
      <c r="AB88" s="55" t="s">
        <v>645</v>
      </c>
      <c r="AC88" s="47" t="s">
        <v>633</v>
      </c>
      <c r="AD88" s="48" t="s">
        <v>345</v>
      </c>
      <c r="AE88" s="48" t="str">
        <f t="shared" si="9"/>
        <v>BakerRipley Head Start Cook Road6959 Cook Road44</v>
      </c>
      <c r="AF88" s="48" t="str">
        <f t="shared" si="10"/>
        <v/>
      </c>
    </row>
    <row r="89" ht="66.75" customHeight="1">
      <c r="A89" s="49" t="s">
        <v>50</v>
      </c>
      <c r="B89" s="35" t="s">
        <v>646</v>
      </c>
      <c r="C89" s="36" t="s">
        <v>647</v>
      </c>
      <c r="D89" s="36"/>
      <c r="E89" s="36" t="s">
        <v>200</v>
      </c>
      <c r="F89" s="36" t="s">
        <v>37</v>
      </c>
      <c r="G89" s="35" t="s">
        <v>201</v>
      </c>
      <c r="H89" s="35" t="s">
        <v>648</v>
      </c>
      <c r="I89" s="35" t="s">
        <v>628</v>
      </c>
      <c r="J89" s="35"/>
      <c r="K89" s="37">
        <f>IFERROR(__xludf.DUMMYFUNCTION("query(assistance!$A$2:$E988,""Select C Where D = '""&amp;L89&amp;""'"")"),44.0)</f>
        <v>44</v>
      </c>
      <c r="L89" s="36" t="s">
        <v>102</v>
      </c>
      <c r="M89" s="38">
        <f t="shared" si="11"/>
        <v>1</v>
      </c>
      <c r="N89" s="51" t="s">
        <v>42</v>
      </c>
      <c r="O89" s="40">
        <v>45859.0</v>
      </c>
      <c r="P89" s="35" t="s">
        <v>43</v>
      </c>
      <c r="Q89" s="35"/>
      <c r="R89" s="35" t="s">
        <v>629</v>
      </c>
      <c r="S89" s="35" t="b">
        <v>1</v>
      </c>
      <c r="T89" s="35" t="b">
        <v>0</v>
      </c>
      <c r="U89" s="41" t="str">
        <f>IFERROR(__xludf.DUMMYFUNCTION("""["" &amp; JOIN("", "", ARRAYFORMULA("""""""" &amp; TRIM(SPLIT(A89, "","")) &amp; """""""")) &amp; ""]"""),"[""99999""]")</f>
        <v>["99999"]</v>
      </c>
      <c r="V89" s="42" t="s">
        <v>630</v>
      </c>
      <c r="W89" s="42" t="s">
        <v>649</v>
      </c>
      <c r="X89" s="43"/>
      <c r="Y89" s="44" t="str">
        <f>vlookup(G89,zip_codes!$B$6:$J988,3,false)</f>
        <v>Stafford</v>
      </c>
      <c r="Z89" s="45" t="str">
        <f>vlookup(G89,zip_codes!$B$6:$J988,9,false)</f>
        <v>Clark Plaza One, Corporate Bus Park, Greenbriar Southwest, Stafford, The Fountains</v>
      </c>
      <c r="AA89" s="44" t="str">
        <f>vlookup(B89,organizations!$B$1:$C988,2,false)</f>
        <v>BakerRipley</v>
      </c>
      <c r="AB89" s="55" t="s">
        <v>650</v>
      </c>
      <c r="AC89" s="47" t="s">
        <v>633</v>
      </c>
      <c r="AD89" s="48" t="s">
        <v>200</v>
      </c>
      <c r="AE89" s="48" t="str">
        <f t="shared" si="9"/>
        <v>BakerRipley Head Start Fifth Street3110 5th Street A44</v>
      </c>
      <c r="AF89" s="48" t="str">
        <f t="shared" si="10"/>
        <v/>
      </c>
    </row>
    <row r="90" ht="66.75" customHeight="1">
      <c r="A90" s="49" t="s">
        <v>50</v>
      </c>
      <c r="B90" s="35" t="s">
        <v>651</v>
      </c>
      <c r="C90" s="36" t="s">
        <v>652</v>
      </c>
      <c r="D90" s="36"/>
      <c r="E90" s="36" t="s">
        <v>166</v>
      </c>
      <c r="F90" s="36" t="s">
        <v>37</v>
      </c>
      <c r="G90" s="35" t="s">
        <v>167</v>
      </c>
      <c r="H90" s="35" t="s">
        <v>653</v>
      </c>
      <c r="I90" s="35" t="s">
        <v>628</v>
      </c>
      <c r="J90" s="35"/>
      <c r="K90" s="37">
        <f>IFERROR(__xludf.DUMMYFUNCTION("query(assistance!$A$2:$E988,""Select C Where D = '""&amp;L90&amp;""'"")"),44.0)</f>
        <v>44</v>
      </c>
      <c r="L90" s="36" t="s">
        <v>102</v>
      </c>
      <c r="M90" s="38">
        <f t="shared" si="11"/>
        <v>1</v>
      </c>
      <c r="N90" s="51" t="s">
        <v>42</v>
      </c>
      <c r="O90" s="40">
        <v>45859.0</v>
      </c>
      <c r="P90" s="35" t="s">
        <v>43</v>
      </c>
      <c r="Q90" s="35"/>
      <c r="R90" s="35" t="s">
        <v>629</v>
      </c>
      <c r="S90" s="35" t="b">
        <v>1</v>
      </c>
      <c r="T90" s="35" t="b">
        <v>0</v>
      </c>
      <c r="U90" s="41" t="str">
        <f>IFERROR(__xludf.DUMMYFUNCTION("""["" &amp; JOIN("", "", ARRAYFORMULA("""""""" &amp; TRIM(SPLIT(A90, "","")) &amp; """""""")) &amp; ""]"""),"[""99999""]")</f>
        <v>["99999"]</v>
      </c>
      <c r="V90" s="42" t="s">
        <v>630</v>
      </c>
      <c r="W90" s="59" t="s">
        <v>654</v>
      </c>
      <c r="X90" s="43"/>
      <c r="Y90" s="44" t="str">
        <f>vlookup(G90,zip_codes!$B$6:$J988,3,false)</f>
        <v>Richmond</v>
      </c>
      <c r="Z90" s="45" t="str">
        <f>vlookup(G90,zip_codes!$B$6:$J988,9,false)</f>
        <v>Greatwood, Richmond</v>
      </c>
      <c r="AA90" s="44" t="str">
        <f>vlookup(B90,organizations!$B$1:$C988,2,false)</f>
        <v>BakerRipley</v>
      </c>
      <c r="AB90" s="55" t="s">
        <v>655</v>
      </c>
      <c r="AC90" s="47" t="s">
        <v>633</v>
      </c>
      <c r="AD90" s="48" t="s">
        <v>166</v>
      </c>
      <c r="AE90" s="48" t="str">
        <f t="shared" si="9"/>
        <v>BakerRipley Head Start George Family500 Austin Street44</v>
      </c>
      <c r="AF90" s="48" t="str">
        <f t="shared" si="10"/>
        <v/>
      </c>
    </row>
    <row r="91" ht="66.75" customHeight="1">
      <c r="A91" s="49" t="s">
        <v>50</v>
      </c>
      <c r="B91" s="35" t="s">
        <v>656</v>
      </c>
      <c r="C91" s="36" t="s">
        <v>657</v>
      </c>
      <c r="D91" s="36"/>
      <c r="E91" s="36" t="s">
        <v>36</v>
      </c>
      <c r="F91" s="36" t="s">
        <v>37</v>
      </c>
      <c r="G91" s="35" t="s">
        <v>658</v>
      </c>
      <c r="H91" s="35" t="s">
        <v>659</v>
      </c>
      <c r="I91" s="35" t="s">
        <v>628</v>
      </c>
      <c r="J91" s="35"/>
      <c r="K91" s="37">
        <f>IFERROR(__xludf.DUMMYFUNCTION("query(assistance!$A$2:$E988,""Select C Where D = '""&amp;L91&amp;""'"")"),44.0)</f>
        <v>44</v>
      </c>
      <c r="L91" s="36" t="s">
        <v>102</v>
      </c>
      <c r="M91" s="38">
        <f t="shared" si="11"/>
        <v>1</v>
      </c>
      <c r="N91" s="51" t="s">
        <v>42</v>
      </c>
      <c r="O91" s="40">
        <v>45859.0</v>
      </c>
      <c r="P91" s="35" t="s">
        <v>43</v>
      </c>
      <c r="Q91" s="35"/>
      <c r="R91" s="35" t="s">
        <v>629</v>
      </c>
      <c r="S91" s="35" t="b">
        <v>1</v>
      </c>
      <c r="T91" s="35" t="b">
        <v>0</v>
      </c>
      <c r="U91" s="41" t="str">
        <f>IFERROR(__xludf.DUMMYFUNCTION("""["" &amp; JOIN("", "", ARRAYFORMULA("""""""" &amp; TRIM(SPLIT(A91, "","")) &amp; """""""")) &amp; ""]"""),"[""99999""]")</f>
        <v>["99999"]</v>
      </c>
      <c r="V91" s="42" t="s">
        <v>630</v>
      </c>
      <c r="W91" s="42" t="s">
        <v>660</v>
      </c>
      <c r="X91" s="43"/>
      <c r="Y91" s="44" t="str">
        <f>vlookup(G91,zip_codes!$B$6:$J988,3,false)</f>
        <v>Houston</v>
      </c>
      <c r="Z91" s="45" t="str">
        <f>vlookup(G91,zip_codes!$B$6:$J988,9,false)</f>
        <v>Brentwood, Central Southwest, Hiram Clarke</v>
      </c>
      <c r="AA91" s="44" t="str">
        <f>vlookup(B91,organizations!$B$1:$C988,2,false)</f>
        <v>BakerRipley</v>
      </c>
      <c r="AB91" s="55" t="s">
        <v>661</v>
      </c>
      <c r="AC91" s="47" t="s">
        <v>633</v>
      </c>
      <c r="AD91" s="48" t="s">
        <v>662</v>
      </c>
      <c r="AE91" s="48" t="str">
        <f t="shared" si="9"/>
        <v>BakerRipley Head Start Hiram Clarke3810 W Fuqua Street44</v>
      </c>
      <c r="AF91" s="48" t="str">
        <f t="shared" si="10"/>
        <v/>
      </c>
    </row>
    <row r="92" ht="66.75" customHeight="1">
      <c r="A92" s="49" t="s">
        <v>50</v>
      </c>
      <c r="B92" s="35" t="s">
        <v>663</v>
      </c>
      <c r="C92" s="36" t="s">
        <v>664</v>
      </c>
      <c r="D92" s="36"/>
      <c r="E92" s="36" t="s">
        <v>129</v>
      </c>
      <c r="F92" s="36" t="s">
        <v>37</v>
      </c>
      <c r="G92" s="35" t="s">
        <v>158</v>
      </c>
      <c r="H92" s="35" t="s">
        <v>665</v>
      </c>
      <c r="I92" s="35" t="s">
        <v>628</v>
      </c>
      <c r="J92" s="35"/>
      <c r="K92" s="37">
        <f>IFERROR(__xludf.DUMMYFUNCTION("query(assistance!$A$2:$E988,""Select C Where D = '""&amp;L92&amp;""'"")"),44.0)</f>
        <v>44</v>
      </c>
      <c r="L92" s="36" t="s">
        <v>102</v>
      </c>
      <c r="M92" s="38">
        <f t="shared" si="11"/>
        <v>1</v>
      </c>
      <c r="N92" s="51" t="s">
        <v>42</v>
      </c>
      <c r="O92" s="40">
        <v>45859.0</v>
      </c>
      <c r="P92" s="35" t="s">
        <v>43</v>
      </c>
      <c r="Q92" s="35"/>
      <c r="R92" s="35" t="s">
        <v>629</v>
      </c>
      <c r="S92" s="35" t="b">
        <v>1</v>
      </c>
      <c r="T92" s="35" t="b">
        <v>0</v>
      </c>
      <c r="U92" s="41" t="str">
        <f>IFERROR(__xludf.DUMMYFUNCTION("""["" &amp; JOIN("", "", ARRAYFORMULA("""""""" &amp; TRIM(SPLIT(A92, "","")) &amp; """""""")) &amp; ""]"""),"[""99999""]")</f>
        <v>["99999"]</v>
      </c>
      <c r="V92" s="42" t="s">
        <v>630</v>
      </c>
      <c r="W92" s="42" t="s">
        <v>666</v>
      </c>
      <c r="X92" s="43"/>
      <c r="Y92" s="44" t="str">
        <f>vlookup(G92,zip_codes!$B$6:$J988,3,false)</f>
        <v>Missouri City</v>
      </c>
      <c r="Z92" s="45" t="str">
        <f>vlookup(G92,zip_codes!$B$6:$J988,9,false)</f>
        <v>Missouri City, Olde Missouri City Market Place, Quail Green South, Quail Valley, Sta-mo Annex</v>
      </c>
      <c r="AA92" s="44" t="str">
        <f>vlookup(B92,organizations!$B$1:$C988,2,false)</f>
        <v>BakerRipley</v>
      </c>
      <c r="AB92" s="55" t="s">
        <v>667</v>
      </c>
      <c r="AC92" s="47" t="s">
        <v>633</v>
      </c>
      <c r="AD92" s="48" t="s">
        <v>129</v>
      </c>
      <c r="AE92" s="48" t="str">
        <f t="shared" si="9"/>
        <v>BakerRipley Head Start Kenforest1535 Kenforest Drive44</v>
      </c>
      <c r="AF92" s="48" t="str">
        <f t="shared" si="10"/>
        <v/>
      </c>
    </row>
    <row r="93" ht="66.75" customHeight="1">
      <c r="A93" s="49" t="s">
        <v>50</v>
      </c>
      <c r="B93" s="35" t="s">
        <v>668</v>
      </c>
      <c r="C93" s="36" t="s">
        <v>669</v>
      </c>
      <c r="D93" s="36"/>
      <c r="E93" s="36" t="s">
        <v>36</v>
      </c>
      <c r="F93" s="36" t="s">
        <v>37</v>
      </c>
      <c r="G93" s="35" t="s">
        <v>670</v>
      </c>
      <c r="H93" s="35" t="s">
        <v>671</v>
      </c>
      <c r="I93" s="35" t="s">
        <v>628</v>
      </c>
      <c r="J93" s="35"/>
      <c r="K93" s="37">
        <f>IFERROR(__xludf.DUMMYFUNCTION("query(assistance!$A$2:$E988,""Select C Where D = '""&amp;L93&amp;""'"")"),44.0)</f>
        <v>44</v>
      </c>
      <c r="L93" s="36" t="s">
        <v>102</v>
      </c>
      <c r="M93" s="38">
        <f t="shared" si="11"/>
        <v>1</v>
      </c>
      <c r="N93" s="51" t="s">
        <v>42</v>
      </c>
      <c r="O93" s="40">
        <v>45859.0</v>
      </c>
      <c r="P93" s="35" t="s">
        <v>43</v>
      </c>
      <c r="Q93" s="35"/>
      <c r="R93" s="35" t="s">
        <v>629</v>
      </c>
      <c r="S93" s="35" t="b">
        <v>1</v>
      </c>
      <c r="T93" s="35" t="b">
        <v>0</v>
      </c>
      <c r="U93" s="41" t="str">
        <f>IFERROR(__xludf.DUMMYFUNCTION("""["" &amp; JOIN("", "", ARRAYFORMULA("""""""" &amp; TRIM(SPLIT(A93, "","")) &amp; """""""")) &amp; ""]"""),"[""99999""]")</f>
        <v>["99999"]</v>
      </c>
      <c r="V93" s="42" t="s">
        <v>630</v>
      </c>
      <c r="W93" s="42" t="s">
        <v>672</v>
      </c>
      <c r="X93" s="43"/>
      <c r="Y93" s="44" t="str">
        <f>vlookup(G93,zip_codes!$B$6:$J988,3,false)</f>
        <v>Houston</v>
      </c>
      <c r="Z93" s="45" t="str">
        <f>vlookup(G93,zip_codes!$B$6:$J988,9,false)</f>
        <v>Central Southwest, Fondren Gardens, Hiram Clarke, Willowbend</v>
      </c>
      <c r="AA93" s="44" t="str">
        <f>vlookup(B93,organizations!$B$1:$C988,2,false)</f>
        <v>BakerRipley</v>
      </c>
      <c r="AB93" s="55" t="s">
        <v>673</v>
      </c>
      <c r="AC93" s="47" t="s">
        <v>633</v>
      </c>
      <c r="AD93" s="48" t="s">
        <v>662</v>
      </c>
      <c r="AE93" s="48" t="str">
        <f t="shared" si="9"/>
        <v>BakerRipley Head Start Kingdom Builder6011 W Orem44</v>
      </c>
      <c r="AF93" s="48" t="str">
        <f t="shared" si="10"/>
        <v/>
      </c>
    </row>
    <row r="94" ht="66.75" customHeight="1">
      <c r="A94" s="49" t="s">
        <v>50</v>
      </c>
      <c r="B94" s="35" t="s">
        <v>674</v>
      </c>
      <c r="C94" s="36" t="s">
        <v>675</v>
      </c>
      <c r="D94" s="36"/>
      <c r="E94" s="36" t="s">
        <v>36</v>
      </c>
      <c r="F94" s="36" t="s">
        <v>37</v>
      </c>
      <c r="G94" s="35" t="s">
        <v>676</v>
      </c>
      <c r="H94" s="35" t="s">
        <v>677</v>
      </c>
      <c r="I94" s="35" t="s">
        <v>628</v>
      </c>
      <c r="J94" s="35"/>
      <c r="K94" s="37">
        <f>IFERROR(__xludf.DUMMYFUNCTION("query(assistance!$A$2:$E988,""Select C Where D = '""&amp;L94&amp;""'"")"),44.0)</f>
        <v>44</v>
      </c>
      <c r="L94" s="36" t="s">
        <v>102</v>
      </c>
      <c r="M94" s="38">
        <f t="shared" si="11"/>
        <v>1</v>
      </c>
      <c r="N94" s="51" t="s">
        <v>42</v>
      </c>
      <c r="O94" s="40">
        <v>45859.0</v>
      </c>
      <c r="P94" s="35" t="s">
        <v>43</v>
      </c>
      <c r="Q94" s="35"/>
      <c r="R94" s="35" t="s">
        <v>629</v>
      </c>
      <c r="S94" s="35" t="b">
        <v>1</v>
      </c>
      <c r="T94" s="35" t="b">
        <v>0</v>
      </c>
      <c r="U94" s="41" t="str">
        <f>IFERROR(__xludf.DUMMYFUNCTION("""["" &amp; JOIN("", "", ARRAYFORMULA("""""""" &amp; TRIM(SPLIT(A94, "","")) &amp; """""""")) &amp; ""]"""),"[""99999""]")</f>
        <v>["99999"]</v>
      </c>
      <c r="V94" s="42" t="s">
        <v>630</v>
      </c>
      <c r="W94" s="42" t="s">
        <v>678</v>
      </c>
      <c r="X94" s="43"/>
      <c r="Y94" s="44" t="str">
        <f>vlookup(G94,zip_codes!$B$6:$J988,3,false)</f>
        <v>Houston</v>
      </c>
      <c r="Z94" s="45" t="str">
        <f>vlookup(G94,zip_codes!$B$6:$J988,9,false)</f>
        <v>Gulfton</v>
      </c>
      <c r="AA94" s="44" t="str">
        <f>vlookup(B94,organizations!$B$1:$C988,2,false)</f>
        <v>BakerRipley</v>
      </c>
      <c r="AB94" s="55" t="s">
        <v>679</v>
      </c>
      <c r="AC94" s="47" t="s">
        <v>633</v>
      </c>
      <c r="AD94" s="48" t="s">
        <v>680</v>
      </c>
      <c r="AE94" s="48" t="str">
        <f t="shared" si="9"/>
        <v>BakerRipley Head Start Klein6447 Prestwood Drive44</v>
      </c>
      <c r="AF94" s="48" t="str">
        <f t="shared" si="10"/>
        <v/>
      </c>
    </row>
    <row r="95" ht="66.75" customHeight="1">
      <c r="A95" s="49" t="s">
        <v>50</v>
      </c>
      <c r="B95" s="35" t="s">
        <v>681</v>
      </c>
      <c r="C95" s="36" t="s">
        <v>682</v>
      </c>
      <c r="D95" s="36"/>
      <c r="E95" s="36" t="s">
        <v>129</v>
      </c>
      <c r="F95" s="36" t="s">
        <v>37</v>
      </c>
      <c r="G95" s="35" t="s">
        <v>130</v>
      </c>
      <c r="H95" s="35" t="s">
        <v>683</v>
      </c>
      <c r="I95" s="35" t="s">
        <v>628</v>
      </c>
      <c r="J95" s="35"/>
      <c r="K95" s="37">
        <f>IFERROR(__xludf.DUMMYFUNCTION("query(assistance!$A$2:$E988,""Select C Where D = '""&amp;L95&amp;""'"")"),44.0)</f>
        <v>44</v>
      </c>
      <c r="L95" s="36" t="s">
        <v>102</v>
      </c>
      <c r="M95" s="38">
        <f t="shared" si="11"/>
        <v>1</v>
      </c>
      <c r="N95" s="51" t="s">
        <v>42</v>
      </c>
      <c r="O95" s="40">
        <v>45859.0</v>
      </c>
      <c r="P95" s="35" t="s">
        <v>43</v>
      </c>
      <c r="Q95" s="35"/>
      <c r="R95" s="35" t="s">
        <v>629</v>
      </c>
      <c r="S95" s="35" t="b">
        <v>1</v>
      </c>
      <c r="T95" s="35" t="b">
        <v>0</v>
      </c>
      <c r="U95" s="41" t="str">
        <f>IFERROR(__xludf.DUMMYFUNCTION("""["" &amp; JOIN("", "", ARRAYFORMULA("""""""" &amp; TRIM(SPLIT(A95, "","")) &amp; """""""")) &amp; ""]"""),"[""99999""]")</f>
        <v>["99999"]</v>
      </c>
      <c r="V95" s="42" t="s">
        <v>630</v>
      </c>
      <c r="W95" s="42" t="s">
        <v>684</v>
      </c>
      <c r="X95" s="43"/>
      <c r="Y95" s="44" t="str">
        <f>vlookup(G95,zip_codes!$B$6:$J988,3,false)</f>
        <v>Missouri City</v>
      </c>
      <c r="Z95" s="45" t="str">
        <f>vlookup(G95,zip_codes!$B$6:$J988,9,false)</f>
        <v>Missouri City, Plantation Park, Sienna</v>
      </c>
      <c r="AA95" s="44" t="str">
        <f>vlookup(B95,organizations!$B$1:$C988,2,false)</f>
        <v>BakerRipley</v>
      </c>
      <c r="AB95" s="55" t="s">
        <v>685</v>
      </c>
      <c r="AC95" s="47" t="s">
        <v>633</v>
      </c>
      <c r="AD95" s="48" t="s">
        <v>129</v>
      </c>
      <c r="AE95" s="48" t="str">
        <f t="shared" si="9"/>
        <v>BakerRipley Head Start Missouri City1424 FM 109244</v>
      </c>
      <c r="AF95" s="48" t="str">
        <f t="shared" si="10"/>
        <v/>
      </c>
    </row>
    <row r="96" ht="66.75" customHeight="1">
      <c r="A96" s="49" t="s">
        <v>50</v>
      </c>
      <c r="B96" s="35" t="s">
        <v>686</v>
      </c>
      <c r="C96" s="36" t="s">
        <v>687</v>
      </c>
      <c r="D96" s="36"/>
      <c r="E96" s="36" t="s">
        <v>36</v>
      </c>
      <c r="F96" s="36" t="s">
        <v>37</v>
      </c>
      <c r="G96" s="35" t="s">
        <v>599</v>
      </c>
      <c r="H96" s="35" t="s">
        <v>688</v>
      </c>
      <c r="I96" s="35" t="s">
        <v>628</v>
      </c>
      <c r="J96" s="35"/>
      <c r="K96" s="37">
        <f>IFERROR(__xludf.DUMMYFUNCTION("query(assistance!$A$2:$E988,""Select C Where D = '""&amp;L96&amp;""'"")"),44.0)</f>
        <v>44</v>
      </c>
      <c r="L96" s="36" t="s">
        <v>102</v>
      </c>
      <c r="M96" s="38">
        <f t="shared" si="11"/>
        <v>1</v>
      </c>
      <c r="N96" s="51" t="s">
        <v>42</v>
      </c>
      <c r="O96" s="40">
        <v>45859.0</v>
      </c>
      <c r="P96" s="35" t="s">
        <v>43</v>
      </c>
      <c r="Q96" s="35"/>
      <c r="R96" s="35" t="s">
        <v>629</v>
      </c>
      <c r="S96" s="35" t="b">
        <v>1</v>
      </c>
      <c r="T96" s="35" t="b">
        <v>0</v>
      </c>
      <c r="U96" s="41" t="str">
        <f>IFERROR(__xludf.DUMMYFUNCTION("""["" &amp; JOIN("", "", ARRAYFORMULA("""""""" &amp; TRIM(SPLIT(A96, "","")) &amp; """""""")) &amp; ""]"""),"[""99999""]")</f>
        <v>["99999"]</v>
      </c>
      <c r="V96" s="42" t="s">
        <v>630</v>
      </c>
      <c r="W96" s="42" t="s">
        <v>689</v>
      </c>
      <c r="X96" s="43"/>
      <c r="Y96" s="44" t="str">
        <f>vlookup(G96,zip_codes!$B$6:$J988,3,false)</f>
        <v>Houston</v>
      </c>
      <c r="Z96" s="45" t="str">
        <f>vlookup(G96,zip_codes!$B$6:$J988,9,false)</f>
        <v>Chinatown, Sharpstown, Westside</v>
      </c>
      <c r="AA96" s="44" t="str">
        <f>vlookup(B96,organizations!$B$1:$C988,2,false)</f>
        <v>BakerRipley</v>
      </c>
      <c r="AB96" s="55" t="s">
        <v>690</v>
      </c>
      <c r="AC96" s="47" t="s">
        <v>633</v>
      </c>
      <c r="AD96" s="48" t="s">
        <v>572</v>
      </c>
      <c r="AE96" s="48" t="str">
        <f t="shared" si="9"/>
        <v>BakerRipley Head Start Neff8200 Carvel Lane44</v>
      </c>
      <c r="AF96" s="48" t="str">
        <f t="shared" si="10"/>
        <v/>
      </c>
    </row>
    <row r="97" ht="66.75" customHeight="1">
      <c r="A97" s="49" t="s">
        <v>50</v>
      </c>
      <c r="B97" s="35" t="s">
        <v>691</v>
      </c>
      <c r="C97" s="36" t="s">
        <v>692</v>
      </c>
      <c r="D97" s="36" t="s">
        <v>693</v>
      </c>
      <c r="E97" s="36" t="s">
        <v>36</v>
      </c>
      <c r="F97" s="36" t="s">
        <v>37</v>
      </c>
      <c r="G97" s="35" t="s">
        <v>694</v>
      </c>
      <c r="H97" s="35" t="s">
        <v>695</v>
      </c>
      <c r="I97" s="35" t="s">
        <v>628</v>
      </c>
      <c r="J97" s="35"/>
      <c r="K97" s="37">
        <f>IFERROR(__xludf.DUMMYFUNCTION("query(assistance!$A$2:$E988,""Select C Where D = '""&amp;L97&amp;""'"")"),44.0)</f>
        <v>44</v>
      </c>
      <c r="L97" s="36" t="s">
        <v>102</v>
      </c>
      <c r="M97" s="38">
        <f t="shared" si="11"/>
        <v>1</v>
      </c>
      <c r="N97" s="51" t="s">
        <v>42</v>
      </c>
      <c r="O97" s="40">
        <v>45859.0</v>
      </c>
      <c r="P97" s="35" t="s">
        <v>43</v>
      </c>
      <c r="Q97" s="35"/>
      <c r="R97" s="35" t="s">
        <v>629</v>
      </c>
      <c r="S97" s="35" t="b">
        <v>1</v>
      </c>
      <c r="T97" s="35" t="b">
        <v>0</v>
      </c>
      <c r="U97" s="41" t="str">
        <f>IFERROR(__xludf.DUMMYFUNCTION("""["" &amp; JOIN("", "", ARRAYFORMULA("""""""" &amp; TRIM(SPLIT(A97, "","")) &amp; """""""")) &amp; ""]"""),"[""99999""]")</f>
        <v>["99999"]</v>
      </c>
      <c r="V97" s="42" t="s">
        <v>630</v>
      </c>
      <c r="W97" s="42" t="s">
        <v>649</v>
      </c>
      <c r="X97" s="43"/>
      <c r="Y97" s="44" t="str">
        <f>vlookup(G97,zip_codes!$B$6:$J988,3,false)</f>
        <v>Houston</v>
      </c>
      <c r="Z97" s="45" t="str">
        <f>vlookup(G97,zip_codes!$B$6:$J988,9,false)</f>
        <v>Northwest Houston, Spring Branch Central</v>
      </c>
      <c r="AA97" s="44" t="str">
        <f>vlookup(B97,organizations!$B$1:$C988,2,false)</f>
        <v>BakerRipley</v>
      </c>
      <c r="AB97" s="55" t="s">
        <v>696</v>
      </c>
      <c r="AC97" s="47" t="s">
        <v>633</v>
      </c>
      <c r="AD97" s="48" t="s">
        <v>697</v>
      </c>
      <c r="AE97" s="48" t="str">
        <f t="shared" si="9"/>
        <v>BakerRipley Head Start Pitner Road8575 Pitner Road44</v>
      </c>
      <c r="AF97" s="48" t="str">
        <f t="shared" si="10"/>
        <v/>
      </c>
    </row>
    <row r="98" ht="66.75" customHeight="1">
      <c r="A98" s="49" t="s">
        <v>50</v>
      </c>
      <c r="B98" s="35" t="s">
        <v>698</v>
      </c>
      <c r="C98" s="36" t="s">
        <v>699</v>
      </c>
      <c r="D98" s="36"/>
      <c r="E98" s="36" t="s">
        <v>36</v>
      </c>
      <c r="F98" s="36" t="s">
        <v>37</v>
      </c>
      <c r="G98" s="35" t="s">
        <v>599</v>
      </c>
      <c r="H98" s="35" t="s">
        <v>700</v>
      </c>
      <c r="I98" s="35" t="s">
        <v>628</v>
      </c>
      <c r="J98" s="35"/>
      <c r="K98" s="37">
        <f>IFERROR(__xludf.DUMMYFUNCTION("query(assistance!$A$2:$E988,""Select C Where D = '""&amp;L98&amp;""'"")"),44.0)</f>
        <v>44</v>
      </c>
      <c r="L98" s="36" t="s">
        <v>102</v>
      </c>
      <c r="M98" s="38">
        <f t="shared" si="11"/>
        <v>1</v>
      </c>
      <c r="N98" s="51" t="s">
        <v>42</v>
      </c>
      <c r="O98" s="40">
        <v>45859.0</v>
      </c>
      <c r="P98" s="35" t="s">
        <v>43</v>
      </c>
      <c r="Q98" s="35"/>
      <c r="R98" s="35" t="s">
        <v>701</v>
      </c>
      <c r="S98" s="35" t="b">
        <v>1</v>
      </c>
      <c r="T98" s="35" t="b">
        <v>0</v>
      </c>
      <c r="U98" s="41" t="str">
        <f>IFERROR(__xludf.DUMMYFUNCTION("""["" &amp; JOIN("", "", ARRAYFORMULA("""""""" &amp; TRIM(SPLIT(A98, "","")) &amp; """""""")) &amp; ""]"""),"[""99999""]")</f>
        <v>["99999"]</v>
      </c>
      <c r="V98" s="42" t="s">
        <v>630</v>
      </c>
      <c r="W98" s="42" t="s">
        <v>702</v>
      </c>
      <c r="X98" s="43"/>
      <c r="Y98" s="44" t="str">
        <f>vlookup(G98,zip_codes!$B$6:$J988,3,false)</f>
        <v>Houston</v>
      </c>
      <c r="Z98" s="45" t="str">
        <f>vlookup(G98,zip_codes!$B$6:$J988,9,false)</f>
        <v>Chinatown, Sharpstown, Westside</v>
      </c>
      <c r="AA98" s="44" t="str">
        <f>vlookup(B98,organizations!$B$1:$C988,2,false)</f>
        <v>BakerRipley</v>
      </c>
      <c r="AB98" s="55" t="s">
        <v>703</v>
      </c>
      <c r="AC98" s="47" t="s">
        <v>633</v>
      </c>
      <c r="AD98" s="48" t="s">
        <v>572</v>
      </c>
      <c r="AE98" s="48" t="str">
        <f t="shared" si="9"/>
        <v>BakerRipley Head Start Regency7207 Regency Square Blvd44</v>
      </c>
      <c r="AF98" s="48" t="str">
        <f>if(AE98=AE96,"XXX","")</f>
        <v/>
      </c>
    </row>
    <row r="99" ht="66.75" customHeight="1">
      <c r="A99" s="49" t="s">
        <v>50</v>
      </c>
      <c r="B99" s="35" t="s">
        <v>704</v>
      </c>
      <c r="C99" s="36" t="s">
        <v>705</v>
      </c>
      <c r="D99" s="36"/>
      <c r="E99" s="36" t="s">
        <v>36</v>
      </c>
      <c r="F99" s="36" t="s">
        <v>37</v>
      </c>
      <c r="G99" s="35" t="s">
        <v>340</v>
      </c>
      <c r="H99" s="35" t="s">
        <v>706</v>
      </c>
      <c r="I99" s="35" t="s">
        <v>628</v>
      </c>
      <c r="J99" s="35"/>
      <c r="K99" s="37">
        <f>IFERROR(__xludf.DUMMYFUNCTION("query(assistance!$A$2:$E988,""Select C Where D = '""&amp;L99&amp;""'"")"),44.0)</f>
        <v>44</v>
      </c>
      <c r="L99" s="36" t="s">
        <v>102</v>
      </c>
      <c r="M99" s="38">
        <f t="shared" si="11"/>
        <v>1</v>
      </c>
      <c r="N99" s="51" t="s">
        <v>42</v>
      </c>
      <c r="O99" s="40">
        <v>45859.0</v>
      </c>
      <c r="P99" s="35" t="s">
        <v>43</v>
      </c>
      <c r="Q99" s="35"/>
      <c r="R99" s="35" t="s">
        <v>629</v>
      </c>
      <c r="S99" s="35" t="b">
        <v>1</v>
      </c>
      <c r="T99" s="35" t="b">
        <v>0</v>
      </c>
      <c r="U99" s="41" t="str">
        <f>IFERROR(__xludf.DUMMYFUNCTION("""["" &amp; JOIN("", "", ARRAYFORMULA("""""""" &amp; TRIM(SPLIT(A99, "","")) &amp; """""""")) &amp; ""]"""),"[""99999""]")</f>
        <v>["99999"]</v>
      </c>
      <c r="V99" s="42" t="s">
        <v>630</v>
      </c>
      <c r="W99" s="42" t="s">
        <v>707</v>
      </c>
      <c r="X99" s="43"/>
      <c r="Y99" s="44" t="str">
        <f>vlookup(G99,zip_codes!$B$6:$J988,3,false)</f>
        <v>Houston</v>
      </c>
      <c r="Z99" s="45" t="str">
        <f>vlookup(G99,zip_codes!$B$6:$J988,9,false)</f>
        <v>Alief</v>
      </c>
      <c r="AA99" s="44" t="str">
        <f>vlookup(B99,organizations!$B$1:$C988,2,false)</f>
        <v>BakerRipley</v>
      </c>
      <c r="AB99" s="55" t="s">
        <v>708</v>
      </c>
      <c r="AC99" s="47" t="s">
        <v>633</v>
      </c>
      <c r="AD99" s="48" t="s">
        <v>345</v>
      </c>
      <c r="AE99" s="48" t="str">
        <f t="shared" si="9"/>
        <v>BakerRipley Head Start Sharpview12280 Sharpview Drive44</v>
      </c>
      <c r="AF99" s="48" t="str">
        <f t="shared" ref="AF99:AF146" si="12">if(AE99=AE98,"XXX","")</f>
        <v/>
      </c>
    </row>
    <row r="100" ht="66.75" customHeight="1">
      <c r="A100" s="49" t="s">
        <v>50</v>
      </c>
      <c r="B100" s="35" t="s">
        <v>709</v>
      </c>
      <c r="C100" s="36" t="s">
        <v>710</v>
      </c>
      <c r="D100" s="36"/>
      <c r="E100" s="36" t="s">
        <v>36</v>
      </c>
      <c r="F100" s="36" t="s">
        <v>37</v>
      </c>
      <c r="G100" s="35" t="s">
        <v>711</v>
      </c>
      <c r="H100" s="35" t="s">
        <v>712</v>
      </c>
      <c r="I100" s="35" t="s">
        <v>628</v>
      </c>
      <c r="J100" s="35"/>
      <c r="K100" s="37">
        <f>IFERROR(__xludf.DUMMYFUNCTION("query(assistance!$A$2:$E988,""Select C Where D = '""&amp;L100&amp;""'"")"),44.0)</f>
        <v>44</v>
      </c>
      <c r="L100" s="36" t="s">
        <v>102</v>
      </c>
      <c r="M100" s="38">
        <f t="shared" si="11"/>
        <v>1</v>
      </c>
      <c r="N100" s="51" t="s">
        <v>42</v>
      </c>
      <c r="O100" s="40">
        <v>45859.0</v>
      </c>
      <c r="P100" s="35" t="s">
        <v>43</v>
      </c>
      <c r="Q100" s="35"/>
      <c r="R100" s="35" t="s">
        <v>629</v>
      </c>
      <c r="S100" s="35" t="b">
        <v>1</v>
      </c>
      <c r="T100" s="35" t="b">
        <v>0</v>
      </c>
      <c r="U100" s="41" t="str">
        <f>IFERROR(__xludf.DUMMYFUNCTION("""["" &amp; JOIN("", "", ARRAYFORMULA("""""""" &amp; TRIM(SPLIT(A100, "","")) &amp; """""""")) &amp; ""]"""),"[""99999""]")</f>
        <v>["99999"]</v>
      </c>
      <c r="V100" s="42" t="s">
        <v>630</v>
      </c>
      <c r="W100" s="42" t="s">
        <v>713</v>
      </c>
      <c r="X100" s="43"/>
      <c r="Y100" s="44" t="str">
        <f>vlookup(G100,zip_codes!$B$6:$J988,3,false)</f>
        <v>Houston</v>
      </c>
      <c r="Z100" s="45" t="str">
        <f>vlookup(G100,zip_codes!$B$6:$J988,9,false)</f>
        <v>Hilshire Village, Montrose, Northwest Houston, Spring Branch East, Washington Avenue Coalition / Memorial Park</v>
      </c>
      <c r="AA100" s="44" t="str">
        <f>vlookup(B100,organizations!$B$1:$C988,2,false)</f>
        <v>BakerRipley</v>
      </c>
      <c r="AB100" s="55" t="s">
        <v>714</v>
      </c>
      <c r="AC100" s="47" t="s">
        <v>633</v>
      </c>
      <c r="AD100" s="48" t="s">
        <v>715</v>
      </c>
      <c r="AE100" s="48" t="str">
        <f t="shared" si="9"/>
        <v>BakerRipley Head Start Spring Branch9655 Long Point Road44</v>
      </c>
      <c r="AF100" s="48" t="str">
        <f t="shared" si="12"/>
        <v/>
      </c>
    </row>
    <row r="101" ht="66.75" customHeight="1">
      <c r="A101" s="49" t="s">
        <v>50</v>
      </c>
      <c r="B101" s="35" t="s">
        <v>716</v>
      </c>
      <c r="C101" s="36" t="s">
        <v>717</v>
      </c>
      <c r="D101" s="36"/>
      <c r="E101" s="36" t="s">
        <v>200</v>
      </c>
      <c r="F101" s="36" t="s">
        <v>37</v>
      </c>
      <c r="G101" s="35" t="s">
        <v>201</v>
      </c>
      <c r="H101" s="35" t="s">
        <v>718</v>
      </c>
      <c r="I101" s="35" t="s">
        <v>628</v>
      </c>
      <c r="J101" s="35"/>
      <c r="K101" s="37">
        <f>IFERROR(__xludf.DUMMYFUNCTION("query(assistance!$A$2:$E988,""Select C Where D = '""&amp;L101&amp;""'"")"),44.0)</f>
        <v>44</v>
      </c>
      <c r="L101" s="36" t="s">
        <v>102</v>
      </c>
      <c r="M101" s="38">
        <f t="shared" si="11"/>
        <v>1</v>
      </c>
      <c r="N101" s="51" t="s">
        <v>42</v>
      </c>
      <c r="O101" s="40">
        <v>45859.0</v>
      </c>
      <c r="P101" s="35" t="s">
        <v>43</v>
      </c>
      <c r="Q101" s="35"/>
      <c r="R101" s="35" t="s">
        <v>629</v>
      </c>
      <c r="S101" s="35" t="b">
        <v>1</v>
      </c>
      <c r="T101" s="35" t="b">
        <v>0</v>
      </c>
      <c r="U101" s="41" t="str">
        <f>IFERROR(__xludf.DUMMYFUNCTION("""["" &amp; JOIN("", "", ARRAYFORMULA("""""""" &amp; TRIM(SPLIT(A101, "","")) &amp; """""""")) &amp; ""]"""),"[""99999""]")</f>
        <v>["99999"]</v>
      </c>
      <c r="V101" s="42" t="s">
        <v>630</v>
      </c>
      <c r="W101" s="42" t="s">
        <v>719</v>
      </c>
      <c r="X101" s="43"/>
      <c r="Y101" s="44" t="str">
        <f>vlookup(G101,zip_codes!$B$6:$J988,3,false)</f>
        <v>Stafford</v>
      </c>
      <c r="Z101" s="45" t="str">
        <f>vlookup(G101,zip_codes!$B$6:$J988,9,false)</f>
        <v>Clark Plaza One, Corporate Bus Park, Greenbriar Southwest, Stafford, The Fountains</v>
      </c>
      <c r="AA101" s="44" t="str">
        <f>vlookup(B101,organizations!$B$1:$C988,2,false)</f>
        <v>BakerRipley</v>
      </c>
      <c r="AB101" s="55" t="s">
        <v>720</v>
      </c>
      <c r="AC101" s="47" t="s">
        <v>633</v>
      </c>
      <c r="AD101" s="48" t="s">
        <v>200</v>
      </c>
      <c r="AE101" s="48" t="str">
        <f t="shared" si="9"/>
        <v>BakerRipley Head Start Stafford1350 Constitution Avenue44</v>
      </c>
      <c r="AF101" s="48" t="str">
        <f t="shared" si="12"/>
        <v/>
      </c>
    </row>
    <row r="102" ht="66.75" customHeight="1">
      <c r="A102" s="49" t="s">
        <v>50</v>
      </c>
      <c r="B102" s="35" t="s">
        <v>721</v>
      </c>
      <c r="C102" s="36" t="s">
        <v>722</v>
      </c>
      <c r="D102" s="36"/>
      <c r="E102" s="36" t="s">
        <v>36</v>
      </c>
      <c r="F102" s="36" t="s">
        <v>37</v>
      </c>
      <c r="G102" s="35" t="s">
        <v>723</v>
      </c>
      <c r="H102" s="35" t="s">
        <v>724</v>
      </c>
      <c r="I102" s="35" t="s">
        <v>725</v>
      </c>
      <c r="J102" s="35"/>
      <c r="K102" s="37">
        <f>IFERROR(__xludf.DUMMYFUNCTION("query(assistance!$A$2:$E988,""Select C Where D = '""&amp;L102&amp;""'"")"),13.0)</f>
        <v>13</v>
      </c>
      <c r="L102" s="36" t="s">
        <v>240</v>
      </c>
      <c r="M102" s="38">
        <f t="shared" si="11"/>
        <v>1</v>
      </c>
      <c r="N102" s="51" t="s">
        <v>42</v>
      </c>
      <c r="O102" s="40">
        <v>45859.0</v>
      </c>
      <c r="P102" s="35" t="s">
        <v>43</v>
      </c>
      <c r="Q102" s="35"/>
      <c r="R102" s="35" t="s">
        <v>583</v>
      </c>
      <c r="S102" s="35" t="b">
        <v>0</v>
      </c>
      <c r="T102" s="35" t="b">
        <v>0</v>
      </c>
      <c r="U102" s="41" t="str">
        <f>IFERROR(__xludf.DUMMYFUNCTION("""["" &amp; JOIN("", "", ARRAYFORMULA("""""""" &amp; TRIM(SPLIT(A102, "","")) &amp; """""""")) &amp; ""]"""),"[""99999""]")</f>
        <v>["99999"]</v>
      </c>
      <c r="V102" s="42" t="s">
        <v>610</v>
      </c>
      <c r="W102" s="42" t="s">
        <v>726</v>
      </c>
      <c r="X102" s="43"/>
      <c r="Y102" s="44" t="str">
        <f>vlookup(G102,zip_codes!$B$6:$J988,3,false)</f>
        <v>Pasadena</v>
      </c>
      <c r="Z102" s="45" t="str">
        <f>vlookup(G102,zip_codes!$B$6:$J988,9,false)</f>
        <v>Highland Farms, Pasadena</v>
      </c>
      <c r="AA102" s="44" t="str">
        <f>vlookup(B102,organizations!$B$1:$C988,2,false)</f>
        <v>BakerRipley</v>
      </c>
      <c r="AB102" s="55" t="s">
        <v>727</v>
      </c>
      <c r="AC102" s="47" t="s">
        <v>728</v>
      </c>
      <c r="AD102" s="48" t="s">
        <v>729</v>
      </c>
      <c r="AE102" s="48" t="str">
        <f t="shared" si="9"/>
        <v>BakerRipley Pasadena720 Fairmont Parkway13</v>
      </c>
      <c r="AF102" s="48" t="str">
        <f t="shared" si="12"/>
        <v/>
      </c>
    </row>
    <row r="103" ht="66.75" customHeight="1">
      <c r="A103" s="49" t="s">
        <v>50</v>
      </c>
      <c r="B103" s="35" t="s">
        <v>721</v>
      </c>
      <c r="C103" s="36" t="s">
        <v>722</v>
      </c>
      <c r="D103" s="36"/>
      <c r="E103" s="36" t="s">
        <v>36</v>
      </c>
      <c r="F103" s="36" t="s">
        <v>37</v>
      </c>
      <c r="G103" s="35" t="s">
        <v>723</v>
      </c>
      <c r="H103" s="35" t="s">
        <v>724</v>
      </c>
      <c r="I103" s="35" t="s">
        <v>730</v>
      </c>
      <c r="J103" s="35"/>
      <c r="K103" s="37">
        <f>IFERROR(__xludf.DUMMYFUNCTION("query(assistance!$A$2:$E988,""Select C Where D = '""&amp;L103&amp;""'"")"),35.0)</f>
        <v>35</v>
      </c>
      <c r="L103" s="36" t="s">
        <v>731</v>
      </c>
      <c r="M103" s="38">
        <f t="shared" si="11"/>
        <v>1</v>
      </c>
      <c r="N103" s="51" t="s">
        <v>42</v>
      </c>
      <c r="O103" s="40">
        <v>46033.0</v>
      </c>
      <c r="P103" s="35" t="s">
        <v>43</v>
      </c>
      <c r="Q103" s="35"/>
      <c r="R103" s="35" t="s">
        <v>732</v>
      </c>
      <c r="S103" s="35" t="b">
        <v>0</v>
      </c>
      <c r="T103" s="35" t="b">
        <v>0</v>
      </c>
      <c r="U103" s="41" t="str">
        <f>IFERROR(__xludf.DUMMYFUNCTION("""["" &amp; JOIN("", "", ARRAYFORMULA("""""""" &amp; TRIM(SPLIT(A103, "","")) &amp; """""""")) &amp; ""]"""),"[""99999""]")</f>
        <v>["99999"]</v>
      </c>
      <c r="V103" s="42" t="s">
        <v>733</v>
      </c>
      <c r="W103" s="42" t="s">
        <v>726</v>
      </c>
      <c r="X103" s="43"/>
      <c r="Y103" s="44" t="str">
        <f>vlookup(G103,zip_codes!$B$6:$J988,3,false)</f>
        <v>Pasadena</v>
      </c>
      <c r="Z103" s="45" t="str">
        <f>vlookup(G103,zip_codes!$B$6:$J988,9,false)</f>
        <v>Highland Farms, Pasadena</v>
      </c>
      <c r="AA103" s="44" t="str">
        <f>vlookup(B103,organizations!$B$1:$C988,2,false)</f>
        <v>BakerRipley</v>
      </c>
      <c r="AB103" s="55" t="s">
        <v>727</v>
      </c>
      <c r="AC103" s="47" t="s">
        <v>734</v>
      </c>
      <c r="AD103" s="48" t="s">
        <v>729</v>
      </c>
      <c r="AE103" s="48" t="str">
        <f t="shared" si="9"/>
        <v>BakerRipley Pasadena720 Fairmont Parkway35</v>
      </c>
      <c r="AF103" s="48" t="str">
        <f t="shared" si="12"/>
        <v/>
      </c>
    </row>
    <row r="104" ht="66.75" customHeight="1">
      <c r="A104" s="49" t="s">
        <v>50</v>
      </c>
      <c r="B104" s="35" t="s">
        <v>721</v>
      </c>
      <c r="C104" s="36" t="s">
        <v>722</v>
      </c>
      <c r="D104" s="36"/>
      <c r="E104" s="36" t="s">
        <v>36</v>
      </c>
      <c r="F104" s="36" t="s">
        <v>37</v>
      </c>
      <c r="G104" s="35" t="s">
        <v>723</v>
      </c>
      <c r="H104" s="35" t="s">
        <v>724</v>
      </c>
      <c r="I104" s="35" t="s">
        <v>735</v>
      </c>
      <c r="J104" s="35"/>
      <c r="K104" s="37">
        <f>IFERROR(__xludf.DUMMYFUNCTION("query(assistance!$A$2:$E988,""Select C Where D = '""&amp;L104&amp;""'"")"),35.0)</f>
        <v>35</v>
      </c>
      <c r="L104" s="36" t="s">
        <v>731</v>
      </c>
      <c r="M104" s="38">
        <f t="shared" si="11"/>
        <v>1</v>
      </c>
      <c r="N104" s="51" t="s">
        <v>42</v>
      </c>
      <c r="O104" s="40">
        <v>46033.0</v>
      </c>
      <c r="P104" s="35" t="s">
        <v>43</v>
      </c>
      <c r="Q104" s="35"/>
      <c r="R104" s="35" t="s">
        <v>736</v>
      </c>
      <c r="S104" s="35" t="b">
        <v>0</v>
      </c>
      <c r="T104" s="35" t="b">
        <v>0</v>
      </c>
      <c r="U104" s="41" t="str">
        <f>IFERROR(__xludf.DUMMYFUNCTION("""["" &amp; JOIN("", "", ARRAYFORMULA("""""""" &amp; TRIM(SPLIT(A104, "","")) &amp; """""""")) &amp; ""]"""),"[""99999""]")</f>
        <v>["99999"]</v>
      </c>
      <c r="V104" s="42" t="s">
        <v>733</v>
      </c>
      <c r="W104" s="42" t="s">
        <v>726</v>
      </c>
      <c r="X104" s="43"/>
      <c r="Y104" s="44" t="str">
        <f>vlookup(G104,zip_codes!$B$6:$J988,3,false)</f>
        <v>Pasadena</v>
      </c>
      <c r="Z104" s="45" t="str">
        <f>vlookup(G104,zip_codes!$B$6:$J988,9,false)</f>
        <v>Highland Farms, Pasadena</v>
      </c>
      <c r="AA104" s="44" t="str">
        <f>vlookup(B104,organizations!$B$1:$C988,2,false)</f>
        <v>BakerRipley</v>
      </c>
      <c r="AB104" s="55" t="s">
        <v>727</v>
      </c>
      <c r="AC104" s="47" t="s">
        <v>737</v>
      </c>
      <c r="AD104" s="48" t="s">
        <v>729</v>
      </c>
      <c r="AE104" s="48" t="str">
        <f t="shared" si="9"/>
        <v>BakerRipley Pasadena720 Fairmont Parkway35</v>
      </c>
      <c r="AF104" s="48" t="str">
        <f t="shared" si="12"/>
        <v>XXX</v>
      </c>
    </row>
    <row r="105" ht="66.75" customHeight="1">
      <c r="A105" s="49" t="s">
        <v>50</v>
      </c>
      <c r="B105" s="35" t="s">
        <v>721</v>
      </c>
      <c r="C105" s="36" t="s">
        <v>722</v>
      </c>
      <c r="D105" s="36"/>
      <c r="E105" s="36" t="s">
        <v>36</v>
      </c>
      <c r="F105" s="36" t="s">
        <v>37</v>
      </c>
      <c r="G105" s="35" t="s">
        <v>723</v>
      </c>
      <c r="H105" s="35" t="s">
        <v>724</v>
      </c>
      <c r="I105" s="35" t="s">
        <v>593</v>
      </c>
      <c r="J105" s="35"/>
      <c r="K105" s="37">
        <f>IFERROR(__xludf.DUMMYFUNCTION("query(assistance!$A$2:$E988,""Select C Where D = '""&amp;L105&amp;""'"")"),65.0)</f>
        <v>65</v>
      </c>
      <c r="L105" s="36" t="s">
        <v>41</v>
      </c>
      <c r="M105" s="38">
        <f t="shared" si="11"/>
        <v>1</v>
      </c>
      <c r="N105" s="51" t="s">
        <v>42</v>
      </c>
      <c r="O105" s="40">
        <v>45859.0</v>
      </c>
      <c r="P105" s="35" t="s">
        <v>43</v>
      </c>
      <c r="Q105" s="35"/>
      <c r="R105" s="35" t="s">
        <v>594</v>
      </c>
      <c r="S105" s="35" t="b">
        <v>0</v>
      </c>
      <c r="T105" s="35" t="b">
        <v>0</v>
      </c>
      <c r="U105" s="41" t="str">
        <f>IFERROR(__xludf.DUMMYFUNCTION("""["" &amp; JOIN("", "", ARRAYFORMULA("""""""" &amp; TRIM(SPLIT(A105, "","")) &amp; """""""")) &amp; ""]"""),"[""99999""]")</f>
        <v>["99999"]</v>
      </c>
      <c r="V105" s="42" t="s">
        <v>610</v>
      </c>
      <c r="W105" s="42" t="s">
        <v>726</v>
      </c>
      <c r="X105" s="43"/>
      <c r="Y105" s="44" t="str">
        <f>vlookup(G105,zip_codes!$B$6:$J988,3,false)</f>
        <v>Pasadena</v>
      </c>
      <c r="Z105" s="45" t="str">
        <f>vlookup(G105,zip_codes!$B$6:$J988,9,false)</f>
        <v>Highland Farms, Pasadena</v>
      </c>
      <c r="AA105" s="44" t="str">
        <f>vlookup(B105,organizations!$B$1:$C988,2,false)</f>
        <v>BakerRipley</v>
      </c>
      <c r="AB105" s="55" t="s">
        <v>727</v>
      </c>
      <c r="AC105" s="47" t="s">
        <v>595</v>
      </c>
      <c r="AD105" s="48" t="s">
        <v>729</v>
      </c>
      <c r="AE105" s="48" t="str">
        <f t="shared" si="9"/>
        <v>BakerRipley Pasadena720 Fairmont Parkway65</v>
      </c>
      <c r="AF105" s="48" t="str">
        <f t="shared" si="12"/>
        <v/>
      </c>
    </row>
    <row r="106" ht="66.75" customHeight="1">
      <c r="A106" s="49" t="s">
        <v>50</v>
      </c>
      <c r="B106" s="35" t="s">
        <v>721</v>
      </c>
      <c r="C106" s="36" t="s">
        <v>722</v>
      </c>
      <c r="D106" s="36"/>
      <c r="E106" s="36" t="s">
        <v>36</v>
      </c>
      <c r="F106" s="36" t="s">
        <v>37</v>
      </c>
      <c r="G106" s="35" t="s">
        <v>723</v>
      </c>
      <c r="H106" s="35" t="s">
        <v>724</v>
      </c>
      <c r="I106" s="35" t="s">
        <v>588</v>
      </c>
      <c r="J106" s="35" t="s">
        <v>738</v>
      </c>
      <c r="K106" s="37">
        <f>IFERROR(__xludf.DUMMYFUNCTION("query(assistance!$A$2:$E988,""Select C Where D = '""&amp;L106&amp;""'"")"),65.0)</f>
        <v>65</v>
      </c>
      <c r="L106" s="36" t="s">
        <v>41</v>
      </c>
      <c r="M106" s="38">
        <f t="shared" si="11"/>
        <v>1</v>
      </c>
      <c r="N106" s="51" t="s">
        <v>42</v>
      </c>
      <c r="O106" s="40">
        <v>45859.0</v>
      </c>
      <c r="P106" s="35" t="s">
        <v>43</v>
      </c>
      <c r="Q106" s="35"/>
      <c r="R106" s="35" t="s">
        <v>590</v>
      </c>
      <c r="S106" s="35" t="b">
        <v>0</v>
      </c>
      <c r="T106" s="35" t="b">
        <v>0</v>
      </c>
      <c r="U106" s="41" t="str">
        <f>IFERROR(__xludf.DUMMYFUNCTION("""["" &amp; JOIN("", "", ARRAYFORMULA("""""""" &amp; TRIM(SPLIT(A106, "","")) &amp; """""""")) &amp; ""]"""),"[""99999""]")</f>
        <v>["99999"]</v>
      </c>
      <c r="V106" s="42" t="s">
        <v>591</v>
      </c>
      <c r="W106" s="42" t="s">
        <v>726</v>
      </c>
      <c r="X106" s="43"/>
      <c r="Y106" s="44" t="str">
        <f>vlookup(G106,zip_codes!$B$6:$J988,3,false)</f>
        <v>Pasadena</v>
      </c>
      <c r="Z106" s="45" t="str">
        <f>vlookup(G106,zip_codes!$B$6:$J988,9,false)</f>
        <v>Highland Farms, Pasadena</v>
      </c>
      <c r="AA106" s="44" t="str">
        <f>vlookup(B106,organizations!$B$1:$C988,2,false)</f>
        <v>BakerRipley</v>
      </c>
      <c r="AB106" s="55" t="s">
        <v>727</v>
      </c>
      <c r="AC106" s="47" t="s">
        <v>592</v>
      </c>
      <c r="AD106" s="48" t="s">
        <v>729</v>
      </c>
      <c r="AE106" s="48" t="str">
        <f t="shared" si="9"/>
        <v>BakerRipley Pasadena720 Fairmont Parkway65</v>
      </c>
      <c r="AF106" s="48" t="str">
        <f t="shared" si="12"/>
        <v>XXX</v>
      </c>
    </row>
    <row r="107" ht="66.75" customHeight="1">
      <c r="A107" s="49" t="s">
        <v>50</v>
      </c>
      <c r="B107" s="35" t="s">
        <v>739</v>
      </c>
      <c r="C107" s="36" t="s">
        <v>740</v>
      </c>
      <c r="D107" s="36"/>
      <c r="E107" s="36" t="s">
        <v>36</v>
      </c>
      <c r="F107" s="36" t="s">
        <v>37</v>
      </c>
      <c r="G107" s="35" t="s">
        <v>542</v>
      </c>
      <c r="H107" s="35" t="s">
        <v>741</v>
      </c>
      <c r="I107" s="35"/>
      <c r="J107" s="35" t="s">
        <v>582</v>
      </c>
      <c r="K107" s="37">
        <f>IFERROR(__xludf.DUMMYFUNCTION("query(assistance!$A$2:$E988,""Select C Where D = '""&amp;L107&amp;""'"")"),13.0)</f>
        <v>13</v>
      </c>
      <c r="L107" s="36" t="s">
        <v>240</v>
      </c>
      <c r="M107" s="38">
        <f t="shared" si="11"/>
        <v>1</v>
      </c>
      <c r="N107" s="51" t="s">
        <v>42</v>
      </c>
      <c r="O107" s="40">
        <v>45859.0</v>
      </c>
      <c r="P107" s="35" t="s">
        <v>43</v>
      </c>
      <c r="Q107" s="35"/>
      <c r="R107" s="35" t="s">
        <v>583</v>
      </c>
      <c r="S107" s="35" t="b">
        <v>0</v>
      </c>
      <c r="T107" s="35" t="b">
        <v>0</v>
      </c>
      <c r="U107" s="41" t="str">
        <f>IFERROR(__xludf.DUMMYFUNCTION("""["" &amp; JOIN("", "", ARRAYFORMULA("""""""" &amp; TRIM(SPLIT(A107, "","")) &amp; """""""")) &amp; ""]"""),"[""99999""]")</f>
        <v>["99999"]</v>
      </c>
      <c r="V107" s="42" t="s">
        <v>610</v>
      </c>
      <c r="W107" s="42" t="s">
        <v>742</v>
      </c>
      <c r="X107" s="43"/>
      <c r="Y107" s="44" t="str">
        <f>vlookup(G107,zip_codes!$B$6:$J988,3,false)</f>
        <v>Houston</v>
      </c>
      <c r="Z107" s="45" t="str">
        <f>vlookup(G107,zip_codes!$B$6:$J988,9,false)</f>
        <v>Eastwood, Magnolia Park, Second Ward, South Central Houston</v>
      </c>
      <c r="AA107" s="44" t="str">
        <f>vlookup(B107,organizations!$B$1:$C988,2,false)</f>
        <v>BakerRipley</v>
      </c>
      <c r="AB107" s="55" t="s">
        <v>743</v>
      </c>
      <c r="AC107" s="53"/>
      <c r="AD107" s="48" t="s">
        <v>314</v>
      </c>
      <c r="AE107" s="48" t="str">
        <f t="shared" si="9"/>
        <v>BakerRipley Ripley House4410 Navigation Blvd13</v>
      </c>
      <c r="AF107" s="48" t="str">
        <f t="shared" si="12"/>
        <v/>
      </c>
    </row>
    <row r="108" ht="66.75" customHeight="1">
      <c r="A108" s="49" t="s">
        <v>50</v>
      </c>
      <c r="B108" s="35" t="s">
        <v>739</v>
      </c>
      <c r="C108" s="36" t="s">
        <v>740</v>
      </c>
      <c r="D108" s="36"/>
      <c r="E108" s="36" t="s">
        <v>36</v>
      </c>
      <c r="F108" s="36" t="s">
        <v>37</v>
      </c>
      <c r="G108" s="35" t="s">
        <v>542</v>
      </c>
      <c r="H108" s="35" t="s">
        <v>600</v>
      </c>
      <c r="I108" s="35" t="s">
        <v>601</v>
      </c>
      <c r="J108" s="35" t="s">
        <v>602</v>
      </c>
      <c r="K108" s="37">
        <f>IFERROR(__xludf.DUMMYFUNCTION("query(assistance!$A$2:$E988,""Select C Where D = '""&amp;L108&amp;""'"")"),55.0)</f>
        <v>55</v>
      </c>
      <c r="L108" s="36" t="s">
        <v>436</v>
      </c>
      <c r="M108" s="38">
        <f t="shared" si="11"/>
        <v>1</v>
      </c>
      <c r="N108" s="51" t="s">
        <v>42</v>
      </c>
      <c r="O108" s="40">
        <v>45879.0</v>
      </c>
      <c r="P108" s="35" t="s">
        <v>43</v>
      </c>
      <c r="Q108" s="35"/>
      <c r="R108" s="35" t="s">
        <v>603</v>
      </c>
      <c r="S108" s="35" t="b">
        <v>0</v>
      </c>
      <c r="T108" s="35" t="b">
        <v>0</v>
      </c>
      <c r="U108" s="41" t="str">
        <f>IFERROR(__xludf.DUMMYFUNCTION("""["" &amp; JOIN("", "", ARRAYFORMULA("""""""" &amp; TRIM(SPLIT(A108, "","")) &amp; """""""")) &amp; ""]"""),"[""99999""]")</f>
        <v>["99999"]</v>
      </c>
      <c r="V108" s="42" t="s">
        <v>604</v>
      </c>
      <c r="W108" s="42" t="s">
        <v>744</v>
      </c>
      <c r="X108" s="43"/>
      <c r="Y108" s="44" t="str">
        <f>vlookup(G108,zip_codes!$B$6:$J988,3,false)</f>
        <v>Houston</v>
      </c>
      <c r="Z108" s="45" t="str">
        <f>vlookup(G108,zip_codes!$B$6:$J988,9,false)</f>
        <v>Eastwood, Magnolia Park, Second Ward, South Central Houston</v>
      </c>
      <c r="AA108" s="44" t="str">
        <f>vlookup(B108,organizations!$B$1:$C988,2,false)</f>
        <v>BakerRipley</v>
      </c>
      <c r="AB108" s="55" t="s">
        <v>745</v>
      </c>
      <c r="AC108" s="47" t="s">
        <v>607</v>
      </c>
      <c r="AD108" s="48" t="s">
        <v>314</v>
      </c>
      <c r="AE108" s="48" t="str">
        <f t="shared" si="9"/>
        <v>BakerRipley Ripley House4410 Navigation Blvd55</v>
      </c>
      <c r="AF108" s="48" t="str">
        <f t="shared" si="12"/>
        <v/>
      </c>
    </row>
    <row r="109" ht="66.75" customHeight="1">
      <c r="A109" s="49" t="s">
        <v>50</v>
      </c>
      <c r="B109" s="35" t="s">
        <v>739</v>
      </c>
      <c r="C109" s="36" t="s">
        <v>740</v>
      </c>
      <c r="D109" s="36"/>
      <c r="E109" s="36" t="s">
        <v>36</v>
      </c>
      <c r="F109" s="36" t="s">
        <v>37</v>
      </c>
      <c r="G109" s="35" t="s">
        <v>542</v>
      </c>
      <c r="H109" s="35" t="s">
        <v>600</v>
      </c>
      <c r="I109" s="35" t="s">
        <v>588</v>
      </c>
      <c r="J109" s="35" t="s">
        <v>738</v>
      </c>
      <c r="K109" s="37">
        <f>IFERROR(__xludf.DUMMYFUNCTION("query(assistance!$A$2:$E988,""Select C Where D = '""&amp;L109&amp;""'"")"),65.0)</f>
        <v>65</v>
      </c>
      <c r="L109" s="36" t="s">
        <v>41</v>
      </c>
      <c r="M109" s="38">
        <f t="shared" si="11"/>
        <v>1</v>
      </c>
      <c r="N109" s="51" t="s">
        <v>42</v>
      </c>
      <c r="O109" s="40">
        <v>46033.0</v>
      </c>
      <c r="P109" s="35" t="s">
        <v>43</v>
      </c>
      <c r="Q109" s="35"/>
      <c r="R109" s="35" t="s">
        <v>590</v>
      </c>
      <c r="S109" s="35" t="b">
        <v>0</v>
      </c>
      <c r="T109" s="35" t="b">
        <v>0</v>
      </c>
      <c r="U109" s="41" t="str">
        <f>IFERROR(__xludf.DUMMYFUNCTION("""["" &amp; JOIN("", "", ARRAYFORMULA("""""""" &amp; TRIM(SPLIT(A109, "","")) &amp; """""""")) &amp; ""]"""),"[""99999""]")</f>
        <v>["99999"]</v>
      </c>
      <c r="V109" s="42" t="s">
        <v>591</v>
      </c>
      <c r="W109" s="42" t="s">
        <v>744</v>
      </c>
      <c r="X109" s="43"/>
      <c r="Y109" s="44" t="str">
        <f>vlookup(G109,zip_codes!$B$6:$J988,3,false)</f>
        <v>Houston</v>
      </c>
      <c r="Z109" s="45" t="str">
        <f>vlookup(G109,zip_codes!$B$6:$J988,9,false)</f>
        <v>Eastwood, Magnolia Park, Second Ward, South Central Houston</v>
      </c>
      <c r="AA109" s="44" t="str">
        <f>vlookup(B109,organizations!$B$1:$C988,2,false)</f>
        <v>BakerRipley</v>
      </c>
      <c r="AB109" s="55" t="s">
        <v>745</v>
      </c>
      <c r="AC109" s="47" t="s">
        <v>592</v>
      </c>
      <c r="AD109" s="48" t="s">
        <v>314</v>
      </c>
      <c r="AE109" s="48" t="str">
        <f t="shared" si="9"/>
        <v>BakerRipley Ripley House4410 Navigation Blvd65</v>
      </c>
      <c r="AF109" s="48" t="str">
        <f t="shared" si="12"/>
        <v/>
      </c>
    </row>
    <row r="110" ht="66.75" customHeight="1">
      <c r="A110" s="49" t="s">
        <v>50</v>
      </c>
      <c r="B110" s="35" t="s">
        <v>739</v>
      </c>
      <c r="C110" s="36" t="s">
        <v>740</v>
      </c>
      <c r="D110" s="36"/>
      <c r="E110" s="36" t="s">
        <v>36</v>
      </c>
      <c r="F110" s="36" t="s">
        <v>37</v>
      </c>
      <c r="G110" s="35" t="s">
        <v>542</v>
      </c>
      <c r="H110" s="35" t="s">
        <v>600</v>
      </c>
      <c r="I110" s="35" t="s">
        <v>593</v>
      </c>
      <c r="J110" s="35"/>
      <c r="K110" s="37">
        <f>IFERROR(__xludf.DUMMYFUNCTION("query(assistance!$A$2:$E988,""Select C Where D = '""&amp;L110&amp;""'"")"),65.0)</f>
        <v>65</v>
      </c>
      <c r="L110" s="36" t="s">
        <v>41</v>
      </c>
      <c r="M110" s="38">
        <f t="shared" si="11"/>
        <v>1</v>
      </c>
      <c r="N110" s="51" t="s">
        <v>42</v>
      </c>
      <c r="O110" s="40">
        <v>46033.0</v>
      </c>
      <c r="P110" s="35" t="s">
        <v>43</v>
      </c>
      <c r="Q110" s="35"/>
      <c r="R110" s="35" t="s">
        <v>594</v>
      </c>
      <c r="S110" s="35" t="b">
        <v>0</v>
      </c>
      <c r="T110" s="35" t="b">
        <v>0</v>
      </c>
      <c r="U110" s="41" t="str">
        <f>IFERROR(__xludf.DUMMYFUNCTION("""["" &amp; JOIN("", "", ARRAYFORMULA("""""""" &amp; TRIM(SPLIT(A110, "","")) &amp; """""""")) &amp; ""]"""),"[""99999""]")</f>
        <v>["99999"]</v>
      </c>
      <c r="V110" s="42" t="s">
        <v>746</v>
      </c>
      <c r="W110" s="42" t="s">
        <v>744</v>
      </c>
      <c r="X110" s="43"/>
      <c r="Y110" s="44" t="str">
        <f>vlookup(G110,zip_codes!$B$6:$J988,3,false)</f>
        <v>Houston</v>
      </c>
      <c r="Z110" s="45" t="str">
        <f>vlookup(G110,zip_codes!$B$6:$J988,9,false)</f>
        <v>Eastwood, Magnolia Park, Second Ward, South Central Houston</v>
      </c>
      <c r="AA110" s="44" t="str">
        <f>vlookup(B110,organizations!$B$1:$C988,2,false)</f>
        <v>BakerRipley</v>
      </c>
      <c r="AB110" s="55" t="s">
        <v>745</v>
      </c>
      <c r="AC110" s="47" t="s">
        <v>595</v>
      </c>
      <c r="AD110" s="48" t="s">
        <v>314</v>
      </c>
      <c r="AE110" s="48" t="str">
        <f t="shared" si="9"/>
        <v>BakerRipley Ripley House4410 Navigation Blvd65</v>
      </c>
      <c r="AF110" s="48" t="str">
        <f t="shared" si="12"/>
        <v>XXX</v>
      </c>
    </row>
    <row r="111" ht="66.75" customHeight="1">
      <c r="A111" s="49" t="s">
        <v>50</v>
      </c>
      <c r="B111" s="35" t="s">
        <v>747</v>
      </c>
      <c r="C111" s="36" t="s">
        <v>748</v>
      </c>
      <c r="D111" s="36"/>
      <c r="E111" s="36" t="s">
        <v>36</v>
      </c>
      <c r="F111" s="36" t="s">
        <v>37</v>
      </c>
      <c r="G111" s="35" t="s">
        <v>749</v>
      </c>
      <c r="H111" s="35" t="s">
        <v>750</v>
      </c>
      <c r="I111" s="35" t="s">
        <v>751</v>
      </c>
      <c r="J111" s="35"/>
      <c r="K111" s="37">
        <f>IFERROR(__xludf.DUMMYFUNCTION("query(assistance!$A$2:$E988,""Select C Where D = '""&amp;L111&amp;""'"")"),13.0)</f>
        <v>13</v>
      </c>
      <c r="L111" s="36" t="s">
        <v>240</v>
      </c>
      <c r="M111" s="38">
        <f t="shared" si="11"/>
        <v>1</v>
      </c>
      <c r="N111" s="51" t="s">
        <v>42</v>
      </c>
      <c r="O111" s="40">
        <v>45637.0</v>
      </c>
      <c r="P111" s="50"/>
      <c r="Q111" s="35"/>
      <c r="R111" s="35" t="s">
        <v>752</v>
      </c>
      <c r="S111" s="35" t="b">
        <v>0</v>
      </c>
      <c r="T111" s="35" t="b">
        <v>0</v>
      </c>
      <c r="U111" s="41" t="str">
        <f>IFERROR(__xludf.DUMMYFUNCTION("""["" &amp; JOIN("", "", ARRAYFORMULA("""""""" &amp; TRIM(SPLIT(A111, "","")) &amp; """""""")) &amp; ""]"""),"[""99999""]")</f>
        <v>["99999"]</v>
      </c>
      <c r="V111" s="52" t="s">
        <v>753</v>
      </c>
      <c r="W111" s="52" t="s">
        <v>754</v>
      </c>
      <c r="X111" s="43"/>
      <c r="Y111" s="44" t="str">
        <f>vlookup(G111,zip_codes!$B$6:$J988,3,false)</f>
        <v>Houston</v>
      </c>
      <c r="Z111" s="45" t="str">
        <f>vlookup(G111,zip_codes!$B$6:$J988,9,false)</f>
        <v>East Downtown, Downtown Houston, Houston Museum District, Midtown, Museum District, South Central Houston, South Side, Third Ward, University Place</v>
      </c>
      <c r="AA111" s="44" t="str">
        <f>vlookup(B111,organizations!$B$1:$C988,2,false)</f>
        <v>Bammel Church of Christ</v>
      </c>
      <c r="AB111" s="46" t="s">
        <v>755</v>
      </c>
      <c r="AC111" s="47" t="s">
        <v>756</v>
      </c>
      <c r="AD111" s="48" t="s">
        <v>49</v>
      </c>
      <c r="AE111" s="48" t="str">
        <f t="shared" si="9"/>
        <v>Bammel Church of Christ3118 Blodgett Street13</v>
      </c>
      <c r="AF111" s="48" t="str">
        <f t="shared" si="12"/>
        <v/>
      </c>
    </row>
    <row r="112" ht="66.75" customHeight="1">
      <c r="A112" s="49" t="s">
        <v>50</v>
      </c>
      <c r="B112" s="35" t="s">
        <v>747</v>
      </c>
      <c r="C112" s="36" t="s">
        <v>748</v>
      </c>
      <c r="D112" s="36"/>
      <c r="E112" s="36" t="s">
        <v>36</v>
      </c>
      <c r="F112" s="36" t="s">
        <v>37</v>
      </c>
      <c r="G112" s="35" t="s">
        <v>749</v>
      </c>
      <c r="H112" s="35" t="s">
        <v>750</v>
      </c>
      <c r="I112" s="35" t="s">
        <v>757</v>
      </c>
      <c r="J112" s="35"/>
      <c r="K112" s="37">
        <f>IFERROR(__xludf.DUMMYFUNCTION("query(assistance!$A$2:$E988,""Select C Where D = '""&amp;L112&amp;""'"")"),14.0)</f>
        <v>14</v>
      </c>
      <c r="L112" s="36" t="s">
        <v>391</v>
      </c>
      <c r="M112" s="38">
        <f t="shared" si="11"/>
        <v>1</v>
      </c>
      <c r="N112" s="51" t="s">
        <v>42</v>
      </c>
      <c r="O112" s="40">
        <v>45637.0</v>
      </c>
      <c r="P112" s="50"/>
      <c r="Q112" s="35"/>
      <c r="R112" s="35" t="s">
        <v>758</v>
      </c>
      <c r="S112" s="35" t="b">
        <v>0</v>
      </c>
      <c r="T112" s="35" t="b">
        <v>0</v>
      </c>
      <c r="U112" s="41" t="str">
        <f>IFERROR(__xludf.DUMMYFUNCTION("""["" &amp; JOIN("", "", ARRAYFORMULA("""""""" &amp; TRIM(SPLIT(A112, "","")) &amp; """""""")) &amp; ""]"""),"[""99999""]")</f>
        <v>["99999"]</v>
      </c>
      <c r="V112" s="52" t="s">
        <v>753</v>
      </c>
      <c r="W112" s="52" t="s">
        <v>754</v>
      </c>
      <c r="X112" s="43"/>
      <c r="Y112" s="44" t="str">
        <f>vlookup(G112,zip_codes!$B$6:$J988,3,false)</f>
        <v>Houston</v>
      </c>
      <c r="Z112" s="45" t="str">
        <f>vlookup(G112,zip_codes!$B$6:$J988,9,false)</f>
        <v>East Downtown, Downtown Houston, Houston Museum District, Midtown, Museum District, South Central Houston, South Side, Third Ward, University Place</v>
      </c>
      <c r="AA112" s="44" t="str">
        <f>vlookup(B112,organizations!$B$1:$C988,2,false)</f>
        <v>Bammel Church of Christ</v>
      </c>
      <c r="AB112" s="46" t="s">
        <v>755</v>
      </c>
      <c r="AC112" s="47" t="s">
        <v>759</v>
      </c>
      <c r="AD112" s="48" t="s">
        <v>49</v>
      </c>
      <c r="AE112" s="48" t="str">
        <f t="shared" si="9"/>
        <v>Bammel Church of Christ3118 Blodgett Street14</v>
      </c>
      <c r="AF112" s="48" t="str">
        <f t="shared" si="12"/>
        <v/>
      </c>
    </row>
    <row r="113" ht="66.75" customHeight="1">
      <c r="A113" s="49" t="s">
        <v>50</v>
      </c>
      <c r="B113" s="35" t="s">
        <v>760</v>
      </c>
      <c r="C113" s="36" t="s">
        <v>761</v>
      </c>
      <c r="D113" s="36"/>
      <c r="E113" s="36" t="s">
        <v>36</v>
      </c>
      <c r="F113" s="36" t="s">
        <v>37</v>
      </c>
      <c r="G113" s="35" t="s">
        <v>762</v>
      </c>
      <c r="H113" s="35" t="s">
        <v>763</v>
      </c>
      <c r="I113" s="35" t="s">
        <v>764</v>
      </c>
      <c r="J113" s="35" t="s">
        <v>298</v>
      </c>
      <c r="K113" s="37">
        <f>IFERROR(__xludf.DUMMYFUNCTION("query(assistance!$A$2:$E988,""Select C Where D = '""&amp;L113&amp;""'"")"),63.0)</f>
        <v>63</v>
      </c>
      <c r="L113" s="36" t="s">
        <v>765</v>
      </c>
      <c r="M113" s="38">
        <f t="shared" si="11"/>
        <v>1</v>
      </c>
      <c r="N113" s="51" t="s">
        <v>42</v>
      </c>
      <c r="O113" s="40">
        <v>45925.0</v>
      </c>
      <c r="P113" s="40"/>
      <c r="Q113" s="35"/>
      <c r="R113" s="35" t="s">
        <v>766</v>
      </c>
      <c r="S113" s="35" t="b">
        <v>0</v>
      </c>
      <c r="T113" s="35" t="b">
        <v>0</v>
      </c>
      <c r="U113" s="41" t="str">
        <f>IFERROR(__xludf.DUMMYFUNCTION("""["" &amp; JOIN("", "", ARRAYFORMULA("""""""" &amp; TRIM(SPLIT(A113, "","")) &amp; """""""")) &amp; ""]"""),"[""99999""]")</f>
        <v>["99999"]</v>
      </c>
      <c r="V113" s="68" t="s">
        <v>767</v>
      </c>
      <c r="W113" s="68" t="s">
        <v>768</v>
      </c>
      <c r="X113" s="69"/>
      <c r="Y113" s="44" t="str">
        <f>vlookup(G113,zip_codes!$B$6:$J988,3,false)</f>
        <v>Houston</v>
      </c>
      <c r="Z113" s="45" t="str">
        <f>vlookup(G113,zip_codes!$B$6:$J988,9,false)</f>
        <v>Kashmere Gardens, Northside, Trinity / Houston Gardens</v>
      </c>
      <c r="AA113" s="44" t="str">
        <f>vlookup(B113,organizations!$B$1:$C988,2,false)</f>
        <v>BARC Animal Shelter &amp; Adoptions</v>
      </c>
      <c r="AB113" s="55" t="s">
        <v>769</v>
      </c>
      <c r="AC113" s="47" t="s">
        <v>770</v>
      </c>
      <c r="AD113" s="48" t="s">
        <v>356</v>
      </c>
      <c r="AE113" s="48" t="str">
        <f t="shared" si="9"/>
        <v>BARC Animal Shelter &amp; Adoptions3300 Carr Street63</v>
      </c>
      <c r="AF113" s="48" t="str">
        <f t="shared" si="12"/>
        <v/>
      </c>
    </row>
    <row r="114" ht="66.75" customHeight="1">
      <c r="A114" s="49" t="s">
        <v>771</v>
      </c>
      <c r="B114" s="35" t="s">
        <v>772</v>
      </c>
      <c r="C114" s="36" t="s">
        <v>773</v>
      </c>
      <c r="D114" s="36"/>
      <c r="E114" s="36" t="s">
        <v>774</v>
      </c>
      <c r="F114" s="36" t="s">
        <v>37</v>
      </c>
      <c r="G114" s="35" t="s">
        <v>775</v>
      </c>
      <c r="H114" s="35" t="s">
        <v>776</v>
      </c>
      <c r="I114" s="35" t="s">
        <v>516</v>
      </c>
      <c r="J114" s="35"/>
      <c r="K114" s="37">
        <f>IFERROR(__xludf.DUMMYFUNCTION("query(assistance!$A$2:$E988,""Select C Where D = '""&amp;L114&amp;""'"")"),21.0)</f>
        <v>21</v>
      </c>
      <c r="L114" s="36" t="s">
        <v>777</v>
      </c>
      <c r="M114" s="38">
        <f t="shared" si="11"/>
        <v>1</v>
      </c>
      <c r="N114" s="51" t="s">
        <v>42</v>
      </c>
      <c r="O114" s="40">
        <v>45941.0</v>
      </c>
      <c r="P114" s="35" t="s">
        <v>43</v>
      </c>
      <c r="Q114" s="35"/>
      <c r="R114" s="35" t="s">
        <v>778</v>
      </c>
      <c r="S114" s="35" t="b">
        <v>0</v>
      </c>
      <c r="T114" s="35" t="b">
        <v>0</v>
      </c>
      <c r="U114" s="41" t="str">
        <f>IFERROR(__xludf.DUMMYFUNCTION("""["" &amp; JOIN("", "", ARRAYFORMULA("""""""" &amp; TRIM(SPLIT(A114, "","")) &amp; """""""")) &amp; ""]"""),"[""77015"", ""77028"", ""77029"", ""77032"", ""77039"", ""77044"", ""77049"", ""77050"", ""77093"", ""77327"", ""77501"", ""77502"", ""77503"", ""77504"", ""77505"", ""77506"", ""77507"", ""77517"", ""77520"", ""77521"", ""77530"", ""77532"", ""77533"", "&amp;"""77546"", ""77547"", ""77550"", ""77562"", ""77563"", ""77571"", ""77575"", ""77586"", ""77591"", ""77596""]")</f>
        <v>["77015", "77028", "77029", "77032", "77039", "77044", "77049", "77050", "77093", "77327", "77501", "77502", "77503", "77504", "77505", "77506", "77507", "77517", "77520", "77521", "77530", "77532", "77533", "77546", "77547", "77550", "77562", "77563", "77571", "77575", "77586", "77591", "77596"]</v>
      </c>
      <c r="V114" s="70" t="s">
        <v>779</v>
      </c>
      <c r="W114" s="42" t="s">
        <v>780</v>
      </c>
      <c r="X114" s="43"/>
      <c r="Y114" s="44" t="str">
        <f>vlookup(G114,zip_codes!$B$6:$J988,3,false)</f>
        <v>Baytown</v>
      </c>
      <c r="Z114" s="45" t="str">
        <f>vlookup(G114,zip_codes!$B$6:$J988,9,false)</f>
        <v>Amelia Airhart, Baytown, East Baytown</v>
      </c>
      <c r="AA114" s="44" t="str">
        <f>vlookup(B114,organizations!$B$1:$C988,2,false)</f>
        <v>Bay Area Homeless Services</v>
      </c>
      <c r="AB114" s="55" t="s">
        <v>781</v>
      </c>
      <c r="AC114" s="47" t="s">
        <v>520</v>
      </c>
      <c r="AD114" s="48" t="s">
        <v>782</v>
      </c>
      <c r="AE114" s="48" t="str">
        <f t="shared" si="9"/>
        <v>Bay Area Homeless Services3406 Wisconsin Street21</v>
      </c>
      <c r="AF114" s="48" t="str">
        <f t="shared" si="12"/>
        <v/>
      </c>
    </row>
    <row r="115" ht="66.75" customHeight="1">
      <c r="A115" s="49" t="s">
        <v>50</v>
      </c>
      <c r="B115" s="35" t="s">
        <v>783</v>
      </c>
      <c r="C115" s="36" t="s">
        <v>784</v>
      </c>
      <c r="D115" s="36"/>
      <c r="E115" s="36" t="s">
        <v>785</v>
      </c>
      <c r="F115" s="36" t="s">
        <v>37</v>
      </c>
      <c r="G115" s="35" t="s">
        <v>786</v>
      </c>
      <c r="H115" s="35" t="s">
        <v>787</v>
      </c>
      <c r="I115" s="35" t="s">
        <v>516</v>
      </c>
      <c r="J115" s="35"/>
      <c r="K115" s="37">
        <f>IFERROR(__xludf.DUMMYFUNCTION("query(assistance!$A$2:$E988,""Select C Where D = '""&amp;L115&amp;""'"")"),41.0)</f>
        <v>41</v>
      </c>
      <c r="L115" s="36" t="s">
        <v>788</v>
      </c>
      <c r="M115" s="38">
        <f t="shared" si="11"/>
        <v>1</v>
      </c>
      <c r="N115" s="39" t="s">
        <v>42</v>
      </c>
      <c r="O115" s="65"/>
      <c r="P115" s="50"/>
      <c r="Q115" s="35"/>
      <c r="R115" s="35" t="s">
        <v>789</v>
      </c>
      <c r="S115" s="35" t="b">
        <v>0</v>
      </c>
      <c r="T115" s="35" t="b">
        <v>0</v>
      </c>
      <c r="U115" s="41" t="str">
        <f>IFERROR(__xludf.DUMMYFUNCTION("""["" &amp; JOIN("", "", ARRAYFORMULA("""""""" &amp; TRIM(SPLIT(A115, "","")) &amp; """""""")) &amp; ""]"""),"[""99999""]")</f>
        <v>["99999"]</v>
      </c>
      <c r="V115" s="52" t="s">
        <v>790</v>
      </c>
      <c r="W115" s="43"/>
      <c r="X115" s="43"/>
      <c r="Y115" s="44" t="str">
        <f>vlookup(G115,zip_codes!$B$6:$J988,3,false)</f>
        <v>Webster</v>
      </c>
      <c r="Z115" s="45" t="str">
        <f>vlookup(G115,zip_codes!$B$6:$J988,9,false)</f>
        <v>Clear Lake, Webster</v>
      </c>
      <c r="AA115" s="44" t="str">
        <f>vlookup(B115,organizations!$B$1:$C988,2,false)</f>
        <v>Bay Area Turning Point</v>
      </c>
      <c r="AB115" s="46" t="s">
        <v>791</v>
      </c>
      <c r="AC115" s="47" t="s">
        <v>520</v>
      </c>
      <c r="AD115" s="48" t="s">
        <v>785</v>
      </c>
      <c r="AE115" s="48" t="str">
        <f t="shared" si="9"/>
        <v>Bay Area Turning Point210 S Walnut Street41</v>
      </c>
      <c r="AF115" s="48" t="str">
        <f t="shared" si="12"/>
        <v/>
      </c>
    </row>
    <row r="116" ht="66.75" customHeight="1">
      <c r="A116" s="49" t="s">
        <v>50</v>
      </c>
      <c r="B116" s="35" t="s">
        <v>792</v>
      </c>
      <c r="C116" s="36" t="s">
        <v>793</v>
      </c>
      <c r="D116" s="36"/>
      <c r="E116" s="36" t="s">
        <v>36</v>
      </c>
      <c r="F116" s="36" t="s">
        <v>37</v>
      </c>
      <c r="G116" s="35" t="s">
        <v>762</v>
      </c>
      <c r="H116" s="35" t="s">
        <v>794</v>
      </c>
      <c r="I116" s="35" t="s">
        <v>795</v>
      </c>
      <c r="J116" s="35"/>
      <c r="K116" s="37">
        <f>IFERROR(__xludf.DUMMYFUNCTION("query(assistance!$A$2:$E988,""Select C Where D = '""&amp;L116&amp;""'"")"),31.0)</f>
        <v>31</v>
      </c>
      <c r="L116" s="36" t="s">
        <v>90</v>
      </c>
      <c r="M116" s="38">
        <f t="shared" si="11"/>
        <v>1</v>
      </c>
      <c r="N116" s="39" t="s">
        <v>42</v>
      </c>
      <c r="O116" s="65"/>
      <c r="P116" s="50"/>
      <c r="Q116" s="50"/>
      <c r="R116" s="50"/>
      <c r="S116" s="35" t="b">
        <v>0</v>
      </c>
      <c r="T116" s="35" t="b">
        <v>0</v>
      </c>
      <c r="U116" s="41" t="str">
        <f>IFERROR(__xludf.DUMMYFUNCTION("""["" &amp; JOIN("", "", ARRAYFORMULA("""""""" &amp; TRIM(SPLIT(A116, "","")) &amp; """""""")) &amp; ""]"""),"[""99999""]")</f>
        <v>["99999"]</v>
      </c>
      <c r="V116" s="52" t="s">
        <v>796</v>
      </c>
      <c r="W116" s="52" t="s">
        <v>797</v>
      </c>
      <c r="X116" s="43"/>
      <c r="Y116" s="44" t="str">
        <f>vlookup(G116,zip_codes!$B$6:$J988,3,false)</f>
        <v>Houston</v>
      </c>
      <c r="Z116" s="45" t="str">
        <f>vlookup(G116,zip_codes!$B$6:$J988,9,false)</f>
        <v>Kashmere Gardens, Northside, Trinity / Houston Gardens</v>
      </c>
      <c r="AA116" s="44" t="str">
        <f>vlookup(B116,organizations!$B$1:$C988,2,false)</f>
        <v>Baylor Teen Health Clinic</v>
      </c>
      <c r="AB116" s="46" t="s">
        <v>798</v>
      </c>
      <c r="AC116" s="47" t="s">
        <v>799</v>
      </c>
      <c r="AD116" s="48" t="s">
        <v>356</v>
      </c>
      <c r="AE116" s="48" t="str">
        <f t="shared" si="9"/>
        <v>Baylor Teen Health Clinic3815 Cavalcade Street31</v>
      </c>
      <c r="AF116" s="48" t="str">
        <f t="shared" si="12"/>
        <v/>
      </c>
    </row>
    <row r="117" ht="66.75" customHeight="1">
      <c r="A117" s="71" t="s">
        <v>266</v>
      </c>
      <c r="B117" s="35" t="s">
        <v>800</v>
      </c>
      <c r="C117" s="36" t="s">
        <v>801</v>
      </c>
      <c r="D117" s="36"/>
      <c r="E117" s="36" t="s">
        <v>774</v>
      </c>
      <c r="F117" s="36" t="s">
        <v>37</v>
      </c>
      <c r="G117" s="56" t="s">
        <v>775</v>
      </c>
      <c r="H117" s="35" t="s">
        <v>802</v>
      </c>
      <c r="I117" s="35" t="s">
        <v>131</v>
      </c>
      <c r="J117" s="35"/>
      <c r="K117" s="37">
        <f>IFERROR(__xludf.DUMMYFUNCTION("query(assistance!$A$2:$E988,""Select C Where D = '""&amp;L117&amp;""'"")"),32.0)</f>
        <v>32</v>
      </c>
      <c r="L117" s="36" t="s">
        <v>208</v>
      </c>
      <c r="M117" s="38">
        <f t="shared" si="11"/>
        <v>1</v>
      </c>
      <c r="N117" s="39" t="s">
        <v>42</v>
      </c>
      <c r="O117" s="57">
        <v>46040.0</v>
      </c>
      <c r="P117" s="35" t="s">
        <v>43</v>
      </c>
      <c r="Q117" s="35"/>
      <c r="R117" s="35" t="s">
        <v>803</v>
      </c>
      <c r="S117" s="35" t="b">
        <v>1</v>
      </c>
      <c r="T117" s="35" t="b">
        <v>0</v>
      </c>
      <c r="U117" s="41" t="str">
        <f>IFERROR(__xludf.DUMMYFUNCTION("""["" &amp; JOIN("", "", ARRAYFORMULA("""""""" &amp; TRIM(SPLIT(A117,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117" s="42" t="s">
        <v>804</v>
      </c>
      <c r="W117" s="42" t="s">
        <v>805</v>
      </c>
      <c r="X117" s="43"/>
      <c r="Y117" s="44" t="str">
        <f>vlookup(G117,zip_codes!$B$6:$J988,3,false)</f>
        <v>Baytown</v>
      </c>
      <c r="Z117" s="45" t="str">
        <f>vlookup(G117,zip_codes!$B$6:$J988,9,false)</f>
        <v>Amelia Airhart, Baytown, East Baytown</v>
      </c>
      <c r="AA117" s="44" t="str">
        <f>vlookup(B117,organizations!$B$1:$C988,2,false)</f>
        <v>Harris County Public Health</v>
      </c>
      <c r="AB117" s="55" t="s">
        <v>806</v>
      </c>
      <c r="AC117" s="47" t="s">
        <v>134</v>
      </c>
      <c r="AD117" s="58" t="s">
        <v>774</v>
      </c>
      <c r="AE117" s="48" t="str">
        <f t="shared" si="9"/>
        <v>Baytown Clinic1000 Lee Drive32</v>
      </c>
      <c r="AF117" s="48" t="str">
        <f t="shared" si="12"/>
        <v/>
      </c>
    </row>
    <row r="118" ht="66.75" customHeight="1">
      <c r="A118" s="49" t="s">
        <v>50</v>
      </c>
      <c r="B118" s="35" t="s">
        <v>807</v>
      </c>
      <c r="C118" s="36" t="s">
        <v>808</v>
      </c>
      <c r="D118" s="36" t="s">
        <v>809</v>
      </c>
      <c r="E118" s="36" t="s">
        <v>451</v>
      </c>
      <c r="F118" s="36" t="s">
        <v>37</v>
      </c>
      <c r="G118" s="35" t="s">
        <v>810</v>
      </c>
      <c r="H118" s="35" t="s">
        <v>811</v>
      </c>
      <c r="I118" s="35" t="s">
        <v>40</v>
      </c>
      <c r="J118" s="35" t="s">
        <v>89</v>
      </c>
      <c r="K118" s="37">
        <f>IFERROR(__xludf.DUMMYFUNCTION("query(assistance!$A$2:$E988,""Select C Where D = '""&amp;L118&amp;""'"")"),31.0)</f>
        <v>31</v>
      </c>
      <c r="L118" s="36" t="s">
        <v>90</v>
      </c>
      <c r="M118" s="38">
        <f t="shared" si="11"/>
        <v>1</v>
      </c>
      <c r="N118" s="51" t="s">
        <v>42</v>
      </c>
      <c r="O118" s="40">
        <v>46019.0</v>
      </c>
      <c r="P118" s="35" t="s">
        <v>43</v>
      </c>
      <c r="Q118" s="35"/>
      <c r="R118" s="35" t="s">
        <v>812</v>
      </c>
      <c r="S118" s="35" t="b">
        <v>0</v>
      </c>
      <c r="T118" s="35" t="b">
        <v>0</v>
      </c>
      <c r="U118" s="41" t="str">
        <f>IFERROR(__xludf.DUMMYFUNCTION("""["" &amp; JOIN("", "", ARRAYFORMULA("""""""" &amp; TRIM(SPLIT(A118, "","")) &amp; """""""")) &amp; ""]"""),"[""99999""]")</f>
        <v>["99999"]</v>
      </c>
      <c r="V118" s="42" t="s">
        <v>813</v>
      </c>
      <c r="W118" s="42" t="s">
        <v>814</v>
      </c>
      <c r="X118" s="43"/>
      <c r="Y118" s="44" t="str">
        <f>vlookup(G118,zip_codes!$B$6:$J988,3,false)</f>
        <v>Spring</v>
      </c>
      <c r="Z118" s="45" t="str">
        <f>vlookup(G118,zip_codes!$B$6:$J988,9,false)</f>
        <v>Cypresswood, Spring</v>
      </c>
      <c r="AA118" s="44" t="str">
        <f>vlookup(B118,organizations!$B$1:$C988,2,false)</f>
        <v>Be An Angel</v>
      </c>
      <c r="AB118" s="55" t="s">
        <v>815</v>
      </c>
      <c r="AC118" s="47" t="s">
        <v>48</v>
      </c>
      <c r="AD118" s="48" t="s">
        <v>451</v>
      </c>
      <c r="AE118" s="48" t="str">
        <f t="shared" si="9"/>
        <v>Be An Angel21755 I-45 North31</v>
      </c>
      <c r="AF118" s="48" t="str">
        <f t="shared" si="12"/>
        <v/>
      </c>
    </row>
    <row r="119" ht="66.75" customHeight="1">
      <c r="A119" s="49" t="s">
        <v>50</v>
      </c>
      <c r="B119" s="35" t="s">
        <v>807</v>
      </c>
      <c r="C119" s="36" t="s">
        <v>808</v>
      </c>
      <c r="D119" s="36" t="s">
        <v>809</v>
      </c>
      <c r="E119" s="36" t="s">
        <v>451</v>
      </c>
      <c r="F119" s="36" t="s">
        <v>37</v>
      </c>
      <c r="G119" s="35" t="s">
        <v>810</v>
      </c>
      <c r="H119" s="35" t="s">
        <v>811</v>
      </c>
      <c r="I119" s="35" t="s">
        <v>40</v>
      </c>
      <c r="J119" s="35" t="s">
        <v>816</v>
      </c>
      <c r="K119" s="37">
        <f>IFERROR(__xludf.DUMMYFUNCTION("query(assistance!$A$2:$E988,""Select C Where D = '""&amp;L119&amp;""'"")"),64.0)</f>
        <v>64</v>
      </c>
      <c r="L119" s="36" t="s">
        <v>817</v>
      </c>
      <c r="M119" s="38">
        <f t="shared" si="11"/>
        <v>1</v>
      </c>
      <c r="N119" s="51" t="s">
        <v>42</v>
      </c>
      <c r="O119" s="40">
        <v>46019.0</v>
      </c>
      <c r="P119" s="35" t="s">
        <v>43</v>
      </c>
      <c r="Q119" s="35"/>
      <c r="R119" s="35" t="s">
        <v>818</v>
      </c>
      <c r="S119" s="35" t="b">
        <v>0</v>
      </c>
      <c r="T119" s="35" t="b">
        <v>0</v>
      </c>
      <c r="U119" s="41" t="str">
        <f>IFERROR(__xludf.DUMMYFUNCTION("""["" &amp; JOIN("", "", ARRAYFORMULA("""""""" &amp; TRIM(SPLIT(A119, "","")) &amp; """""""")) &amp; ""]"""),"[""99999""]")</f>
        <v>["99999"]</v>
      </c>
      <c r="V119" s="42" t="s">
        <v>813</v>
      </c>
      <c r="W119" s="42" t="s">
        <v>814</v>
      </c>
      <c r="X119" s="43"/>
      <c r="Y119" s="44" t="str">
        <f>vlookup(G119,zip_codes!$B$6:$J988,3,false)</f>
        <v>Spring</v>
      </c>
      <c r="Z119" s="45" t="str">
        <f>vlookup(G119,zip_codes!$B$6:$J988,9,false)</f>
        <v>Cypresswood, Spring</v>
      </c>
      <c r="AA119" s="44" t="str">
        <f>vlookup(B119,organizations!$B$1:$C988,2,false)</f>
        <v>Be An Angel</v>
      </c>
      <c r="AB119" s="55" t="s">
        <v>815</v>
      </c>
      <c r="AC119" s="47" t="s">
        <v>48</v>
      </c>
      <c r="AD119" s="48" t="s">
        <v>451</v>
      </c>
      <c r="AE119" s="48" t="str">
        <f t="shared" si="9"/>
        <v>Be An Angel21755 I-45 North64</v>
      </c>
      <c r="AF119" s="48" t="str">
        <f t="shared" si="12"/>
        <v/>
      </c>
    </row>
    <row r="120" ht="66.75" customHeight="1">
      <c r="A120" s="49" t="s">
        <v>50</v>
      </c>
      <c r="B120" s="35" t="s">
        <v>807</v>
      </c>
      <c r="C120" s="36" t="s">
        <v>808</v>
      </c>
      <c r="D120" s="36" t="s">
        <v>809</v>
      </c>
      <c r="E120" s="36" t="s">
        <v>451</v>
      </c>
      <c r="F120" s="36" t="s">
        <v>37</v>
      </c>
      <c r="G120" s="35" t="s">
        <v>810</v>
      </c>
      <c r="H120" s="35" t="s">
        <v>811</v>
      </c>
      <c r="I120" s="35" t="s">
        <v>40</v>
      </c>
      <c r="J120" s="35" t="s">
        <v>89</v>
      </c>
      <c r="K120" s="37">
        <f>IFERROR(__xludf.DUMMYFUNCTION("query(assistance!$A$2:$E988,""Select C Where D = '""&amp;L120&amp;""'"")"),65.0)</f>
        <v>65</v>
      </c>
      <c r="L120" s="36" t="s">
        <v>41</v>
      </c>
      <c r="M120" s="38">
        <f t="shared" si="11"/>
        <v>1</v>
      </c>
      <c r="N120" s="51" t="s">
        <v>42</v>
      </c>
      <c r="O120" s="40">
        <v>46019.0</v>
      </c>
      <c r="P120" s="35" t="s">
        <v>43</v>
      </c>
      <c r="Q120" s="35"/>
      <c r="R120" s="35" t="s">
        <v>819</v>
      </c>
      <c r="S120" s="35" t="b">
        <v>0</v>
      </c>
      <c r="T120" s="35" t="b">
        <v>0</v>
      </c>
      <c r="U120" s="41" t="str">
        <f>IFERROR(__xludf.DUMMYFUNCTION("""["" &amp; JOIN("", "", ARRAYFORMULA("""""""" &amp; TRIM(SPLIT(A120, "","")) &amp; """""""")) &amp; ""]"""),"[""99999""]")</f>
        <v>["99999"]</v>
      </c>
      <c r="V120" s="42" t="s">
        <v>813</v>
      </c>
      <c r="W120" s="42" t="s">
        <v>814</v>
      </c>
      <c r="X120" s="43"/>
      <c r="Y120" s="44" t="str">
        <f>vlookup(G120,zip_codes!$B$6:$J988,3,false)</f>
        <v>Spring</v>
      </c>
      <c r="Z120" s="45" t="str">
        <f>vlookup(G120,zip_codes!$B$6:$J988,9,false)</f>
        <v>Cypresswood, Spring</v>
      </c>
      <c r="AA120" s="44" t="str">
        <f>vlookup(B120,organizations!$B$1:$C988,2,false)</f>
        <v>Be An Angel</v>
      </c>
      <c r="AB120" s="55" t="s">
        <v>815</v>
      </c>
      <c r="AC120" s="47" t="s">
        <v>48</v>
      </c>
      <c r="AD120" s="48" t="s">
        <v>451</v>
      </c>
      <c r="AE120" s="48" t="str">
        <f t="shared" si="9"/>
        <v>Be An Angel21755 I-45 North65</v>
      </c>
      <c r="AF120" s="48" t="str">
        <f t="shared" si="12"/>
        <v/>
      </c>
    </row>
    <row r="121" ht="66.75" customHeight="1">
      <c r="A121" s="34" t="s">
        <v>32</v>
      </c>
      <c r="B121" s="35" t="s">
        <v>820</v>
      </c>
      <c r="C121" s="36" t="s">
        <v>821</v>
      </c>
      <c r="D121" s="36"/>
      <c r="E121" s="36" t="s">
        <v>36</v>
      </c>
      <c r="F121" s="36" t="s">
        <v>37</v>
      </c>
      <c r="G121" s="35" t="s">
        <v>822</v>
      </c>
      <c r="H121" s="35" t="s">
        <v>823</v>
      </c>
      <c r="I121" s="35" t="s">
        <v>824</v>
      </c>
      <c r="J121" s="35"/>
      <c r="K121" s="37">
        <f>IFERROR(__xludf.DUMMYFUNCTION("query(assistance!$A$2:$E988,""Select C Where D = '""&amp;L121&amp;""'"")"),31.0)</f>
        <v>31</v>
      </c>
      <c r="L121" s="36" t="s">
        <v>90</v>
      </c>
      <c r="M121" s="38">
        <f t="shared" si="11"/>
        <v>1</v>
      </c>
      <c r="N121" s="39" t="s">
        <v>42</v>
      </c>
      <c r="O121" s="57">
        <v>46049.0</v>
      </c>
      <c r="P121" s="35" t="s">
        <v>43</v>
      </c>
      <c r="Q121" s="35"/>
      <c r="R121" s="35" t="s">
        <v>825</v>
      </c>
      <c r="S121" s="35" t="b">
        <v>0</v>
      </c>
      <c r="T121" s="35" t="b">
        <v>0</v>
      </c>
      <c r="U121" s="41" t="str">
        <f>IFERROR(__xludf.DUMMYFUNCTION("""["" &amp; JOIN("", "", ARRAYFORMULA("""""""" &amp; TRIM(SPLIT(A121,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V121" s="42" t="s">
        <v>826</v>
      </c>
      <c r="W121" s="42" t="s">
        <v>827</v>
      </c>
      <c r="X121" s="43"/>
      <c r="Y121" s="44" t="str">
        <f>vlookup(G121,zip_codes!$B$6:$J988,3,false)</f>
        <v>Houston</v>
      </c>
      <c r="Z121" s="45" t="str">
        <f>vlookup(G121,zip_codes!$B$6:$J988,9,false)</f>
        <v>Brays Oaks, Fondren Southwest</v>
      </c>
      <c r="AA121" s="44" t="str">
        <f>vlookup(B121,organizations!$B$1:$C988,2,false)</f>
        <v>Bee Busy Wellness Center</v>
      </c>
      <c r="AB121" s="46" t="s">
        <v>828</v>
      </c>
      <c r="AC121" s="47" t="s">
        <v>829</v>
      </c>
      <c r="AD121" s="48" t="s">
        <v>62</v>
      </c>
      <c r="AE121" s="48" t="str">
        <f t="shared" si="9"/>
        <v>Bee Busy Wellness Center8785 W Bellfort Avenue31</v>
      </c>
      <c r="AF121" s="48" t="str">
        <f t="shared" si="12"/>
        <v/>
      </c>
    </row>
    <row r="122" ht="66.75" customHeight="1">
      <c r="A122" s="34" t="s">
        <v>32</v>
      </c>
      <c r="B122" s="35" t="s">
        <v>820</v>
      </c>
      <c r="C122" s="36" t="s">
        <v>821</v>
      </c>
      <c r="D122" s="36"/>
      <c r="E122" s="36" t="s">
        <v>36</v>
      </c>
      <c r="F122" s="36" t="s">
        <v>37</v>
      </c>
      <c r="G122" s="35" t="s">
        <v>822</v>
      </c>
      <c r="H122" s="35" t="s">
        <v>823</v>
      </c>
      <c r="I122" s="35" t="s">
        <v>824</v>
      </c>
      <c r="J122" s="35"/>
      <c r="K122" s="37">
        <f>IFERROR(__xludf.DUMMYFUNCTION("query(assistance!$A$2:$E988,""Select C Where D = '""&amp;L122&amp;""'"")"),32.0)</f>
        <v>32</v>
      </c>
      <c r="L122" s="36" t="s">
        <v>208</v>
      </c>
      <c r="M122" s="39">
        <f>if(N122="Inactive",3,if(N122="Limited", 2, if(N122="Closed", 4, 1)))</f>
        <v>4</v>
      </c>
      <c r="N122" s="39" t="s">
        <v>57</v>
      </c>
      <c r="O122" s="57">
        <v>46049.0</v>
      </c>
      <c r="P122" s="35" t="s">
        <v>830</v>
      </c>
      <c r="Q122" s="72">
        <v>46204.0</v>
      </c>
      <c r="R122" s="35" t="s">
        <v>831</v>
      </c>
      <c r="S122" s="35" t="b">
        <v>0</v>
      </c>
      <c r="T122" s="35" t="b">
        <v>0</v>
      </c>
      <c r="U122" s="41" t="str">
        <f>IFERROR(__xludf.DUMMYFUNCTION("""["" &amp; JOIN("", "", ARRAYFORMULA("""""""" &amp; TRIM(SPLIT(A122,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V122" s="42" t="s">
        <v>826</v>
      </c>
      <c r="W122" s="42" t="s">
        <v>827</v>
      </c>
      <c r="X122" s="43"/>
      <c r="Y122" s="44" t="str">
        <f>vlookup(G122,zip_codes!$B$6:$J988,3,false)</f>
        <v>Houston</v>
      </c>
      <c r="Z122" s="45" t="str">
        <f>vlookup(G122,zip_codes!$B$6:$J988,9,false)</f>
        <v>Brays Oaks, Fondren Southwest</v>
      </c>
      <c r="AA122" s="44" t="str">
        <f>vlookup(B122,organizations!$B$1:$C988,2,false)</f>
        <v>Bee Busy Wellness Center</v>
      </c>
      <c r="AB122" s="46" t="s">
        <v>828</v>
      </c>
      <c r="AC122" s="47" t="s">
        <v>829</v>
      </c>
      <c r="AD122" s="48" t="s">
        <v>62</v>
      </c>
      <c r="AE122" s="48" t="str">
        <f t="shared" si="9"/>
        <v>Bee Busy Wellness Center8785 W Bellfort Avenue32</v>
      </c>
      <c r="AF122" s="48" t="str">
        <f t="shared" si="12"/>
        <v/>
      </c>
    </row>
    <row r="123" ht="66.75" customHeight="1">
      <c r="A123" s="34" t="s">
        <v>32</v>
      </c>
      <c r="B123" s="35" t="s">
        <v>820</v>
      </c>
      <c r="C123" s="36" t="s">
        <v>821</v>
      </c>
      <c r="D123" s="36"/>
      <c r="E123" s="36" t="s">
        <v>36</v>
      </c>
      <c r="F123" s="36" t="s">
        <v>37</v>
      </c>
      <c r="G123" s="35" t="s">
        <v>822</v>
      </c>
      <c r="H123" s="35" t="s">
        <v>823</v>
      </c>
      <c r="I123" s="35" t="s">
        <v>824</v>
      </c>
      <c r="J123" s="35"/>
      <c r="K123" s="37">
        <f>IFERROR(__xludf.DUMMYFUNCTION("query(assistance!$A$2:$E988,""Select C Where D = '""&amp;L123&amp;""'"")"),33.0)</f>
        <v>33</v>
      </c>
      <c r="L123" s="36" t="s">
        <v>333</v>
      </c>
      <c r="M123" s="38">
        <f t="shared" ref="M123:M133" si="13">if(N123="Inactive",3,if(N123="Limited", 2, 1))</f>
        <v>1</v>
      </c>
      <c r="N123" s="39" t="s">
        <v>42</v>
      </c>
      <c r="O123" s="57">
        <v>45789.0</v>
      </c>
      <c r="P123" s="35" t="s">
        <v>43</v>
      </c>
      <c r="Q123" s="35"/>
      <c r="R123" s="35" t="s">
        <v>832</v>
      </c>
      <c r="S123" s="35" t="b">
        <v>0</v>
      </c>
      <c r="T123" s="35" t="b">
        <v>0</v>
      </c>
      <c r="U123" s="41" t="str">
        <f>IFERROR(__xludf.DUMMYFUNCTION("""["" &amp; JOIN("", "", ARRAYFORMULA("""""""" &amp; TRIM(SPLIT(A123,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""77423"", ""77429"", ""77430"", ""77433"", ""77441"", ""77444"", ""77447"", ""77449"", ""77450"", ""77451"", ""77459"", ""77461"", ""77464"", ""77469"", ""77471"", ""77476"""&amp;", ""77477"", ""77478"", ""77479"", ""77481"", ""77484"", ""77485"", ""77489"", ""77493"", ""77494"",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"77423", "77429", "77430", "77433", "77441", "77444", "77447", "77449", "77450", "77451", "77459", "77461", "77464", "77469", "77471", "77476", "77477", "77478", "77479", "77481", "77484", "77485", "77489", "77493", "77494", "77498", "77501", "77502", "77503", "77504", "77505", "77506", "77507", "77508", "77520", "77521", "77530", "77532", "77535", "77536", "77545", "77546", "77547", "77562", "77571", "77581", "77583", "77584", "77586", "77587", "77598"]</v>
      </c>
      <c r="V123" s="42" t="s">
        <v>826</v>
      </c>
      <c r="W123" s="42" t="s">
        <v>827</v>
      </c>
      <c r="X123" s="43"/>
      <c r="Y123" s="44" t="str">
        <f>vlookup(G123,zip_codes!$B$6:$J988,3,false)</f>
        <v>Houston</v>
      </c>
      <c r="Z123" s="45" t="str">
        <f>vlookup(G123,zip_codes!$B$6:$J988,9,false)</f>
        <v>Brays Oaks, Fondren Southwest</v>
      </c>
      <c r="AA123" s="44" t="str">
        <f>vlookup(B123,organizations!$B$1:$C988,2,false)</f>
        <v>Bee Busy Wellness Center</v>
      </c>
      <c r="AB123" s="46" t="s">
        <v>828</v>
      </c>
      <c r="AC123" s="47" t="s">
        <v>829</v>
      </c>
      <c r="AD123" s="48" t="s">
        <v>62</v>
      </c>
      <c r="AE123" s="48" t="str">
        <f t="shared" si="9"/>
        <v>Bee Busy Wellness Center8785 W Bellfort Avenue33</v>
      </c>
      <c r="AF123" s="48" t="str">
        <f t="shared" si="12"/>
        <v/>
      </c>
    </row>
    <row r="124" ht="66.75" customHeight="1">
      <c r="A124" s="49" t="s">
        <v>50</v>
      </c>
      <c r="B124" s="35" t="s">
        <v>833</v>
      </c>
      <c r="C124" s="36" t="s">
        <v>834</v>
      </c>
      <c r="D124" s="36"/>
      <c r="E124" s="36" t="s">
        <v>36</v>
      </c>
      <c r="F124" s="36" t="s">
        <v>37</v>
      </c>
      <c r="G124" s="35" t="s">
        <v>524</v>
      </c>
      <c r="H124" s="35" t="s">
        <v>835</v>
      </c>
      <c r="I124" s="35" t="s">
        <v>836</v>
      </c>
      <c r="J124" s="35"/>
      <c r="K124" s="37">
        <f>IFERROR(__xludf.DUMMYFUNCTION("query(assistance!$A$2:$E988,""Select C Where D = '""&amp;L124&amp;""'"")"),13.0)</f>
        <v>13</v>
      </c>
      <c r="L124" s="36" t="s">
        <v>240</v>
      </c>
      <c r="M124" s="38">
        <f t="shared" si="13"/>
        <v>1</v>
      </c>
      <c r="N124" s="39" t="s">
        <v>42</v>
      </c>
      <c r="O124" s="65"/>
      <c r="P124" s="50"/>
      <c r="Q124" s="35"/>
      <c r="R124" s="35" t="s">
        <v>837</v>
      </c>
      <c r="S124" s="35" t="b">
        <v>0</v>
      </c>
      <c r="T124" s="35" t="b">
        <v>0</v>
      </c>
      <c r="U124" s="41" t="str">
        <f>IFERROR(__xludf.DUMMYFUNCTION("""["" &amp; JOIN("", "", ARRAYFORMULA("""""""" &amp; TRIM(SPLIT(A124, "","")) &amp; """""""")) &amp; ""]"""),"[""99999""]")</f>
        <v>["99999"]</v>
      </c>
      <c r="V124" s="52" t="s">
        <v>838</v>
      </c>
      <c r="W124" s="52" t="s">
        <v>839</v>
      </c>
      <c r="X124" s="43"/>
      <c r="Y124" s="44" t="str">
        <f>vlookup(G124,zip_codes!$B$6:$J988,3,false)</f>
        <v>Houston</v>
      </c>
      <c r="Z124" s="45" t="str">
        <f>vlookup(G124,zip_codes!$B$6:$J988,9,false)</f>
        <v>Bellaire, Brays Oaks, Fondren Gardens, Westbury, Willow Meadows/ Willowbend Area, Willowbend</v>
      </c>
      <c r="AA124" s="44" t="str">
        <f>vlookup(B124,organizations!$B$1:$C988,2,false)</f>
        <v>Bethel Heavenly Hands</v>
      </c>
      <c r="AB124" s="46" t="s">
        <v>840</v>
      </c>
      <c r="AC124" s="47" t="s">
        <v>841</v>
      </c>
      <c r="AD124" s="48" t="s">
        <v>62</v>
      </c>
      <c r="AE124" s="48" t="str">
        <f t="shared" si="9"/>
        <v>Bethel Heavenly Hands12660 Sandpiper Drive13</v>
      </c>
      <c r="AF124" s="48" t="str">
        <f t="shared" si="12"/>
        <v/>
      </c>
    </row>
    <row r="125" ht="66.75" customHeight="1">
      <c r="A125" s="49" t="s">
        <v>50</v>
      </c>
      <c r="B125" s="35" t="s">
        <v>833</v>
      </c>
      <c r="C125" s="36" t="s">
        <v>834</v>
      </c>
      <c r="D125" s="36"/>
      <c r="E125" s="36" t="s">
        <v>36</v>
      </c>
      <c r="F125" s="36" t="s">
        <v>37</v>
      </c>
      <c r="G125" s="35" t="s">
        <v>524</v>
      </c>
      <c r="H125" s="35" t="s">
        <v>835</v>
      </c>
      <c r="I125" s="35" t="s">
        <v>836</v>
      </c>
      <c r="J125" s="35"/>
      <c r="K125" s="37">
        <f>IFERROR(__xludf.DUMMYFUNCTION("query(assistance!$A$2:$E988,""Select C Where D = '""&amp;L125&amp;""'"")"),61.0)</f>
        <v>61</v>
      </c>
      <c r="L125" s="36" t="s">
        <v>842</v>
      </c>
      <c r="M125" s="38">
        <f t="shared" si="13"/>
        <v>1</v>
      </c>
      <c r="N125" s="39" t="s">
        <v>42</v>
      </c>
      <c r="O125" s="65"/>
      <c r="P125" s="50"/>
      <c r="Q125" s="35"/>
      <c r="R125" s="35" t="s">
        <v>843</v>
      </c>
      <c r="S125" s="35" t="b">
        <v>0</v>
      </c>
      <c r="T125" s="35" t="b">
        <v>0</v>
      </c>
      <c r="U125" s="41" t="str">
        <f>IFERROR(__xludf.DUMMYFUNCTION("""["" &amp; JOIN("", "", ARRAYFORMULA("""""""" &amp; TRIM(SPLIT(A125, "","")) &amp; """""""")) &amp; ""]"""),"[""99999""]")</f>
        <v>["99999"]</v>
      </c>
      <c r="V125" s="52" t="s">
        <v>838</v>
      </c>
      <c r="W125" s="52" t="s">
        <v>839</v>
      </c>
      <c r="X125" s="43"/>
      <c r="Y125" s="44" t="str">
        <f>vlookup(G125,zip_codes!$B$6:$J988,3,false)</f>
        <v>Houston</v>
      </c>
      <c r="Z125" s="45" t="str">
        <f>vlookup(G125,zip_codes!$B$6:$J988,9,false)</f>
        <v>Bellaire, Brays Oaks, Fondren Gardens, Westbury, Willow Meadows/ Willowbend Area, Willowbend</v>
      </c>
      <c r="AA125" s="44" t="str">
        <f>vlookup(B125,organizations!$B$1:$C988,2,false)</f>
        <v>Bethel Heavenly Hands</v>
      </c>
      <c r="AB125" s="46" t="s">
        <v>840</v>
      </c>
      <c r="AC125" s="47" t="s">
        <v>841</v>
      </c>
      <c r="AD125" s="48" t="s">
        <v>62</v>
      </c>
      <c r="AE125" s="48" t="str">
        <f t="shared" si="9"/>
        <v>Bethel Heavenly Hands12660 Sandpiper Drive61</v>
      </c>
      <c r="AF125" s="48" t="str">
        <f t="shared" si="12"/>
        <v/>
      </c>
    </row>
    <row r="126" ht="66.75" customHeight="1">
      <c r="A126" s="49" t="s">
        <v>50</v>
      </c>
      <c r="B126" s="35" t="s">
        <v>844</v>
      </c>
      <c r="C126" s="36" t="s">
        <v>845</v>
      </c>
      <c r="D126" s="36"/>
      <c r="E126" s="36" t="s">
        <v>36</v>
      </c>
      <c r="F126" s="36" t="s">
        <v>37</v>
      </c>
      <c r="G126" s="35" t="s">
        <v>846</v>
      </c>
      <c r="H126" s="35" t="s">
        <v>847</v>
      </c>
      <c r="I126" s="35" t="s">
        <v>848</v>
      </c>
      <c r="J126" s="35" t="s">
        <v>849</v>
      </c>
      <c r="K126" s="37">
        <f>IFERROR(__xludf.DUMMYFUNCTION("query(assistance!$A$2:$E988,""Select C Where D = '""&amp;L126&amp;""'"")"),44.0)</f>
        <v>44</v>
      </c>
      <c r="L126" s="36" t="s">
        <v>102</v>
      </c>
      <c r="M126" s="38">
        <f t="shared" si="13"/>
        <v>1</v>
      </c>
      <c r="N126" s="39" t="s">
        <v>42</v>
      </c>
      <c r="O126" s="40">
        <v>45817.0</v>
      </c>
      <c r="P126" s="35" t="s">
        <v>43</v>
      </c>
      <c r="Q126" s="72">
        <v>46133.0</v>
      </c>
      <c r="R126" s="35" t="s">
        <v>850</v>
      </c>
      <c r="S126" s="35" t="b">
        <v>1</v>
      </c>
      <c r="T126" s="35" t="b">
        <v>0</v>
      </c>
      <c r="U126" s="41" t="str">
        <f>IFERROR(__xludf.DUMMYFUNCTION("""["" &amp; JOIN("", "", ARRAYFORMULA("""""""" &amp; TRIM(SPLIT(A126, "","")) &amp; """""""")) &amp; ""]"""),"[""99999""]")</f>
        <v>["99999"]</v>
      </c>
      <c r="V126" s="42" t="s">
        <v>851</v>
      </c>
      <c r="W126" s="42" t="s">
        <v>852</v>
      </c>
      <c r="X126" s="43"/>
      <c r="Y126" s="44" t="str">
        <f>vlookup(G126,zip_codes!$B$6:$J988,3,false)</f>
        <v>Houston</v>
      </c>
      <c r="Z126" s="45" t="str">
        <f>vlookup(G126,zip_codes!$B$6:$J988,9,false)</f>
        <v>Denver Harbor / Port Houston, Fifth Ward, Northside</v>
      </c>
      <c r="AA126" s="44" t="str">
        <f>vlookup(B126,organizations!$B$1:$C988,2,false)</f>
        <v>Bezos Academy</v>
      </c>
      <c r="AB126" s="46" t="s">
        <v>853</v>
      </c>
      <c r="AC126" s="47" t="s">
        <v>854</v>
      </c>
      <c r="AD126" s="48" t="s">
        <v>304</v>
      </c>
      <c r="AE126" s="48" t="str">
        <f t="shared" si="9"/>
        <v>Bezos Academy Denver Harbor6402 Market Street44</v>
      </c>
      <c r="AF126" s="48" t="str">
        <f t="shared" si="12"/>
        <v/>
      </c>
    </row>
    <row r="127" ht="66.75" customHeight="1">
      <c r="A127" s="49" t="s">
        <v>50</v>
      </c>
      <c r="B127" s="35" t="s">
        <v>855</v>
      </c>
      <c r="C127" s="36" t="s">
        <v>856</v>
      </c>
      <c r="D127" s="36"/>
      <c r="E127" s="36" t="s">
        <v>36</v>
      </c>
      <c r="F127" s="36" t="s">
        <v>37</v>
      </c>
      <c r="G127" s="35" t="s">
        <v>857</v>
      </c>
      <c r="H127" s="35" t="s">
        <v>858</v>
      </c>
      <c r="I127" s="35" t="s">
        <v>131</v>
      </c>
      <c r="J127" s="35" t="s">
        <v>849</v>
      </c>
      <c r="K127" s="37">
        <f>IFERROR(__xludf.DUMMYFUNCTION("query(assistance!$A$2:$E988,""Select C Where D = '""&amp;L127&amp;""'"")"),44.0)</f>
        <v>44</v>
      </c>
      <c r="L127" s="36" t="s">
        <v>102</v>
      </c>
      <c r="M127" s="38">
        <f t="shared" si="13"/>
        <v>1</v>
      </c>
      <c r="N127" s="39" t="s">
        <v>42</v>
      </c>
      <c r="O127" s="40">
        <v>45817.0</v>
      </c>
      <c r="P127" s="35" t="s">
        <v>43</v>
      </c>
      <c r="Q127" s="72">
        <v>46133.0</v>
      </c>
      <c r="R127" s="35" t="s">
        <v>859</v>
      </c>
      <c r="S127" s="35" t="b">
        <v>1</v>
      </c>
      <c r="T127" s="35" t="b">
        <v>0</v>
      </c>
      <c r="U127" s="41" t="str">
        <f>IFERROR(__xludf.DUMMYFUNCTION("""["" &amp; JOIN("", "", ARRAYFORMULA("""""""" &amp; TRIM(SPLIT(A127, "","")) &amp; """""""")) &amp; ""]"""),"[""99999""]")</f>
        <v>["99999"]</v>
      </c>
      <c r="V127" s="42" t="s">
        <v>860</v>
      </c>
      <c r="W127" s="42" t="s">
        <v>861</v>
      </c>
      <c r="X127" s="43"/>
      <c r="Y127" s="44" t="str">
        <f>vlookup(G127,zip_codes!$B$6:$J988,3,false)</f>
        <v>Houston</v>
      </c>
      <c r="Z127" s="45" t="str">
        <f>vlookup(G127,zip_codes!$B$6:$J988,9,false)</f>
        <v>Greater East End, Harrisburg, Magnolia Park</v>
      </c>
      <c r="AA127" s="44" t="str">
        <f>vlookup(B127,organizations!$B$1:$C988,2,false)</f>
        <v>Bezos Academy</v>
      </c>
      <c r="AB127" s="46" t="s">
        <v>862</v>
      </c>
      <c r="AC127" s="47" t="s">
        <v>134</v>
      </c>
      <c r="AD127" s="48" t="s">
        <v>863</v>
      </c>
      <c r="AE127" s="48" t="str">
        <f t="shared" si="9"/>
        <v>Bezos Academy Magnolia Park7524 Avenue E44</v>
      </c>
      <c r="AF127" s="48" t="str">
        <f t="shared" si="12"/>
        <v/>
      </c>
    </row>
    <row r="128" ht="66.75" customHeight="1">
      <c r="A128" s="49" t="s">
        <v>50</v>
      </c>
      <c r="B128" s="35" t="s">
        <v>864</v>
      </c>
      <c r="C128" s="36" t="s">
        <v>865</v>
      </c>
      <c r="D128" s="36" t="s">
        <v>866</v>
      </c>
      <c r="E128" s="36" t="s">
        <v>36</v>
      </c>
      <c r="F128" s="36" t="s">
        <v>37</v>
      </c>
      <c r="G128" s="35" t="s">
        <v>867</v>
      </c>
      <c r="H128" s="35" t="s">
        <v>868</v>
      </c>
      <c r="I128" s="35" t="s">
        <v>848</v>
      </c>
      <c r="J128" s="35" t="s">
        <v>849</v>
      </c>
      <c r="K128" s="37">
        <f>IFERROR(__xludf.DUMMYFUNCTION("query(assistance!$A$2:$E988,""Select C Where D = '""&amp;L128&amp;""'"")"),44.0)</f>
        <v>44</v>
      </c>
      <c r="L128" s="36" t="s">
        <v>102</v>
      </c>
      <c r="M128" s="38">
        <f t="shared" si="13"/>
        <v>1</v>
      </c>
      <c r="N128" s="39" t="s">
        <v>42</v>
      </c>
      <c r="O128" s="40">
        <v>45817.0</v>
      </c>
      <c r="P128" s="35" t="s">
        <v>43</v>
      </c>
      <c r="Q128" s="72">
        <v>46133.0</v>
      </c>
      <c r="R128" s="35" t="s">
        <v>869</v>
      </c>
      <c r="S128" s="35" t="b">
        <v>1</v>
      </c>
      <c r="T128" s="35" t="b">
        <v>0</v>
      </c>
      <c r="U128" s="41" t="str">
        <f>IFERROR(__xludf.DUMMYFUNCTION("""["" &amp; JOIN("", "", ARRAYFORMULA("""""""" &amp; TRIM(SPLIT(A128, "","")) &amp; """""""")) &amp; ""]"""),"[""99999""]")</f>
        <v>["99999"]</v>
      </c>
      <c r="V128" s="42" t="s">
        <v>870</v>
      </c>
      <c r="W128" s="42" t="s">
        <v>871</v>
      </c>
      <c r="X128" s="43"/>
      <c r="Y128" s="44" t="str">
        <f>vlookup(G128,zip_codes!$B$6:$J988,3,false)</f>
        <v>Houston</v>
      </c>
      <c r="Z128" s="45" t="str">
        <f>vlookup(G128,zip_codes!$B$6:$J988,9,false)</f>
        <v>Cloverleaf, Hunterwood, Sheldon</v>
      </c>
      <c r="AA128" s="44" t="str">
        <f>vlookup(B128,organizations!$B$1:$C988,2,false)</f>
        <v>Bezos Academy</v>
      </c>
      <c r="AB128" s="46" t="s">
        <v>872</v>
      </c>
      <c r="AC128" s="47" t="s">
        <v>854</v>
      </c>
      <c r="AD128" s="58" t="s">
        <v>873</v>
      </c>
      <c r="AE128" s="48" t="str">
        <f t="shared" si="9"/>
        <v>Bezos Academy North Shore5800 Uvalde Road44</v>
      </c>
      <c r="AF128" s="48" t="str">
        <f t="shared" si="12"/>
        <v/>
      </c>
    </row>
    <row r="129" ht="66.75" customHeight="1">
      <c r="A129" s="49" t="s">
        <v>50</v>
      </c>
      <c r="B129" s="35" t="s">
        <v>874</v>
      </c>
      <c r="C129" s="36" t="s">
        <v>875</v>
      </c>
      <c r="D129" s="36"/>
      <c r="E129" s="36" t="s">
        <v>36</v>
      </c>
      <c r="F129" s="36" t="s">
        <v>37</v>
      </c>
      <c r="G129" s="35" t="s">
        <v>876</v>
      </c>
      <c r="H129" s="35"/>
      <c r="I129" s="35"/>
      <c r="J129" s="35" t="s">
        <v>849</v>
      </c>
      <c r="K129" s="37">
        <f>IFERROR(__xludf.DUMMYFUNCTION("query(assistance!$A$2:$E988,""Select C Where D = '""&amp;L129&amp;""'"")"),44.0)</f>
        <v>44</v>
      </c>
      <c r="L129" s="36" t="s">
        <v>102</v>
      </c>
      <c r="M129" s="38">
        <f t="shared" si="13"/>
        <v>1</v>
      </c>
      <c r="N129" s="39" t="s">
        <v>42</v>
      </c>
      <c r="O129" s="40">
        <v>46020.0</v>
      </c>
      <c r="P129" s="35" t="s">
        <v>43</v>
      </c>
      <c r="Q129" s="72">
        <v>46133.0</v>
      </c>
      <c r="R129" s="35" t="s">
        <v>877</v>
      </c>
      <c r="S129" s="35" t="b">
        <v>1</v>
      </c>
      <c r="T129" s="35" t="b">
        <v>0</v>
      </c>
      <c r="U129" s="41" t="str">
        <f>IFERROR(__xludf.DUMMYFUNCTION("""["" &amp; JOIN("", "", ARRAYFORMULA("""""""" &amp; TRIM(SPLIT(A129, "","")) &amp; """""""")) &amp; ""]"""),"[""99999""]")</f>
        <v>["99999"]</v>
      </c>
      <c r="V129" s="42"/>
      <c r="W129" s="42"/>
      <c r="X129" s="43"/>
      <c r="Y129" s="44" t="str">
        <f>vlookup(G129,zip_codes!$B$6:$J988,3,false)</f>
        <v>Houston</v>
      </c>
      <c r="Z129" s="45" t="str">
        <f>vlookup(G129,zip_codes!$B$6:$J988,9,false)</f>
        <v>Independence Heights, Northline, Northside / Northline</v>
      </c>
      <c r="AA129" s="44" t="str">
        <f>vlookup(B129,organizations!$B$1:$C988,2,false)</f>
        <v>Bezos Academy</v>
      </c>
      <c r="AB129" s="46" t="s">
        <v>878</v>
      </c>
      <c r="AC129" s="53"/>
      <c r="AD129" s="48" t="s">
        <v>74</v>
      </c>
      <c r="AE129" s="48" t="str">
        <f t="shared" si="9"/>
        <v>Bezos Academy Northside8855 McGallion Road44</v>
      </c>
      <c r="AF129" s="48" t="str">
        <f t="shared" si="12"/>
        <v/>
      </c>
    </row>
    <row r="130" ht="66.75" customHeight="1">
      <c r="A130" s="49" t="s">
        <v>50</v>
      </c>
      <c r="B130" s="35" t="s">
        <v>879</v>
      </c>
      <c r="C130" s="36" t="s">
        <v>880</v>
      </c>
      <c r="D130" s="36"/>
      <c r="E130" s="36" t="s">
        <v>36</v>
      </c>
      <c r="F130" s="36" t="s">
        <v>37</v>
      </c>
      <c r="G130" s="35" t="s">
        <v>881</v>
      </c>
      <c r="H130" s="35" t="s">
        <v>882</v>
      </c>
      <c r="I130" s="35" t="s">
        <v>883</v>
      </c>
      <c r="J130" s="35" t="s">
        <v>849</v>
      </c>
      <c r="K130" s="37">
        <f>IFERROR(__xludf.DUMMYFUNCTION("query(assistance!$A$2:$E988,""Select C Where D = '""&amp;L130&amp;""'"")"),44.0)</f>
        <v>44</v>
      </c>
      <c r="L130" s="36" t="s">
        <v>102</v>
      </c>
      <c r="M130" s="38">
        <f t="shared" si="13"/>
        <v>1</v>
      </c>
      <c r="N130" s="39" t="s">
        <v>42</v>
      </c>
      <c r="O130" s="40">
        <v>45817.0</v>
      </c>
      <c r="P130" s="35" t="s">
        <v>43</v>
      </c>
      <c r="Q130" s="72">
        <v>46133.0</v>
      </c>
      <c r="R130" s="35" t="s">
        <v>884</v>
      </c>
      <c r="S130" s="35" t="b">
        <v>1</v>
      </c>
      <c r="T130" s="35" t="b">
        <v>0</v>
      </c>
      <c r="U130" s="41" t="str">
        <f>IFERROR(__xludf.DUMMYFUNCTION("""["" &amp; JOIN("", "", ARRAYFORMULA("""""""" &amp; TRIM(SPLIT(A130, "","")) &amp; """""""")) &amp; ""]"""),"[""99999""]")</f>
        <v>["99999"]</v>
      </c>
      <c r="V130" s="42"/>
      <c r="W130" s="42"/>
      <c r="X130" s="43"/>
      <c r="Y130" s="44" t="str">
        <f>vlookup(G130,zip_codes!$B$6:$J988,3,false)</f>
        <v>Houston</v>
      </c>
      <c r="Z130" s="45" t="str">
        <f>vlookup(G130,zip_codes!$B$6:$J988,9,false)</f>
        <v>Central Southwest, South Park, South Side, Sunnyside</v>
      </c>
      <c r="AA130" s="44" t="str">
        <f>vlookup(B130,organizations!$B$1:$C988,2,false)</f>
        <v>Bezos Academy</v>
      </c>
      <c r="AB130" s="46" t="s">
        <v>885</v>
      </c>
      <c r="AC130" s="47" t="s">
        <v>886</v>
      </c>
      <c r="AD130" s="48" t="s">
        <v>49</v>
      </c>
      <c r="AE130" s="48" t="str">
        <f t="shared" si="9"/>
        <v>Bezos Academy South Side2605 Reed Road44</v>
      </c>
      <c r="AF130" s="48" t="str">
        <f t="shared" si="12"/>
        <v/>
      </c>
    </row>
    <row r="131" ht="66.75" customHeight="1">
      <c r="A131" s="49" t="s">
        <v>50</v>
      </c>
      <c r="B131" s="35" t="s">
        <v>887</v>
      </c>
      <c r="C131" s="36" t="s">
        <v>888</v>
      </c>
      <c r="D131" s="36"/>
      <c r="E131" s="36" t="s">
        <v>36</v>
      </c>
      <c r="F131" s="36" t="s">
        <v>37</v>
      </c>
      <c r="G131" s="35" t="s">
        <v>557</v>
      </c>
      <c r="H131" s="35"/>
      <c r="I131" s="35"/>
      <c r="J131" s="35" t="s">
        <v>849</v>
      </c>
      <c r="K131" s="37">
        <f>IFERROR(__xludf.DUMMYFUNCTION("query(assistance!$A$2:$E988,""Select C Where D = '""&amp;L131&amp;""'"")"),44.0)</f>
        <v>44</v>
      </c>
      <c r="L131" s="36" t="s">
        <v>102</v>
      </c>
      <c r="M131" s="38">
        <f t="shared" si="13"/>
        <v>1</v>
      </c>
      <c r="N131" s="39" t="s">
        <v>42</v>
      </c>
      <c r="O131" s="40">
        <v>46020.0</v>
      </c>
      <c r="P131" s="35" t="s">
        <v>43</v>
      </c>
      <c r="Q131" s="72">
        <v>46133.0</v>
      </c>
      <c r="R131" s="35" t="s">
        <v>889</v>
      </c>
      <c r="S131" s="35" t="b">
        <v>1</v>
      </c>
      <c r="T131" s="35" t="b">
        <v>0</v>
      </c>
      <c r="U131" s="41" t="str">
        <f>IFERROR(__xludf.DUMMYFUNCTION("""["" &amp; JOIN("", "", ARRAYFORMULA("""""""" &amp; TRIM(SPLIT(A131, "","")) &amp; """""""")) &amp; ""]"""),"[""99999""]")</f>
        <v>["99999"]</v>
      </c>
      <c r="V131" s="42"/>
      <c r="W131" s="42"/>
      <c r="X131" s="43"/>
      <c r="Y131" s="44" t="str">
        <f>vlookup(G131,zip_codes!$B$6:$J988,3,false)</f>
        <v>Houston</v>
      </c>
      <c r="Z131" s="45" t="str">
        <f>vlookup(G131,zip_codes!$B$6:$J988,9,false)</f>
        <v>East Downtown, Downtown Houston, Second Ward, South Central Houston, South Side</v>
      </c>
      <c r="AA131" s="44" t="str">
        <f>vlookup(B131,organizations!$B$1:$C988,2,false)</f>
        <v>Bezos Academy</v>
      </c>
      <c r="AB131" s="46" t="s">
        <v>890</v>
      </c>
      <c r="AC131" s="53"/>
      <c r="AD131" s="48" t="s">
        <v>49</v>
      </c>
      <c r="AE131" s="48" t="str">
        <f t="shared" si="9"/>
        <v>Bezos Academy Third Ward2604 Gray Street44</v>
      </c>
      <c r="AF131" s="48" t="str">
        <f t="shared" si="12"/>
        <v/>
      </c>
    </row>
    <row r="132" ht="66.75" customHeight="1">
      <c r="A132" s="49" t="s">
        <v>50</v>
      </c>
      <c r="B132" s="35" t="s">
        <v>891</v>
      </c>
      <c r="C132" s="36" t="s">
        <v>892</v>
      </c>
      <c r="D132" s="36"/>
      <c r="E132" s="36" t="s">
        <v>36</v>
      </c>
      <c r="F132" s="36" t="s">
        <v>37</v>
      </c>
      <c r="G132" s="35" t="s">
        <v>514</v>
      </c>
      <c r="H132" s="35" t="s">
        <v>893</v>
      </c>
      <c r="I132" s="35" t="s">
        <v>67</v>
      </c>
      <c r="J132" s="35"/>
      <c r="K132" s="37">
        <f>IFERROR(__xludf.DUMMYFUNCTION("query(assistance!$A$2:$E988,""Select C Where D = '""&amp;L132&amp;""'"")"),44.0)</f>
        <v>44</v>
      </c>
      <c r="L132" s="36" t="s">
        <v>102</v>
      </c>
      <c r="M132" s="38">
        <f t="shared" si="13"/>
        <v>1</v>
      </c>
      <c r="N132" s="39" t="s">
        <v>42</v>
      </c>
      <c r="O132" s="40">
        <v>45761.0</v>
      </c>
      <c r="P132" s="35" t="s">
        <v>406</v>
      </c>
      <c r="Q132" s="35"/>
      <c r="R132" s="35" t="s">
        <v>894</v>
      </c>
      <c r="S132" s="35" t="b">
        <v>0</v>
      </c>
      <c r="T132" s="35" t="b">
        <v>0</v>
      </c>
      <c r="U132" s="41" t="str">
        <f>IFERROR(__xludf.DUMMYFUNCTION("""["" &amp; JOIN("", "", ARRAYFORMULA("""""""" &amp; TRIM(SPLIT(A132, "","")) &amp; """""""")) &amp; ""]"""),"[""99999""]")</f>
        <v>["99999"]</v>
      </c>
      <c r="V132" s="52" t="s">
        <v>895</v>
      </c>
      <c r="W132" s="52" t="s">
        <v>896</v>
      </c>
      <c r="X132" s="43"/>
      <c r="Y132" s="44" t="str">
        <f>vlookup(G132,zip_codes!$B$6:$J988,3,false)</f>
        <v>Houston</v>
      </c>
      <c r="Z132" s="45" t="str">
        <f>vlookup(G132,zip_codes!$B$6:$J988,9,false)</f>
        <v>Hyde Park, Montrose, South Central Houston</v>
      </c>
      <c r="AA132" s="44" t="str">
        <f>vlookup(B132,organizations!$B$1:$C988,2,false)</f>
        <v>Blessed Beginnings Life Center</v>
      </c>
      <c r="AB132" s="46" t="s">
        <v>897</v>
      </c>
      <c r="AC132" s="47" t="s">
        <v>73</v>
      </c>
      <c r="AD132" s="48" t="s">
        <v>314</v>
      </c>
      <c r="AE132" s="48" t="str">
        <f t="shared" si="9"/>
        <v>Blessed Beginnings Life Center2900 Louisiana Street44</v>
      </c>
      <c r="AF132" s="48" t="str">
        <f t="shared" si="12"/>
        <v/>
      </c>
    </row>
    <row r="133" ht="66.75" customHeight="1">
      <c r="A133" s="49" t="s">
        <v>898</v>
      </c>
      <c r="B133" s="35" t="s">
        <v>899</v>
      </c>
      <c r="C133" s="36" t="s">
        <v>900</v>
      </c>
      <c r="D133" s="36"/>
      <c r="E133" s="36" t="s">
        <v>729</v>
      </c>
      <c r="F133" s="36" t="s">
        <v>37</v>
      </c>
      <c r="G133" s="35" t="s">
        <v>898</v>
      </c>
      <c r="H133" s="35" t="s">
        <v>901</v>
      </c>
      <c r="I133" s="35" t="s">
        <v>902</v>
      </c>
      <c r="J133" s="35"/>
      <c r="K133" s="37">
        <f>IFERROR(__xludf.DUMMYFUNCTION("query(assistance!$A$2:$E988,""Select C Where D = '""&amp;L133&amp;""'"")"),13.0)</f>
        <v>13</v>
      </c>
      <c r="L133" s="36" t="s">
        <v>240</v>
      </c>
      <c r="M133" s="38">
        <f t="shared" si="13"/>
        <v>1</v>
      </c>
      <c r="N133" s="39" t="s">
        <v>42</v>
      </c>
      <c r="O133" s="65"/>
      <c r="P133" s="50"/>
      <c r="Q133" s="50"/>
      <c r="R133" s="50"/>
      <c r="S133" s="35" t="b">
        <v>0</v>
      </c>
      <c r="T133" s="35" t="b">
        <v>0</v>
      </c>
      <c r="U133" s="41" t="str">
        <f>IFERROR(__xludf.DUMMYFUNCTION("""["" &amp; JOIN("", "", ARRAYFORMULA("""""""" &amp; TRIM(SPLIT(A133, "","")) &amp; """""""")) &amp; ""]"""),"[""77503""]")</f>
        <v>["77503"]</v>
      </c>
      <c r="V133" s="52" t="s">
        <v>903</v>
      </c>
      <c r="W133" s="52" t="s">
        <v>904</v>
      </c>
      <c r="X133" s="43"/>
      <c r="Y133" s="44" t="str">
        <f>vlookup(G133,zip_codes!$B$6:$J988,3,false)</f>
        <v>Pasadena</v>
      </c>
      <c r="Z133" s="45" t="str">
        <f>vlookup(G133,zip_codes!$B$6:$J988,9,false)</f>
        <v>Pasadena</v>
      </c>
      <c r="AA133" s="44" t="str">
        <f>vlookup(B133,organizations!$B$1:$C988,2,false)</f>
        <v>Blessed Juan Diego</v>
      </c>
      <c r="AB133" s="46" t="s">
        <v>905</v>
      </c>
      <c r="AC133" s="47" t="s">
        <v>906</v>
      </c>
      <c r="AD133" s="58" t="s">
        <v>729</v>
      </c>
      <c r="AE133" s="48" t="str">
        <f t="shared" si="9"/>
        <v>Blessed Juan Diego3301 Pasadena Blvd13</v>
      </c>
      <c r="AF133" s="48" t="str">
        <f t="shared" si="12"/>
        <v/>
      </c>
    </row>
    <row r="134" ht="66.75" customHeight="1">
      <c r="A134" s="49" t="s">
        <v>907</v>
      </c>
      <c r="B134" s="35" t="s">
        <v>908</v>
      </c>
      <c r="C134" s="36" t="s">
        <v>909</v>
      </c>
      <c r="D134" s="36"/>
      <c r="E134" s="36" t="s">
        <v>36</v>
      </c>
      <c r="F134" s="36" t="s">
        <v>37</v>
      </c>
      <c r="G134" s="35" t="s">
        <v>557</v>
      </c>
      <c r="H134" s="35" t="s">
        <v>910</v>
      </c>
      <c r="I134" s="35" t="s">
        <v>911</v>
      </c>
      <c r="J134" s="35"/>
      <c r="K134" s="37">
        <f>IFERROR(__xludf.DUMMYFUNCTION("query(assistance!$A$2:$E988,""Select C Where D = '""&amp;L134&amp;""'"")"),13.0)</f>
        <v>13</v>
      </c>
      <c r="L134" s="36" t="s">
        <v>240</v>
      </c>
      <c r="M134" s="39">
        <f>if(N134="Inactive",3,if(N134="Limited", 2, if(N134="Closed", 4, 1)))</f>
        <v>4</v>
      </c>
      <c r="N134" s="51" t="s">
        <v>57</v>
      </c>
      <c r="O134" s="40">
        <v>45637.0</v>
      </c>
      <c r="P134" s="35" t="s">
        <v>912</v>
      </c>
      <c r="Q134" s="35"/>
      <c r="R134" s="35"/>
      <c r="S134" s="35" t="b">
        <v>0</v>
      </c>
      <c r="T134" s="35" t="b">
        <v>0</v>
      </c>
      <c r="U134" s="41" t="str">
        <f>IFERROR(__xludf.DUMMYFUNCTION("""["" &amp; JOIN("", "", ARRAYFORMULA("""""""" &amp; TRIM(SPLIT(A134, "","")) &amp; """""""")) &amp; ""]"""),"[""77003"", ""77011"", ""77023""]")</f>
        <v>["77003", "77011", "77023"]</v>
      </c>
      <c r="V134" s="52" t="s">
        <v>913</v>
      </c>
      <c r="W134" s="52" t="s">
        <v>914</v>
      </c>
      <c r="X134" s="43"/>
      <c r="Y134" s="44" t="str">
        <f>vlookup(G134,zip_codes!$B$6:$J988,3,false)</f>
        <v>Houston</v>
      </c>
      <c r="Z134" s="45" t="str">
        <f>vlookup(G134,zip_codes!$B$6:$J988,9,false)</f>
        <v>East Downtown, Downtown Houston, Second Ward, South Central Houston, South Side</v>
      </c>
      <c r="AA134" s="44" t="str">
        <f>vlookup(B134,organizations!$B$1:$C988,2,false)</f>
        <v>Society of St Vincent de Paul</v>
      </c>
      <c r="AB134" s="46" t="s">
        <v>915</v>
      </c>
      <c r="AC134" s="47" t="s">
        <v>916</v>
      </c>
      <c r="AD134" s="48" t="s">
        <v>314</v>
      </c>
      <c r="AE134" s="48" t="str">
        <f t="shared" si="9"/>
        <v>Blessed Sacrament (SVdP D5)4015 Sherman Street13</v>
      </c>
      <c r="AF134" s="48" t="str">
        <f t="shared" si="12"/>
        <v/>
      </c>
    </row>
    <row r="135" ht="66.75" customHeight="1">
      <c r="A135" s="49" t="s">
        <v>50</v>
      </c>
      <c r="B135" s="35" t="s">
        <v>917</v>
      </c>
      <c r="C135" s="36" t="s">
        <v>918</v>
      </c>
      <c r="D135" s="36"/>
      <c r="E135" s="36" t="s">
        <v>36</v>
      </c>
      <c r="F135" s="36" t="s">
        <v>37</v>
      </c>
      <c r="G135" s="35" t="s">
        <v>919</v>
      </c>
      <c r="H135" s="35" t="s">
        <v>920</v>
      </c>
      <c r="I135" s="35" t="s">
        <v>921</v>
      </c>
      <c r="J135" s="35"/>
      <c r="K135" s="37">
        <f>IFERROR(__xludf.DUMMYFUNCTION("query(assistance!$A$2:$E988,""Select C Where D = '""&amp;L135&amp;""'"")"),65.0)</f>
        <v>65</v>
      </c>
      <c r="L135" s="36" t="s">
        <v>41</v>
      </c>
      <c r="M135" s="38">
        <f t="shared" ref="M135:M142" si="14">if(N135="Inactive",3,if(N135="Limited", 2, 1))</f>
        <v>1</v>
      </c>
      <c r="N135" s="51" t="s">
        <v>42</v>
      </c>
      <c r="O135" s="40">
        <v>46018.0</v>
      </c>
      <c r="P135" s="35" t="s">
        <v>43</v>
      </c>
      <c r="Q135" s="35"/>
      <c r="R135" s="35" t="s">
        <v>922</v>
      </c>
      <c r="S135" s="35" t="b">
        <v>0</v>
      </c>
      <c r="T135" s="35" t="b">
        <v>0</v>
      </c>
      <c r="U135" s="41" t="str">
        <f>IFERROR(__xludf.DUMMYFUNCTION("""["" &amp; JOIN("", "", ARRAYFORMULA("""""""" &amp; TRIM(SPLIT(A135, "","")) &amp; """""""")) &amp; ""]"""),"[""99999""]")</f>
        <v>["99999"]</v>
      </c>
      <c r="V135" s="42" t="s">
        <v>923</v>
      </c>
      <c r="W135" s="42" t="s">
        <v>924</v>
      </c>
      <c r="X135" s="43"/>
      <c r="Y135" s="44" t="str">
        <f>vlookup(G135,zip_codes!$B$6:$J988,3,false)</f>
        <v>Houston</v>
      </c>
      <c r="Z135" s="45" t="str">
        <f>vlookup(G135,zip_codes!$B$6:$J988,9,false)</f>
        <v>Astrodome Area, Medical Center South, NRG Park area, South Main</v>
      </c>
      <c r="AA135" s="44" t="str">
        <f>vlookup(B135,organizations!$B$1:$C988,2,false)</f>
        <v>Bo's Place</v>
      </c>
      <c r="AB135" s="55" t="s">
        <v>925</v>
      </c>
      <c r="AC135" s="47" t="s">
        <v>926</v>
      </c>
      <c r="AD135" s="48" t="s">
        <v>927</v>
      </c>
      <c r="AE135" s="48" t="str">
        <f t="shared" si="9"/>
        <v>Bo's Place10050 Buffalo Speedway65</v>
      </c>
      <c r="AF135" s="48" t="str">
        <f t="shared" si="12"/>
        <v/>
      </c>
    </row>
    <row r="136" ht="66.75" customHeight="1">
      <c r="A136" s="49" t="s">
        <v>50</v>
      </c>
      <c r="B136" s="35" t="s">
        <v>928</v>
      </c>
      <c r="C136" s="36" t="s">
        <v>929</v>
      </c>
      <c r="D136" s="36" t="s">
        <v>930</v>
      </c>
      <c r="E136" s="36" t="s">
        <v>36</v>
      </c>
      <c r="F136" s="36" t="s">
        <v>37</v>
      </c>
      <c r="G136" s="35" t="s">
        <v>340</v>
      </c>
      <c r="H136" s="35" t="s">
        <v>931</v>
      </c>
      <c r="I136" s="35" t="s">
        <v>67</v>
      </c>
      <c r="J136" s="35"/>
      <c r="K136" s="37">
        <f>IFERROR(__xludf.DUMMYFUNCTION("query(assistance!$A$2:$E988,""Select C Where D = '""&amp;L136&amp;""'"")"),55.0)</f>
        <v>55</v>
      </c>
      <c r="L136" s="36" t="s">
        <v>436</v>
      </c>
      <c r="M136" s="38">
        <f t="shared" si="14"/>
        <v>2</v>
      </c>
      <c r="N136" s="51" t="s">
        <v>385</v>
      </c>
      <c r="O136" s="40">
        <v>45893.0</v>
      </c>
      <c r="P136" s="50"/>
      <c r="Q136" s="35"/>
      <c r="R136" s="35" t="s">
        <v>932</v>
      </c>
      <c r="S136" s="35" t="b">
        <v>0</v>
      </c>
      <c r="T136" s="35" t="b">
        <v>0</v>
      </c>
      <c r="U136" s="41" t="str">
        <f>IFERROR(__xludf.DUMMYFUNCTION("""["" &amp; JOIN("", "", ARRAYFORMULA("""""""" &amp; TRIM(SPLIT(A136, "","")) &amp; """""""")) &amp; ""]"""),"[""99999""]")</f>
        <v>["99999"]</v>
      </c>
      <c r="V136" s="52" t="s">
        <v>933</v>
      </c>
      <c r="W136" s="43"/>
      <c r="X136" s="43"/>
      <c r="Y136" s="44" t="str">
        <f>vlookup(G136,zip_codes!$B$6:$J988,3,false)</f>
        <v>Houston</v>
      </c>
      <c r="Z136" s="45" t="str">
        <f>vlookup(G136,zip_codes!$B$6:$J988,9,false)</f>
        <v>Alief</v>
      </c>
      <c r="AA136" s="44" t="str">
        <f>vlookup(B136,organizations!$B$1:$C988,2,false)</f>
        <v>Boat People SOS</v>
      </c>
      <c r="AB136" s="46" t="s">
        <v>934</v>
      </c>
      <c r="AC136" s="47" t="s">
        <v>73</v>
      </c>
      <c r="AD136" s="48" t="s">
        <v>345</v>
      </c>
      <c r="AE136" s="48" t="str">
        <f t="shared" si="9"/>
        <v>Boat People SOS11360 Bellaire Blvd55</v>
      </c>
      <c r="AF136" s="48" t="str">
        <f t="shared" si="12"/>
        <v/>
      </c>
    </row>
    <row r="137" ht="66.75" customHeight="1">
      <c r="A137" s="49" t="s">
        <v>935</v>
      </c>
      <c r="B137" s="35" t="s">
        <v>936</v>
      </c>
      <c r="C137" s="36" t="s">
        <v>937</v>
      </c>
      <c r="D137" s="36"/>
      <c r="E137" s="36" t="s">
        <v>36</v>
      </c>
      <c r="F137" s="36" t="s">
        <v>37</v>
      </c>
      <c r="G137" s="35" t="s">
        <v>524</v>
      </c>
      <c r="H137" s="35" t="s">
        <v>938</v>
      </c>
      <c r="I137" s="35" t="s">
        <v>939</v>
      </c>
      <c r="J137" s="35"/>
      <c r="K137" s="37">
        <f>IFERROR(__xludf.DUMMYFUNCTION("query(assistance!$A$2:$E988,""Select C Where D = '""&amp;L137&amp;""'"")"),12.0)</f>
        <v>12</v>
      </c>
      <c r="L137" s="36" t="s">
        <v>330</v>
      </c>
      <c r="M137" s="38">
        <f t="shared" si="14"/>
        <v>1</v>
      </c>
      <c r="N137" s="51" t="s">
        <v>42</v>
      </c>
      <c r="O137" s="73">
        <v>46052.0</v>
      </c>
      <c r="P137" s="35" t="s">
        <v>323</v>
      </c>
      <c r="Q137" s="35"/>
      <c r="R137" s="35" t="s">
        <v>940</v>
      </c>
      <c r="S137" s="35" t="b">
        <v>0</v>
      </c>
      <c r="T137" s="35" t="b">
        <v>0</v>
      </c>
      <c r="U137" s="41" t="str">
        <f>IFERROR(__xludf.DUMMYFUNCTION("""["" &amp; JOIN("", "", ARRAYFORMULA("""""""" &amp; TRIM(SPLIT(A137, "","")) &amp; """""""")) &amp; ""]"""),"[""77025"", ""77035"", ""77045"", ""77051"", ""77053"", ""77054"", ""77071"", ""77085"", ""77096""]")</f>
        <v>["77025", "77035", "77045", "77051", "77053", "77054", "77071", "77085", "77096"]</v>
      </c>
      <c r="V137" s="52" t="s">
        <v>941</v>
      </c>
      <c r="W137" s="52" t="s">
        <v>942</v>
      </c>
      <c r="X137" s="43"/>
      <c r="Y137" s="44" t="str">
        <f>vlookup(G137,zip_codes!$B$6:$J988,3,false)</f>
        <v>Houston</v>
      </c>
      <c r="Z137" s="45" t="str">
        <f>vlookup(G137,zip_codes!$B$6:$J988,9,false)</f>
        <v>Bellaire, Brays Oaks, Fondren Gardens, Westbury, Willow Meadows/ Willowbend Area, Willowbend</v>
      </c>
      <c r="AA137" s="44" t="str">
        <f>vlookup(B137,organizations!$B$1:$C988,2,false)</f>
        <v>Braes Interfaith Ministries</v>
      </c>
      <c r="AB137" s="46" t="s">
        <v>943</v>
      </c>
      <c r="AC137" s="47" t="s">
        <v>944</v>
      </c>
      <c r="AD137" s="48" t="s">
        <v>945</v>
      </c>
      <c r="AE137" s="48" t="str">
        <f t="shared" si="9"/>
        <v>Braes Interfaith Ministries4300 W. Bellfort Blvd12</v>
      </c>
      <c r="AF137" s="48" t="str">
        <f t="shared" si="12"/>
        <v/>
      </c>
    </row>
    <row r="138" ht="66.75" customHeight="1">
      <c r="A138" s="49" t="s">
        <v>935</v>
      </c>
      <c r="B138" s="35" t="s">
        <v>936</v>
      </c>
      <c r="C138" s="36" t="s">
        <v>937</v>
      </c>
      <c r="D138" s="36"/>
      <c r="E138" s="36" t="s">
        <v>36</v>
      </c>
      <c r="F138" s="36" t="s">
        <v>37</v>
      </c>
      <c r="G138" s="35" t="s">
        <v>524</v>
      </c>
      <c r="H138" s="35" t="s">
        <v>938</v>
      </c>
      <c r="I138" s="35" t="s">
        <v>939</v>
      </c>
      <c r="J138" s="35"/>
      <c r="K138" s="37">
        <f>IFERROR(__xludf.DUMMYFUNCTION("query(assistance!$A$2:$E988,""Select C Where D = '""&amp;L138&amp;""'"")"),13.0)</f>
        <v>13</v>
      </c>
      <c r="L138" s="36" t="s">
        <v>240</v>
      </c>
      <c r="M138" s="38">
        <f t="shared" si="14"/>
        <v>1</v>
      </c>
      <c r="N138" s="39" t="s">
        <v>42</v>
      </c>
      <c r="O138" s="65"/>
      <c r="P138" s="50"/>
      <c r="Q138" s="35"/>
      <c r="R138" s="35" t="s">
        <v>946</v>
      </c>
      <c r="S138" s="35" t="b">
        <v>0</v>
      </c>
      <c r="T138" s="35" t="b">
        <v>0</v>
      </c>
      <c r="U138" s="41" t="str">
        <f>IFERROR(__xludf.DUMMYFUNCTION("""["" &amp; JOIN("", "", ARRAYFORMULA("""""""" &amp; TRIM(SPLIT(A138, "","")) &amp; """""""")) &amp; ""]"""),"[""77025"", ""77035"", ""77045"", ""77051"", ""77053"", ""77054"", ""77071"", ""77085"", ""77096""]")</f>
        <v>["77025", "77035", "77045", "77051", "77053", "77054", "77071", "77085", "77096"]</v>
      </c>
      <c r="V138" s="52" t="s">
        <v>941</v>
      </c>
      <c r="W138" s="52" t="s">
        <v>942</v>
      </c>
      <c r="X138" s="43"/>
      <c r="Y138" s="44" t="str">
        <f>vlookup(G138,zip_codes!$B$6:$J988,3,false)</f>
        <v>Houston</v>
      </c>
      <c r="Z138" s="45" t="str">
        <f>vlookup(G138,zip_codes!$B$6:$J988,9,false)</f>
        <v>Bellaire, Brays Oaks, Fondren Gardens, Westbury, Willow Meadows/ Willowbend Area, Willowbend</v>
      </c>
      <c r="AA138" s="44" t="str">
        <f>vlookup(B138,organizations!$B$1:$C988,2,false)</f>
        <v>Braes Interfaith Ministries</v>
      </c>
      <c r="AB138" s="46" t="s">
        <v>943</v>
      </c>
      <c r="AC138" s="47" t="s">
        <v>944</v>
      </c>
      <c r="AD138" s="48" t="s">
        <v>945</v>
      </c>
      <c r="AE138" s="48" t="str">
        <f t="shared" si="9"/>
        <v>Braes Interfaith Ministries4300 W. Bellfort Blvd13</v>
      </c>
      <c r="AF138" s="48" t="str">
        <f t="shared" si="12"/>
        <v/>
      </c>
    </row>
    <row r="139" ht="66.75" customHeight="1">
      <c r="A139" s="49" t="s">
        <v>935</v>
      </c>
      <c r="B139" s="35" t="s">
        <v>936</v>
      </c>
      <c r="C139" s="36" t="s">
        <v>937</v>
      </c>
      <c r="D139" s="36"/>
      <c r="E139" s="36" t="s">
        <v>36</v>
      </c>
      <c r="F139" s="36" t="s">
        <v>37</v>
      </c>
      <c r="G139" s="35" t="s">
        <v>524</v>
      </c>
      <c r="H139" s="35" t="s">
        <v>938</v>
      </c>
      <c r="I139" s="35" t="s">
        <v>939</v>
      </c>
      <c r="J139" s="35"/>
      <c r="K139" s="37">
        <f>IFERROR(__xludf.DUMMYFUNCTION("query(assistance!$A$2:$E988,""Select C Where D = '""&amp;L139&amp;""'"")"),14.0)</f>
        <v>14</v>
      </c>
      <c r="L139" s="36" t="s">
        <v>391</v>
      </c>
      <c r="M139" s="38">
        <f t="shared" si="14"/>
        <v>1</v>
      </c>
      <c r="N139" s="39" t="s">
        <v>42</v>
      </c>
      <c r="O139" s="65"/>
      <c r="P139" s="50"/>
      <c r="Q139" s="35"/>
      <c r="R139" s="35" t="s">
        <v>947</v>
      </c>
      <c r="S139" s="35" t="b">
        <v>0</v>
      </c>
      <c r="T139" s="35" t="b">
        <v>0</v>
      </c>
      <c r="U139" s="41" t="str">
        <f>IFERROR(__xludf.DUMMYFUNCTION("""["" &amp; JOIN("", "", ARRAYFORMULA("""""""" &amp; TRIM(SPLIT(A139, "","")) &amp; """""""")) &amp; ""]"""),"[""77025"", ""77035"", ""77045"", ""77051"", ""77053"", ""77054"", ""77071"", ""77085"", ""77096""]")</f>
        <v>["77025", "77035", "77045", "77051", "77053", "77054", "77071", "77085", "77096"]</v>
      </c>
      <c r="V139" s="52" t="s">
        <v>941</v>
      </c>
      <c r="W139" s="52" t="s">
        <v>942</v>
      </c>
      <c r="X139" s="43"/>
      <c r="Y139" s="44" t="str">
        <f>vlookup(G139,zip_codes!$B$6:$J988,3,false)</f>
        <v>Houston</v>
      </c>
      <c r="Z139" s="45" t="str">
        <f>vlookup(G139,zip_codes!$B$6:$J988,9,false)</f>
        <v>Bellaire, Brays Oaks, Fondren Gardens, Westbury, Willow Meadows/ Willowbend Area, Willowbend</v>
      </c>
      <c r="AA139" s="44" t="str">
        <f>vlookup(B139,organizations!$B$1:$C988,2,false)</f>
        <v>Braes Interfaith Ministries</v>
      </c>
      <c r="AB139" s="46" t="s">
        <v>943</v>
      </c>
      <c r="AC139" s="47" t="s">
        <v>944</v>
      </c>
      <c r="AD139" s="48" t="s">
        <v>945</v>
      </c>
      <c r="AE139" s="48" t="str">
        <f t="shared" si="9"/>
        <v>Braes Interfaith Ministries4300 W. Bellfort Blvd14</v>
      </c>
      <c r="AF139" s="48" t="str">
        <f t="shared" si="12"/>
        <v/>
      </c>
    </row>
    <row r="140" ht="66.75" customHeight="1">
      <c r="A140" s="49" t="s">
        <v>935</v>
      </c>
      <c r="B140" s="35" t="s">
        <v>936</v>
      </c>
      <c r="C140" s="36" t="s">
        <v>937</v>
      </c>
      <c r="D140" s="36"/>
      <c r="E140" s="36" t="s">
        <v>36</v>
      </c>
      <c r="F140" s="36" t="s">
        <v>37</v>
      </c>
      <c r="G140" s="35" t="s">
        <v>524</v>
      </c>
      <c r="H140" s="35" t="s">
        <v>938</v>
      </c>
      <c r="I140" s="35" t="s">
        <v>939</v>
      </c>
      <c r="J140" s="35"/>
      <c r="K140" s="37">
        <f>IFERROR(__xludf.DUMMYFUNCTION("query(assistance!$A$2:$E988,""Select C Where D = '""&amp;L140&amp;""'"")"),64.0)</f>
        <v>64</v>
      </c>
      <c r="L140" s="36" t="s">
        <v>817</v>
      </c>
      <c r="M140" s="38">
        <f t="shared" si="14"/>
        <v>1</v>
      </c>
      <c r="N140" s="39" t="s">
        <v>42</v>
      </c>
      <c r="O140" s="65"/>
      <c r="P140" s="50"/>
      <c r="Q140" s="35"/>
      <c r="R140" s="35" t="s">
        <v>948</v>
      </c>
      <c r="S140" s="35" t="b">
        <v>0</v>
      </c>
      <c r="T140" s="35" t="b">
        <v>0</v>
      </c>
      <c r="U140" s="41" t="str">
        <f>IFERROR(__xludf.DUMMYFUNCTION("""["" &amp; JOIN("", "", ARRAYFORMULA("""""""" &amp; TRIM(SPLIT(A140, "","")) &amp; """""""")) &amp; ""]"""),"[""77025"", ""77035"", ""77045"", ""77051"", ""77053"", ""77054"", ""77071"", ""77085"", ""77096""]")</f>
        <v>["77025", "77035", "77045", "77051", "77053", "77054", "77071", "77085", "77096"]</v>
      </c>
      <c r="V140" s="52" t="s">
        <v>941</v>
      </c>
      <c r="W140" s="52" t="s">
        <v>942</v>
      </c>
      <c r="X140" s="43"/>
      <c r="Y140" s="44" t="str">
        <f>vlookup(G140,zip_codes!$B$6:$J988,3,false)</f>
        <v>Houston</v>
      </c>
      <c r="Z140" s="45" t="str">
        <f>vlookup(G140,zip_codes!$B$6:$J988,9,false)</f>
        <v>Bellaire, Brays Oaks, Fondren Gardens, Westbury, Willow Meadows/ Willowbend Area, Willowbend</v>
      </c>
      <c r="AA140" s="44" t="str">
        <f>vlookup(B140,organizations!$B$1:$C988,2,false)</f>
        <v>Braes Interfaith Ministries</v>
      </c>
      <c r="AB140" s="46" t="s">
        <v>943</v>
      </c>
      <c r="AC140" s="47" t="s">
        <v>944</v>
      </c>
      <c r="AD140" s="48" t="s">
        <v>945</v>
      </c>
      <c r="AE140" s="48" t="str">
        <f t="shared" si="9"/>
        <v>Braes Interfaith Ministries4300 W. Bellfort Blvd64</v>
      </c>
      <c r="AF140" s="48" t="str">
        <f t="shared" si="12"/>
        <v/>
      </c>
    </row>
    <row r="141" ht="66.75" customHeight="1">
      <c r="A141" s="49" t="s">
        <v>50</v>
      </c>
      <c r="B141" s="35" t="s">
        <v>949</v>
      </c>
      <c r="C141" s="36" t="s">
        <v>950</v>
      </c>
      <c r="D141" s="36"/>
      <c r="E141" s="36" t="s">
        <v>36</v>
      </c>
      <c r="F141" s="36" t="s">
        <v>37</v>
      </c>
      <c r="G141" s="35" t="s">
        <v>270</v>
      </c>
      <c r="H141" s="35" t="s">
        <v>951</v>
      </c>
      <c r="I141" s="35" t="s">
        <v>952</v>
      </c>
      <c r="J141" s="35" t="s">
        <v>953</v>
      </c>
      <c r="K141" s="37">
        <f>IFERROR(__xludf.DUMMYFUNCTION("query(assistance!$A$2:$E988,""Select C Where D = '""&amp;L141&amp;""'"")"),13.0)</f>
        <v>13</v>
      </c>
      <c r="L141" s="36" t="s">
        <v>240</v>
      </c>
      <c r="M141" s="38">
        <f t="shared" si="14"/>
        <v>1</v>
      </c>
      <c r="N141" s="51" t="s">
        <v>42</v>
      </c>
      <c r="O141" s="40">
        <v>46050.0</v>
      </c>
      <c r="P141" s="35" t="s">
        <v>323</v>
      </c>
      <c r="Q141" s="35"/>
      <c r="R141" s="35" t="s">
        <v>954</v>
      </c>
      <c r="S141" s="35" t="b">
        <v>0</v>
      </c>
      <c r="T141" s="35" t="b">
        <v>0</v>
      </c>
      <c r="U141" s="41" t="str">
        <f>IFERROR(__xludf.DUMMYFUNCTION("""["" &amp; JOIN("", "", ARRAYFORMULA("""""""" &amp; TRIM(SPLIT(A141, "","")) &amp; """""""")) &amp; ""]"""),"[""99999""]")</f>
        <v>["99999"]</v>
      </c>
      <c r="V141" s="52" t="s">
        <v>955</v>
      </c>
      <c r="W141" s="52" t="s">
        <v>956</v>
      </c>
      <c r="X141" s="43"/>
      <c r="Y141" s="44" t="str">
        <f>vlookup(G141,zip_codes!$B$6:$J988,3,false)</f>
        <v>Houston</v>
      </c>
      <c r="Z141" s="45" t="str">
        <f>vlookup(G141,zip_codes!$B$6:$J988,9,false)</f>
        <v>Central Business District, Downtown Houston, East Downtown, South Central Houston, Theater District, University Place, Warehouse District</v>
      </c>
      <c r="AA141" s="44" t="str">
        <f>vlookup(B141,organizations!$B$1:$C988,2,false)</f>
        <v>Bread of Life Inc.</v>
      </c>
      <c r="AB141" s="46" t="s">
        <v>957</v>
      </c>
      <c r="AC141" s="47" t="s">
        <v>958</v>
      </c>
      <c r="AD141" s="48" t="s">
        <v>279</v>
      </c>
      <c r="AE141" s="48" t="str">
        <f t="shared" si="9"/>
        <v>Bread of Life Inc.2019 Crawford Street13</v>
      </c>
      <c r="AF141" s="48" t="str">
        <f t="shared" si="12"/>
        <v/>
      </c>
    </row>
    <row r="142" ht="66.75" customHeight="1">
      <c r="A142" s="49" t="s">
        <v>50</v>
      </c>
      <c r="B142" s="35" t="s">
        <v>949</v>
      </c>
      <c r="C142" s="36" t="s">
        <v>950</v>
      </c>
      <c r="D142" s="36"/>
      <c r="E142" s="36" t="s">
        <v>36</v>
      </c>
      <c r="F142" s="36" t="s">
        <v>37</v>
      </c>
      <c r="G142" s="35" t="s">
        <v>270</v>
      </c>
      <c r="H142" s="35" t="s">
        <v>951</v>
      </c>
      <c r="I142" s="35" t="s">
        <v>959</v>
      </c>
      <c r="J142" s="35" t="s">
        <v>298</v>
      </c>
      <c r="K142" s="37">
        <f>IFERROR(__xludf.DUMMYFUNCTION("query(assistance!$A$2:$E988,""Select C Where D = '""&amp;L142&amp;""'"")"),35.0)</f>
        <v>35</v>
      </c>
      <c r="L142" s="36" t="s">
        <v>731</v>
      </c>
      <c r="M142" s="38">
        <f t="shared" si="14"/>
        <v>1</v>
      </c>
      <c r="N142" s="51" t="s">
        <v>42</v>
      </c>
      <c r="O142" s="40">
        <v>46050.0</v>
      </c>
      <c r="P142" s="35" t="s">
        <v>323</v>
      </c>
      <c r="Q142" s="35"/>
      <c r="R142" s="35" t="s">
        <v>960</v>
      </c>
      <c r="S142" s="35" t="b">
        <v>0</v>
      </c>
      <c r="T142" s="35" t="b">
        <v>0</v>
      </c>
      <c r="U142" s="41" t="str">
        <f>IFERROR(__xludf.DUMMYFUNCTION("""["" &amp; JOIN("", "", ARRAYFORMULA("""""""" &amp; TRIM(SPLIT(A142, "","")) &amp; """""""")) &amp; ""]"""),"[""99999""]")</f>
        <v>["99999"]</v>
      </c>
      <c r="V142" s="52" t="s">
        <v>955</v>
      </c>
      <c r="W142" s="52" t="s">
        <v>956</v>
      </c>
      <c r="X142" s="43"/>
      <c r="Y142" s="44" t="str">
        <f>vlookup(G142,zip_codes!$B$6:$J988,3,false)</f>
        <v>Houston</v>
      </c>
      <c r="Z142" s="45" t="str">
        <f>vlookup(G142,zip_codes!$B$6:$J988,9,false)</f>
        <v>Central Business District, Downtown Houston, East Downtown, South Central Houston, Theater District, University Place, Warehouse District</v>
      </c>
      <c r="AA142" s="44" t="str">
        <f>vlookup(B142,organizations!$B$1:$C988,2,false)</f>
        <v>Bread of Life Inc.</v>
      </c>
      <c r="AB142" s="46" t="s">
        <v>957</v>
      </c>
      <c r="AC142" s="47" t="s">
        <v>961</v>
      </c>
      <c r="AD142" s="48" t="s">
        <v>279</v>
      </c>
      <c r="AE142" s="48" t="str">
        <f t="shared" si="9"/>
        <v>Bread of Life Inc.2019 Crawford Street35</v>
      </c>
      <c r="AF142" s="48" t="str">
        <f t="shared" si="12"/>
        <v/>
      </c>
    </row>
    <row r="143" ht="66.75" customHeight="1">
      <c r="A143" s="49" t="s">
        <v>50</v>
      </c>
      <c r="B143" s="35" t="s">
        <v>962</v>
      </c>
      <c r="C143" s="36" t="s">
        <v>963</v>
      </c>
      <c r="D143" s="36"/>
      <c r="E143" s="36" t="s">
        <v>36</v>
      </c>
      <c r="F143" s="36" t="s">
        <v>37</v>
      </c>
      <c r="G143" s="35" t="s">
        <v>658</v>
      </c>
      <c r="H143" s="35" t="s">
        <v>964</v>
      </c>
      <c r="I143" s="35" t="s">
        <v>965</v>
      </c>
      <c r="J143" s="35"/>
      <c r="K143" s="37">
        <f>IFERROR(__xludf.DUMMYFUNCTION("query(assistance!$A$2:$E988,""Select C Where D = '""&amp;L143&amp;""'"")"),13.0)</f>
        <v>13</v>
      </c>
      <c r="L143" s="36" t="s">
        <v>240</v>
      </c>
      <c r="M143" s="39">
        <f t="shared" ref="M143:M146" si="15">if(N143="Inactive",3,if(N143="Limited", 2, if(N143="Closed", 4, 1)))</f>
        <v>4</v>
      </c>
      <c r="N143" s="39" t="s">
        <v>57</v>
      </c>
      <c r="O143" s="57">
        <v>45788.0</v>
      </c>
      <c r="P143" s="35" t="s">
        <v>43</v>
      </c>
      <c r="Q143" s="35"/>
      <c r="R143" s="35" t="s">
        <v>966</v>
      </c>
      <c r="S143" s="35" t="b">
        <v>0</v>
      </c>
      <c r="T143" s="35" t="b">
        <v>0</v>
      </c>
      <c r="U143" s="41" t="str">
        <f>IFERROR(__xludf.DUMMYFUNCTION("""["" &amp; JOIN("", "", ARRAYFORMULA("""""""" &amp; TRIM(SPLIT(A143, "","")) &amp; """""""")) &amp; ""]"""),"[""99999""]")</f>
        <v>["99999"]</v>
      </c>
      <c r="V143" s="52" t="s">
        <v>967</v>
      </c>
      <c r="W143" s="52" t="s">
        <v>968</v>
      </c>
      <c r="X143" s="43"/>
      <c r="Y143" s="44" t="str">
        <f>vlookup(G143,zip_codes!$B$6:$J988,3,false)</f>
        <v>Houston</v>
      </c>
      <c r="Z143" s="45" t="str">
        <f>vlookup(G143,zip_codes!$B$6:$J988,9,false)</f>
        <v>Brentwood, Central Southwest, Hiram Clarke</v>
      </c>
      <c r="AA143" s="44" t="str">
        <f>vlookup(B143,organizations!$B$1:$C988,2,false)</f>
        <v>Brentwood Baptist Church</v>
      </c>
      <c r="AB143" s="46" t="s">
        <v>969</v>
      </c>
      <c r="AC143" s="47" t="s">
        <v>970</v>
      </c>
      <c r="AD143" s="48" t="s">
        <v>662</v>
      </c>
      <c r="AE143" s="48" t="str">
        <f t="shared" si="9"/>
        <v>Brentwood Baptist Church13033 Landmark Street13</v>
      </c>
      <c r="AF143" s="48" t="str">
        <f t="shared" si="12"/>
        <v/>
      </c>
    </row>
    <row r="144" ht="66.75" customHeight="1">
      <c r="A144" s="49" t="s">
        <v>50</v>
      </c>
      <c r="B144" s="35" t="s">
        <v>971</v>
      </c>
      <c r="C144" s="36" t="s">
        <v>963</v>
      </c>
      <c r="D144" s="36"/>
      <c r="E144" s="36" t="s">
        <v>36</v>
      </c>
      <c r="F144" s="36" t="s">
        <v>37</v>
      </c>
      <c r="G144" s="35" t="s">
        <v>658</v>
      </c>
      <c r="H144" s="35" t="s">
        <v>972</v>
      </c>
      <c r="I144" s="35" t="s">
        <v>601</v>
      </c>
      <c r="J144" s="35"/>
      <c r="K144" s="37">
        <f>IFERROR(__xludf.DUMMYFUNCTION("query(assistance!$A$2:$E988,""Select C Where D = '""&amp;L144&amp;""'"")"),11.0)</f>
        <v>11</v>
      </c>
      <c r="L144" s="36" t="s">
        <v>322</v>
      </c>
      <c r="M144" s="39">
        <f t="shared" si="15"/>
        <v>3</v>
      </c>
      <c r="N144" s="39" t="s">
        <v>973</v>
      </c>
      <c r="O144" s="57">
        <v>45788.0</v>
      </c>
      <c r="P144" s="35" t="s">
        <v>974</v>
      </c>
      <c r="Q144" s="35"/>
      <c r="R144" s="35" t="s">
        <v>975</v>
      </c>
      <c r="S144" s="35" t="b">
        <v>0</v>
      </c>
      <c r="T144" s="35" t="b">
        <v>0</v>
      </c>
      <c r="U144" s="41" t="str">
        <f>IFERROR(__xludf.DUMMYFUNCTION("""["" &amp; JOIN("", "", ARRAYFORMULA("""""""" &amp; TRIM(SPLIT(A144, "","")) &amp; """""""")) &amp; ""]"""),"[""99999""]")</f>
        <v>["99999"]</v>
      </c>
      <c r="V144" s="42" t="s">
        <v>976</v>
      </c>
      <c r="W144" s="52" t="s">
        <v>968</v>
      </c>
      <c r="X144" s="43"/>
      <c r="Y144" s="44" t="str">
        <f>vlookup(G144,zip_codes!$B$6:$J988,3,false)</f>
        <v>Houston</v>
      </c>
      <c r="Z144" s="45" t="str">
        <f>vlookup(G144,zip_codes!$B$6:$J988,9,false)</f>
        <v>Brentwood, Central Southwest, Hiram Clarke</v>
      </c>
      <c r="AA144" s="44" t="str">
        <f>vlookup(B144,organizations!$B$1:$C988,2,false)</f>
        <v>Brentwood Community Foundation</v>
      </c>
      <c r="AB144" s="46" t="s">
        <v>969</v>
      </c>
      <c r="AC144" s="47" t="s">
        <v>607</v>
      </c>
      <c r="AD144" s="48" t="s">
        <v>662</v>
      </c>
      <c r="AE144" s="48" t="str">
        <f t="shared" si="9"/>
        <v>Brentwood Community Foundation13033 Landmark Street11</v>
      </c>
      <c r="AF144" s="48" t="str">
        <f t="shared" si="12"/>
        <v/>
      </c>
    </row>
    <row r="145" ht="66.75" customHeight="1">
      <c r="A145" s="74" t="s">
        <v>50</v>
      </c>
      <c r="B145" s="75" t="s">
        <v>971</v>
      </c>
      <c r="C145" s="36" t="s">
        <v>963</v>
      </c>
      <c r="D145" s="36"/>
      <c r="E145" s="76" t="s">
        <v>36</v>
      </c>
      <c r="F145" s="76" t="s">
        <v>37</v>
      </c>
      <c r="G145" s="35" t="s">
        <v>658</v>
      </c>
      <c r="H145" s="75" t="s">
        <v>972</v>
      </c>
      <c r="I145" s="35" t="s">
        <v>601</v>
      </c>
      <c r="J145" s="35"/>
      <c r="K145" s="37">
        <f>IFERROR(__xludf.DUMMYFUNCTION("query(assistance!$A$2:$E988,""Select C Where D = '""&amp;L145&amp;""'"")"),12.0)</f>
        <v>12</v>
      </c>
      <c r="L145" s="77" t="s">
        <v>330</v>
      </c>
      <c r="M145" s="39">
        <f t="shared" si="15"/>
        <v>3</v>
      </c>
      <c r="N145" s="39" t="s">
        <v>973</v>
      </c>
      <c r="O145" s="78">
        <v>45788.0</v>
      </c>
      <c r="P145" s="35" t="s">
        <v>974</v>
      </c>
      <c r="Q145" s="35"/>
      <c r="R145" s="35" t="s">
        <v>975</v>
      </c>
      <c r="S145" s="35" t="b">
        <v>0</v>
      </c>
      <c r="T145" s="35" t="b">
        <v>0</v>
      </c>
      <c r="U145" s="41" t="str">
        <f>IFERROR(__xludf.DUMMYFUNCTION("""["" &amp; JOIN("", "", ARRAYFORMULA("""""""" &amp; TRIM(SPLIT(A145, "","")) &amp; """""""")) &amp; ""]"""),"[""99999""]")</f>
        <v>["99999"]</v>
      </c>
      <c r="V145" s="42" t="s">
        <v>976</v>
      </c>
      <c r="W145" s="79" t="s">
        <v>968</v>
      </c>
      <c r="X145" s="80"/>
      <c r="Y145" s="44" t="str">
        <f>vlookup(G145,zip_codes!$B$6:$J988,3,false)</f>
        <v>Houston</v>
      </c>
      <c r="Z145" s="45" t="str">
        <f>vlookup(G145,zip_codes!$B$6:$J988,9,false)</f>
        <v>Brentwood, Central Southwest, Hiram Clarke</v>
      </c>
      <c r="AA145" s="44" t="str">
        <f>vlookup(B145,organizations!$B$1:$C988,2,false)</f>
        <v>Brentwood Community Foundation</v>
      </c>
      <c r="AB145" s="46" t="s">
        <v>969</v>
      </c>
      <c r="AC145" s="47" t="s">
        <v>607</v>
      </c>
      <c r="AD145" s="48" t="s">
        <v>662</v>
      </c>
      <c r="AE145" s="48" t="str">
        <f t="shared" si="9"/>
        <v>Brentwood Community Foundation13033 Landmark Street12</v>
      </c>
      <c r="AF145" s="48" t="str">
        <f t="shared" si="12"/>
        <v/>
      </c>
    </row>
    <row r="146" ht="66.75" customHeight="1">
      <c r="A146" s="49" t="s">
        <v>50</v>
      </c>
      <c r="B146" s="35" t="s">
        <v>971</v>
      </c>
      <c r="C146" s="36" t="s">
        <v>963</v>
      </c>
      <c r="D146" s="36"/>
      <c r="E146" s="36" t="s">
        <v>36</v>
      </c>
      <c r="F146" s="36" t="s">
        <v>37</v>
      </c>
      <c r="G146" s="35" t="s">
        <v>658</v>
      </c>
      <c r="H146" s="35" t="s">
        <v>972</v>
      </c>
      <c r="I146" s="35" t="s">
        <v>601</v>
      </c>
      <c r="J146" s="35"/>
      <c r="K146" s="37">
        <f>IFERROR(__xludf.DUMMYFUNCTION("query(assistance!$A$2:$E988,""Select C Where D = '""&amp;L146&amp;""'"")"),37.0)</f>
        <v>37</v>
      </c>
      <c r="L146" s="36" t="s">
        <v>309</v>
      </c>
      <c r="M146" s="39">
        <f t="shared" si="15"/>
        <v>3</v>
      </c>
      <c r="N146" s="39" t="s">
        <v>973</v>
      </c>
      <c r="O146" s="57">
        <v>45788.0</v>
      </c>
      <c r="P146" s="35" t="s">
        <v>974</v>
      </c>
      <c r="Q146" s="35"/>
      <c r="R146" s="35" t="s">
        <v>977</v>
      </c>
      <c r="S146" s="35" t="b">
        <v>0</v>
      </c>
      <c r="T146" s="35" t="b">
        <v>0</v>
      </c>
      <c r="U146" s="41" t="str">
        <f>IFERROR(__xludf.DUMMYFUNCTION("""["" &amp; JOIN("", "", ARRAYFORMULA("""""""" &amp; TRIM(SPLIT(A146, "","")) &amp; """""""")) &amp; ""]"""),"[""99999""]")</f>
        <v>["99999"]</v>
      </c>
      <c r="V146" s="42" t="s">
        <v>976</v>
      </c>
      <c r="W146" s="52" t="s">
        <v>968</v>
      </c>
      <c r="X146" s="43"/>
      <c r="Y146" s="44" t="str">
        <f>vlookup(G146,zip_codes!$B$6:$J988,3,false)</f>
        <v>Houston</v>
      </c>
      <c r="Z146" s="45" t="str">
        <f>vlookup(G146,zip_codes!$B$6:$J988,9,false)</f>
        <v>Brentwood, Central Southwest, Hiram Clarke</v>
      </c>
      <c r="AA146" s="44" t="str">
        <f>vlookup(B146,organizations!$B$1:$C988,2,false)</f>
        <v>Brentwood Community Foundation</v>
      </c>
      <c r="AB146" s="46" t="s">
        <v>969</v>
      </c>
      <c r="AC146" s="47" t="s">
        <v>607</v>
      </c>
      <c r="AD146" s="48" t="s">
        <v>662</v>
      </c>
      <c r="AE146" s="48" t="str">
        <f t="shared" si="9"/>
        <v>Brentwood Community Foundation13033 Landmark Street37</v>
      </c>
      <c r="AF146" s="48" t="str">
        <f t="shared" si="12"/>
        <v/>
      </c>
    </row>
    <row r="147" ht="66.75" customHeight="1">
      <c r="A147" s="49" t="s">
        <v>50</v>
      </c>
      <c r="B147" s="35" t="s">
        <v>978</v>
      </c>
      <c r="C147" s="36" t="s">
        <v>979</v>
      </c>
      <c r="D147" s="36"/>
      <c r="E147" s="36" t="s">
        <v>36</v>
      </c>
      <c r="F147" s="36" t="s">
        <v>37</v>
      </c>
      <c r="G147" s="56" t="s">
        <v>557</v>
      </c>
      <c r="H147" s="35" t="s">
        <v>980</v>
      </c>
      <c r="I147" s="35" t="s">
        <v>40</v>
      </c>
      <c r="J147" s="36" t="s">
        <v>89</v>
      </c>
      <c r="K147" s="37">
        <f>IFERROR(__xludf.DUMMYFUNCTION("query(assistance!$A$2:$E988,""Select C Where D = '""&amp;L147&amp;""'"")"),56.0)</f>
        <v>56</v>
      </c>
      <c r="L147" s="36" t="s">
        <v>56</v>
      </c>
      <c r="M147" s="38">
        <f t="shared" ref="M147:M148" si="16">if(N147="Inactive",3,if(N147="Limited", 2, 1))</f>
        <v>1</v>
      </c>
      <c r="N147" s="39" t="s">
        <v>42</v>
      </c>
      <c r="O147" s="57">
        <v>46070.0</v>
      </c>
      <c r="P147" s="35" t="s">
        <v>43</v>
      </c>
      <c r="Q147" s="35"/>
      <c r="R147" s="35" t="s">
        <v>981</v>
      </c>
      <c r="S147" s="35" t="b">
        <v>0</v>
      </c>
      <c r="T147" s="35" t="b">
        <v>0</v>
      </c>
      <c r="U147" s="35" t="str">
        <f>IFERROR(__xludf.DUMMYFUNCTION("""["" &amp; JOIN("", "", ARRAYFORMULA("""""""" &amp; TRIM(SPLIT(A147, "","")) &amp; """""""")) &amp; ""]"""),"[""99999""]")</f>
        <v>["99999"]</v>
      </c>
      <c r="V147" s="42" t="s">
        <v>982</v>
      </c>
      <c r="W147" s="42" t="s">
        <v>983</v>
      </c>
      <c r="X147" s="43"/>
      <c r="Y147" s="44" t="str">
        <f>vlookup(G147,zip_codes!$B$6:$J988,3,false)</f>
        <v>Houston</v>
      </c>
      <c r="Z147" s="45" t="str">
        <f>vlookup(G147,zip_codes!$B$6:$J988,9,false)</f>
        <v>East Downtown, Downtown Houston, Second Ward, South Central Houston, South Side</v>
      </c>
      <c r="AA147" s="44" t="str">
        <f>vlookup(B147,organizations!$B$1:$C988,2,false)</f>
        <v>Camp Shield</v>
      </c>
      <c r="AB147" s="55" t="s">
        <v>984</v>
      </c>
      <c r="AC147" s="53" t="str">
        <f t="shared" ref="AC147:AC148" si="17">PARSE_HOURS(I147)</f>
        <v>{"regular":[{"days":["Mo","Tu","We","Th","Fr"],"open":"09:00","close":"17:00"}]}</v>
      </c>
      <c r="AD147" s="48" t="s">
        <v>279</v>
      </c>
      <c r="AE147" s="48"/>
      <c r="AF147" s="48"/>
    </row>
    <row r="148" ht="66.75" customHeight="1">
      <c r="A148" s="49" t="s">
        <v>50</v>
      </c>
      <c r="B148" s="35" t="s">
        <v>978</v>
      </c>
      <c r="C148" s="36" t="s">
        <v>979</v>
      </c>
      <c r="D148" s="36"/>
      <c r="E148" s="36" t="s">
        <v>36</v>
      </c>
      <c r="F148" s="36" t="s">
        <v>37</v>
      </c>
      <c r="G148" s="56" t="s">
        <v>557</v>
      </c>
      <c r="H148" s="35" t="s">
        <v>980</v>
      </c>
      <c r="I148" s="35" t="s">
        <v>40</v>
      </c>
      <c r="J148" s="36" t="s">
        <v>89</v>
      </c>
      <c r="K148" s="37">
        <f>IFERROR(__xludf.DUMMYFUNCTION("query(assistance!$A$2:$E988,""Select C Where D = '""&amp;L148&amp;""'"")"),56.0)</f>
        <v>56</v>
      </c>
      <c r="L148" s="36" t="s">
        <v>56</v>
      </c>
      <c r="M148" s="38">
        <f t="shared" si="16"/>
        <v>1</v>
      </c>
      <c r="N148" s="39" t="s">
        <v>42</v>
      </c>
      <c r="O148" s="57">
        <v>46070.0</v>
      </c>
      <c r="P148" s="35" t="s">
        <v>985</v>
      </c>
      <c r="Q148" s="35"/>
      <c r="R148" s="35" t="s">
        <v>986</v>
      </c>
      <c r="S148" s="35" t="b">
        <v>0</v>
      </c>
      <c r="T148" s="35" t="b">
        <v>0</v>
      </c>
      <c r="U148" s="35" t="str">
        <f>IFERROR(__xludf.DUMMYFUNCTION("""["" &amp; JOIN("", "", ARRAYFORMULA("""""""" &amp; TRIM(SPLIT(A148, "","")) &amp; """""""")) &amp; ""]"""),"[""99999""]")</f>
        <v>["99999"]</v>
      </c>
      <c r="V148" s="42" t="s">
        <v>982</v>
      </c>
      <c r="W148" s="42" t="s">
        <v>983</v>
      </c>
      <c r="X148" s="43"/>
      <c r="Y148" s="44" t="str">
        <f>vlookup(G148,zip_codes!$B$6:$J988,3,false)</f>
        <v>Houston</v>
      </c>
      <c r="Z148" s="45" t="str">
        <f>vlookup(G148,zip_codes!$B$6:$J988,9,false)</f>
        <v>East Downtown, Downtown Houston, Second Ward, South Central Houston, South Side</v>
      </c>
      <c r="AA148" s="44" t="str">
        <f>vlookup(B148,organizations!$B$1:$C988,2,false)</f>
        <v>Camp Shield</v>
      </c>
      <c r="AB148" s="55" t="s">
        <v>984</v>
      </c>
      <c r="AC148" s="53" t="str">
        <f t="shared" si="17"/>
        <v>{"regular":[{"days":["Mo","Tu","We","Th","Fr"],"open":"09:00","close":"17:00"}]}</v>
      </c>
      <c r="AD148" s="48" t="s">
        <v>279</v>
      </c>
      <c r="AE148" s="48"/>
      <c r="AF148" s="48"/>
    </row>
    <row r="149" ht="66.75" customHeight="1">
      <c r="A149" s="49" t="s">
        <v>50</v>
      </c>
      <c r="B149" s="35" t="s">
        <v>987</v>
      </c>
      <c r="C149" s="36" t="s">
        <v>988</v>
      </c>
      <c r="D149" s="36"/>
      <c r="E149" s="36" t="s">
        <v>989</v>
      </c>
      <c r="F149" s="36" t="s">
        <v>37</v>
      </c>
      <c r="G149" s="35" t="s">
        <v>990</v>
      </c>
      <c r="H149" s="35" t="s">
        <v>991</v>
      </c>
      <c r="I149" s="35" t="s">
        <v>272</v>
      </c>
      <c r="J149" s="35"/>
      <c r="K149" s="37">
        <f>IFERROR(__xludf.DUMMYFUNCTION("query(assistance!$A$2:$E988,""Select C Where D = '""&amp;L149&amp;""'"")"),21.0)</f>
        <v>21</v>
      </c>
      <c r="L149" s="36" t="s">
        <v>777</v>
      </c>
      <c r="M149" s="38">
        <v>1.0</v>
      </c>
      <c r="N149" s="51" t="s">
        <v>42</v>
      </c>
      <c r="O149" s="40">
        <v>46033.0</v>
      </c>
      <c r="P149" s="35" t="s">
        <v>43</v>
      </c>
      <c r="Q149" s="50"/>
      <c r="R149" s="35" t="s">
        <v>992</v>
      </c>
      <c r="S149" s="35" t="b">
        <v>0</v>
      </c>
      <c r="T149" s="35" t="b">
        <v>0</v>
      </c>
      <c r="U149" s="41" t="str">
        <f>IFERROR(__xludf.DUMMYFUNCTION("""["" &amp; JOIN("", "", ARRAYFORMULA("""""""" &amp; TRIM(SPLIT(A149, "","")) &amp; """""""")) &amp; ""]"""),"[""99999""]")</f>
        <v>["99999"]</v>
      </c>
      <c r="V149" s="42" t="s">
        <v>993</v>
      </c>
      <c r="W149" s="42" t="s">
        <v>994</v>
      </c>
      <c r="X149" s="43"/>
      <c r="Y149" s="44" t="str">
        <f>vlookup(G149,zip_codes!$B$6:$J988,3,false)</f>
        <v>Conroe</v>
      </c>
      <c r="Z149" s="45" t="str">
        <f>vlookup(G149,zip_codes!$B$6:$J988,9,false)</f>
        <v>Conroe, River Plantation</v>
      </c>
      <c r="AA149" s="44" t="str">
        <f>vlookup(B149,organizations!$B$1:$C988,2,false)</f>
        <v>Campus of Hope</v>
      </c>
      <c r="AB149" s="55" t="s">
        <v>995</v>
      </c>
      <c r="AC149" s="47" t="s">
        <v>278</v>
      </c>
      <c r="AD149" s="58" t="s">
        <v>989</v>
      </c>
      <c r="AE149" s="48" t="str">
        <f t="shared" ref="AE149:AE154" si="18">B149&amp;C149&amp;K149</f>
        <v>Campus of Hope317 West Lewis Street21</v>
      </c>
      <c r="AF149" s="48" t="str">
        <f t="shared" ref="AF149:AF154" si="19">if(AE149=AE148,"XXX","")</f>
        <v/>
      </c>
    </row>
    <row r="150" ht="66.75" customHeight="1">
      <c r="A150" s="49" t="s">
        <v>50</v>
      </c>
      <c r="B150" s="35" t="s">
        <v>996</v>
      </c>
      <c r="C150" s="36" t="s">
        <v>997</v>
      </c>
      <c r="D150" s="36"/>
      <c r="E150" s="36" t="s">
        <v>998</v>
      </c>
      <c r="F150" s="36" t="s">
        <v>999</v>
      </c>
      <c r="G150" s="81" t="s">
        <v>1000</v>
      </c>
      <c r="H150" s="35" t="s">
        <v>1001</v>
      </c>
      <c r="I150" s="35" t="s">
        <v>40</v>
      </c>
      <c r="J150" s="35" t="s">
        <v>89</v>
      </c>
      <c r="K150" s="37">
        <f>IFERROR(__xludf.DUMMYFUNCTION("query(assistance!$A$2:$E988,""Select C Where D = '""&amp;L150&amp;""'"")"),36.0)</f>
        <v>36</v>
      </c>
      <c r="L150" s="36" t="s">
        <v>227</v>
      </c>
      <c r="M150" s="38">
        <f t="shared" ref="M150:M152" si="20">if(N150="Inactive",3,if(N150="Limited", 2, 1))</f>
        <v>1</v>
      </c>
      <c r="N150" s="39" t="s">
        <v>42</v>
      </c>
      <c r="O150" s="40">
        <v>6693457.0</v>
      </c>
      <c r="P150" s="35" t="s">
        <v>43</v>
      </c>
      <c r="Q150" s="35"/>
      <c r="R150" s="35" t="s">
        <v>1002</v>
      </c>
      <c r="S150" s="35" t="b">
        <v>0</v>
      </c>
      <c r="T150" s="35" t="b">
        <v>0</v>
      </c>
      <c r="U150" s="41" t="str">
        <f>IFERROR(__xludf.DUMMYFUNCTION("""["" &amp; JOIN("", "", ARRAYFORMULA("""""""" &amp; TRIM(SPLIT(A150, "","")) &amp; """""""")) &amp; ""]"""),"[""99999""]")</f>
        <v>["99999"]</v>
      </c>
      <c r="V150" s="42" t="s">
        <v>1003</v>
      </c>
      <c r="W150" s="42" t="s">
        <v>1004</v>
      </c>
      <c r="X150" s="43"/>
      <c r="Y150" s="44" t="str">
        <f>vlookup(G150,zip_codes!$B$2:$J988,3,false)</f>
        <v>New York</v>
      </c>
      <c r="Z150" s="45" t="str">
        <f>vlookup(G150,zip_codes!$B$6:$J988,9,false)</f>
        <v>#N/A</v>
      </c>
      <c r="AA150" s="44" t="str">
        <f>vlookup(B150,organizations!$B$1:$C988,2,false)</f>
        <v>CancerCare</v>
      </c>
      <c r="AB150" s="55" t="s">
        <v>1005</v>
      </c>
      <c r="AC150" s="61" t="s">
        <v>48</v>
      </c>
      <c r="AD150" s="58" t="s">
        <v>1006</v>
      </c>
      <c r="AE150" s="48" t="str">
        <f t="shared" si="18"/>
        <v>CancerCare485 Madison Avenue36</v>
      </c>
      <c r="AF150" s="48" t="str">
        <f t="shared" si="19"/>
        <v/>
      </c>
    </row>
    <row r="151" ht="66.75" customHeight="1">
      <c r="A151" s="49" t="s">
        <v>50</v>
      </c>
      <c r="B151" s="35" t="s">
        <v>1007</v>
      </c>
      <c r="C151" s="36" t="s">
        <v>1008</v>
      </c>
      <c r="D151" s="36"/>
      <c r="E151" s="36" t="s">
        <v>36</v>
      </c>
      <c r="F151" s="36" t="s">
        <v>37</v>
      </c>
      <c r="G151" s="35" t="s">
        <v>670</v>
      </c>
      <c r="H151" s="35" t="s">
        <v>1009</v>
      </c>
      <c r="I151" s="35" t="s">
        <v>1010</v>
      </c>
      <c r="J151" s="35" t="s">
        <v>298</v>
      </c>
      <c r="K151" s="37">
        <f>IFERROR(__xludf.DUMMYFUNCTION("query(assistance!$A$2:$E988,""Select C Where D = '""&amp;L151&amp;""'"")"),31.0)</f>
        <v>31</v>
      </c>
      <c r="L151" s="36" t="s">
        <v>90</v>
      </c>
      <c r="M151" s="38">
        <f t="shared" si="20"/>
        <v>1</v>
      </c>
      <c r="N151" s="39" t="s">
        <v>42</v>
      </c>
      <c r="O151" s="40">
        <v>45836.0</v>
      </c>
      <c r="P151" s="35" t="s">
        <v>43</v>
      </c>
      <c r="Q151" s="35"/>
      <c r="R151" s="35" t="s">
        <v>1011</v>
      </c>
      <c r="S151" s="35" t="b">
        <v>0</v>
      </c>
      <c r="T151" s="35" t="b">
        <v>0</v>
      </c>
      <c r="U151" s="41" t="str">
        <f>IFERROR(__xludf.DUMMYFUNCTION("""["" &amp; JOIN("", "", ARRAYFORMULA("""""""" &amp; TRIM(SPLIT(A151, "","")) &amp; """""""")) &amp; ""]"""),"[""99999""]")</f>
        <v>["99999"]</v>
      </c>
      <c r="V151" s="42" t="s">
        <v>1012</v>
      </c>
      <c r="W151" s="42" t="s">
        <v>1013</v>
      </c>
      <c r="X151" s="43"/>
      <c r="Y151" s="44" t="str">
        <f>vlookup(G151,zip_codes!$B$6:$J988,3,false)</f>
        <v>Houston</v>
      </c>
      <c r="Z151" s="45" t="str">
        <f>vlookup(G151,zip_codes!$B$6:$J988,9,false)</f>
        <v>Central Southwest, Fondren Gardens, Hiram Clarke, Willowbend</v>
      </c>
      <c r="AA151" s="44" t="str">
        <f>vlookup(B151,organizations!$B$1:$C988,2,false)</f>
        <v>Casa El Buen Samaritano Houston</v>
      </c>
      <c r="AB151" s="46" t="s">
        <v>1014</v>
      </c>
      <c r="AC151" s="47" t="s">
        <v>1015</v>
      </c>
      <c r="AD151" s="48" t="s">
        <v>529</v>
      </c>
      <c r="AE151" s="48" t="str">
        <f t="shared" si="18"/>
        <v>Casa El Buen Samaritano Houston14060 Dublin Street31</v>
      </c>
      <c r="AF151" s="48" t="str">
        <f t="shared" si="19"/>
        <v/>
      </c>
    </row>
    <row r="152" ht="66.75" customHeight="1">
      <c r="A152" s="49" t="s">
        <v>50</v>
      </c>
      <c r="B152" s="35" t="s">
        <v>1016</v>
      </c>
      <c r="C152" s="36" t="s">
        <v>1017</v>
      </c>
      <c r="D152" s="36"/>
      <c r="E152" s="36" t="s">
        <v>129</v>
      </c>
      <c r="F152" s="36" t="s">
        <v>37</v>
      </c>
      <c r="G152" s="35" t="s">
        <v>158</v>
      </c>
      <c r="H152" s="35" t="s">
        <v>1009</v>
      </c>
      <c r="I152" s="35" t="s">
        <v>1010</v>
      </c>
      <c r="J152" s="35" t="s">
        <v>298</v>
      </c>
      <c r="K152" s="37">
        <f>IFERROR(__xludf.DUMMYFUNCTION("query(assistance!$A$2:$E988,""Select C Where D = '""&amp;L152&amp;""'"")"),31.0)</f>
        <v>31</v>
      </c>
      <c r="L152" s="36" t="s">
        <v>90</v>
      </c>
      <c r="M152" s="38">
        <f t="shared" si="20"/>
        <v>1</v>
      </c>
      <c r="N152" s="39" t="s">
        <v>42</v>
      </c>
      <c r="O152" s="40">
        <v>45836.0</v>
      </c>
      <c r="P152" s="35" t="s">
        <v>43</v>
      </c>
      <c r="Q152" s="35"/>
      <c r="R152" s="35" t="s">
        <v>1011</v>
      </c>
      <c r="S152" s="35" t="b">
        <v>0</v>
      </c>
      <c r="T152" s="35" t="b">
        <v>0</v>
      </c>
      <c r="U152" s="41" t="str">
        <f>IFERROR(__xludf.DUMMYFUNCTION("""["" &amp; JOIN("", "", ARRAYFORMULA("""""""" &amp; TRIM(SPLIT(A152, "","")) &amp; """""""")) &amp; ""]"""),"[""99999""]")</f>
        <v>["99999"]</v>
      </c>
      <c r="V152" s="42" t="s">
        <v>1012</v>
      </c>
      <c r="W152" s="42" t="s">
        <v>1018</v>
      </c>
      <c r="X152" s="43"/>
      <c r="Y152" s="44" t="str">
        <f>vlookup(G152,zip_codes!$B$6:$J988,3,false)</f>
        <v>Missouri City</v>
      </c>
      <c r="Z152" s="45" t="str">
        <f>vlookup(G152,zip_codes!$B$6:$J988,9,false)</f>
        <v>Missouri City, Olde Missouri City Market Place, Quail Green South, Quail Valley, Sta-mo Annex</v>
      </c>
      <c r="AA152" s="44" t="str">
        <f>vlookup(B152,organizations!$B$1:$C988,2,false)</f>
        <v>Casa El Buen Samaritano Missouri City</v>
      </c>
      <c r="AB152" s="46" t="s">
        <v>1019</v>
      </c>
      <c r="AC152" s="47" t="s">
        <v>1015</v>
      </c>
      <c r="AD152" s="48" t="s">
        <v>1020</v>
      </c>
      <c r="AE152" s="48" t="str">
        <f t="shared" si="18"/>
        <v>Casa El Buen Samaritano Missouri City2106 5th Street31</v>
      </c>
      <c r="AF152" s="48" t="str">
        <f t="shared" si="19"/>
        <v/>
      </c>
    </row>
    <row r="153" ht="66.75" customHeight="1">
      <c r="A153" s="49" t="s">
        <v>50</v>
      </c>
      <c r="B153" s="35" t="s">
        <v>1021</v>
      </c>
      <c r="C153" s="36" t="s">
        <v>1022</v>
      </c>
      <c r="D153" s="36"/>
      <c r="E153" s="36" t="s">
        <v>36</v>
      </c>
      <c r="F153" s="36" t="s">
        <v>37</v>
      </c>
      <c r="G153" s="35" t="s">
        <v>1023</v>
      </c>
      <c r="H153" s="35" t="s">
        <v>1024</v>
      </c>
      <c r="I153" s="35" t="s">
        <v>1025</v>
      </c>
      <c r="J153" s="35"/>
      <c r="K153" s="37">
        <f>IFERROR(__xludf.DUMMYFUNCTION("query(assistance!$A$2:$E988,""Select C Where D = '""&amp;L153&amp;""'"")"),13.0)</f>
        <v>13</v>
      </c>
      <c r="L153" s="36" t="s">
        <v>240</v>
      </c>
      <c r="M153" s="39">
        <f t="shared" ref="M153:M155" si="21">if(N153="Inactive",3,if(N153="Limited", 2, if(N153="Closed", 4, 1)))</f>
        <v>3</v>
      </c>
      <c r="N153" s="51" t="s">
        <v>973</v>
      </c>
      <c r="O153" s="40">
        <v>45838.0</v>
      </c>
      <c r="P153" s="35" t="s">
        <v>323</v>
      </c>
      <c r="Q153" s="35"/>
      <c r="R153" s="35" t="s">
        <v>1026</v>
      </c>
      <c r="S153" s="35" t="b">
        <v>0</v>
      </c>
      <c r="T153" s="35" t="b">
        <v>0</v>
      </c>
      <c r="U153" s="41" t="str">
        <f>IFERROR(__xludf.DUMMYFUNCTION("""["" &amp; JOIN("", "", ARRAYFORMULA("""""""" &amp; TRIM(SPLIT(A153, "","")) &amp; """""""")) &amp; ""]"""),"[""99999""]")</f>
        <v>["99999"]</v>
      </c>
      <c r="V153" s="52" t="s">
        <v>1027</v>
      </c>
      <c r="W153" s="43"/>
      <c r="X153" s="43"/>
      <c r="Y153" s="44" t="str">
        <f>vlookup(G153,zip_codes!$B$6:$J988,3,false)</f>
        <v>Houston</v>
      </c>
      <c r="Z153" s="45" t="str">
        <f>vlookup(G153,zip_codes!$B$6:$J988,9,false)</f>
        <v>Downtown Houston, Memorial Park, Rice Military, Sawyer Heights, Washington Avenue Coalition / Memorial Park, Washington Corridor</v>
      </c>
      <c r="AA153" s="44" t="str">
        <f>vlookup(B153,organizations!$B$1:$C988,2,false)</f>
        <v>Casa Juan Diego</v>
      </c>
      <c r="AB153" s="46" t="s">
        <v>1028</v>
      </c>
      <c r="AC153" s="47" t="s">
        <v>1029</v>
      </c>
      <c r="AD153" s="48" t="s">
        <v>1030</v>
      </c>
      <c r="AE153" s="48" t="str">
        <f t="shared" si="18"/>
        <v>Casa Juan Diego4818 Rose Street13</v>
      </c>
      <c r="AF153" s="48" t="str">
        <f t="shared" si="19"/>
        <v/>
      </c>
    </row>
    <row r="154" ht="66.75" customHeight="1">
      <c r="A154" s="49" t="s">
        <v>50</v>
      </c>
      <c r="B154" s="35" t="s">
        <v>1021</v>
      </c>
      <c r="C154" s="36" t="s">
        <v>1022</v>
      </c>
      <c r="D154" s="36"/>
      <c r="E154" s="36" t="s">
        <v>36</v>
      </c>
      <c r="F154" s="36" t="s">
        <v>37</v>
      </c>
      <c r="G154" s="35" t="s">
        <v>1023</v>
      </c>
      <c r="H154" s="35" t="s">
        <v>1024</v>
      </c>
      <c r="I154" s="35" t="s">
        <v>67</v>
      </c>
      <c r="J154" s="35" t="s">
        <v>1031</v>
      </c>
      <c r="K154" s="37">
        <f>IFERROR(__xludf.DUMMYFUNCTION("query(assistance!$A$2:$E988,""Select C Where D = '""&amp;L154&amp;""'"")"),31.0)</f>
        <v>31</v>
      </c>
      <c r="L154" s="36" t="s">
        <v>90</v>
      </c>
      <c r="M154" s="39">
        <f t="shared" si="21"/>
        <v>3</v>
      </c>
      <c r="N154" s="51" t="s">
        <v>973</v>
      </c>
      <c r="O154" s="40">
        <v>45838.0</v>
      </c>
      <c r="P154" s="35" t="s">
        <v>323</v>
      </c>
      <c r="Q154" s="35"/>
      <c r="R154" s="35" t="s">
        <v>1032</v>
      </c>
      <c r="S154" s="35" t="b">
        <v>1</v>
      </c>
      <c r="T154" s="35" t="b">
        <v>0</v>
      </c>
      <c r="U154" s="41" t="str">
        <f>IFERROR(__xludf.DUMMYFUNCTION("""["" &amp; JOIN("", "", ARRAYFORMULA("""""""" &amp; TRIM(SPLIT(A154, "","")) &amp; """""""")) &amp; ""]"""),"[""99999""]")</f>
        <v>["99999"]</v>
      </c>
      <c r="V154" s="52" t="s">
        <v>1027</v>
      </c>
      <c r="W154" s="43"/>
      <c r="X154" s="43"/>
      <c r="Y154" s="44" t="str">
        <f>vlookup(G154,zip_codes!$B$6:$J988,3,false)</f>
        <v>Houston</v>
      </c>
      <c r="Z154" s="45" t="str">
        <f>vlookup(G154,zip_codes!$B$6:$J988,9,false)</f>
        <v>Downtown Houston, Memorial Park, Rice Military, Sawyer Heights, Washington Avenue Coalition / Memorial Park, Washington Corridor</v>
      </c>
      <c r="AA154" s="44" t="str">
        <f>vlookup(B154,organizations!$B$1:$C988,2,false)</f>
        <v>Casa Juan Diego</v>
      </c>
      <c r="AB154" s="46" t="s">
        <v>1028</v>
      </c>
      <c r="AC154" s="47" t="s">
        <v>73</v>
      </c>
      <c r="AD154" s="48" t="s">
        <v>1030</v>
      </c>
      <c r="AE154" s="48" t="str">
        <f t="shared" si="18"/>
        <v>Casa Juan Diego4818 Rose Street31</v>
      </c>
      <c r="AF154" s="48" t="str">
        <f t="shared" si="19"/>
        <v/>
      </c>
    </row>
    <row r="155" ht="66.75" customHeight="1">
      <c r="A155" s="82" t="s">
        <v>1033</v>
      </c>
      <c r="B155" s="35" t="s">
        <v>1034</v>
      </c>
      <c r="C155" s="36" t="s">
        <v>892</v>
      </c>
      <c r="D155" s="36"/>
      <c r="E155" s="36" t="s">
        <v>36</v>
      </c>
      <c r="F155" s="36" t="s">
        <v>37</v>
      </c>
      <c r="G155" s="56" t="s">
        <v>514</v>
      </c>
      <c r="H155" s="35" t="s">
        <v>1035</v>
      </c>
      <c r="I155" s="35" t="s">
        <v>272</v>
      </c>
      <c r="J155" s="35" t="s">
        <v>1036</v>
      </c>
      <c r="K155" s="37">
        <f>IFERROR(__xludf.DUMMYFUNCTION("query(assistance!$A$2:$E988,""Select C Where D = '""&amp;L155&amp;""'"")"),11.0)</f>
        <v>11</v>
      </c>
      <c r="L155" s="36" t="s">
        <v>322</v>
      </c>
      <c r="M155" s="39">
        <f t="shared" si="21"/>
        <v>3</v>
      </c>
      <c r="N155" s="39" t="s">
        <v>973</v>
      </c>
      <c r="O155" s="40">
        <v>46071.0</v>
      </c>
      <c r="P155" s="35" t="s">
        <v>43</v>
      </c>
      <c r="Q155" s="35"/>
      <c r="R155" s="35" t="s">
        <v>1037</v>
      </c>
      <c r="S155" s="35" t="b">
        <v>1</v>
      </c>
      <c r="T155" s="35" t="b">
        <v>0</v>
      </c>
      <c r="U155" s="41" t="str">
        <f>IFERROR(__xludf.DUMMYFUNCTION("""["" &amp; JOIN("", "", ARRAYFORMULA("""""""" &amp; TRIM(SPLIT(A155,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""77053"", ""77406"", ""77407"", ""77417"", ""77430"", ""77441"", ""77444"", ""77451"", ""77459"", ""77461"", ""77464"", ""77469"", ""77471"", "&amp;"""77476"", ""77477"", ""77478"", ""77479"", ""77481"", ""77485"", ""77487"", ""77489"", ""77494"", ""77496"", ""77498"", ""77545"", ""77583"", ""77584""]")</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v>
      </c>
      <c r="V155" s="42" t="s">
        <v>1038</v>
      </c>
      <c r="W155" s="42" t="s">
        <v>1039</v>
      </c>
      <c r="X155" s="43"/>
      <c r="Y155" s="44" t="str">
        <f>vlookup(G155,zip_codes!$B$6:$J988,3,false)</f>
        <v>Houston</v>
      </c>
      <c r="Z155" s="45" t="str">
        <f>vlookup(G155,zip_codes!$B$6:$J988,9,false)</f>
        <v>Hyde Park, Montrose, South Central Houston</v>
      </c>
      <c r="AA155" s="44" t="str">
        <f>vlookup(B155,organizations!$B$1:$C988,2,false)</f>
        <v>Catholic Charities</v>
      </c>
      <c r="AB155" s="55" t="s">
        <v>1040</v>
      </c>
      <c r="AC155" s="47" t="str">
        <f t="shared" ref="AC155:AC157" si="22">PARSE_HOURS(I155)</f>
        <v>{"regular":[{"days":["Mo","Tu","We","Th","Fr"],"open":"08:00","close":"17:00"}]}</v>
      </c>
      <c r="AD155" s="58" t="s">
        <v>314</v>
      </c>
      <c r="AE155" s="48"/>
      <c r="AF155" s="48"/>
    </row>
    <row r="156" ht="66.75" customHeight="1">
      <c r="A156" s="49" t="s">
        <v>1041</v>
      </c>
      <c r="B156" s="35" t="s">
        <v>1034</v>
      </c>
      <c r="C156" s="36" t="s">
        <v>892</v>
      </c>
      <c r="D156" s="36"/>
      <c r="E156" s="36" t="s">
        <v>36</v>
      </c>
      <c r="F156" s="36" t="s">
        <v>37</v>
      </c>
      <c r="G156" s="56" t="s">
        <v>514</v>
      </c>
      <c r="H156" s="35" t="s">
        <v>1035</v>
      </c>
      <c r="I156" s="35" t="s">
        <v>272</v>
      </c>
      <c r="J156" s="35" t="s">
        <v>89</v>
      </c>
      <c r="K156" s="37">
        <f>IFERROR(__xludf.DUMMYFUNCTION("query(assistance!$A$2:$E988,""Select C Where D = '""&amp;L156&amp;""'"")"),11.0)</f>
        <v>11</v>
      </c>
      <c r="L156" s="36" t="s">
        <v>322</v>
      </c>
      <c r="M156" s="38">
        <f>if(N156="Inactive",3,if(N156="Limited", 2, 1))</f>
        <v>1</v>
      </c>
      <c r="N156" s="39" t="s">
        <v>42</v>
      </c>
      <c r="O156" s="40">
        <v>46062.0</v>
      </c>
      <c r="P156" s="35" t="s">
        <v>43</v>
      </c>
      <c r="Q156" s="35"/>
      <c r="R156" s="35" t="s">
        <v>1042</v>
      </c>
      <c r="S156" s="35" t="b">
        <v>1</v>
      </c>
      <c r="T156" s="35" t="b">
        <v>0</v>
      </c>
      <c r="U156" s="41" t="str">
        <f>IFERROR(__xludf.DUMMYFUNCTION("""["" &amp; JOIN("", "", ARRAYFORMULA("""""""" &amp; TRIM(SPLIT(A156, "","")) &amp; """""""")) &amp; ""]"""),"[""77568"", ""77590"", ""77591""]")</f>
        <v>["77568", "77590", "77591"]</v>
      </c>
      <c r="V156" s="42" t="s">
        <v>1038</v>
      </c>
      <c r="W156" s="42" t="s">
        <v>1039</v>
      </c>
      <c r="X156" s="43"/>
      <c r="Y156" s="44" t="str">
        <f>vlookup(G156,zip_codes!$B$6:$J988,3,false)</f>
        <v>Houston</v>
      </c>
      <c r="Z156" s="45" t="str">
        <f>vlookup(G156,zip_codes!$B$6:$J988,9,false)</f>
        <v>Hyde Park, Montrose, South Central Houston</v>
      </c>
      <c r="AA156" s="44" t="str">
        <f>vlookup(B156,organizations!$B$1:$C988,2,false)</f>
        <v>Catholic Charities</v>
      </c>
      <c r="AB156" s="55" t="s">
        <v>1040</v>
      </c>
      <c r="AC156" s="47" t="str">
        <f t="shared" si="22"/>
        <v>{"regular":[{"days":["Mo","Tu","We","Th","Fr"],"open":"08:00","close":"17:00"}]}</v>
      </c>
      <c r="AD156" s="58" t="s">
        <v>314</v>
      </c>
      <c r="AE156" s="48"/>
      <c r="AF156" s="48"/>
    </row>
    <row r="157" ht="66.75" customHeight="1">
      <c r="A157" s="49" t="s">
        <v>50</v>
      </c>
      <c r="B157" s="35" t="s">
        <v>1034</v>
      </c>
      <c r="C157" s="36" t="s">
        <v>892</v>
      </c>
      <c r="D157" s="36"/>
      <c r="E157" s="36" t="s">
        <v>36</v>
      </c>
      <c r="F157" s="36" t="s">
        <v>37</v>
      </c>
      <c r="G157" s="56" t="s">
        <v>514</v>
      </c>
      <c r="H157" s="35" t="s">
        <v>1035</v>
      </c>
      <c r="I157" s="35" t="s">
        <v>272</v>
      </c>
      <c r="J157" s="35" t="s">
        <v>1036</v>
      </c>
      <c r="K157" s="37">
        <f>IFERROR(__xludf.DUMMYFUNCTION("query(assistance!$A$2:$E988,""Select C Where D = '""&amp;L157&amp;""'"")"),12.0)</f>
        <v>12</v>
      </c>
      <c r="L157" s="36" t="s">
        <v>330</v>
      </c>
      <c r="M157" s="39">
        <f>if(N157="Inactive",3,if(N157="Limited", 2, if(N157="Closed", 4, 1)))</f>
        <v>3</v>
      </c>
      <c r="N157" s="51" t="s">
        <v>973</v>
      </c>
      <c r="O157" s="40">
        <v>46062.0</v>
      </c>
      <c r="P157" s="35" t="s">
        <v>43</v>
      </c>
      <c r="Q157" s="35"/>
      <c r="R157" s="35" t="s">
        <v>1043</v>
      </c>
      <c r="S157" s="35" t="b">
        <v>0</v>
      </c>
      <c r="T157" s="35" t="b">
        <v>0</v>
      </c>
      <c r="U157" s="41" t="str">
        <f>IFERROR(__xludf.DUMMYFUNCTION("""["" &amp; JOIN("", "", ARRAYFORMULA("""""""" &amp; TRIM(SPLIT(A157, "","")) &amp; """""""")) &amp; ""]"""),"[""99999""]")</f>
        <v>["99999"]</v>
      </c>
      <c r="V157" s="42" t="s">
        <v>1038</v>
      </c>
      <c r="W157" s="42" t="s">
        <v>1039</v>
      </c>
      <c r="X157" s="43"/>
      <c r="Y157" s="44" t="str">
        <f>vlookup(G157,zip_codes!$B$6:$J988,3,false)</f>
        <v>Houston</v>
      </c>
      <c r="Z157" s="45" t="str">
        <f>vlookup(G157,zip_codes!$B$6:$J988,9,false)</f>
        <v>Hyde Park, Montrose, South Central Houston</v>
      </c>
      <c r="AA157" s="44" t="str">
        <f>vlookup(B157,organizations!$B$1:$C988,2,false)</f>
        <v>Catholic Charities</v>
      </c>
      <c r="AB157" s="55" t="s">
        <v>1040</v>
      </c>
      <c r="AC157" s="47" t="str">
        <f t="shared" si="22"/>
        <v>{"regular":[{"days":["Mo","Tu","We","Th","Fr"],"open":"08:00","close":"17:00"}]}</v>
      </c>
      <c r="AD157" s="58" t="s">
        <v>314</v>
      </c>
      <c r="AE157" s="48"/>
      <c r="AF157" s="48"/>
    </row>
    <row r="158" ht="66.75" customHeight="1">
      <c r="A158" s="49" t="s">
        <v>50</v>
      </c>
      <c r="B158" s="35" t="s">
        <v>1034</v>
      </c>
      <c r="C158" s="36" t="s">
        <v>1044</v>
      </c>
      <c r="D158" s="36"/>
      <c r="E158" s="36" t="s">
        <v>36</v>
      </c>
      <c r="F158" s="36" t="s">
        <v>37</v>
      </c>
      <c r="G158" s="35" t="s">
        <v>557</v>
      </c>
      <c r="H158" s="35" t="s">
        <v>1045</v>
      </c>
      <c r="I158" s="35" t="s">
        <v>1046</v>
      </c>
      <c r="J158" s="35"/>
      <c r="K158" s="37">
        <f>IFERROR(__xludf.DUMMYFUNCTION("query(assistance!$A$2:$E988,""Select C Where D = '""&amp;L158&amp;""'"")"),13.0)</f>
        <v>13</v>
      </c>
      <c r="L158" s="36" t="s">
        <v>240</v>
      </c>
      <c r="M158" s="38">
        <f t="shared" ref="M158:M169" si="23">if(N158="Inactive",3,if(N158="Limited", 2, 1))</f>
        <v>1</v>
      </c>
      <c r="N158" s="39" t="s">
        <v>42</v>
      </c>
      <c r="O158" s="65"/>
      <c r="P158" s="50"/>
      <c r="Q158" s="35"/>
      <c r="R158" s="35" t="s">
        <v>1047</v>
      </c>
      <c r="S158" s="35" t="b">
        <v>0</v>
      </c>
      <c r="T158" s="35" t="b">
        <v>0</v>
      </c>
      <c r="U158" s="41" t="str">
        <f>IFERROR(__xludf.DUMMYFUNCTION("""["" &amp; JOIN("", "", ARRAYFORMULA("""""""" &amp; TRIM(SPLIT(A158, "","")) &amp; """""""")) &amp; ""]"""),"[""99999""]")</f>
        <v>["99999"]</v>
      </c>
      <c r="V158" s="52" t="s">
        <v>1048</v>
      </c>
      <c r="W158" s="52" t="s">
        <v>1049</v>
      </c>
      <c r="X158" s="43"/>
      <c r="Y158" s="44" t="str">
        <f>vlookup(G158,zip_codes!$B$6:$J988,3,false)</f>
        <v>Houston</v>
      </c>
      <c r="Z158" s="45" t="str">
        <f>vlookup(G158,zip_codes!$B$6:$J988,9,false)</f>
        <v>East Downtown, Downtown Houston, Second Ward, South Central Houston, South Side</v>
      </c>
      <c r="AA158" s="44" t="str">
        <f>vlookup(B158,organizations!$B$1:$C988,2,false)</f>
        <v>Catholic Charities</v>
      </c>
      <c r="AB158" s="46" t="s">
        <v>1050</v>
      </c>
      <c r="AC158" s="47" t="s">
        <v>1051</v>
      </c>
      <c r="AD158" s="48" t="s">
        <v>314</v>
      </c>
      <c r="AE158" s="48" t="str">
        <f t="shared" ref="AE158:AE161" si="24">B158&amp;C158&amp;K158</f>
        <v>Catholic Charities326 South Jensen Drive13</v>
      </c>
      <c r="AF158" s="48" t="str">
        <f t="shared" ref="AF158:AF161" si="25">if(AE158=AE157,"XXX","")</f>
        <v/>
      </c>
    </row>
    <row r="159" ht="66.75" customHeight="1">
      <c r="A159" s="49" t="s">
        <v>50</v>
      </c>
      <c r="B159" s="35" t="s">
        <v>1034</v>
      </c>
      <c r="C159" s="36" t="s">
        <v>1044</v>
      </c>
      <c r="D159" s="36"/>
      <c r="E159" s="36" t="s">
        <v>36</v>
      </c>
      <c r="F159" s="36" t="s">
        <v>37</v>
      </c>
      <c r="G159" s="35" t="s">
        <v>557</v>
      </c>
      <c r="H159" s="35" t="s">
        <v>1035</v>
      </c>
      <c r="I159" s="50"/>
      <c r="J159" s="64"/>
      <c r="K159" s="37">
        <f>IFERROR(__xludf.DUMMYFUNCTION("query(assistance!$A$2:$E988,""Select C Where D = '""&amp;L159&amp;""'"")"),14.0)</f>
        <v>14</v>
      </c>
      <c r="L159" s="36" t="s">
        <v>391</v>
      </c>
      <c r="M159" s="38">
        <f t="shared" si="23"/>
        <v>1</v>
      </c>
      <c r="N159" s="39" t="s">
        <v>42</v>
      </c>
      <c r="O159" s="65"/>
      <c r="P159" s="50"/>
      <c r="Q159" s="50"/>
      <c r="R159" s="50"/>
      <c r="S159" s="35" t="b">
        <v>0</v>
      </c>
      <c r="T159" s="35" t="b">
        <v>0</v>
      </c>
      <c r="U159" s="41" t="str">
        <f>IFERROR(__xludf.DUMMYFUNCTION("""["" &amp; JOIN("", "", ARRAYFORMULA("""""""" &amp; TRIM(SPLIT(A159, "","")) &amp; """""""")) &amp; ""]"""),"[""99999""]")</f>
        <v>["99999"]</v>
      </c>
      <c r="V159" s="52" t="s">
        <v>1048</v>
      </c>
      <c r="W159" s="52" t="s">
        <v>1049</v>
      </c>
      <c r="X159" s="43"/>
      <c r="Y159" s="44" t="str">
        <f>vlookup(G159,zip_codes!$B$6:$J988,3,false)</f>
        <v>Houston</v>
      </c>
      <c r="Z159" s="45" t="str">
        <f>vlookup(G159,zip_codes!$B$6:$J988,9,false)</f>
        <v>East Downtown, Downtown Houston, Second Ward, South Central Houston, South Side</v>
      </c>
      <c r="AA159" s="44" t="str">
        <f>vlookup(B159,organizations!$B$1:$C988,2,false)</f>
        <v>Catholic Charities</v>
      </c>
      <c r="AB159" s="46" t="s">
        <v>1050</v>
      </c>
      <c r="AC159" s="53"/>
      <c r="AD159" s="48" t="s">
        <v>314</v>
      </c>
      <c r="AE159" s="48" t="str">
        <f t="shared" si="24"/>
        <v>Catholic Charities326 South Jensen Drive14</v>
      </c>
      <c r="AF159" s="48" t="str">
        <f t="shared" si="25"/>
        <v/>
      </c>
    </row>
    <row r="160" ht="66.75" customHeight="1">
      <c r="A160" s="49" t="s">
        <v>50</v>
      </c>
      <c r="B160" s="35" t="s">
        <v>1034</v>
      </c>
      <c r="C160" s="36" t="s">
        <v>1052</v>
      </c>
      <c r="D160" s="36"/>
      <c r="E160" s="36" t="s">
        <v>36</v>
      </c>
      <c r="F160" s="36" t="s">
        <v>37</v>
      </c>
      <c r="G160" s="35" t="s">
        <v>1053</v>
      </c>
      <c r="H160" s="35" t="s">
        <v>1054</v>
      </c>
      <c r="I160" s="35" t="s">
        <v>67</v>
      </c>
      <c r="J160" s="36"/>
      <c r="K160" s="37">
        <f>IFERROR(__xludf.DUMMYFUNCTION("query(assistance!$A$2:$E988,""Select C Where D = '""&amp;L160&amp;""'"")"),54.0)</f>
        <v>54</v>
      </c>
      <c r="L160" s="36" t="s">
        <v>291</v>
      </c>
      <c r="M160" s="38">
        <f t="shared" si="23"/>
        <v>1</v>
      </c>
      <c r="N160" s="39" t="s">
        <v>42</v>
      </c>
      <c r="O160" s="65"/>
      <c r="P160" s="50"/>
      <c r="Q160" s="35"/>
      <c r="R160" s="35" t="s">
        <v>1055</v>
      </c>
      <c r="S160" s="35" t="b">
        <v>0</v>
      </c>
      <c r="T160" s="35" t="b">
        <v>0</v>
      </c>
      <c r="U160" s="41" t="str">
        <f>IFERROR(__xludf.DUMMYFUNCTION("""["" &amp; JOIN("", "", ARRAYFORMULA("""""""" &amp; TRIM(SPLIT(A160, "","")) &amp; """""""")) &amp; ""]"""),"[""99999""]")</f>
        <v>["99999"]</v>
      </c>
      <c r="V160" s="52" t="s">
        <v>1056</v>
      </c>
      <c r="W160" s="52" t="s">
        <v>1057</v>
      </c>
      <c r="X160" s="43"/>
      <c r="Y160" s="44" t="str">
        <f>vlookup(G160,zip_codes!$B$6:$J988,3,false)</f>
        <v>Houston</v>
      </c>
      <c r="Z160" s="45" t="str">
        <f>vlookup(G160,zip_codes!$B$6:$J988,9,false)</f>
        <v>Galleria, Tanglewood, Uptown, Westside</v>
      </c>
      <c r="AA160" s="44" t="str">
        <f>vlookup(B160,organizations!$B$1:$C988,2,false)</f>
        <v>Catholic Charities</v>
      </c>
      <c r="AB160" s="46" t="s">
        <v>1058</v>
      </c>
      <c r="AC160" s="47" t="s">
        <v>73</v>
      </c>
      <c r="AD160" s="48" t="s">
        <v>1059</v>
      </c>
      <c r="AE160" s="48" t="str">
        <f t="shared" si="24"/>
        <v>Catholic Charities5599 San Felipe Street54</v>
      </c>
      <c r="AF160" s="48" t="str">
        <f t="shared" si="25"/>
        <v/>
      </c>
    </row>
    <row r="161" ht="66.75" customHeight="1">
      <c r="A161" s="49" t="s">
        <v>50</v>
      </c>
      <c r="B161" s="35" t="s">
        <v>1034</v>
      </c>
      <c r="C161" s="36" t="s">
        <v>1052</v>
      </c>
      <c r="D161" s="36"/>
      <c r="E161" s="36" t="s">
        <v>36</v>
      </c>
      <c r="F161" s="36" t="s">
        <v>37</v>
      </c>
      <c r="G161" s="35" t="s">
        <v>1053</v>
      </c>
      <c r="H161" s="35" t="s">
        <v>1054</v>
      </c>
      <c r="I161" s="35" t="s">
        <v>67</v>
      </c>
      <c r="J161" s="35"/>
      <c r="K161" s="37">
        <f>IFERROR(__xludf.DUMMYFUNCTION("query(assistance!$A$2:$E988,""Select C Where D = '""&amp;L161&amp;""'"")"),55.0)</f>
        <v>55</v>
      </c>
      <c r="L161" s="36" t="s">
        <v>436</v>
      </c>
      <c r="M161" s="38">
        <f t="shared" si="23"/>
        <v>2</v>
      </c>
      <c r="N161" s="51" t="s">
        <v>385</v>
      </c>
      <c r="O161" s="40">
        <v>45893.0</v>
      </c>
      <c r="P161" s="50"/>
      <c r="Q161" s="35"/>
      <c r="R161" s="35" t="s">
        <v>932</v>
      </c>
      <c r="S161" s="35" t="b">
        <v>0</v>
      </c>
      <c r="T161" s="35" t="b">
        <v>0</v>
      </c>
      <c r="U161" s="41" t="str">
        <f>IFERROR(__xludf.DUMMYFUNCTION("""["" &amp; JOIN("", "", ARRAYFORMULA("""""""" &amp; TRIM(SPLIT(A161, "","")) &amp; """""""")) &amp; ""]"""),"[""99999""]")</f>
        <v>["99999"]</v>
      </c>
      <c r="V161" s="52" t="s">
        <v>1060</v>
      </c>
      <c r="W161" s="43"/>
      <c r="X161" s="43"/>
      <c r="Y161" s="44" t="str">
        <f>vlookup(G161,zip_codes!$B$6:$J988,3,false)</f>
        <v>Houston</v>
      </c>
      <c r="Z161" s="45" t="str">
        <f>vlookup(G161,zip_codes!$B$6:$J988,9,false)</f>
        <v>Galleria, Tanglewood, Uptown, Westside</v>
      </c>
      <c r="AA161" s="44" t="str">
        <f>vlookup(B161,organizations!$B$1:$C988,2,false)</f>
        <v>Catholic Charities</v>
      </c>
      <c r="AB161" s="46" t="s">
        <v>1058</v>
      </c>
      <c r="AC161" s="47" t="s">
        <v>73</v>
      </c>
      <c r="AD161" s="48" t="s">
        <v>1059</v>
      </c>
      <c r="AE161" s="48" t="str">
        <f t="shared" si="24"/>
        <v>Catholic Charities5599 San Felipe Street55</v>
      </c>
      <c r="AF161" s="48" t="str">
        <f t="shared" si="25"/>
        <v/>
      </c>
    </row>
    <row r="162" ht="66.75" customHeight="1">
      <c r="A162" s="34" t="s">
        <v>280</v>
      </c>
      <c r="B162" s="35" t="s">
        <v>1034</v>
      </c>
      <c r="C162" s="36" t="s">
        <v>892</v>
      </c>
      <c r="D162" s="36"/>
      <c r="E162" s="36" t="s">
        <v>36</v>
      </c>
      <c r="F162" s="36" t="s">
        <v>37</v>
      </c>
      <c r="G162" s="56" t="s">
        <v>514</v>
      </c>
      <c r="H162" s="35" t="s">
        <v>1035</v>
      </c>
      <c r="I162" s="35" t="s">
        <v>272</v>
      </c>
      <c r="J162" s="35" t="s">
        <v>89</v>
      </c>
      <c r="K162" s="36">
        <f>IFERROR(__xludf.DUMMYFUNCTION("query(assistance!$A$2:$E988,""Select C Where D = '""&amp;L162&amp;""'"")"),56.0)</f>
        <v>56</v>
      </c>
      <c r="L162" s="36" t="s">
        <v>56</v>
      </c>
      <c r="M162" s="38">
        <f t="shared" si="23"/>
        <v>1</v>
      </c>
      <c r="N162" s="39" t="s">
        <v>42</v>
      </c>
      <c r="O162" s="40">
        <v>46062.0</v>
      </c>
      <c r="P162" s="35" t="s">
        <v>43</v>
      </c>
      <c r="Q162" s="35"/>
      <c r="R162" s="35" t="s">
        <v>1061</v>
      </c>
      <c r="S162" s="35" t="b">
        <v>0</v>
      </c>
      <c r="T162" s="35" t="b">
        <v>0</v>
      </c>
      <c r="U162" s="41" t="str">
        <f>IFERROR(__xludf.DUMMYFUNCTION("""["" &amp; JOIN("", "", ARRAYFORMULA("""""""" &amp; TRIM(SPLIT(A162,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162" s="42" t="s">
        <v>1038</v>
      </c>
      <c r="W162" s="42" t="s">
        <v>1039</v>
      </c>
      <c r="X162" s="43"/>
      <c r="Y162" s="44" t="str">
        <f>vlookup(G162,zip_codes!$B$6:$J988,3,false)</f>
        <v>Houston</v>
      </c>
      <c r="Z162" s="45" t="str">
        <f>vlookup(G162,zip_codes!$B$6:$J988,9,false)</f>
        <v>Hyde Park, Montrose, South Central Houston</v>
      </c>
      <c r="AA162" s="44" t="str">
        <f>vlookup(B162,organizations!$B$1:$C988,2,false)</f>
        <v>Catholic Charities</v>
      </c>
      <c r="AB162" s="55" t="s">
        <v>1040</v>
      </c>
      <c r="AC162" s="47" t="str">
        <f>PARSE_HOURS(I162)</f>
        <v>{"regular":[{"days":["Mo","Tu","We","Th","Fr"],"open":"08:00","close":"17:00"}]}</v>
      </c>
      <c r="AD162" s="58" t="s">
        <v>314</v>
      </c>
      <c r="AE162" s="48"/>
      <c r="AF162" s="48"/>
    </row>
    <row r="163" ht="66.75" customHeight="1">
      <c r="A163" s="49" t="s">
        <v>50</v>
      </c>
      <c r="B163" s="35" t="s">
        <v>1062</v>
      </c>
      <c r="C163" s="36" t="s">
        <v>1063</v>
      </c>
      <c r="D163" s="36" t="s">
        <v>157</v>
      </c>
      <c r="E163" s="36" t="s">
        <v>36</v>
      </c>
      <c r="F163" s="36" t="s">
        <v>37</v>
      </c>
      <c r="G163" s="35" t="s">
        <v>676</v>
      </c>
      <c r="H163" s="35" t="s">
        <v>1064</v>
      </c>
      <c r="I163" s="35" t="s">
        <v>67</v>
      </c>
      <c r="J163" s="35"/>
      <c r="K163" s="37">
        <f>IFERROR(__xludf.DUMMYFUNCTION("query(assistance!$A$2:$E988,""Select C Where D = '""&amp;L163&amp;""'"")"),55.0)</f>
        <v>55</v>
      </c>
      <c r="L163" s="36" t="s">
        <v>436</v>
      </c>
      <c r="M163" s="38">
        <f t="shared" si="23"/>
        <v>2</v>
      </c>
      <c r="N163" s="51" t="s">
        <v>385</v>
      </c>
      <c r="O163" s="40">
        <v>45893.0</v>
      </c>
      <c r="P163" s="50"/>
      <c r="Q163" s="35"/>
      <c r="R163" s="35" t="s">
        <v>932</v>
      </c>
      <c r="S163" s="35" t="b">
        <v>0</v>
      </c>
      <c r="T163" s="35" t="b">
        <v>0</v>
      </c>
      <c r="U163" s="41" t="str">
        <f>IFERROR(__xludf.DUMMYFUNCTION("""["" &amp; JOIN("", "", ARRAYFORMULA("""""""" &amp; TRIM(SPLIT(A163, "","")) &amp; """""""")) &amp; ""]"""),"[""99999""]")</f>
        <v>["99999"]</v>
      </c>
      <c r="V163" s="52" t="s">
        <v>1065</v>
      </c>
      <c r="W163" s="43"/>
      <c r="X163" s="43"/>
      <c r="Y163" s="44" t="str">
        <f>vlookup(G163,zip_codes!$B$6:$J988,3,false)</f>
        <v>Houston</v>
      </c>
      <c r="Z163" s="45" t="str">
        <f>vlookup(G163,zip_codes!$B$6:$J988,9,false)</f>
        <v>Gulfton</v>
      </c>
      <c r="AA163" s="44" t="str">
        <f>vlookup(B163,organizations!$B$1:$C988,2,false)</f>
        <v>Central American Resource Center (CARECEN)</v>
      </c>
      <c r="AB163" s="46" t="s">
        <v>1066</v>
      </c>
      <c r="AC163" s="47" t="s">
        <v>73</v>
      </c>
      <c r="AD163" s="48" t="s">
        <v>680</v>
      </c>
      <c r="AE163" s="48" t="str">
        <f t="shared" ref="AE163:AE205" si="26">B163&amp;C163&amp;K163</f>
        <v>Central American Resource Center (CARECEN)6006 Bellaire Blvd55</v>
      </c>
      <c r="AF163" s="48" t="str">
        <f>if(AE163=AE158,"XXX","")</f>
        <v/>
      </c>
    </row>
    <row r="164" ht="66.75" customHeight="1">
      <c r="A164" s="49" t="s">
        <v>50</v>
      </c>
      <c r="B164" s="35" t="s">
        <v>1067</v>
      </c>
      <c r="C164" s="36"/>
      <c r="D164" s="36"/>
      <c r="E164" s="36" t="s">
        <v>36</v>
      </c>
      <c r="F164" s="36" t="s">
        <v>37</v>
      </c>
      <c r="G164" s="56" t="s">
        <v>77</v>
      </c>
      <c r="H164" s="35" t="s">
        <v>1068</v>
      </c>
      <c r="I164" s="35" t="s">
        <v>272</v>
      </c>
      <c r="J164" s="35" t="s">
        <v>89</v>
      </c>
      <c r="K164" s="37">
        <f>IFERROR(__xludf.DUMMYFUNCTION("query(assistance!$A$2:$E988,""Select C Where D = '""&amp;L164&amp;""'"")"),44.0)</f>
        <v>44</v>
      </c>
      <c r="L164" s="36" t="s">
        <v>102</v>
      </c>
      <c r="M164" s="38">
        <f t="shared" si="23"/>
        <v>1</v>
      </c>
      <c r="N164" s="39" t="s">
        <v>42</v>
      </c>
      <c r="O164" s="57">
        <v>46062.0</v>
      </c>
      <c r="P164" s="35" t="s">
        <v>43</v>
      </c>
      <c r="Q164" s="35"/>
      <c r="R164" s="35" t="s">
        <v>1069</v>
      </c>
      <c r="S164" s="35" t="b">
        <v>1</v>
      </c>
      <c r="T164" s="35" t="b">
        <v>0</v>
      </c>
      <c r="U164" s="35" t="str">
        <f>IFERROR(__xludf.DUMMYFUNCTION("""["" &amp; JOIN("", "", ARRAYFORMULA("""""""" &amp; TRIM(SPLIT(A164, "","")) &amp; """""""")) &amp; ""]"""),"[""99999""]")</f>
        <v>["99999"]</v>
      </c>
      <c r="V164" s="42" t="s">
        <v>1070</v>
      </c>
      <c r="W164" s="42"/>
      <c r="X164" s="43"/>
      <c r="Y164" s="44" t="str">
        <f>vlookup(G164,zip_codes!$B$6:$J988,3,false)</f>
        <v>Houston</v>
      </c>
      <c r="Z164" s="45" t="str">
        <f>vlookup(G164,zip_codes!$B$6:$J988,9,false)</f>
        <v>Eastwood, Gulfgate Riverview / Pine Valley, Idylwood, Lawndale / Wayside, Magnolia Park, South Central Houston</v>
      </c>
      <c r="AA164" s="44" t="str">
        <f>vlookup(B164,organizations!$B$1:$C988,2,false)</f>
        <v>Children's Health Insurance Program (CHIP)</v>
      </c>
      <c r="AB164" s="83" t="s">
        <v>1071</v>
      </c>
      <c r="AC164" s="47" t="str">
        <f t="shared" ref="AC164:AC168" si="27">PARSE_HOURS(I164)</f>
        <v>{"regular":[{"days":["Mo","Tu","We","Th","Fr"],"open":"08:00","close":"17:00"}]}</v>
      </c>
      <c r="AD164" s="48"/>
      <c r="AE164" s="48" t="str">
        <f t="shared" si="26"/>
        <v>Children's Health Insurance Program (CHIP)44</v>
      </c>
      <c r="AF164" s="48"/>
    </row>
    <row r="165" ht="66.75" customHeight="1">
      <c r="A165" s="82" t="s">
        <v>1072</v>
      </c>
      <c r="B165" s="35" t="s">
        <v>1073</v>
      </c>
      <c r="C165" s="36" t="s">
        <v>1074</v>
      </c>
      <c r="D165" s="36"/>
      <c r="E165" s="36" t="s">
        <v>36</v>
      </c>
      <c r="F165" s="36" t="s">
        <v>37</v>
      </c>
      <c r="G165" s="35" t="s">
        <v>599</v>
      </c>
      <c r="H165" s="35" t="s">
        <v>1075</v>
      </c>
      <c r="I165" s="35" t="s">
        <v>1076</v>
      </c>
      <c r="J165" s="35" t="s">
        <v>1077</v>
      </c>
      <c r="K165" s="37">
        <f>IFERROR(__xludf.DUMMYFUNCTION("query(assistance!$A$2:$E988,""Select C Where D = '""&amp;L165&amp;""'"")"),12.0)</f>
        <v>12</v>
      </c>
      <c r="L165" s="36" t="s">
        <v>330</v>
      </c>
      <c r="M165" s="38">
        <f t="shared" si="23"/>
        <v>1</v>
      </c>
      <c r="N165" s="39" t="s">
        <v>42</v>
      </c>
      <c r="O165" s="40">
        <v>46026.0</v>
      </c>
      <c r="P165" s="35" t="s">
        <v>323</v>
      </c>
      <c r="Q165" s="35"/>
      <c r="R165" s="35" t="s">
        <v>1078</v>
      </c>
      <c r="S165" s="35" t="b">
        <v>0</v>
      </c>
      <c r="T165" s="35" t="b">
        <v>0</v>
      </c>
      <c r="U165" s="41" t="str">
        <f>IFERROR(__xludf.DUMMYFUNCTION("""["" &amp; JOIN("", "", ARRAYFORMULA("""""""" &amp; TRIM(SPLIT(A165,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V165" s="42" t="s">
        <v>1079</v>
      </c>
      <c r="W165" s="52" t="s">
        <v>1080</v>
      </c>
      <c r="X165" s="43"/>
      <c r="Y165" s="44" t="str">
        <f>vlookup(G165,zip_codes!$B$6:$J988,3,false)</f>
        <v>Houston</v>
      </c>
      <c r="Z165" s="45" t="str">
        <f>vlookup(G165,zip_codes!$B$6:$J988,9,false)</f>
        <v>Chinatown, Sharpstown, Westside</v>
      </c>
      <c r="AA165" s="44" t="str">
        <f>vlookup(B165,organizations!$B$1:$C988,2,false)</f>
        <v>Chinese Community Service Center</v>
      </c>
      <c r="AB165" s="46" t="s">
        <v>1081</v>
      </c>
      <c r="AC165" s="47" t="str">
        <f t="shared" si="27"/>
        <v>{"regular":[{"days":["Mo"],"open":"09:00","close":"17:00"}]}</v>
      </c>
      <c r="AD165" s="48" t="s">
        <v>1082</v>
      </c>
      <c r="AE165" s="48" t="str">
        <f t="shared" si="26"/>
        <v>Chinese Community Service Center9800 Town Park Drive12</v>
      </c>
      <c r="AF165" s="48" t="str">
        <f t="shared" ref="AF165:AF175" si="28">if(AE165=AE164,"XXX","")</f>
        <v/>
      </c>
    </row>
    <row r="166" ht="66.75" customHeight="1">
      <c r="A166" s="49" t="s">
        <v>50</v>
      </c>
      <c r="B166" s="35" t="s">
        <v>1073</v>
      </c>
      <c r="C166" s="36" t="s">
        <v>1074</v>
      </c>
      <c r="D166" s="36"/>
      <c r="E166" s="36" t="s">
        <v>36</v>
      </c>
      <c r="F166" s="36" t="s">
        <v>37</v>
      </c>
      <c r="G166" s="35" t="s">
        <v>599</v>
      </c>
      <c r="H166" s="35" t="s">
        <v>1075</v>
      </c>
      <c r="I166" s="35" t="s">
        <v>1076</v>
      </c>
      <c r="J166" s="35"/>
      <c r="K166" s="37">
        <f>IFERROR(__xludf.DUMMYFUNCTION("query(assistance!$A$2:$E988,""Select C Where D = '""&amp;L166&amp;""'"")"),35.0)</f>
        <v>35</v>
      </c>
      <c r="L166" s="36" t="s">
        <v>731</v>
      </c>
      <c r="M166" s="38">
        <f t="shared" si="23"/>
        <v>1</v>
      </c>
      <c r="N166" s="39" t="s">
        <v>42</v>
      </c>
      <c r="O166" s="57">
        <v>46026.0</v>
      </c>
      <c r="P166" s="35" t="s">
        <v>43</v>
      </c>
      <c r="Q166" s="35"/>
      <c r="R166" s="35" t="s">
        <v>1083</v>
      </c>
      <c r="S166" s="35" t="b">
        <v>0</v>
      </c>
      <c r="T166" s="35" t="b">
        <v>0</v>
      </c>
      <c r="U166" s="41" t="str">
        <f>IFERROR(__xludf.DUMMYFUNCTION("""["" &amp; JOIN("", "", ARRAYFORMULA("""""""" &amp; TRIM(SPLIT(A166, "","")) &amp; """""""")) &amp; ""]"""),"[""99999""]")</f>
        <v>["99999"]</v>
      </c>
      <c r="V166" s="42" t="s">
        <v>1084</v>
      </c>
      <c r="W166" s="52" t="s">
        <v>1080</v>
      </c>
      <c r="X166" s="43"/>
      <c r="Y166" s="44" t="str">
        <f>vlookup(G166,zip_codes!$B$6:$J988,3,false)</f>
        <v>Houston</v>
      </c>
      <c r="Z166" s="45" t="str">
        <f>vlookup(G166,zip_codes!$B$6:$J988,9,false)</f>
        <v>Chinatown, Sharpstown, Westside</v>
      </c>
      <c r="AA166" s="44" t="str">
        <f>vlookup(B166,organizations!$B$1:$C988,2,false)</f>
        <v>Chinese Community Service Center</v>
      </c>
      <c r="AB166" s="46" t="s">
        <v>1081</v>
      </c>
      <c r="AC166" s="47" t="str">
        <f t="shared" si="27"/>
        <v>{"regular":[{"days":["Mo"],"open":"09:00","close":"17:00"}]}</v>
      </c>
      <c r="AD166" s="48" t="s">
        <v>1082</v>
      </c>
      <c r="AE166" s="48" t="str">
        <f t="shared" si="26"/>
        <v>Chinese Community Service Center9800 Town Park Drive35</v>
      </c>
      <c r="AF166" s="48" t="str">
        <f t="shared" si="28"/>
        <v/>
      </c>
    </row>
    <row r="167" ht="66.75" customHeight="1">
      <c r="A167" s="49" t="s">
        <v>50</v>
      </c>
      <c r="B167" s="35" t="s">
        <v>1073</v>
      </c>
      <c r="C167" s="36" t="s">
        <v>1074</v>
      </c>
      <c r="D167" s="36"/>
      <c r="E167" s="36" t="s">
        <v>36</v>
      </c>
      <c r="F167" s="36" t="s">
        <v>37</v>
      </c>
      <c r="G167" s="35" t="s">
        <v>599</v>
      </c>
      <c r="H167" s="35" t="s">
        <v>1075</v>
      </c>
      <c r="I167" s="35" t="s">
        <v>1076</v>
      </c>
      <c r="J167" s="35"/>
      <c r="K167" s="37">
        <f>IFERROR(__xludf.DUMMYFUNCTION("query(assistance!$A$2:$E988,""Select C Where D = '""&amp;L167&amp;""'"")"),51.0)</f>
        <v>51</v>
      </c>
      <c r="L167" s="36" t="s">
        <v>468</v>
      </c>
      <c r="M167" s="38">
        <f t="shared" si="23"/>
        <v>1</v>
      </c>
      <c r="N167" s="39" t="s">
        <v>42</v>
      </c>
      <c r="O167" s="65"/>
      <c r="P167" s="50"/>
      <c r="Q167" s="50"/>
      <c r="R167" s="50"/>
      <c r="S167" s="35" t="b">
        <v>0</v>
      </c>
      <c r="T167" s="35" t="b">
        <v>0</v>
      </c>
      <c r="U167" s="41" t="str">
        <f>IFERROR(__xludf.DUMMYFUNCTION("""["" &amp; JOIN("", "", ARRAYFORMULA("""""""" &amp; TRIM(SPLIT(A167, "","")) &amp; """""""")) &amp; ""]"""),"[""99999""]")</f>
        <v>["99999"]</v>
      </c>
      <c r="V167" s="42" t="s">
        <v>1085</v>
      </c>
      <c r="W167" s="52" t="s">
        <v>1080</v>
      </c>
      <c r="X167" s="43"/>
      <c r="Y167" s="44" t="str">
        <f>vlookup(G167,zip_codes!$B$6:$J988,3,false)</f>
        <v>Houston</v>
      </c>
      <c r="Z167" s="45" t="str">
        <f>vlookup(G167,zip_codes!$B$6:$J988,9,false)</f>
        <v>Chinatown, Sharpstown, Westside</v>
      </c>
      <c r="AA167" s="44" t="str">
        <f>vlookup(B167,organizations!$B$1:$C988,2,false)</f>
        <v>Chinese Community Service Center</v>
      </c>
      <c r="AB167" s="46" t="s">
        <v>1081</v>
      </c>
      <c r="AC167" s="47" t="str">
        <f t="shared" si="27"/>
        <v>{"regular":[{"days":["Mo"],"open":"09:00","close":"17:00"}]}</v>
      </c>
      <c r="AD167" s="48" t="s">
        <v>1082</v>
      </c>
      <c r="AE167" s="48" t="str">
        <f t="shared" si="26"/>
        <v>Chinese Community Service Center9800 Town Park Drive51</v>
      </c>
      <c r="AF167" s="48" t="str">
        <f t="shared" si="28"/>
        <v/>
      </c>
    </row>
    <row r="168" ht="66.75" customHeight="1">
      <c r="A168" s="49" t="s">
        <v>50</v>
      </c>
      <c r="B168" s="35" t="s">
        <v>1073</v>
      </c>
      <c r="C168" s="36" t="s">
        <v>1074</v>
      </c>
      <c r="D168" s="36"/>
      <c r="E168" s="36" t="s">
        <v>36</v>
      </c>
      <c r="F168" s="36" t="s">
        <v>37</v>
      </c>
      <c r="G168" s="35" t="s">
        <v>599</v>
      </c>
      <c r="H168" s="35" t="s">
        <v>1075</v>
      </c>
      <c r="I168" s="35" t="s">
        <v>1076</v>
      </c>
      <c r="J168" s="35"/>
      <c r="K168" s="37">
        <f>IFERROR(__xludf.DUMMYFUNCTION("query(assistance!$A$2:$E988,""Select C Where D = '""&amp;L168&amp;""'"")"),61.0)</f>
        <v>61</v>
      </c>
      <c r="L168" s="36" t="s">
        <v>842</v>
      </c>
      <c r="M168" s="38">
        <f t="shared" si="23"/>
        <v>1</v>
      </c>
      <c r="N168" s="39" t="s">
        <v>42</v>
      </c>
      <c r="O168" s="65"/>
      <c r="P168" s="50"/>
      <c r="Q168" s="35"/>
      <c r="R168" s="35" t="s">
        <v>1086</v>
      </c>
      <c r="S168" s="35" t="b">
        <v>0</v>
      </c>
      <c r="T168" s="35" t="b">
        <v>0</v>
      </c>
      <c r="U168" s="41" t="str">
        <f>IFERROR(__xludf.DUMMYFUNCTION("""["" &amp; JOIN("", "", ARRAYFORMULA("""""""" &amp; TRIM(SPLIT(A168, "","")) &amp; """""""")) &amp; ""]"""),"[""99999""]")</f>
        <v>["99999"]</v>
      </c>
      <c r="V168" s="84" t="s">
        <v>1087</v>
      </c>
      <c r="W168" s="52" t="s">
        <v>1080</v>
      </c>
      <c r="X168" s="43"/>
      <c r="Y168" s="44" t="str">
        <f>vlookup(G168,zip_codes!$B$6:$J988,3,false)</f>
        <v>Houston</v>
      </c>
      <c r="Z168" s="45" t="str">
        <f>vlookup(G168,zip_codes!$B$6:$J988,9,false)</f>
        <v>Chinatown, Sharpstown, Westside</v>
      </c>
      <c r="AA168" s="44" t="str">
        <f>vlookup(B168,organizations!$B$1:$C988,2,false)</f>
        <v>Chinese Community Service Center</v>
      </c>
      <c r="AB168" s="46" t="s">
        <v>1081</v>
      </c>
      <c r="AC168" s="47" t="str">
        <f t="shared" si="27"/>
        <v>{"regular":[{"days":["Mo"],"open":"09:00","close":"17:00"}]}</v>
      </c>
      <c r="AD168" s="48" t="s">
        <v>1082</v>
      </c>
      <c r="AE168" s="48" t="str">
        <f t="shared" si="26"/>
        <v>Chinese Community Service Center9800 Town Park Drive61</v>
      </c>
      <c r="AF168" s="48" t="str">
        <f t="shared" si="28"/>
        <v/>
      </c>
    </row>
    <row r="169" ht="66.75" customHeight="1">
      <c r="A169" s="85" t="s">
        <v>1088</v>
      </c>
      <c r="B169" s="35" t="s">
        <v>1089</v>
      </c>
      <c r="C169" s="36" t="s">
        <v>1090</v>
      </c>
      <c r="D169" s="36"/>
      <c r="E169" s="36" t="s">
        <v>148</v>
      </c>
      <c r="F169" s="36" t="s">
        <v>37</v>
      </c>
      <c r="G169" s="35" t="s">
        <v>1091</v>
      </c>
      <c r="H169" s="35" t="s">
        <v>1092</v>
      </c>
      <c r="I169" s="35" t="s">
        <v>757</v>
      </c>
      <c r="J169" s="35"/>
      <c r="K169" s="37">
        <f>IFERROR(__xludf.DUMMYFUNCTION("query(assistance!$A$2:$E988,""Select C Where D = '""&amp;L169&amp;""'"")"),31.0)</f>
        <v>31</v>
      </c>
      <c r="L169" s="36" t="s">
        <v>90</v>
      </c>
      <c r="M169" s="38">
        <f t="shared" si="23"/>
        <v>1</v>
      </c>
      <c r="N169" s="39" t="s">
        <v>42</v>
      </c>
      <c r="O169" s="57">
        <v>45788.0</v>
      </c>
      <c r="P169" s="35" t="s">
        <v>43</v>
      </c>
      <c r="Q169" s="35"/>
      <c r="R169" s="35" t="s">
        <v>1093</v>
      </c>
      <c r="S169" s="35" t="b">
        <v>0</v>
      </c>
      <c r="T169" s="35" t="b">
        <v>0</v>
      </c>
      <c r="U169" s="41" t="str">
        <f>IFERROR(__xludf.DUMMYFUNCTION("""["" &amp; JOIN("", "", ARRAYFORMULA("""""""" &amp; TRIM(SPLIT(A169, "","")) &amp; """""""")) &amp; ""]"""),"[""77449"", ""77450"", ""77493"", ""77494""]")</f>
        <v>["77449", "77450", "77493", "77494"]</v>
      </c>
      <c r="V169" s="42" t="s">
        <v>1094</v>
      </c>
      <c r="W169" s="42" t="s">
        <v>1095</v>
      </c>
      <c r="X169" s="43"/>
      <c r="Y169" s="44" t="str">
        <f>vlookup(G169,zip_codes!$B$6:$J988,3,false)</f>
        <v>Katy</v>
      </c>
      <c r="Z169" s="45" t="str">
        <f>vlookup(G169,zip_codes!$B$6:$J988,9,false)</f>
        <v>Cane Island, Katy (Old Town)</v>
      </c>
      <c r="AA169" s="44" t="str">
        <f>vlookup(B169,organizations!$B$1:$C988,2,false)</f>
        <v>Christ Clinic</v>
      </c>
      <c r="AB169" s="46" t="s">
        <v>1096</v>
      </c>
      <c r="AC169" s="47" t="s">
        <v>759</v>
      </c>
      <c r="AD169" s="48" t="s">
        <v>148</v>
      </c>
      <c r="AE169" s="48" t="str">
        <f t="shared" si="26"/>
        <v>Christ Clinic1040 Schlipf Road, Suite 21731</v>
      </c>
      <c r="AF169" s="48" t="str">
        <f t="shared" si="28"/>
        <v/>
      </c>
    </row>
    <row r="170" ht="66.75" customHeight="1">
      <c r="A170" s="49" t="s">
        <v>1097</v>
      </c>
      <c r="B170" s="35" t="s">
        <v>1098</v>
      </c>
      <c r="C170" s="36" t="s">
        <v>1099</v>
      </c>
      <c r="D170" s="36"/>
      <c r="E170" s="36" t="s">
        <v>36</v>
      </c>
      <c r="F170" s="36" t="s">
        <v>37</v>
      </c>
      <c r="G170" s="35" t="s">
        <v>1100</v>
      </c>
      <c r="H170" s="35" t="s">
        <v>1101</v>
      </c>
      <c r="I170" s="35" t="s">
        <v>1102</v>
      </c>
      <c r="J170" s="35"/>
      <c r="K170" s="37">
        <f>IFERROR(__xludf.DUMMYFUNCTION("query(assistance!$A$2:$E988,""Select C Where D = '""&amp;L170&amp;""'"")"),11.0)</f>
        <v>11</v>
      </c>
      <c r="L170" s="36" t="s">
        <v>322</v>
      </c>
      <c r="M170" s="39">
        <f t="shared" ref="M170:M173" si="29">if(N170="Inactive",3,if(N170="Limited", 2, if(N170="Closed", 4, 1)))</f>
        <v>4</v>
      </c>
      <c r="N170" s="51" t="s">
        <v>57</v>
      </c>
      <c r="O170" s="40">
        <v>45637.0</v>
      </c>
      <c r="P170" s="35" t="s">
        <v>1103</v>
      </c>
      <c r="Q170" s="50"/>
      <c r="R170" s="50"/>
      <c r="S170" s="35" t="b">
        <v>0</v>
      </c>
      <c r="T170" s="35" t="b">
        <v>0</v>
      </c>
      <c r="U170" s="41" t="str">
        <f>IFERROR(__xludf.DUMMYFUNCTION("""["" &amp; JOIN("", "", ARRAYFORMULA("""""""" &amp; TRIM(SPLIT(A170, "","")) &amp; """""""")) &amp; ""]"""),"[""77065"", ""77429"", ""77433""]")</f>
        <v>["77065", "77429", "77433"]</v>
      </c>
      <c r="V170" s="52" t="s">
        <v>1104</v>
      </c>
      <c r="W170" s="52" t="s">
        <v>1105</v>
      </c>
      <c r="X170" s="43"/>
      <c r="Y170" s="44" t="str">
        <f>vlookup(G170,zip_codes!$B$6:$J988,3,false)</f>
        <v>Houston</v>
      </c>
      <c r="Z170" s="45" t="str">
        <f>vlookup(G170,zip_codes!$B$6:$J988,9,false)</f>
        <v>Cypress, Fairbanks</v>
      </c>
      <c r="AA170" s="44" t="str">
        <f>vlookup(B170,organizations!$B$1:$C988,2,false)</f>
        <v>Christ the Redeemer</v>
      </c>
      <c r="AB170" s="46" t="s">
        <v>1106</v>
      </c>
      <c r="AC170" s="47" t="s">
        <v>1107</v>
      </c>
      <c r="AD170" s="48" t="s">
        <v>1108</v>
      </c>
      <c r="AE170" s="48" t="str">
        <f t="shared" si="26"/>
        <v>Christ the Redeemer11507 Huffmeister Road11</v>
      </c>
      <c r="AF170" s="48" t="str">
        <f t="shared" si="28"/>
        <v/>
      </c>
    </row>
    <row r="171" ht="66.75" customHeight="1">
      <c r="A171" s="49" t="s">
        <v>1097</v>
      </c>
      <c r="B171" s="35" t="s">
        <v>1098</v>
      </c>
      <c r="C171" s="36" t="s">
        <v>1099</v>
      </c>
      <c r="D171" s="36"/>
      <c r="E171" s="36" t="s">
        <v>36</v>
      </c>
      <c r="F171" s="36" t="s">
        <v>37</v>
      </c>
      <c r="G171" s="35" t="s">
        <v>1100</v>
      </c>
      <c r="H171" s="35" t="s">
        <v>1101</v>
      </c>
      <c r="I171" s="35" t="s">
        <v>1102</v>
      </c>
      <c r="J171" s="35"/>
      <c r="K171" s="37">
        <f>IFERROR(__xludf.DUMMYFUNCTION("query(assistance!$A$2:$E988,""Select C Where D = '""&amp;L171&amp;""'"")"),12.0)</f>
        <v>12</v>
      </c>
      <c r="L171" s="36" t="s">
        <v>330</v>
      </c>
      <c r="M171" s="39">
        <f t="shared" si="29"/>
        <v>4</v>
      </c>
      <c r="N171" s="51" t="s">
        <v>57</v>
      </c>
      <c r="O171" s="40">
        <v>45637.0</v>
      </c>
      <c r="P171" s="35" t="s">
        <v>1103</v>
      </c>
      <c r="Q171" s="50"/>
      <c r="R171" s="50"/>
      <c r="S171" s="35" t="b">
        <v>0</v>
      </c>
      <c r="T171" s="35" t="b">
        <v>0</v>
      </c>
      <c r="U171" s="41" t="str">
        <f>IFERROR(__xludf.DUMMYFUNCTION("""["" &amp; JOIN("", "", ARRAYFORMULA("""""""" &amp; TRIM(SPLIT(A171, "","")) &amp; """""""")) &amp; ""]"""),"[""77065"", ""77429"", ""77433""]")</f>
        <v>["77065", "77429", "77433"]</v>
      </c>
      <c r="V171" s="52" t="s">
        <v>1104</v>
      </c>
      <c r="W171" s="52" t="s">
        <v>1105</v>
      </c>
      <c r="X171" s="43"/>
      <c r="Y171" s="44" t="str">
        <f>vlookup(G171,zip_codes!$B$6:$J988,3,false)</f>
        <v>Houston</v>
      </c>
      <c r="Z171" s="45" t="str">
        <f>vlookup(G171,zip_codes!$B$6:$J988,9,false)</f>
        <v>Cypress, Fairbanks</v>
      </c>
      <c r="AA171" s="44" t="str">
        <f>vlookup(B171,organizations!$B$1:$C988,2,false)</f>
        <v>Christ the Redeemer</v>
      </c>
      <c r="AB171" s="46" t="s">
        <v>1106</v>
      </c>
      <c r="AC171" s="47" t="s">
        <v>1107</v>
      </c>
      <c r="AD171" s="48" t="s">
        <v>1108</v>
      </c>
      <c r="AE171" s="48" t="str">
        <f t="shared" si="26"/>
        <v>Christ the Redeemer11507 Huffmeister Road12</v>
      </c>
      <c r="AF171" s="48" t="str">
        <f t="shared" si="28"/>
        <v/>
      </c>
    </row>
    <row r="172" ht="66.75" customHeight="1">
      <c r="A172" s="49" t="s">
        <v>1097</v>
      </c>
      <c r="B172" s="35" t="s">
        <v>1098</v>
      </c>
      <c r="C172" s="36" t="s">
        <v>1099</v>
      </c>
      <c r="D172" s="36"/>
      <c r="E172" s="36" t="s">
        <v>36</v>
      </c>
      <c r="F172" s="36" t="s">
        <v>37</v>
      </c>
      <c r="G172" s="35" t="s">
        <v>1100</v>
      </c>
      <c r="H172" s="35" t="s">
        <v>1101</v>
      </c>
      <c r="I172" s="35" t="s">
        <v>1102</v>
      </c>
      <c r="J172" s="35"/>
      <c r="K172" s="37">
        <f>IFERROR(__xludf.DUMMYFUNCTION("query(assistance!$A$2:$E988,""Select C Where D = '""&amp;L172&amp;""'"")"),13.0)</f>
        <v>13</v>
      </c>
      <c r="L172" s="36" t="s">
        <v>240</v>
      </c>
      <c r="M172" s="39">
        <f t="shared" si="29"/>
        <v>4</v>
      </c>
      <c r="N172" s="51" t="s">
        <v>57</v>
      </c>
      <c r="O172" s="40">
        <v>45637.0</v>
      </c>
      <c r="P172" s="35" t="s">
        <v>1103</v>
      </c>
      <c r="Q172" s="50"/>
      <c r="R172" s="50"/>
      <c r="S172" s="35" t="b">
        <v>0</v>
      </c>
      <c r="T172" s="35" t="b">
        <v>0</v>
      </c>
      <c r="U172" s="41" t="str">
        <f>IFERROR(__xludf.DUMMYFUNCTION("""["" &amp; JOIN("", "", ARRAYFORMULA("""""""" &amp; TRIM(SPLIT(A172, "","")) &amp; """""""")) &amp; ""]"""),"[""77065"", ""77429"", ""77433""]")</f>
        <v>["77065", "77429", "77433"]</v>
      </c>
      <c r="V172" s="52" t="s">
        <v>1104</v>
      </c>
      <c r="W172" s="52" t="s">
        <v>1105</v>
      </c>
      <c r="X172" s="43"/>
      <c r="Y172" s="44" t="str">
        <f>vlookup(G172,zip_codes!$B$6:$J988,3,false)</f>
        <v>Houston</v>
      </c>
      <c r="Z172" s="45" t="str">
        <f>vlookup(G172,zip_codes!$B$6:$J988,9,false)</f>
        <v>Cypress, Fairbanks</v>
      </c>
      <c r="AA172" s="44" t="str">
        <f>vlookup(B172,organizations!$B$1:$C988,2,false)</f>
        <v>Christ the Redeemer</v>
      </c>
      <c r="AB172" s="46" t="s">
        <v>1106</v>
      </c>
      <c r="AC172" s="47" t="s">
        <v>1107</v>
      </c>
      <c r="AD172" s="48" t="s">
        <v>1108</v>
      </c>
      <c r="AE172" s="48" t="str">
        <f t="shared" si="26"/>
        <v>Christ the Redeemer11507 Huffmeister Road13</v>
      </c>
      <c r="AF172" s="48" t="str">
        <f t="shared" si="28"/>
        <v/>
      </c>
    </row>
    <row r="173" ht="66.75" customHeight="1">
      <c r="A173" s="49" t="s">
        <v>1097</v>
      </c>
      <c r="B173" s="35" t="s">
        <v>1098</v>
      </c>
      <c r="C173" s="36" t="s">
        <v>1099</v>
      </c>
      <c r="D173" s="36"/>
      <c r="E173" s="36" t="s">
        <v>36</v>
      </c>
      <c r="F173" s="36" t="s">
        <v>37</v>
      </c>
      <c r="G173" s="35" t="s">
        <v>1100</v>
      </c>
      <c r="H173" s="35" t="s">
        <v>1101</v>
      </c>
      <c r="I173" s="35" t="s">
        <v>1102</v>
      </c>
      <c r="J173" s="35"/>
      <c r="K173" s="37">
        <f>IFERROR(__xludf.DUMMYFUNCTION("query(assistance!$A$2:$E988,""Select C Where D = '""&amp;L173&amp;""'"")"),14.0)</f>
        <v>14</v>
      </c>
      <c r="L173" s="36" t="s">
        <v>391</v>
      </c>
      <c r="M173" s="39">
        <f t="shared" si="29"/>
        <v>4</v>
      </c>
      <c r="N173" s="51" t="s">
        <v>57</v>
      </c>
      <c r="O173" s="40">
        <v>45637.0</v>
      </c>
      <c r="P173" s="35" t="s">
        <v>1103</v>
      </c>
      <c r="Q173" s="50"/>
      <c r="R173" s="50"/>
      <c r="S173" s="35" t="b">
        <v>0</v>
      </c>
      <c r="T173" s="35" t="b">
        <v>0</v>
      </c>
      <c r="U173" s="41" t="str">
        <f>IFERROR(__xludf.DUMMYFUNCTION("""["" &amp; JOIN("", "", ARRAYFORMULA("""""""" &amp; TRIM(SPLIT(A173, "","")) &amp; """""""")) &amp; ""]"""),"[""77065"", ""77429"", ""77433""]")</f>
        <v>["77065", "77429", "77433"]</v>
      </c>
      <c r="V173" s="52" t="s">
        <v>1104</v>
      </c>
      <c r="W173" s="52" t="s">
        <v>1105</v>
      </c>
      <c r="X173" s="43"/>
      <c r="Y173" s="44" t="str">
        <f>vlookup(G173,zip_codes!$B$6:$J988,3,false)</f>
        <v>Houston</v>
      </c>
      <c r="Z173" s="45" t="str">
        <f>vlookup(G173,zip_codes!$B$6:$J988,9,false)</f>
        <v>Cypress, Fairbanks</v>
      </c>
      <c r="AA173" s="44" t="str">
        <f>vlookup(B173,organizations!$B$1:$C988,2,false)</f>
        <v>Christ the Redeemer</v>
      </c>
      <c r="AB173" s="46" t="s">
        <v>1106</v>
      </c>
      <c r="AC173" s="47" t="s">
        <v>1107</v>
      </c>
      <c r="AD173" s="48" t="s">
        <v>1108</v>
      </c>
      <c r="AE173" s="48" t="str">
        <f t="shared" si="26"/>
        <v>Christ the Redeemer11507 Huffmeister Road14</v>
      </c>
      <c r="AF173" s="48" t="str">
        <f t="shared" si="28"/>
        <v/>
      </c>
    </row>
    <row r="174" ht="66.75" customHeight="1">
      <c r="A174" s="49" t="s">
        <v>1097</v>
      </c>
      <c r="B174" s="35" t="s">
        <v>1098</v>
      </c>
      <c r="C174" s="36" t="s">
        <v>1099</v>
      </c>
      <c r="D174" s="36"/>
      <c r="E174" s="36" t="s">
        <v>36</v>
      </c>
      <c r="F174" s="36" t="s">
        <v>37</v>
      </c>
      <c r="G174" s="35" t="s">
        <v>1100</v>
      </c>
      <c r="H174" s="35" t="s">
        <v>1101</v>
      </c>
      <c r="I174" s="35" t="s">
        <v>1102</v>
      </c>
      <c r="J174" s="35"/>
      <c r="K174" s="37">
        <f>IFERROR(__xludf.DUMMYFUNCTION("query(assistance!$A$2:$E988,""Select C Where D = '""&amp;L174&amp;""'"")"),53.0)</f>
        <v>53</v>
      </c>
      <c r="L174" s="36" t="s">
        <v>1109</v>
      </c>
      <c r="M174" s="38">
        <f t="shared" ref="M174:M189" si="30">if(N174="Inactive",3,if(N174="Limited", 2, 1))</f>
        <v>2</v>
      </c>
      <c r="N174" s="51" t="s">
        <v>385</v>
      </c>
      <c r="O174" s="65"/>
      <c r="P174" s="35" t="s">
        <v>1110</v>
      </c>
      <c r="Q174" s="35"/>
      <c r="R174" s="35" t="s">
        <v>1111</v>
      </c>
      <c r="S174" s="35" t="b">
        <v>0</v>
      </c>
      <c r="T174" s="35" t="b">
        <v>0</v>
      </c>
      <c r="U174" s="41" t="str">
        <f>IFERROR(__xludf.DUMMYFUNCTION("""["" &amp; JOIN("", "", ARRAYFORMULA("""""""" &amp; TRIM(SPLIT(A174, "","")) &amp; """""""")) &amp; ""]"""),"[""77065"", ""77429"", ""77433""]")</f>
        <v>["77065", "77429", "77433"]</v>
      </c>
      <c r="V174" s="52" t="s">
        <v>1104</v>
      </c>
      <c r="W174" s="52" t="s">
        <v>1105</v>
      </c>
      <c r="X174" s="43"/>
      <c r="Y174" s="44" t="str">
        <f>vlookup(G174,zip_codes!$B$6:$J988,3,false)</f>
        <v>Houston</v>
      </c>
      <c r="Z174" s="45" t="str">
        <f>vlookup(G174,zip_codes!$B$6:$J988,9,false)</f>
        <v>Cypress, Fairbanks</v>
      </c>
      <c r="AA174" s="44" t="str">
        <f>vlookup(B174,organizations!$B$1:$C988,2,false)</f>
        <v>Christ the Redeemer</v>
      </c>
      <c r="AB174" s="46" t="s">
        <v>1106</v>
      </c>
      <c r="AC174" s="47" t="s">
        <v>1107</v>
      </c>
      <c r="AD174" s="48" t="s">
        <v>1108</v>
      </c>
      <c r="AE174" s="48" t="str">
        <f t="shared" si="26"/>
        <v>Christ the Redeemer11507 Huffmeister Road53</v>
      </c>
      <c r="AF174" s="48" t="str">
        <f t="shared" si="28"/>
        <v/>
      </c>
    </row>
    <row r="175" ht="66.75" customHeight="1">
      <c r="A175" s="49" t="s">
        <v>1097</v>
      </c>
      <c r="B175" s="35" t="s">
        <v>1098</v>
      </c>
      <c r="C175" s="36" t="s">
        <v>1099</v>
      </c>
      <c r="D175" s="36"/>
      <c r="E175" s="36" t="s">
        <v>36</v>
      </c>
      <c r="F175" s="36" t="s">
        <v>37</v>
      </c>
      <c r="G175" s="35" t="s">
        <v>1100</v>
      </c>
      <c r="H175" s="35" t="s">
        <v>1101</v>
      </c>
      <c r="I175" s="35" t="s">
        <v>1102</v>
      </c>
      <c r="J175" s="35"/>
      <c r="K175" s="37">
        <f>IFERROR(__xludf.DUMMYFUNCTION("query(assistance!$A$2:$E988,""Select C Where D = '""&amp;L175&amp;""'"")"),62.0)</f>
        <v>62</v>
      </c>
      <c r="L175" s="36" t="s">
        <v>1112</v>
      </c>
      <c r="M175" s="38">
        <f t="shared" si="30"/>
        <v>2</v>
      </c>
      <c r="N175" s="51" t="s">
        <v>385</v>
      </c>
      <c r="O175" s="65"/>
      <c r="P175" s="35" t="s">
        <v>1110</v>
      </c>
      <c r="Q175" s="35"/>
      <c r="R175" s="35" t="s">
        <v>1111</v>
      </c>
      <c r="S175" s="35" t="b">
        <v>0</v>
      </c>
      <c r="T175" s="35" t="b">
        <v>0</v>
      </c>
      <c r="U175" s="41" t="str">
        <f>IFERROR(__xludf.DUMMYFUNCTION("""["" &amp; JOIN("", "", ARRAYFORMULA("""""""" &amp; TRIM(SPLIT(A175, "","")) &amp; """""""")) &amp; ""]"""),"[""77065"", ""77429"", ""77433""]")</f>
        <v>["77065", "77429", "77433"]</v>
      </c>
      <c r="V175" s="52" t="s">
        <v>1104</v>
      </c>
      <c r="W175" s="52" t="s">
        <v>1105</v>
      </c>
      <c r="X175" s="43"/>
      <c r="Y175" s="44" t="str">
        <f>vlookup(G175,zip_codes!$B$6:$J988,3,false)</f>
        <v>Houston</v>
      </c>
      <c r="Z175" s="45" t="str">
        <f>vlookup(G175,zip_codes!$B$6:$J988,9,false)</f>
        <v>Cypress, Fairbanks</v>
      </c>
      <c r="AA175" s="44" t="str">
        <f>vlookup(B175,organizations!$B$1:$C988,2,false)</f>
        <v>Christ the Redeemer</v>
      </c>
      <c r="AB175" s="46" t="s">
        <v>1106</v>
      </c>
      <c r="AC175" s="47" t="s">
        <v>1107</v>
      </c>
      <c r="AD175" s="48" t="s">
        <v>1108</v>
      </c>
      <c r="AE175" s="48" t="str">
        <f t="shared" si="26"/>
        <v>Christ the Redeemer11507 Huffmeister Road62</v>
      </c>
      <c r="AF175" s="48" t="str">
        <f t="shared" si="28"/>
        <v/>
      </c>
    </row>
    <row r="176" ht="66.75" customHeight="1">
      <c r="A176" s="49" t="s">
        <v>1113</v>
      </c>
      <c r="B176" s="35" t="s">
        <v>1114</v>
      </c>
      <c r="C176" s="36" t="s">
        <v>1115</v>
      </c>
      <c r="D176" s="36"/>
      <c r="E176" s="36" t="s">
        <v>36</v>
      </c>
      <c r="F176" s="36" t="s">
        <v>37</v>
      </c>
      <c r="G176" s="35" t="s">
        <v>1116</v>
      </c>
      <c r="H176" s="35" t="s">
        <v>1117</v>
      </c>
      <c r="I176" s="35" t="s">
        <v>1118</v>
      </c>
      <c r="J176" s="35" t="s">
        <v>298</v>
      </c>
      <c r="K176" s="37">
        <f>IFERROR(__xludf.DUMMYFUNCTION("query(assistance!$A$2:$E988,""Select C Where D = '""&amp;L176&amp;""'"")"),11.0)</f>
        <v>11</v>
      </c>
      <c r="L176" s="36" t="s">
        <v>322</v>
      </c>
      <c r="M176" s="38">
        <f t="shared" si="30"/>
        <v>1</v>
      </c>
      <c r="N176" s="39" t="s">
        <v>42</v>
      </c>
      <c r="O176" s="40">
        <v>45758.0</v>
      </c>
      <c r="P176" s="50"/>
      <c r="Q176" s="35"/>
      <c r="R176" s="35" t="s">
        <v>1119</v>
      </c>
      <c r="S176" s="35" t="b">
        <v>0</v>
      </c>
      <c r="T176" s="35" t="b">
        <v>0</v>
      </c>
      <c r="U176" s="41" t="str">
        <f>IFERROR(__xludf.DUMMYFUNCTION("""["" &amp; JOIN("", "", ARRAYFORMULA("""""""" &amp; TRIM(SPLIT(A176, "","")) &amp; """""""")) &amp; ""]"""),"[""77002"", ""77003"", ""77004"", ""77005"", ""77006"", ""77007"", ""77010"", ""77011"", ""77012"", ""77019"", ""77020"", ""77021"", ""77023"", ""77025"", ""77026"", ""77027"", ""77028"", ""77030"", ""77046"", ""77074"", ""77098""]")</f>
        <v>["77002", "77003", "77004", "77005", "77006", "77007", "77010", "77011", "77012", "77019", "77020", "77021", "77023", "77025", "77026", "77027", "77028", "77030", "77046", "77074", "77098"]</v>
      </c>
      <c r="V176" s="52" t="s">
        <v>1120</v>
      </c>
      <c r="W176" s="52" t="s">
        <v>1121</v>
      </c>
      <c r="X176" s="43"/>
      <c r="Y176" s="44" t="str">
        <f>vlookup(G176,zip_codes!$B$6:$J988,3,false)</f>
        <v>Houston</v>
      </c>
      <c r="Z176" s="45" t="str">
        <f>vlookup(G176,zip_codes!$B$6:$J988,9,false)</f>
        <v>Afton Oaks, Greenway / Upper Kirby Area, Highland Village, River Oaks District, Westside</v>
      </c>
      <c r="AA176" s="44" t="str">
        <f>vlookup(B176,organizations!$B$1:$C988,2,false)</f>
        <v>Christian Community Service Center (CCSC)</v>
      </c>
      <c r="AB176" s="46" t="s">
        <v>1122</v>
      </c>
      <c r="AC176" s="47" t="s">
        <v>1123</v>
      </c>
      <c r="AD176" s="48" t="s">
        <v>390</v>
      </c>
      <c r="AE176" s="48" t="str">
        <f t="shared" si="26"/>
        <v>Christian Community Service Center (Central)3434 Branard Street11</v>
      </c>
      <c r="AF176" s="48" t="str">
        <f>if(AE176=AE170,"XXX","")</f>
        <v/>
      </c>
    </row>
    <row r="177" ht="66.75" customHeight="1">
      <c r="A177" s="49" t="s">
        <v>1113</v>
      </c>
      <c r="B177" s="35" t="s">
        <v>1114</v>
      </c>
      <c r="C177" s="36" t="s">
        <v>1115</v>
      </c>
      <c r="D177" s="36"/>
      <c r="E177" s="36" t="s">
        <v>36</v>
      </c>
      <c r="F177" s="36" t="s">
        <v>37</v>
      </c>
      <c r="G177" s="35" t="s">
        <v>1116</v>
      </c>
      <c r="H177" s="35" t="s">
        <v>1117</v>
      </c>
      <c r="I177" s="35" t="s">
        <v>1118</v>
      </c>
      <c r="J177" s="35" t="s">
        <v>298</v>
      </c>
      <c r="K177" s="37">
        <f>IFERROR(__xludf.DUMMYFUNCTION("query(assistance!$A$2:$E988,""Select C Where D = '""&amp;L177&amp;""'"")"),12.0)</f>
        <v>12</v>
      </c>
      <c r="L177" s="36" t="s">
        <v>330</v>
      </c>
      <c r="M177" s="38">
        <f t="shared" si="30"/>
        <v>1</v>
      </c>
      <c r="N177" s="39" t="s">
        <v>42</v>
      </c>
      <c r="O177" s="40">
        <v>45758.0</v>
      </c>
      <c r="P177" s="50"/>
      <c r="Q177" s="35"/>
      <c r="R177" s="35" t="s">
        <v>1119</v>
      </c>
      <c r="S177" s="35" t="b">
        <v>0</v>
      </c>
      <c r="T177" s="35" t="b">
        <v>0</v>
      </c>
      <c r="U177" s="41" t="str">
        <f>IFERROR(__xludf.DUMMYFUNCTION("""["" &amp; JOIN("", "", ARRAYFORMULA("""""""" &amp; TRIM(SPLIT(A177, "","")) &amp; """""""")) &amp; ""]"""),"[""77002"", ""77003"", ""77004"", ""77005"", ""77006"", ""77007"", ""77010"", ""77011"", ""77012"", ""77019"", ""77020"", ""77021"", ""77023"", ""77025"", ""77026"", ""77027"", ""77028"", ""77030"", ""77046"", ""77074"", ""77098""]")</f>
        <v>["77002", "77003", "77004", "77005", "77006", "77007", "77010", "77011", "77012", "77019", "77020", "77021", "77023", "77025", "77026", "77027", "77028", "77030", "77046", "77074", "77098"]</v>
      </c>
      <c r="V177" s="52" t="s">
        <v>1120</v>
      </c>
      <c r="W177" s="52" t="s">
        <v>1121</v>
      </c>
      <c r="X177" s="43"/>
      <c r="Y177" s="44" t="str">
        <f>vlookup(G177,zip_codes!$B$6:$J988,3,false)</f>
        <v>Houston</v>
      </c>
      <c r="Z177" s="45" t="str">
        <f>vlookup(G177,zip_codes!$B$6:$J988,9,false)</f>
        <v>Afton Oaks, Greenway / Upper Kirby Area, Highland Village, River Oaks District, Westside</v>
      </c>
      <c r="AA177" s="44" t="str">
        <f>vlookup(B177,organizations!$B$1:$C988,2,false)</f>
        <v>Christian Community Service Center (CCSC)</v>
      </c>
      <c r="AB177" s="46" t="s">
        <v>1122</v>
      </c>
      <c r="AC177" s="47" t="s">
        <v>1123</v>
      </c>
      <c r="AD177" s="48" t="s">
        <v>390</v>
      </c>
      <c r="AE177" s="48" t="str">
        <f t="shared" si="26"/>
        <v>Christian Community Service Center (Central)3434 Branard Street12</v>
      </c>
      <c r="AF177" s="48" t="str">
        <f t="shared" ref="AF177:AF205" si="31">if(AE177=AE176,"XXX","")</f>
        <v/>
      </c>
    </row>
    <row r="178" ht="66.75" customHeight="1">
      <c r="A178" s="49" t="s">
        <v>1113</v>
      </c>
      <c r="B178" s="35" t="s">
        <v>1114</v>
      </c>
      <c r="C178" s="36" t="s">
        <v>1115</v>
      </c>
      <c r="D178" s="36"/>
      <c r="E178" s="36" t="s">
        <v>36</v>
      </c>
      <c r="F178" s="36" t="s">
        <v>37</v>
      </c>
      <c r="G178" s="35" t="s">
        <v>1116</v>
      </c>
      <c r="H178" s="35" t="s">
        <v>1117</v>
      </c>
      <c r="I178" s="35" t="s">
        <v>1124</v>
      </c>
      <c r="J178" s="35"/>
      <c r="K178" s="37">
        <f>IFERROR(__xludf.DUMMYFUNCTION("query(assistance!$A$2:$E988,""Select C Where D = '""&amp;L178&amp;""'"")"),13.0)</f>
        <v>13</v>
      </c>
      <c r="L178" s="36" t="s">
        <v>240</v>
      </c>
      <c r="M178" s="38">
        <f t="shared" si="30"/>
        <v>1</v>
      </c>
      <c r="N178" s="39" t="s">
        <v>42</v>
      </c>
      <c r="O178" s="40">
        <v>46086.0</v>
      </c>
      <c r="P178" s="35" t="s">
        <v>1125</v>
      </c>
      <c r="Q178" s="35"/>
      <c r="R178" s="35" t="s">
        <v>1126</v>
      </c>
      <c r="S178" s="35" t="b">
        <v>0</v>
      </c>
      <c r="T178" s="35" t="b">
        <v>0</v>
      </c>
      <c r="U178" s="41" t="str">
        <f>IFERROR(__xludf.DUMMYFUNCTION("""["" &amp; JOIN("", "", ARRAYFORMULA("""""""" &amp; TRIM(SPLIT(A178, "","")) &amp; """""""")) &amp; ""]"""),"[""77002"", ""77003"", ""77004"", ""77005"", ""77006"", ""77007"", ""77010"", ""77011"", ""77012"", ""77019"", ""77020"", ""77021"", ""77023"", ""77025"", ""77026"", ""77027"", ""77028"", ""77030"", ""77046"", ""77074"", ""77098""]")</f>
        <v>["77002", "77003", "77004", "77005", "77006", "77007", "77010", "77011", "77012", "77019", "77020", "77021", "77023", "77025", "77026", "77027", "77028", "77030", "77046", "77074", "77098"]</v>
      </c>
      <c r="V178" s="52" t="s">
        <v>1120</v>
      </c>
      <c r="W178" s="52" t="s">
        <v>1121</v>
      </c>
      <c r="X178" s="43"/>
      <c r="Y178" s="44" t="str">
        <f>vlookup(G178,zip_codes!$B$6:$J988,3,false)</f>
        <v>Houston</v>
      </c>
      <c r="Z178" s="45" t="str">
        <f>vlookup(G178,zip_codes!$B$6:$J988,9,false)</f>
        <v>Afton Oaks, Greenway / Upper Kirby Area, Highland Village, River Oaks District, Westside</v>
      </c>
      <c r="AA178" s="44" t="str">
        <f>vlookup(B178,organizations!$B$1:$C988,2,false)</f>
        <v>Christian Community Service Center (CCSC)</v>
      </c>
      <c r="AB178" s="46" t="s">
        <v>1122</v>
      </c>
      <c r="AC178" s="47" t="s">
        <v>1127</v>
      </c>
      <c r="AD178" s="48" t="s">
        <v>390</v>
      </c>
      <c r="AE178" s="48" t="str">
        <f t="shared" si="26"/>
        <v>Christian Community Service Center (Central)3434 Branard Street13</v>
      </c>
      <c r="AF178" s="48" t="str">
        <f t="shared" si="31"/>
        <v/>
      </c>
    </row>
    <row r="179" ht="66.75" customHeight="1">
      <c r="A179" s="49" t="s">
        <v>1113</v>
      </c>
      <c r="B179" s="35" t="s">
        <v>1114</v>
      </c>
      <c r="C179" s="36" t="s">
        <v>1115</v>
      </c>
      <c r="D179" s="36"/>
      <c r="E179" s="36" t="s">
        <v>36</v>
      </c>
      <c r="F179" s="36" t="s">
        <v>37</v>
      </c>
      <c r="G179" s="35" t="s">
        <v>1116</v>
      </c>
      <c r="H179" s="35" t="s">
        <v>1117</v>
      </c>
      <c r="I179" s="35" t="s">
        <v>1124</v>
      </c>
      <c r="J179" s="35"/>
      <c r="K179" s="37">
        <f>IFERROR(__xludf.DUMMYFUNCTION("query(assistance!$A$2:$E988,""Select C Where D = '""&amp;L179&amp;""'"")"),14.0)</f>
        <v>14</v>
      </c>
      <c r="L179" s="36" t="s">
        <v>391</v>
      </c>
      <c r="M179" s="38">
        <f t="shared" si="30"/>
        <v>1</v>
      </c>
      <c r="N179" s="39" t="s">
        <v>42</v>
      </c>
      <c r="O179" s="40"/>
      <c r="P179" s="50"/>
      <c r="Q179" s="35"/>
      <c r="R179" s="35" t="s">
        <v>1128</v>
      </c>
      <c r="S179" s="35" t="b">
        <v>0</v>
      </c>
      <c r="T179" s="35" t="b">
        <v>0</v>
      </c>
      <c r="U179" s="41" t="str">
        <f>IFERROR(__xludf.DUMMYFUNCTION("""["" &amp; JOIN("", "", ARRAYFORMULA("""""""" &amp; TRIM(SPLIT(A179, "","")) &amp; """""""")) &amp; ""]"""),"[""77002"", ""77003"", ""77004"", ""77005"", ""77006"", ""77007"", ""77010"", ""77011"", ""77012"", ""77019"", ""77020"", ""77021"", ""77023"", ""77025"", ""77026"", ""77027"", ""77028"", ""77030"", ""77046"", ""77074"", ""77098""]")</f>
        <v>["77002", "77003", "77004", "77005", "77006", "77007", "77010", "77011", "77012", "77019", "77020", "77021", "77023", "77025", "77026", "77027", "77028", "77030", "77046", "77074", "77098"]</v>
      </c>
      <c r="V179" s="52" t="s">
        <v>1120</v>
      </c>
      <c r="W179" s="52" t="s">
        <v>1121</v>
      </c>
      <c r="X179" s="43"/>
      <c r="Y179" s="44" t="str">
        <f>vlookup(G179,zip_codes!$B$6:$J988,3,false)</f>
        <v>Houston</v>
      </c>
      <c r="Z179" s="45" t="str">
        <f>vlookup(G179,zip_codes!$B$6:$J988,9,false)</f>
        <v>Afton Oaks, Greenway / Upper Kirby Area, Highland Village, River Oaks District, Westside</v>
      </c>
      <c r="AA179" s="44" t="str">
        <f>vlookup(B179,organizations!$B$1:$C988,2,false)</f>
        <v>Christian Community Service Center (CCSC)</v>
      </c>
      <c r="AB179" s="46" t="s">
        <v>1122</v>
      </c>
      <c r="AC179" s="47" t="s">
        <v>1127</v>
      </c>
      <c r="AD179" s="48" t="s">
        <v>390</v>
      </c>
      <c r="AE179" s="48" t="str">
        <f t="shared" si="26"/>
        <v>Christian Community Service Center (Central)3434 Branard Street14</v>
      </c>
      <c r="AF179" s="48" t="str">
        <f t="shared" si="31"/>
        <v/>
      </c>
    </row>
    <row r="180" ht="66.75" customHeight="1">
      <c r="A180" s="49" t="s">
        <v>50</v>
      </c>
      <c r="B180" s="35" t="s">
        <v>1114</v>
      </c>
      <c r="C180" s="36" t="s">
        <v>1115</v>
      </c>
      <c r="D180" s="36"/>
      <c r="E180" s="36" t="s">
        <v>36</v>
      </c>
      <c r="F180" s="36" t="s">
        <v>37</v>
      </c>
      <c r="G180" s="35" t="s">
        <v>1116</v>
      </c>
      <c r="H180" s="35" t="s">
        <v>1129</v>
      </c>
      <c r="I180" s="35" t="s">
        <v>1130</v>
      </c>
      <c r="J180" s="35" t="s">
        <v>1131</v>
      </c>
      <c r="K180" s="37">
        <f>IFERROR(__xludf.DUMMYFUNCTION("query(assistance!$A$2:$E988,""Select C Where D = '""&amp;L180&amp;""'"")"),35.0)</f>
        <v>35</v>
      </c>
      <c r="L180" s="36" t="s">
        <v>731</v>
      </c>
      <c r="M180" s="38">
        <f t="shared" si="30"/>
        <v>1</v>
      </c>
      <c r="N180" s="51" t="s">
        <v>42</v>
      </c>
      <c r="O180" s="57">
        <v>45795.0</v>
      </c>
      <c r="P180" s="35"/>
      <c r="Q180" s="35"/>
      <c r="R180" s="35" t="s">
        <v>1132</v>
      </c>
      <c r="S180" s="35" t="b">
        <v>0</v>
      </c>
      <c r="T180" s="35" t="b">
        <v>0</v>
      </c>
      <c r="U180" s="41" t="str">
        <f>IFERROR(__xludf.DUMMYFUNCTION("""["" &amp; JOIN("", "", ARRAYFORMULA("""""""" &amp; TRIM(SPLIT(A180, "","")) &amp; """""""")) &amp; ""]"""),"[""99999""]")</f>
        <v>["99999"]</v>
      </c>
      <c r="V180" s="52" t="s">
        <v>1133</v>
      </c>
      <c r="W180" s="52" t="s">
        <v>1121</v>
      </c>
      <c r="X180" s="52" t="s">
        <v>1134</v>
      </c>
      <c r="Y180" s="44" t="str">
        <f>vlookup(G180,zip_codes!$B$6:$J988,3,false)</f>
        <v>Houston</v>
      </c>
      <c r="Z180" s="45" t="str">
        <f>vlookup(G180,zip_codes!$B$6:$J988,9,false)</f>
        <v>Afton Oaks, Greenway / Upper Kirby Area, Highland Village, River Oaks District, Westside</v>
      </c>
      <c r="AA180" s="44" t="str">
        <f>vlookup(B180,organizations!$B$1:$C988,2,false)</f>
        <v>Christian Community Service Center (CCSC)</v>
      </c>
      <c r="AB180" s="46" t="s">
        <v>1122</v>
      </c>
      <c r="AC180" s="47" t="s">
        <v>1135</v>
      </c>
      <c r="AD180" s="48" t="s">
        <v>390</v>
      </c>
      <c r="AE180" s="48" t="str">
        <f t="shared" si="26"/>
        <v>Christian Community Service Center (Central)3434 Branard Street35</v>
      </c>
      <c r="AF180" s="48" t="str">
        <f t="shared" si="31"/>
        <v/>
      </c>
    </row>
    <row r="181" ht="66.75" customHeight="1">
      <c r="A181" s="49" t="s">
        <v>50</v>
      </c>
      <c r="B181" s="35" t="s">
        <v>1114</v>
      </c>
      <c r="C181" s="36" t="s">
        <v>1115</v>
      </c>
      <c r="D181" s="36"/>
      <c r="E181" s="36" t="s">
        <v>36</v>
      </c>
      <c r="F181" s="36" t="s">
        <v>37</v>
      </c>
      <c r="G181" s="35" t="s">
        <v>1116</v>
      </c>
      <c r="H181" s="35" t="s">
        <v>1136</v>
      </c>
      <c r="I181" s="35" t="s">
        <v>1102</v>
      </c>
      <c r="J181" s="35"/>
      <c r="K181" s="37">
        <f>IFERROR(__xludf.DUMMYFUNCTION("query(assistance!$A$2:$E988,""Select C Where D = '""&amp;L181&amp;""'"")"),36.0)</f>
        <v>36</v>
      </c>
      <c r="L181" s="36" t="s">
        <v>227</v>
      </c>
      <c r="M181" s="38">
        <f t="shared" si="30"/>
        <v>1</v>
      </c>
      <c r="N181" s="39" t="s">
        <v>42</v>
      </c>
      <c r="O181" s="40">
        <v>45658.0</v>
      </c>
      <c r="P181" s="50"/>
      <c r="Q181" s="35"/>
      <c r="R181" s="35" t="s">
        <v>1137</v>
      </c>
      <c r="S181" s="35" t="b">
        <v>0</v>
      </c>
      <c r="T181" s="35" t="b">
        <v>0</v>
      </c>
      <c r="U181" s="41" t="str">
        <f>IFERROR(__xludf.DUMMYFUNCTION("""["" &amp; JOIN("", "", ARRAYFORMULA("""""""" &amp; TRIM(SPLIT(A181, "","")) &amp; """""""")) &amp; ""]"""),"[""99999""]")</f>
        <v>["99999"]</v>
      </c>
      <c r="V181" s="52" t="s">
        <v>1120</v>
      </c>
      <c r="W181" s="52" t="s">
        <v>1121</v>
      </c>
      <c r="X181" s="43"/>
      <c r="Y181" s="44" t="str">
        <f>vlookup(G181,zip_codes!$B$6:$J988,3,false)</f>
        <v>Houston</v>
      </c>
      <c r="Z181" s="45" t="str">
        <f>vlookup(G181,zip_codes!$B$6:$J988,9,false)</f>
        <v>Afton Oaks, Greenway / Upper Kirby Area, Highland Village, River Oaks District, Westside</v>
      </c>
      <c r="AA181" s="44" t="str">
        <f>vlookup(B181,organizations!$B$1:$C988,2,false)</f>
        <v>Christian Community Service Center (CCSC)</v>
      </c>
      <c r="AB181" s="46" t="s">
        <v>1122</v>
      </c>
      <c r="AC181" s="47" t="s">
        <v>1107</v>
      </c>
      <c r="AD181" s="48" t="s">
        <v>390</v>
      </c>
      <c r="AE181" s="48" t="str">
        <f t="shared" si="26"/>
        <v>Christian Community Service Center (Central)3434 Branard Street36</v>
      </c>
      <c r="AF181" s="48" t="str">
        <f t="shared" si="31"/>
        <v/>
      </c>
    </row>
    <row r="182" ht="66.75" customHeight="1">
      <c r="A182" s="49" t="s">
        <v>50</v>
      </c>
      <c r="B182" s="35" t="s">
        <v>1114</v>
      </c>
      <c r="C182" s="36" t="s">
        <v>1115</v>
      </c>
      <c r="D182" s="36"/>
      <c r="E182" s="36" t="s">
        <v>36</v>
      </c>
      <c r="F182" s="36" t="s">
        <v>37</v>
      </c>
      <c r="G182" s="35" t="s">
        <v>1116</v>
      </c>
      <c r="H182" s="35" t="s">
        <v>1138</v>
      </c>
      <c r="I182" s="35" t="s">
        <v>1102</v>
      </c>
      <c r="J182" s="35"/>
      <c r="K182" s="37">
        <f>IFERROR(__xludf.DUMMYFUNCTION("query(assistance!$A$2:$E988,""Select C Where D = '""&amp;L182&amp;""'"")"),52.0)</f>
        <v>52</v>
      </c>
      <c r="L182" s="36" t="s">
        <v>336</v>
      </c>
      <c r="M182" s="38">
        <f t="shared" si="30"/>
        <v>1</v>
      </c>
      <c r="N182" s="39" t="s">
        <v>42</v>
      </c>
      <c r="O182" s="40"/>
      <c r="P182" s="35"/>
      <c r="Q182" s="35"/>
      <c r="R182" s="35" t="s">
        <v>1139</v>
      </c>
      <c r="S182" s="35" t="b">
        <v>1</v>
      </c>
      <c r="T182" s="35" t="b">
        <v>0</v>
      </c>
      <c r="U182" s="41" t="str">
        <f>IFERROR(__xludf.DUMMYFUNCTION("""["" &amp; JOIN("", "", ARRAYFORMULA("""""""" &amp; TRIM(SPLIT(A182, "","")) &amp; """""""")) &amp; ""]"""),"[""99999""]")</f>
        <v>["99999"]</v>
      </c>
      <c r="V182" s="52" t="s">
        <v>1120</v>
      </c>
      <c r="W182" s="52" t="s">
        <v>1121</v>
      </c>
      <c r="X182" s="43"/>
      <c r="Y182" s="44" t="str">
        <f>vlookup(G182,zip_codes!$B$6:$J988,3,false)</f>
        <v>Houston</v>
      </c>
      <c r="Z182" s="45" t="str">
        <f>vlookup(G182,zip_codes!$B$6:$J988,9,false)</f>
        <v>Afton Oaks, Greenway / Upper Kirby Area, Highland Village, River Oaks District, Westside</v>
      </c>
      <c r="AA182" s="44" t="str">
        <f>vlookup(B182,organizations!$B$1:$C988,2,false)</f>
        <v>Christian Community Service Center (CCSC)</v>
      </c>
      <c r="AB182" s="46" t="s">
        <v>1122</v>
      </c>
      <c r="AC182" s="47" t="s">
        <v>1107</v>
      </c>
      <c r="AD182" s="48" t="s">
        <v>390</v>
      </c>
      <c r="AE182" s="48" t="str">
        <f t="shared" si="26"/>
        <v>Christian Community Service Center (Central)3434 Branard Street52</v>
      </c>
      <c r="AF182" s="48" t="str">
        <f t="shared" si="31"/>
        <v/>
      </c>
    </row>
    <row r="183" ht="66.75" customHeight="1">
      <c r="A183" s="49" t="s">
        <v>50</v>
      </c>
      <c r="B183" s="35" t="s">
        <v>1114</v>
      </c>
      <c r="C183" s="36" t="s">
        <v>1115</v>
      </c>
      <c r="D183" s="36"/>
      <c r="E183" s="36" t="s">
        <v>36</v>
      </c>
      <c r="F183" s="36" t="s">
        <v>37</v>
      </c>
      <c r="G183" s="35" t="s">
        <v>1116</v>
      </c>
      <c r="H183" s="35" t="s">
        <v>1140</v>
      </c>
      <c r="I183" s="35" t="s">
        <v>1102</v>
      </c>
      <c r="J183" s="35"/>
      <c r="K183" s="37">
        <f>IFERROR(__xludf.DUMMYFUNCTION("query(assistance!$A$2:$E988,""Select C Where D = '""&amp;L183&amp;""'"")"),52.0)</f>
        <v>52</v>
      </c>
      <c r="L183" s="36" t="s">
        <v>336</v>
      </c>
      <c r="M183" s="38">
        <f t="shared" si="30"/>
        <v>1</v>
      </c>
      <c r="N183" s="39" t="s">
        <v>42</v>
      </c>
      <c r="O183" s="40"/>
      <c r="P183" s="35"/>
      <c r="Q183" s="35"/>
      <c r="R183" s="35" t="s">
        <v>1141</v>
      </c>
      <c r="S183" s="35" t="b">
        <v>1</v>
      </c>
      <c r="T183" s="35" t="b">
        <v>0</v>
      </c>
      <c r="U183" s="41" t="str">
        <f>IFERROR(__xludf.DUMMYFUNCTION("""["" &amp; JOIN("", "", ARRAYFORMULA("""""""" &amp; TRIM(SPLIT(A183, "","")) &amp; """""""")) &amp; ""]"""),"[""99999""]")</f>
        <v>["99999"]</v>
      </c>
      <c r="V183" s="52" t="s">
        <v>1120</v>
      </c>
      <c r="W183" s="52" t="s">
        <v>1121</v>
      </c>
      <c r="X183" s="43"/>
      <c r="Y183" s="44" t="str">
        <f>vlookup(G183,zip_codes!$B$6:$J988,3,false)</f>
        <v>Houston</v>
      </c>
      <c r="Z183" s="45" t="str">
        <f>vlookup(G183,zip_codes!$B$6:$J988,9,false)</f>
        <v>Afton Oaks, Greenway / Upper Kirby Area, Highland Village, River Oaks District, Westside</v>
      </c>
      <c r="AA183" s="44" t="str">
        <f>vlookup(B183,organizations!$B$1:$C988,2,false)</f>
        <v>Christian Community Service Center (CCSC)</v>
      </c>
      <c r="AB183" s="46" t="s">
        <v>1122</v>
      </c>
      <c r="AC183" s="47" t="s">
        <v>1107</v>
      </c>
      <c r="AD183" s="48" t="s">
        <v>390</v>
      </c>
      <c r="AE183" s="48" t="str">
        <f t="shared" si="26"/>
        <v>Christian Community Service Center (Central)3434 Branard Street52</v>
      </c>
      <c r="AF183" s="48" t="str">
        <f t="shared" si="31"/>
        <v>XXX</v>
      </c>
    </row>
    <row r="184" ht="66.75" customHeight="1">
      <c r="A184" s="49" t="s">
        <v>50</v>
      </c>
      <c r="B184" s="35" t="s">
        <v>1114</v>
      </c>
      <c r="C184" s="36" t="s">
        <v>1115</v>
      </c>
      <c r="D184" s="36"/>
      <c r="E184" s="36" t="s">
        <v>36</v>
      </c>
      <c r="F184" s="36" t="s">
        <v>37</v>
      </c>
      <c r="G184" s="35" t="s">
        <v>1116</v>
      </c>
      <c r="H184" s="35" t="s">
        <v>1136</v>
      </c>
      <c r="I184" s="35" t="s">
        <v>1102</v>
      </c>
      <c r="J184" s="35"/>
      <c r="K184" s="37">
        <f>IFERROR(__xludf.DUMMYFUNCTION("query(assistance!$A$2:$E988,""Select C Where D = '""&amp;L184&amp;""'"")"),52.0)</f>
        <v>52</v>
      </c>
      <c r="L184" s="36" t="s">
        <v>336</v>
      </c>
      <c r="M184" s="38">
        <f t="shared" si="30"/>
        <v>1</v>
      </c>
      <c r="N184" s="39" t="s">
        <v>42</v>
      </c>
      <c r="O184" s="40"/>
      <c r="P184" s="35"/>
      <c r="Q184" s="35"/>
      <c r="R184" s="35" t="s">
        <v>1142</v>
      </c>
      <c r="S184" s="35" t="b">
        <v>1</v>
      </c>
      <c r="T184" s="35" t="b">
        <v>0</v>
      </c>
      <c r="U184" s="41" t="str">
        <f>IFERROR(__xludf.DUMMYFUNCTION("""["" &amp; JOIN("", "", ARRAYFORMULA("""""""" &amp; TRIM(SPLIT(A184, "","")) &amp; """""""")) &amp; ""]"""),"[""99999""]")</f>
        <v>["99999"]</v>
      </c>
      <c r="V184" s="52" t="s">
        <v>1120</v>
      </c>
      <c r="W184" s="52" t="s">
        <v>1121</v>
      </c>
      <c r="X184" s="43"/>
      <c r="Y184" s="44" t="str">
        <f>vlookup(G184,zip_codes!$B$6:$J988,3,false)</f>
        <v>Houston</v>
      </c>
      <c r="Z184" s="45" t="str">
        <f>vlookup(G184,zip_codes!$B$6:$J988,9,false)</f>
        <v>Afton Oaks, Greenway / Upper Kirby Area, Highland Village, River Oaks District, Westside</v>
      </c>
      <c r="AA184" s="44" t="str">
        <f>vlookup(B184,organizations!$B$1:$C988,2,false)</f>
        <v>Christian Community Service Center (CCSC)</v>
      </c>
      <c r="AB184" s="46" t="s">
        <v>1122</v>
      </c>
      <c r="AC184" s="47" t="s">
        <v>1107</v>
      </c>
      <c r="AD184" s="48" t="s">
        <v>390</v>
      </c>
      <c r="AE184" s="48" t="str">
        <f t="shared" si="26"/>
        <v>Christian Community Service Center (Central)3434 Branard Street52</v>
      </c>
      <c r="AF184" s="48" t="str">
        <f t="shared" si="31"/>
        <v>XXX</v>
      </c>
    </row>
    <row r="185" ht="66.75" customHeight="1">
      <c r="A185" s="49" t="s">
        <v>1143</v>
      </c>
      <c r="B185" s="35" t="s">
        <v>1144</v>
      </c>
      <c r="C185" s="36" t="s">
        <v>1145</v>
      </c>
      <c r="D185" s="36"/>
      <c r="E185" s="36" t="s">
        <v>36</v>
      </c>
      <c r="F185" s="36" t="s">
        <v>37</v>
      </c>
      <c r="G185" s="35" t="s">
        <v>567</v>
      </c>
      <c r="H185" s="35" t="s">
        <v>1117</v>
      </c>
      <c r="I185" s="35" t="s">
        <v>1118</v>
      </c>
      <c r="J185" s="35" t="s">
        <v>298</v>
      </c>
      <c r="K185" s="37">
        <f>IFERROR(__xludf.DUMMYFUNCTION("query(assistance!$A$2:$E988,""Select C Where D = '""&amp;L185&amp;""'"")"),11.0)</f>
        <v>11</v>
      </c>
      <c r="L185" s="36" t="s">
        <v>322</v>
      </c>
      <c r="M185" s="38">
        <f t="shared" si="30"/>
        <v>1</v>
      </c>
      <c r="N185" s="39" t="s">
        <v>42</v>
      </c>
      <c r="O185" s="40">
        <v>45758.0</v>
      </c>
      <c r="P185" s="50"/>
      <c r="Q185" s="35"/>
      <c r="R185" s="35" t="s">
        <v>1119</v>
      </c>
      <c r="S185" s="35" t="b">
        <v>0</v>
      </c>
      <c r="T185" s="35" t="b">
        <v>0</v>
      </c>
      <c r="U185" s="41" t="str">
        <f>IFERROR(__xludf.DUMMYFUNCTION("""["" &amp; JOIN("", "", ARRAYFORMULA("""""""" &amp; TRIM(SPLIT(A185, "","")) &amp; """""""")) &amp; ""]"""),"[""77031"", ""77036"", ""77056"", ""77057"", ""77072"", ""77081"", ""77096"", ""77401""]")</f>
        <v>["77031", "77036", "77056", "77057", "77072", "77081", "77096", "77401"]</v>
      </c>
      <c r="V185" s="52" t="s">
        <v>1120</v>
      </c>
      <c r="W185" s="52" t="s">
        <v>1146</v>
      </c>
      <c r="X185" s="43"/>
      <c r="Y185" s="44" t="str">
        <f>vlookup(G185,zip_codes!$B$6:$J988,3,false)</f>
        <v>Houston</v>
      </c>
      <c r="Z185" s="45" t="str">
        <f>vlookup(G185,zip_codes!$B$6:$J988,9,false)</f>
        <v>Braeburn, Robindell, Sharpstown</v>
      </c>
      <c r="AA185" s="44" t="str">
        <f>vlookup(B185,organizations!$B$1:$C988,2,false)</f>
        <v>Christian Community Service Center (CCSC)</v>
      </c>
      <c r="AB185" s="46" t="s">
        <v>1147</v>
      </c>
      <c r="AC185" s="47" t="s">
        <v>1123</v>
      </c>
      <c r="AD185" s="48" t="s">
        <v>572</v>
      </c>
      <c r="AE185" s="48" t="str">
        <f t="shared" si="26"/>
        <v>Christian Community Service Center (SW)6856 Bellaire Blvd11</v>
      </c>
      <c r="AF185" s="48" t="str">
        <f t="shared" si="31"/>
        <v/>
      </c>
    </row>
    <row r="186" ht="66.75" customHeight="1">
      <c r="A186" s="49" t="s">
        <v>1143</v>
      </c>
      <c r="B186" s="35" t="s">
        <v>1144</v>
      </c>
      <c r="C186" s="36" t="s">
        <v>1145</v>
      </c>
      <c r="D186" s="36"/>
      <c r="E186" s="36" t="s">
        <v>36</v>
      </c>
      <c r="F186" s="36" t="s">
        <v>37</v>
      </c>
      <c r="G186" s="35" t="s">
        <v>567</v>
      </c>
      <c r="H186" s="35" t="s">
        <v>1117</v>
      </c>
      <c r="I186" s="35" t="s">
        <v>1118</v>
      </c>
      <c r="J186" s="35" t="s">
        <v>298</v>
      </c>
      <c r="K186" s="37">
        <f>IFERROR(__xludf.DUMMYFUNCTION("query(assistance!$A$2:$E988,""Select C Where D = '""&amp;L186&amp;""'"")"),12.0)</f>
        <v>12</v>
      </c>
      <c r="L186" s="36" t="s">
        <v>330</v>
      </c>
      <c r="M186" s="38">
        <f t="shared" si="30"/>
        <v>1</v>
      </c>
      <c r="N186" s="39" t="s">
        <v>42</v>
      </c>
      <c r="O186" s="40">
        <v>45758.0</v>
      </c>
      <c r="P186" s="50"/>
      <c r="Q186" s="35"/>
      <c r="R186" s="35" t="s">
        <v>1119</v>
      </c>
      <c r="S186" s="35" t="b">
        <v>0</v>
      </c>
      <c r="T186" s="35" t="b">
        <v>0</v>
      </c>
      <c r="U186" s="41" t="str">
        <f>IFERROR(__xludf.DUMMYFUNCTION("""["" &amp; JOIN("", "", ARRAYFORMULA("""""""" &amp; TRIM(SPLIT(A186, "","")) &amp; """""""")) &amp; ""]"""),"[""77031"", ""77036"", ""77056"", ""77057"", ""77072"", ""77081"", ""77096"", ""77401""]")</f>
        <v>["77031", "77036", "77056", "77057", "77072", "77081", "77096", "77401"]</v>
      </c>
      <c r="V186" s="52" t="s">
        <v>1120</v>
      </c>
      <c r="W186" s="52" t="s">
        <v>1146</v>
      </c>
      <c r="X186" s="43"/>
      <c r="Y186" s="44" t="str">
        <f>vlookup(G186,zip_codes!$B$6:$J988,3,false)</f>
        <v>Houston</v>
      </c>
      <c r="Z186" s="45" t="str">
        <f>vlookup(G186,zip_codes!$B$6:$J988,9,false)</f>
        <v>Braeburn, Robindell, Sharpstown</v>
      </c>
      <c r="AA186" s="44" t="str">
        <f>vlookup(B186,organizations!$B$1:$C988,2,false)</f>
        <v>Christian Community Service Center (CCSC)</v>
      </c>
      <c r="AB186" s="46" t="s">
        <v>1147</v>
      </c>
      <c r="AC186" s="47" t="s">
        <v>1123</v>
      </c>
      <c r="AD186" s="48" t="s">
        <v>572</v>
      </c>
      <c r="AE186" s="48" t="str">
        <f t="shared" si="26"/>
        <v>Christian Community Service Center (SW)6856 Bellaire Blvd12</v>
      </c>
      <c r="AF186" s="48" t="str">
        <f t="shared" si="31"/>
        <v/>
      </c>
    </row>
    <row r="187" ht="66.75" customHeight="1">
      <c r="A187" s="49" t="s">
        <v>1143</v>
      </c>
      <c r="B187" s="35" t="s">
        <v>1144</v>
      </c>
      <c r="C187" s="36" t="s">
        <v>1145</v>
      </c>
      <c r="D187" s="36"/>
      <c r="E187" s="36" t="s">
        <v>36</v>
      </c>
      <c r="F187" s="36" t="s">
        <v>37</v>
      </c>
      <c r="G187" s="35" t="s">
        <v>567</v>
      </c>
      <c r="H187" s="35" t="s">
        <v>1117</v>
      </c>
      <c r="I187" s="35" t="s">
        <v>1124</v>
      </c>
      <c r="J187" s="35"/>
      <c r="K187" s="37">
        <f>IFERROR(__xludf.DUMMYFUNCTION("query(assistance!$A$2:$E988,""Select C Where D = '""&amp;L187&amp;""'"")"),13.0)</f>
        <v>13</v>
      </c>
      <c r="L187" s="36" t="s">
        <v>240</v>
      </c>
      <c r="M187" s="38">
        <f t="shared" si="30"/>
        <v>1</v>
      </c>
      <c r="N187" s="39" t="s">
        <v>42</v>
      </c>
      <c r="O187" s="40">
        <v>46086.0</v>
      </c>
      <c r="P187" s="35" t="s">
        <v>1125</v>
      </c>
      <c r="Q187" s="35"/>
      <c r="R187" s="35" t="s">
        <v>1126</v>
      </c>
      <c r="S187" s="35" t="b">
        <v>0</v>
      </c>
      <c r="T187" s="35" t="b">
        <v>0</v>
      </c>
      <c r="U187" s="41" t="str">
        <f>IFERROR(__xludf.DUMMYFUNCTION("""["" &amp; JOIN("", "", ARRAYFORMULA("""""""" &amp; TRIM(SPLIT(A187, "","")) &amp; """""""")) &amp; ""]"""),"[""77031"", ""77036"", ""77056"", ""77057"", ""77072"", ""77081"", ""77096"", ""77401""]")</f>
        <v>["77031", "77036", "77056", "77057", "77072", "77081", "77096", "77401"]</v>
      </c>
      <c r="V187" s="52" t="s">
        <v>1120</v>
      </c>
      <c r="W187" s="52" t="s">
        <v>1146</v>
      </c>
      <c r="X187" s="43"/>
      <c r="Y187" s="44" t="str">
        <f>vlookup(G187,zip_codes!$B$6:$J988,3,false)</f>
        <v>Houston</v>
      </c>
      <c r="Z187" s="45" t="str">
        <f>vlookup(G187,zip_codes!$B$6:$J988,9,false)</f>
        <v>Braeburn, Robindell, Sharpstown</v>
      </c>
      <c r="AA187" s="44" t="str">
        <f>vlookup(B187,organizations!$B$1:$C988,2,false)</f>
        <v>Christian Community Service Center (CCSC)</v>
      </c>
      <c r="AB187" s="46" t="s">
        <v>1147</v>
      </c>
      <c r="AC187" s="47" t="s">
        <v>1127</v>
      </c>
      <c r="AD187" s="48" t="s">
        <v>572</v>
      </c>
      <c r="AE187" s="48" t="str">
        <f t="shared" si="26"/>
        <v>Christian Community Service Center (SW)6856 Bellaire Blvd13</v>
      </c>
      <c r="AF187" s="48" t="str">
        <f t="shared" si="31"/>
        <v/>
      </c>
    </row>
    <row r="188" ht="66.75" customHeight="1">
      <c r="A188" s="49" t="s">
        <v>1143</v>
      </c>
      <c r="B188" s="35" t="s">
        <v>1144</v>
      </c>
      <c r="C188" s="36" t="s">
        <v>1145</v>
      </c>
      <c r="D188" s="36"/>
      <c r="E188" s="36" t="s">
        <v>36</v>
      </c>
      <c r="F188" s="36" t="s">
        <v>37</v>
      </c>
      <c r="G188" s="35" t="s">
        <v>567</v>
      </c>
      <c r="H188" s="35" t="s">
        <v>1117</v>
      </c>
      <c r="I188" s="35" t="s">
        <v>1118</v>
      </c>
      <c r="J188" s="35" t="s">
        <v>298</v>
      </c>
      <c r="K188" s="37">
        <f>IFERROR(__xludf.DUMMYFUNCTION("query(assistance!$A$2:$E988,""Select C Where D = '""&amp;L188&amp;""'"")"),36.0)</f>
        <v>36</v>
      </c>
      <c r="L188" s="36" t="s">
        <v>227</v>
      </c>
      <c r="M188" s="38">
        <f t="shared" si="30"/>
        <v>1</v>
      </c>
      <c r="N188" s="39" t="s">
        <v>42</v>
      </c>
      <c r="O188" s="40">
        <v>45658.0</v>
      </c>
      <c r="P188" s="50"/>
      <c r="Q188" s="35"/>
      <c r="R188" s="35" t="s">
        <v>1137</v>
      </c>
      <c r="S188" s="35" t="b">
        <v>0</v>
      </c>
      <c r="T188" s="35" t="b">
        <v>0</v>
      </c>
      <c r="U188" s="41" t="str">
        <f>IFERROR(__xludf.DUMMYFUNCTION("""["" &amp; JOIN("", "", ARRAYFORMULA("""""""" &amp; TRIM(SPLIT(A188, "","")) &amp; """""""")) &amp; ""]"""),"[""77031"", ""77036"", ""77056"", ""77057"", ""77072"", ""77081"", ""77096"", ""77401""]")</f>
        <v>["77031", "77036", "77056", "77057", "77072", "77081", "77096", "77401"]</v>
      </c>
      <c r="V188" s="52" t="s">
        <v>1120</v>
      </c>
      <c r="W188" s="52" t="s">
        <v>1146</v>
      </c>
      <c r="X188" s="43"/>
      <c r="Y188" s="44" t="str">
        <f>vlookup(G188,zip_codes!$B$6:$J988,3,false)</f>
        <v>Houston</v>
      </c>
      <c r="Z188" s="45" t="str">
        <f>vlookup(G188,zip_codes!$B$6:$J988,9,false)</f>
        <v>Braeburn, Robindell, Sharpstown</v>
      </c>
      <c r="AA188" s="44" t="str">
        <f>vlookup(B188,organizations!$B$1:$C988,2,false)</f>
        <v>Christian Community Service Center (CCSC)</v>
      </c>
      <c r="AB188" s="46" t="s">
        <v>1147</v>
      </c>
      <c r="AC188" s="47" t="s">
        <v>1123</v>
      </c>
      <c r="AD188" s="48" t="s">
        <v>572</v>
      </c>
      <c r="AE188" s="48" t="str">
        <f t="shared" si="26"/>
        <v>Christian Community Service Center (SW)6856 Bellaire Blvd36</v>
      </c>
      <c r="AF188" s="48" t="str">
        <f t="shared" si="31"/>
        <v/>
      </c>
    </row>
    <row r="189" ht="66.75" customHeight="1">
      <c r="A189" s="49" t="s">
        <v>50</v>
      </c>
      <c r="B189" s="35" t="s">
        <v>1148</v>
      </c>
      <c r="C189" s="36" t="s">
        <v>1149</v>
      </c>
      <c r="D189" s="36"/>
      <c r="E189" s="36" t="s">
        <v>1150</v>
      </c>
      <c r="F189" s="36" t="s">
        <v>37</v>
      </c>
      <c r="G189" s="35" t="s">
        <v>1151</v>
      </c>
      <c r="H189" s="35" t="s">
        <v>1152</v>
      </c>
      <c r="I189" s="35" t="s">
        <v>1153</v>
      </c>
      <c r="J189" s="35"/>
      <c r="K189" s="37">
        <f>IFERROR(__xludf.DUMMYFUNCTION("query(assistance!$A$2:$E988,""Select C Where D = '""&amp;L189&amp;""'"")"),13.0)</f>
        <v>13</v>
      </c>
      <c r="L189" s="36" t="s">
        <v>240</v>
      </c>
      <c r="M189" s="38">
        <f t="shared" si="30"/>
        <v>1</v>
      </c>
      <c r="N189" s="39" t="s">
        <v>42</v>
      </c>
      <c r="O189" s="40">
        <v>45663.0</v>
      </c>
      <c r="P189" s="50"/>
      <c r="Q189" s="50"/>
      <c r="R189" s="50"/>
      <c r="S189" s="35" t="b">
        <v>0</v>
      </c>
      <c r="T189" s="35" t="b">
        <v>0</v>
      </c>
      <c r="U189" s="41" t="str">
        <f>IFERROR(__xludf.DUMMYFUNCTION("""["" &amp; JOIN("", "", ARRAYFORMULA("""""""" &amp; TRIM(SPLIT(A189, "","")) &amp; """""""")) &amp; ""]"""),"[""99999""]")</f>
        <v>["99999"]</v>
      </c>
      <c r="V189" s="43"/>
      <c r="W189" s="52" t="s">
        <v>1154</v>
      </c>
      <c r="X189" s="43"/>
      <c r="Y189" s="44" t="str">
        <f>vlookup(G189,zip_codes!$B$6:$J988,3,false)</f>
        <v>Pearland</v>
      </c>
      <c r="Z189" s="45" t="str">
        <f>vlookup(G189,zip_codes!$B$6:$J988,9,false)</f>
        <v>Pearland, Pearland (West), Shadow Creek Ranch, Silverlake</v>
      </c>
      <c r="AA189" s="44" t="str">
        <f>vlookup(B189,organizations!$B$1:$C988,2,false)</f>
        <v>Christian Helping Hands</v>
      </c>
      <c r="AB189" s="46" t="s">
        <v>1155</v>
      </c>
      <c r="AC189" s="47" t="s">
        <v>1156</v>
      </c>
      <c r="AD189" s="48" t="s">
        <v>1150</v>
      </c>
      <c r="AE189" s="48" t="str">
        <f t="shared" si="26"/>
        <v>Christian Helping Hands4305 Magnolia Pkwy13</v>
      </c>
      <c r="AF189" s="48" t="str">
        <f t="shared" si="31"/>
        <v/>
      </c>
    </row>
    <row r="190" ht="66.75" customHeight="1">
      <c r="A190" s="49" t="s">
        <v>50</v>
      </c>
      <c r="B190" s="35" t="s">
        <v>1148</v>
      </c>
      <c r="C190" s="36" t="s">
        <v>1149</v>
      </c>
      <c r="D190" s="36"/>
      <c r="E190" s="36" t="s">
        <v>1150</v>
      </c>
      <c r="F190" s="36" t="s">
        <v>37</v>
      </c>
      <c r="G190" s="35" t="s">
        <v>1151</v>
      </c>
      <c r="H190" s="35" t="s">
        <v>1152</v>
      </c>
      <c r="I190" s="35" t="s">
        <v>1153</v>
      </c>
      <c r="J190" s="35"/>
      <c r="K190" s="37">
        <f>IFERROR(__xludf.DUMMYFUNCTION("query(assistance!$A$2:$E988,""Select C Where D = '""&amp;L190&amp;""'"")"),53.0)</f>
        <v>53</v>
      </c>
      <c r="L190" s="36" t="s">
        <v>1109</v>
      </c>
      <c r="M190" s="39">
        <f>if(N190="Inactive",3,if(N190="Limited", 2, if(N190="Closed", 4, 1)))</f>
        <v>4</v>
      </c>
      <c r="N190" s="51" t="s">
        <v>57</v>
      </c>
      <c r="O190" s="40">
        <v>45519.0</v>
      </c>
      <c r="P190" s="35" t="s">
        <v>1157</v>
      </c>
      <c r="Q190" s="35"/>
      <c r="R190" s="35" t="s">
        <v>1158</v>
      </c>
      <c r="S190" s="35" t="b">
        <v>0</v>
      </c>
      <c r="T190" s="35" t="b">
        <v>0</v>
      </c>
      <c r="U190" s="41" t="str">
        <f>IFERROR(__xludf.DUMMYFUNCTION("""["" &amp; JOIN("", "", ARRAYFORMULA("""""""" &amp; TRIM(SPLIT(A190, "","")) &amp; """""""")) &amp; ""]"""),"[""99999""]")</f>
        <v>["99999"]</v>
      </c>
      <c r="V190" s="43"/>
      <c r="W190" s="52" t="s">
        <v>1154</v>
      </c>
      <c r="X190" s="43"/>
      <c r="Y190" s="44" t="str">
        <f>vlookup(G190,zip_codes!$B$6:$J988,3,false)</f>
        <v>Pearland</v>
      </c>
      <c r="Z190" s="45" t="str">
        <f>vlookup(G190,zip_codes!$B$6:$J988,9,false)</f>
        <v>Pearland, Pearland (West), Shadow Creek Ranch, Silverlake</v>
      </c>
      <c r="AA190" s="44" t="str">
        <f>vlookup(B190,organizations!$B$1:$C988,2,false)</f>
        <v>Christian Helping Hands</v>
      </c>
      <c r="AB190" s="46" t="s">
        <v>1155</v>
      </c>
      <c r="AC190" s="47" t="s">
        <v>1156</v>
      </c>
      <c r="AD190" s="48" t="s">
        <v>1150</v>
      </c>
      <c r="AE190" s="48" t="str">
        <f t="shared" si="26"/>
        <v>Christian Helping Hands4305 Magnolia Pkwy53</v>
      </c>
      <c r="AF190" s="48" t="str">
        <f t="shared" si="31"/>
        <v/>
      </c>
    </row>
    <row r="191" ht="66.75" customHeight="1">
      <c r="A191" s="49" t="s">
        <v>50</v>
      </c>
      <c r="B191" s="35" t="s">
        <v>1159</v>
      </c>
      <c r="C191" s="64"/>
      <c r="D191" s="64"/>
      <c r="E191" s="36" t="s">
        <v>36</v>
      </c>
      <c r="F191" s="36" t="s">
        <v>37</v>
      </c>
      <c r="G191" s="35" t="s">
        <v>50</v>
      </c>
      <c r="H191" s="50"/>
      <c r="I191" s="35" t="s">
        <v>67</v>
      </c>
      <c r="J191" s="35"/>
      <c r="K191" s="37">
        <f>IFERROR(__xludf.DUMMYFUNCTION("query(assistance!$A$2:$E988,""Select C Where D = '""&amp;L191&amp;""'"")"),31.0)</f>
        <v>31</v>
      </c>
      <c r="L191" s="36" t="s">
        <v>90</v>
      </c>
      <c r="M191" s="38">
        <f t="shared" ref="M191:M211" si="32">if(N191="Inactive",3,if(N191="Limited", 2, 1))</f>
        <v>1</v>
      </c>
      <c r="N191" s="39" t="s">
        <v>42</v>
      </c>
      <c r="O191" s="40">
        <v>45761.0</v>
      </c>
      <c r="P191" s="35" t="s">
        <v>406</v>
      </c>
      <c r="Q191" s="35"/>
      <c r="R191" s="35" t="s">
        <v>1160</v>
      </c>
      <c r="S191" s="35" t="b">
        <v>0</v>
      </c>
      <c r="T191" s="35" t="b">
        <v>0</v>
      </c>
      <c r="U191" s="41" t="str">
        <f>IFERROR(__xludf.DUMMYFUNCTION("""["" &amp; JOIN("", "", ARRAYFORMULA("""""""" &amp; TRIM(SPLIT(A191, "","")) &amp; """""""")) &amp; ""]"""),"[""99999""]")</f>
        <v>["99999"]</v>
      </c>
      <c r="V191" s="52" t="s">
        <v>1161</v>
      </c>
      <c r="W191" s="43"/>
      <c r="X191" s="43"/>
      <c r="Y191" s="44" t="str">
        <f>vlookup(G191,zip_codes!$B$6:$J988,3,false)</f>
        <v>Greater Houston</v>
      </c>
      <c r="Z191" s="45" t="str">
        <f>vlookup(G191,zip_codes!$B$6:$J988,9,false)</f>
        <v>Not Restricted by Zip Code</v>
      </c>
      <c r="AA191" s="44" t="str">
        <f>vlookup(B191,organizations!$B$1:$C988,2,false)</f>
        <v>Christus Foundation for HealthCare</v>
      </c>
      <c r="AB191" s="83" t="s">
        <v>1162</v>
      </c>
      <c r="AC191" s="47" t="s">
        <v>73</v>
      </c>
      <c r="AD191" s="48"/>
      <c r="AE191" s="48" t="str">
        <f t="shared" si="26"/>
        <v>Christus Healthy Living Mobile Clinics31</v>
      </c>
      <c r="AF191" s="48" t="str">
        <f t="shared" si="31"/>
        <v/>
      </c>
    </row>
    <row r="192" ht="66.75" customHeight="1">
      <c r="A192" s="49" t="s">
        <v>50</v>
      </c>
      <c r="B192" s="35" t="s">
        <v>1163</v>
      </c>
      <c r="C192" s="36" t="s">
        <v>1164</v>
      </c>
      <c r="D192" s="36" t="s">
        <v>1165</v>
      </c>
      <c r="E192" s="36" t="s">
        <v>36</v>
      </c>
      <c r="F192" s="36" t="s">
        <v>37</v>
      </c>
      <c r="G192" s="35" t="s">
        <v>270</v>
      </c>
      <c r="H192" s="35" t="s">
        <v>1166</v>
      </c>
      <c r="I192" s="35" t="s">
        <v>1167</v>
      </c>
      <c r="J192" s="35"/>
      <c r="K192" s="37">
        <f>IFERROR(__xludf.DUMMYFUNCTION("query(assistance!$A$2:$E988,""Select C Where D = '""&amp;L192&amp;""'"")"),51.0)</f>
        <v>51</v>
      </c>
      <c r="L192" s="36" t="s">
        <v>468</v>
      </c>
      <c r="M192" s="38">
        <f t="shared" si="32"/>
        <v>1</v>
      </c>
      <c r="N192" s="39" t="s">
        <v>42</v>
      </c>
      <c r="O192" s="40">
        <v>45761.0</v>
      </c>
      <c r="P192" s="35" t="s">
        <v>406</v>
      </c>
      <c r="Q192" s="35"/>
      <c r="R192" s="35" t="s">
        <v>1168</v>
      </c>
      <c r="S192" s="35" t="b">
        <v>0</v>
      </c>
      <c r="T192" s="35" t="b">
        <v>0</v>
      </c>
      <c r="U192" s="41" t="str">
        <f>IFERROR(__xludf.DUMMYFUNCTION("""["" &amp; JOIN("", "", ARRAYFORMULA("""""""" &amp; TRIM(SPLIT(A192, "","")) &amp; """""""")) &amp; ""]"""),"[""99999""]")</f>
        <v>["99999"]</v>
      </c>
      <c r="V192" s="52" t="s">
        <v>1169</v>
      </c>
      <c r="W192" s="52" t="s">
        <v>1170</v>
      </c>
      <c r="X192" s="43"/>
      <c r="Y192" s="44" t="str">
        <f>vlookup(G192,zip_codes!$B$6:$J988,3,false)</f>
        <v>Houston</v>
      </c>
      <c r="Z192" s="45" t="str">
        <f>vlookup(G192,zip_codes!$B$6:$J988,9,false)</f>
        <v>Central Business District, Downtown Houston, East Downtown, South Central Houston, Theater District, University Place, Warehouse District</v>
      </c>
      <c r="AA192" s="44" t="str">
        <f>vlookup(B192,organizations!$B$1:$C988,2,false)</f>
        <v>Christus Foundation for HealthCare</v>
      </c>
      <c r="AB192" s="46" t="s">
        <v>1171</v>
      </c>
      <c r="AC192" s="47" t="s">
        <v>1172</v>
      </c>
      <c r="AD192" s="48" t="s">
        <v>314</v>
      </c>
      <c r="AE192" s="48" t="str">
        <f t="shared" si="26"/>
        <v>Christus Learning Center2615 Fannin Street51</v>
      </c>
      <c r="AF192" s="48" t="str">
        <f t="shared" si="31"/>
        <v/>
      </c>
    </row>
    <row r="193" ht="66.75" customHeight="1">
      <c r="A193" s="49" t="s">
        <v>50</v>
      </c>
      <c r="B193" s="35" t="s">
        <v>1173</v>
      </c>
      <c r="C193" s="36" t="s">
        <v>1174</v>
      </c>
      <c r="D193" s="36"/>
      <c r="E193" s="36" t="s">
        <v>1175</v>
      </c>
      <c r="F193" s="36" t="s">
        <v>37</v>
      </c>
      <c r="G193" s="35" t="s">
        <v>1176</v>
      </c>
      <c r="H193" s="35" t="s">
        <v>1177</v>
      </c>
      <c r="I193" s="35" t="s">
        <v>332</v>
      </c>
      <c r="J193" s="35"/>
      <c r="K193" s="37">
        <f>IFERROR(__xludf.DUMMYFUNCTION("query(assistance!$A$2:$E988,""Select C Where D = '""&amp;L193&amp;""'"")"),22.0)</f>
        <v>22</v>
      </c>
      <c r="L193" s="36" t="s">
        <v>1178</v>
      </c>
      <c r="M193" s="38">
        <f t="shared" si="32"/>
        <v>1</v>
      </c>
      <c r="N193" s="39" t="s">
        <v>42</v>
      </c>
      <c r="O193" s="40">
        <v>45761.0</v>
      </c>
      <c r="P193" s="35" t="s">
        <v>406</v>
      </c>
      <c r="Q193" s="35"/>
      <c r="R193" s="35" t="s">
        <v>1179</v>
      </c>
      <c r="S193" s="35" t="b">
        <v>0</v>
      </c>
      <c r="T193" s="35" t="b">
        <v>0</v>
      </c>
      <c r="U193" s="41" t="str">
        <f>IFERROR(__xludf.DUMMYFUNCTION("""["" &amp; JOIN("", "", ARRAYFORMULA("""""""" &amp; TRIM(SPLIT(A193, "","")) &amp; """""""")) &amp; ""]"""),"[""99999""]")</f>
        <v>["99999"]</v>
      </c>
      <c r="V193" s="52" t="s">
        <v>1180</v>
      </c>
      <c r="W193" s="52" t="s">
        <v>1181</v>
      </c>
      <c r="X193" s="43"/>
      <c r="Y193" s="44" t="str">
        <f>vlookup(G193,zip_codes!$B$6:$J988,3,false)</f>
        <v>Galveston</v>
      </c>
      <c r="Z193" s="45" t="str">
        <f>vlookup(G193,zip_codes!$B$6:$J988,9,false)</f>
        <v>Galveston</v>
      </c>
      <c r="AA193" s="44" t="str">
        <f>vlookup(B193,organizations!$B$1:$C988,2,false)</f>
        <v>Christus Foundation for HealthCare</v>
      </c>
      <c r="AB193" s="46" t="s">
        <v>1182</v>
      </c>
      <c r="AC193" s="47" t="s">
        <v>335</v>
      </c>
      <c r="AD193" s="48" t="s">
        <v>1175</v>
      </c>
      <c r="AE193" s="48" t="str">
        <f t="shared" si="26"/>
        <v>Christus Our Daily Bread2420 Winnie Street22</v>
      </c>
      <c r="AF193" s="48" t="str">
        <f t="shared" si="31"/>
        <v/>
      </c>
    </row>
    <row r="194" ht="66.75" customHeight="1">
      <c r="A194" s="49" t="s">
        <v>50</v>
      </c>
      <c r="B194" s="35" t="s">
        <v>1183</v>
      </c>
      <c r="C194" s="36" t="s">
        <v>1184</v>
      </c>
      <c r="D194" s="36" t="s">
        <v>1185</v>
      </c>
      <c r="E194" s="36" t="s">
        <v>1186</v>
      </c>
      <c r="F194" s="36" t="s">
        <v>37</v>
      </c>
      <c r="G194" s="35" t="s">
        <v>1187</v>
      </c>
      <c r="H194" s="35" t="s">
        <v>1188</v>
      </c>
      <c r="I194" s="35" t="s">
        <v>1189</v>
      </c>
      <c r="J194" s="35"/>
      <c r="K194" s="37">
        <f>IFERROR(__xludf.DUMMYFUNCTION("query(assistance!$A$2:$E988,""Select C Where D = '""&amp;L194&amp;""'"")"),31.0)</f>
        <v>31</v>
      </c>
      <c r="L194" s="36" t="s">
        <v>90</v>
      </c>
      <c r="M194" s="38">
        <f t="shared" si="32"/>
        <v>1</v>
      </c>
      <c r="N194" s="39" t="s">
        <v>42</v>
      </c>
      <c r="O194" s="40">
        <v>45761.0</v>
      </c>
      <c r="P194" s="35" t="s">
        <v>406</v>
      </c>
      <c r="Q194" s="35"/>
      <c r="R194" s="35" t="s">
        <v>1190</v>
      </c>
      <c r="S194" s="35" t="b">
        <v>0</v>
      </c>
      <c r="T194" s="35" t="b">
        <v>0</v>
      </c>
      <c r="U194" s="41" t="str">
        <f>IFERROR(__xludf.DUMMYFUNCTION("""["" &amp; JOIN("", "", ARRAYFORMULA("""""""" &amp; TRIM(SPLIT(A194, "","")) &amp; """""""")) &amp; ""]"""),"[""99999""]")</f>
        <v>["99999"]</v>
      </c>
      <c r="V194" s="52" t="s">
        <v>1191</v>
      </c>
      <c r="W194" s="52" t="s">
        <v>1192</v>
      </c>
      <c r="X194" s="43"/>
      <c r="Y194" s="44" t="str">
        <f>vlookup(G194,zip_codes!$B$6:$J988,3,false)</f>
        <v>Dickinson</v>
      </c>
      <c r="Z194" s="45" t="str">
        <f>vlookup(G194,zip_codes!$B$6:$J988,9,false)</f>
        <v>Dickinson</v>
      </c>
      <c r="AA194" s="44" t="str">
        <f>vlookup(B194,organizations!$B$1:$C988,2,false)</f>
        <v>Christus Foundation for HealthCare</v>
      </c>
      <c r="AB194" s="46" t="s">
        <v>1193</v>
      </c>
      <c r="AC194" s="47" t="s">
        <v>278</v>
      </c>
      <c r="AD194" s="48" t="s">
        <v>1186</v>
      </c>
      <c r="AE194" s="48" t="str">
        <f t="shared" si="26"/>
        <v>Christus Point of Light Clinic2401 Termini Street31</v>
      </c>
      <c r="AF194" s="48" t="str">
        <f t="shared" si="31"/>
        <v/>
      </c>
    </row>
    <row r="195" ht="66.75" customHeight="1">
      <c r="A195" s="49" t="s">
        <v>50</v>
      </c>
      <c r="B195" s="35" t="s">
        <v>1194</v>
      </c>
      <c r="C195" s="36" t="s">
        <v>1195</v>
      </c>
      <c r="D195" s="36"/>
      <c r="E195" s="36" t="s">
        <v>36</v>
      </c>
      <c r="F195" s="36" t="s">
        <v>37</v>
      </c>
      <c r="G195" s="35" t="s">
        <v>1196</v>
      </c>
      <c r="H195" s="35" t="s">
        <v>1197</v>
      </c>
      <c r="I195" s="35" t="s">
        <v>67</v>
      </c>
      <c r="J195" s="86" t="s">
        <v>1198</v>
      </c>
      <c r="K195" s="37">
        <f>IFERROR(__xludf.DUMMYFUNCTION("query(assistance!$A$2:$E988,""Select C Where D = '""&amp;L195&amp;""'"")"),31.0)</f>
        <v>31</v>
      </c>
      <c r="L195" s="36" t="s">
        <v>90</v>
      </c>
      <c r="M195" s="38">
        <f t="shared" si="32"/>
        <v>1</v>
      </c>
      <c r="N195" s="39" t="s">
        <v>42</v>
      </c>
      <c r="O195" s="40">
        <v>45853.0</v>
      </c>
      <c r="P195" s="35" t="s">
        <v>43</v>
      </c>
      <c r="Q195" s="35"/>
      <c r="R195" s="35" t="s">
        <v>1199</v>
      </c>
      <c r="S195" s="35" t="b">
        <v>0</v>
      </c>
      <c r="T195" s="35" t="b">
        <v>0</v>
      </c>
      <c r="U195" s="41" t="str">
        <f>IFERROR(__xludf.DUMMYFUNCTION("""["" &amp; JOIN("", "", ARRAYFORMULA("""""""" &amp; TRIM(SPLIT(A195, "","")) &amp; """""""")) &amp; ""]"""),"[""99999""]")</f>
        <v>["99999"]</v>
      </c>
      <c r="V195" s="52" t="s">
        <v>1200</v>
      </c>
      <c r="W195" s="42" t="s">
        <v>1201</v>
      </c>
      <c r="X195" s="43"/>
      <c r="Y195" s="44" t="str">
        <f>vlookup(G195,zip_codes!$B$6:$J988,3,false)</f>
        <v>Houston</v>
      </c>
      <c r="Z195" s="45" t="str">
        <f>vlookup(G195,zip_codes!$B$6:$J988,9,false)</f>
        <v>Northline, Northside, Northside / Northline</v>
      </c>
      <c r="AA195" s="44" t="str">
        <f>vlookup(B195,organizations!$B$1:$C988,2,false)</f>
        <v>Christus Foundation for HealthCare</v>
      </c>
      <c r="AB195" s="55" t="s">
        <v>1202</v>
      </c>
      <c r="AC195" s="47" t="s">
        <v>73</v>
      </c>
      <c r="AD195" s="48" t="s">
        <v>74</v>
      </c>
      <c r="AE195" s="48" t="str">
        <f t="shared" si="26"/>
        <v>Christus School Clinics - Assumption Catholic School801 Roselane Street31</v>
      </c>
      <c r="AF195" s="48" t="str">
        <f t="shared" si="31"/>
        <v/>
      </c>
    </row>
    <row r="196" ht="66.75" customHeight="1">
      <c r="A196" s="49" t="s">
        <v>50</v>
      </c>
      <c r="B196" s="35" t="s">
        <v>1203</v>
      </c>
      <c r="C196" s="36" t="s">
        <v>1204</v>
      </c>
      <c r="D196" s="36"/>
      <c r="E196" s="36" t="s">
        <v>36</v>
      </c>
      <c r="F196" s="36" t="s">
        <v>37</v>
      </c>
      <c r="G196" s="35" t="s">
        <v>676</v>
      </c>
      <c r="H196" s="35" t="s">
        <v>1205</v>
      </c>
      <c r="I196" s="35" t="s">
        <v>67</v>
      </c>
      <c r="J196" s="86" t="s">
        <v>1198</v>
      </c>
      <c r="K196" s="37">
        <f>IFERROR(__xludf.DUMMYFUNCTION("query(assistance!$A$2:$E988,""Select C Where D = '""&amp;L196&amp;""'"")"),31.0)</f>
        <v>31</v>
      </c>
      <c r="L196" s="36" t="s">
        <v>90</v>
      </c>
      <c r="M196" s="38">
        <f t="shared" si="32"/>
        <v>1</v>
      </c>
      <c r="N196" s="39" t="s">
        <v>42</v>
      </c>
      <c r="O196" s="40">
        <v>45853.0</v>
      </c>
      <c r="P196" s="35" t="s">
        <v>43</v>
      </c>
      <c r="Q196" s="35"/>
      <c r="R196" s="35" t="s">
        <v>1199</v>
      </c>
      <c r="S196" s="35" t="b">
        <v>0</v>
      </c>
      <c r="T196" s="35" t="b">
        <v>0</v>
      </c>
      <c r="U196" s="41" t="str">
        <f>IFERROR(__xludf.DUMMYFUNCTION("""["" &amp; JOIN("", "", ARRAYFORMULA("""""""" &amp; TRIM(SPLIT(A196, "","")) &amp; """""""")) &amp; ""]"""),"[""99999""]")</f>
        <v>["99999"]</v>
      </c>
      <c r="V196" s="52" t="s">
        <v>1200</v>
      </c>
      <c r="W196" s="54" t="s">
        <v>1206</v>
      </c>
      <c r="X196" s="43"/>
      <c r="Y196" s="44" t="str">
        <f>vlookup(G196,zip_codes!$B$6:$J988,3,false)</f>
        <v>Houston</v>
      </c>
      <c r="Z196" s="45" t="str">
        <f>vlookup(G196,zip_codes!$B$6:$J988,9,false)</f>
        <v>Gulfton</v>
      </c>
      <c r="AA196" s="44" t="str">
        <f>vlookup(B196,organizations!$B$1:$C988,2,false)</f>
        <v>Christus Foundation for HealthCare</v>
      </c>
      <c r="AB196" s="55" t="s">
        <v>1207</v>
      </c>
      <c r="AC196" s="47" t="s">
        <v>73</v>
      </c>
      <c r="AD196" s="48" t="s">
        <v>680</v>
      </c>
      <c r="AE196" s="48" t="str">
        <f t="shared" si="26"/>
        <v>Christus School Clinics - Holy Ghost School6920 Chimney Rock Road31</v>
      </c>
      <c r="AF196" s="48" t="str">
        <f t="shared" si="31"/>
        <v/>
      </c>
    </row>
    <row r="197" ht="66.75" customHeight="1">
      <c r="A197" s="49" t="s">
        <v>50</v>
      </c>
      <c r="B197" s="35" t="s">
        <v>1208</v>
      </c>
      <c r="C197" s="36" t="s">
        <v>1209</v>
      </c>
      <c r="D197" s="36"/>
      <c r="E197" s="36" t="s">
        <v>1210</v>
      </c>
      <c r="F197" s="36" t="s">
        <v>37</v>
      </c>
      <c r="G197" s="35" t="s">
        <v>1211</v>
      </c>
      <c r="H197" s="35" t="s">
        <v>1212</v>
      </c>
      <c r="I197" s="35" t="s">
        <v>67</v>
      </c>
      <c r="J197" s="86" t="s">
        <v>1198</v>
      </c>
      <c r="K197" s="37">
        <f>IFERROR(__xludf.DUMMYFUNCTION("query(assistance!$A$2:$E988,""Select C Where D = '""&amp;L197&amp;""'"")"),31.0)</f>
        <v>31</v>
      </c>
      <c r="L197" s="36" t="s">
        <v>90</v>
      </c>
      <c r="M197" s="38">
        <f t="shared" si="32"/>
        <v>1</v>
      </c>
      <c r="N197" s="39" t="s">
        <v>42</v>
      </c>
      <c r="O197" s="40">
        <v>45853.0</v>
      </c>
      <c r="P197" s="35" t="s">
        <v>43</v>
      </c>
      <c r="Q197" s="35"/>
      <c r="R197" s="35" t="s">
        <v>1213</v>
      </c>
      <c r="S197" s="35" t="b">
        <v>0</v>
      </c>
      <c r="T197" s="35" t="b">
        <v>0</v>
      </c>
      <c r="U197" s="41" t="str">
        <f>IFERROR(__xludf.DUMMYFUNCTION("""["" &amp; JOIN("", "", ARRAYFORMULA("""""""" &amp; TRIM(SPLIT(A197, "","")) &amp; """""""")) &amp; ""]"""),"[""99999""]")</f>
        <v>["99999"]</v>
      </c>
      <c r="V197" s="52" t="s">
        <v>1200</v>
      </c>
      <c r="W197" s="54" t="s">
        <v>1214</v>
      </c>
      <c r="X197" s="43"/>
      <c r="Y197" s="44" t="str">
        <f>vlookup(G197,zip_codes!$B$6:$J988,3,false)</f>
        <v>Galena Park</v>
      </c>
      <c r="Z197" s="45" t="str">
        <f>vlookup(G197,zip_codes!$B$6:$J988,9,false)</f>
        <v>Galena Park, Northeast Houston</v>
      </c>
      <c r="AA197" s="44" t="str">
        <f>vlookup(B197,organizations!$B$1:$C988,2,false)</f>
        <v>Christus Foundation for HealthCare</v>
      </c>
      <c r="AB197" s="55" t="s">
        <v>1215</v>
      </c>
      <c r="AC197" s="47" t="s">
        <v>73</v>
      </c>
      <c r="AD197" s="48" t="s">
        <v>1216</v>
      </c>
      <c r="AE197" s="48" t="str">
        <f t="shared" si="26"/>
        <v>Christus School Clinics - Our Lady of Fatima GP1705 8th Street31</v>
      </c>
      <c r="AF197" s="48" t="str">
        <f t="shared" si="31"/>
        <v/>
      </c>
    </row>
    <row r="198" ht="66.75" customHeight="1">
      <c r="A198" s="49" t="s">
        <v>50</v>
      </c>
      <c r="B198" s="35" t="s">
        <v>1217</v>
      </c>
      <c r="C198" s="36" t="s">
        <v>1218</v>
      </c>
      <c r="D198" s="36"/>
      <c r="E198" s="36" t="s">
        <v>1219</v>
      </c>
      <c r="F198" s="36" t="s">
        <v>37</v>
      </c>
      <c r="G198" s="35" t="s">
        <v>1220</v>
      </c>
      <c r="H198" s="35" t="s">
        <v>1221</v>
      </c>
      <c r="I198" s="35" t="s">
        <v>67</v>
      </c>
      <c r="J198" s="86" t="s">
        <v>1198</v>
      </c>
      <c r="K198" s="37">
        <f>IFERROR(__xludf.DUMMYFUNCTION("query(assistance!$A$2:$E988,""Select C Where D = '""&amp;L198&amp;""'"")"),31.0)</f>
        <v>31</v>
      </c>
      <c r="L198" s="36" t="s">
        <v>90</v>
      </c>
      <c r="M198" s="38">
        <f t="shared" si="32"/>
        <v>1</v>
      </c>
      <c r="N198" s="39" t="s">
        <v>42</v>
      </c>
      <c r="O198" s="40">
        <v>45853.0</v>
      </c>
      <c r="P198" s="35" t="s">
        <v>43</v>
      </c>
      <c r="Q198" s="35"/>
      <c r="R198" s="35" t="s">
        <v>1199</v>
      </c>
      <c r="S198" s="35" t="b">
        <v>0</v>
      </c>
      <c r="T198" s="35" t="b">
        <v>0</v>
      </c>
      <c r="U198" s="41" t="str">
        <f>IFERROR(__xludf.DUMMYFUNCTION("""["" &amp; JOIN("", "", ARRAYFORMULA("""""""" &amp; TRIM(SPLIT(A198, "","")) &amp; """""""")) &amp; ""]"""),"[""99999""]")</f>
        <v>["99999"]</v>
      </c>
      <c r="V198" s="52" t="s">
        <v>1200</v>
      </c>
      <c r="W198" s="54" t="s">
        <v>1222</v>
      </c>
      <c r="X198" s="43"/>
      <c r="Y198" s="44" t="str">
        <f>vlookup(G198,zip_codes!$B$6:$J988,3,false)</f>
        <v>Texas City</v>
      </c>
      <c r="Z198" s="45" t="str">
        <f>vlookup(G198,zip_codes!$B$6:$J988,9,false)</f>
        <v>Texas City</v>
      </c>
      <c r="AA198" s="44" t="str">
        <f>vlookup(B198,organizations!$B$1:$C988,2,false)</f>
        <v>Christus Foundation for HealthCare</v>
      </c>
      <c r="AB198" s="55" t="s">
        <v>1223</v>
      </c>
      <c r="AC198" s="47" t="s">
        <v>73</v>
      </c>
      <c r="AD198" s="48" t="s">
        <v>1219</v>
      </c>
      <c r="AE198" s="48" t="str">
        <f t="shared" si="26"/>
        <v>Christus School Clinics - Our Lady of Fatima TC1600 9th Avenue North31</v>
      </c>
      <c r="AF198" s="48" t="str">
        <f t="shared" si="31"/>
        <v/>
      </c>
    </row>
    <row r="199" ht="66.75" customHeight="1">
      <c r="A199" s="49" t="s">
        <v>50</v>
      </c>
      <c r="B199" s="35" t="s">
        <v>1224</v>
      </c>
      <c r="C199" s="36" t="s">
        <v>1225</v>
      </c>
      <c r="D199" s="36"/>
      <c r="E199" s="36" t="s">
        <v>36</v>
      </c>
      <c r="F199" s="36" t="s">
        <v>37</v>
      </c>
      <c r="G199" s="35" t="s">
        <v>557</v>
      </c>
      <c r="H199" s="35" t="s">
        <v>1226</v>
      </c>
      <c r="I199" s="35" t="s">
        <v>67</v>
      </c>
      <c r="J199" s="86" t="s">
        <v>1198</v>
      </c>
      <c r="K199" s="37">
        <f>IFERROR(__xludf.DUMMYFUNCTION("query(assistance!$A$2:$E988,""Select C Where D = '""&amp;L199&amp;""'"")"),31.0)</f>
        <v>31</v>
      </c>
      <c r="L199" s="36" t="s">
        <v>90</v>
      </c>
      <c r="M199" s="38">
        <f t="shared" si="32"/>
        <v>1</v>
      </c>
      <c r="N199" s="39" t="s">
        <v>42</v>
      </c>
      <c r="O199" s="40">
        <v>45853.0</v>
      </c>
      <c r="P199" s="35" t="s">
        <v>43</v>
      </c>
      <c r="Q199" s="35"/>
      <c r="R199" s="35" t="s">
        <v>1199</v>
      </c>
      <c r="S199" s="35" t="b">
        <v>0</v>
      </c>
      <c r="T199" s="35" t="b">
        <v>0</v>
      </c>
      <c r="U199" s="41" t="str">
        <f>IFERROR(__xludf.DUMMYFUNCTION("""["" &amp; JOIN("", "", ARRAYFORMULA("""""""" &amp; TRIM(SPLIT(A199, "","")) &amp; """""""")) &amp; ""]"""),"[""99999""]")</f>
        <v>["99999"]</v>
      </c>
      <c r="V199" s="52" t="s">
        <v>1200</v>
      </c>
      <c r="W199" s="54" t="s">
        <v>1227</v>
      </c>
      <c r="X199" s="43"/>
      <c r="Y199" s="44" t="str">
        <f>vlookup(G199,zip_codes!$B$6:$J988,3,false)</f>
        <v>Houston</v>
      </c>
      <c r="Z199" s="45" t="str">
        <f>vlookup(G199,zip_codes!$B$6:$J988,9,false)</f>
        <v>East Downtown, Downtown Houston, Second Ward, South Central Houston, South Side</v>
      </c>
      <c r="AA199" s="44" t="str">
        <f>vlookup(B199,organizations!$B$1:$C988,2,false)</f>
        <v>Christus Foundation for HealthCare</v>
      </c>
      <c r="AB199" s="55" t="s">
        <v>1228</v>
      </c>
      <c r="AC199" s="47" t="s">
        <v>73</v>
      </c>
      <c r="AD199" s="48" t="s">
        <v>314</v>
      </c>
      <c r="AE199" s="48" t="str">
        <f t="shared" si="26"/>
        <v>Christus School Clinics - Our Lady of Guadalupe School2405 Navigation Blvd31</v>
      </c>
      <c r="AF199" s="48" t="str">
        <f t="shared" si="31"/>
        <v/>
      </c>
    </row>
    <row r="200" ht="66.75" customHeight="1">
      <c r="A200" s="49" t="s">
        <v>50</v>
      </c>
      <c r="B200" s="35" t="s">
        <v>1229</v>
      </c>
      <c r="C200" s="36" t="s">
        <v>1230</v>
      </c>
      <c r="D200" s="36"/>
      <c r="E200" s="36" t="s">
        <v>36</v>
      </c>
      <c r="F200" s="36" t="s">
        <v>37</v>
      </c>
      <c r="G200" s="35" t="s">
        <v>846</v>
      </c>
      <c r="H200" s="35" t="s">
        <v>1231</v>
      </c>
      <c r="I200" s="35" t="s">
        <v>67</v>
      </c>
      <c r="J200" s="86" t="s">
        <v>1198</v>
      </c>
      <c r="K200" s="37">
        <f>IFERROR(__xludf.DUMMYFUNCTION("query(assistance!$A$2:$E988,""Select C Where D = '""&amp;L200&amp;""'"")"),31.0)</f>
        <v>31</v>
      </c>
      <c r="L200" s="36" t="s">
        <v>90</v>
      </c>
      <c r="M200" s="38">
        <f t="shared" si="32"/>
        <v>1</v>
      </c>
      <c r="N200" s="39" t="s">
        <v>42</v>
      </c>
      <c r="O200" s="40">
        <v>45853.0</v>
      </c>
      <c r="P200" s="35" t="s">
        <v>43</v>
      </c>
      <c r="Q200" s="35"/>
      <c r="R200" s="35" t="s">
        <v>1199</v>
      </c>
      <c r="S200" s="35" t="b">
        <v>0</v>
      </c>
      <c r="T200" s="35" t="b">
        <v>0</v>
      </c>
      <c r="U200" s="41" t="str">
        <f>IFERROR(__xludf.DUMMYFUNCTION("""["" &amp; JOIN("", "", ARRAYFORMULA("""""""" &amp; TRIM(SPLIT(A200, "","")) &amp; """""""")) &amp; ""]"""),"[""99999""]")</f>
        <v>["99999"]</v>
      </c>
      <c r="V200" s="52" t="s">
        <v>1200</v>
      </c>
      <c r="W200" s="54" t="s">
        <v>1232</v>
      </c>
      <c r="X200" s="43"/>
      <c r="Y200" s="44" t="str">
        <f>vlookup(G200,zip_codes!$B$6:$J988,3,false)</f>
        <v>Houston</v>
      </c>
      <c r="Z200" s="45" t="str">
        <f>vlookup(G200,zip_codes!$B$6:$J988,9,false)</f>
        <v>Denver Harbor / Port Houston, Fifth Ward, Northside</v>
      </c>
      <c r="AA200" s="44" t="str">
        <f>vlookup(B200,organizations!$B$1:$C988,2,false)</f>
        <v>Christus Foundation for HealthCare</v>
      </c>
      <c r="AB200" s="55" t="s">
        <v>1233</v>
      </c>
      <c r="AC200" s="47" t="s">
        <v>73</v>
      </c>
      <c r="AD200" s="48" t="s">
        <v>304</v>
      </c>
      <c r="AE200" s="48" t="str">
        <f t="shared" si="26"/>
        <v>Christus School Clinics - Resurrection School916 Majestic Street31</v>
      </c>
      <c r="AF200" s="48" t="str">
        <f t="shared" si="31"/>
        <v/>
      </c>
    </row>
    <row r="201" ht="66.75" customHeight="1">
      <c r="A201" s="49" t="s">
        <v>50</v>
      </c>
      <c r="B201" s="35" t="s">
        <v>1234</v>
      </c>
      <c r="C201" s="36" t="s">
        <v>1235</v>
      </c>
      <c r="D201" s="36"/>
      <c r="E201" s="36" t="s">
        <v>36</v>
      </c>
      <c r="F201" s="36" t="s">
        <v>37</v>
      </c>
      <c r="G201" s="35" t="s">
        <v>1236</v>
      </c>
      <c r="H201" s="35" t="s">
        <v>1237</v>
      </c>
      <c r="I201" s="35" t="s">
        <v>67</v>
      </c>
      <c r="J201" s="86" t="s">
        <v>1198</v>
      </c>
      <c r="K201" s="37">
        <f>IFERROR(__xludf.DUMMYFUNCTION("query(assistance!$A$2:$E988,""Select C Where D = '""&amp;L201&amp;""'"")"),31.0)</f>
        <v>31</v>
      </c>
      <c r="L201" s="36" t="s">
        <v>90</v>
      </c>
      <c r="M201" s="38">
        <f t="shared" si="32"/>
        <v>1</v>
      </c>
      <c r="N201" s="39" t="s">
        <v>42</v>
      </c>
      <c r="O201" s="40">
        <v>45853.0</v>
      </c>
      <c r="P201" s="35" t="s">
        <v>43</v>
      </c>
      <c r="Q201" s="35"/>
      <c r="R201" s="35" t="s">
        <v>1199</v>
      </c>
      <c r="S201" s="35" t="b">
        <v>0</v>
      </c>
      <c r="T201" s="35" t="b">
        <v>0</v>
      </c>
      <c r="U201" s="41" t="str">
        <f>IFERROR(__xludf.DUMMYFUNCTION("""["" &amp; JOIN("", "", ARRAYFORMULA("""""""" &amp; TRIM(SPLIT(A201, "","")) &amp; """""""")) &amp; ""]"""),"[""99999""]")</f>
        <v>["99999"]</v>
      </c>
      <c r="V201" s="52" t="s">
        <v>1200</v>
      </c>
      <c r="W201" s="54" t="s">
        <v>1238</v>
      </c>
      <c r="X201" s="43"/>
      <c r="Y201" s="44" t="str">
        <f>vlookup(G201,zip_codes!$B$6:$J988,3,false)</f>
        <v>Houston</v>
      </c>
      <c r="Z201" s="45" t="str">
        <f>vlookup(G201,zip_codes!$B$6:$J988,9,false)</f>
        <v>Meadowbrook / Allendale, Meadowcreek Village, Park Place</v>
      </c>
      <c r="AA201" s="44" t="str">
        <f>vlookup(B201,organizations!$B$1:$C988,2,false)</f>
        <v>Christus Foundation for HealthCare</v>
      </c>
      <c r="AB201" s="55" t="s">
        <v>1239</v>
      </c>
      <c r="AC201" s="47" t="s">
        <v>73</v>
      </c>
      <c r="AD201" s="48" t="s">
        <v>1240</v>
      </c>
      <c r="AE201" s="48" t="str">
        <f t="shared" si="26"/>
        <v>Christus School Clinics - St Augustine School5500 Laurel Creek Way31</v>
      </c>
      <c r="AF201" s="48" t="str">
        <f t="shared" si="31"/>
        <v/>
      </c>
    </row>
    <row r="202" ht="66.75" customHeight="1">
      <c r="A202" s="49" t="s">
        <v>50</v>
      </c>
      <c r="B202" s="35" t="s">
        <v>1241</v>
      </c>
      <c r="C202" s="36" t="s">
        <v>1242</v>
      </c>
      <c r="D202" s="36"/>
      <c r="E202" s="36" t="s">
        <v>36</v>
      </c>
      <c r="F202" s="36" t="s">
        <v>37</v>
      </c>
      <c r="G202" s="35" t="s">
        <v>1236</v>
      </c>
      <c r="H202" s="35" t="s">
        <v>1243</v>
      </c>
      <c r="I202" s="35" t="s">
        <v>67</v>
      </c>
      <c r="J202" s="86" t="s">
        <v>1198</v>
      </c>
      <c r="K202" s="37">
        <f>IFERROR(__xludf.DUMMYFUNCTION("query(assistance!$A$2:$E988,""Select C Where D = '""&amp;L202&amp;""'"")"),31.0)</f>
        <v>31</v>
      </c>
      <c r="L202" s="36" t="s">
        <v>90</v>
      </c>
      <c r="M202" s="38">
        <f t="shared" si="32"/>
        <v>1</v>
      </c>
      <c r="N202" s="39" t="s">
        <v>42</v>
      </c>
      <c r="O202" s="40">
        <v>45853.0</v>
      </c>
      <c r="P202" s="35" t="s">
        <v>43</v>
      </c>
      <c r="Q202" s="35"/>
      <c r="R202" s="35" t="s">
        <v>1199</v>
      </c>
      <c r="S202" s="35" t="b">
        <v>0</v>
      </c>
      <c r="T202" s="35" t="b">
        <v>0</v>
      </c>
      <c r="U202" s="41" t="str">
        <f>IFERROR(__xludf.DUMMYFUNCTION("""["" &amp; JOIN("", "", ARRAYFORMULA("""""""" &amp; TRIM(SPLIT(A202, "","")) &amp; """""""")) &amp; ""]"""),"[""99999""]")</f>
        <v>["99999"]</v>
      </c>
      <c r="V202" s="52" t="s">
        <v>1200</v>
      </c>
      <c r="W202" s="54" t="s">
        <v>1244</v>
      </c>
      <c r="X202" s="43"/>
      <c r="Y202" s="44" t="str">
        <f>vlookup(G202,zip_codes!$B$6:$J988,3,false)</f>
        <v>Houston</v>
      </c>
      <c r="Z202" s="45" t="str">
        <f>vlookup(G202,zip_codes!$B$6:$J988,9,false)</f>
        <v>Meadowbrook / Allendale, Meadowcreek Village, Park Place</v>
      </c>
      <c r="AA202" s="44" t="str">
        <f>vlookup(B202,organizations!$B$1:$C988,2,false)</f>
        <v>Christus Foundation for HealthCare</v>
      </c>
      <c r="AB202" s="55" t="s">
        <v>1245</v>
      </c>
      <c r="AC202" s="47" t="s">
        <v>73</v>
      </c>
      <c r="AD202" s="48" t="s">
        <v>1246</v>
      </c>
      <c r="AE202" s="48" t="str">
        <f t="shared" si="26"/>
        <v>Christus School Clinics - St Christopher8134 Park Place Blvd31</v>
      </c>
      <c r="AF202" s="48" t="str">
        <f t="shared" si="31"/>
        <v/>
      </c>
    </row>
    <row r="203" ht="66.75" customHeight="1">
      <c r="A203" s="49" t="s">
        <v>50</v>
      </c>
      <c r="B203" s="35" t="s">
        <v>1247</v>
      </c>
      <c r="C203" s="36" t="s">
        <v>1248</v>
      </c>
      <c r="D203" s="36"/>
      <c r="E203" s="36" t="s">
        <v>36</v>
      </c>
      <c r="F203" s="36" t="s">
        <v>37</v>
      </c>
      <c r="G203" s="35" t="s">
        <v>749</v>
      </c>
      <c r="H203" s="35" t="s">
        <v>1249</v>
      </c>
      <c r="I203" s="35" t="s">
        <v>67</v>
      </c>
      <c r="J203" s="86" t="s">
        <v>1198</v>
      </c>
      <c r="K203" s="37">
        <f>IFERROR(__xludf.DUMMYFUNCTION("query(assistance!$A$2:$E988,""Select C Where D = '""&amp;L203&amp;""'"")"),31.0)</f>
        <v>31</v>
      </c>
      <c r="L203" s="36" t="s">
        <v>90</v>
      </c>
      <c r="M203" s="38">
        <f t="shared" si="32"/>
        <v>1</v>
      </c>
      <c r="N203" s="39" t="s">
        <v>42</v>
      </c>
      <c r="O203" s="40">
        <v>45853.0</v>
      </c>
      <c r="P203" s="35" t="s">
        <v>43</v>
      </c>
      <c r="Q203" s="35"/>
      <c r="R203" s="35" t="s">
        <v>1250</v>
      </c>
      <c r="S203" s="35" t="b">
        <v>0</v>
      </c>
      <c r="T203" s="35" t="b">
        <v>0</v>
      </c>
      <c r="U203" s="41" t="str">
        <f>IFERROR(__xludf.DUMMYFUNCTION("""["" &amp; JOIN("", "", ARRAYFORMULA("""""""" &amp; TRIM(SPLIT(A203, "","")) &amp; """""""")) &amp; ""]"""),"[""99999""]")</f>
        <v>["99999"]</v>
      </c>
      <c r="V203" s="52" t="s">
        <v>1200</v>
      </c>
      <c r="W203" s="54" t="s">
        <v>1251</v>
      </c>
      <c r="X203" s="43"/>
      <c r="Y203" s="44" t="str">
        <f>vlookup(G203,zip_codes!$B$6:$J988,3,false)</f>
        <v>Houston</v>
      </c>
      <c r="Z203" s="45" t="str">
        <f>vlookup(G203,zip_codes!$B$6:$J988,9,false)</f>
        <v>East Downtown, Downtown Houston, Houston Museum District, Midtown, Museum District, South Central Houston, South Side, Third Ward, University Place</v>
      </c>
      <c r="AA203" s="44" t="str">
        <f>vlookup(B203,organizations!$B$1:$C988,2,false)</f>
        <v>Christus Foundation for HealthCare</v>
      </c>
      <c r="AB203" s="55" t="s">
        <v>1252</v>
      </c>
      <c r="AC203" s="47" t="s">
        <v>73</v>
      </c>
      <c r="AD203" s="48" t="s">
        <v>49</v>
      </c>
      <c r="AE203" s="48" t="str">
        <f t="shared" si="26"/>
        <v>Christus School Clinics - St Mary of the Purification3006 Rosedale Street31</v>
      </c>
      <c r="AF203" s="48" t="str">
        <f t="shared" si="31"/>
        <v/>
      </c>
    </row>
    <row r="204" ht="66.75" customHeight="1">
      <c r="A204" s="49" t="s">
        <v>50</v>
      </c>
      <c r="B204" s="35" t="s">
        <v>1253</v>
      </c>
      <c r="C204" s="36" t="s">
        <v>1254</v>
      </c>
      <c r="D204" s="36"/>
      <c r="E204" s="36" t="s">
        <v>36</v>
      </c>
      <c r="F204" s="36" t="s">
        <v>37</v>
      </c>
      <c r="G204" s="35" t="s">
        <v>77</v>
      </c>
      <c r="H204" s="35" t="s">
        <v>1255</v>
      </c>
      <c r="I204" s="35" t="s">
        <v>1256</v>
      </c>
      <c r="J204" s="35"/>
      <c r="K204" s="37">
        <f>IFERROR(__xludf.DUMMYFUNCTION("query(assistance!$A$2:$E988,""Select C Where D = '""&amp;L204&amp;""'"")"),31.0)</f>
        <v>31</v>
      </c>
      <c r="L204" s="36" t="s">
        <v>90</v>
      </c>
      <c r="M204" s="38">
        <f t="shared" si="32"/>
        <v>1</v>
      </c>
      <c r="N204" s="39" t="s">
        <v>42</v>
      </c>
      <c r="O204" s="40">
        <v>45761.0</v>
      </c>
      <c r="P204" s="35" t="s">
        <v>406</v>
      </c>
      <c r="Q204" s="35"/>
      <c r="R204" s="35" t="s">
        <v>1257</v>
      </c>
      <c r="S204" s="35" t="b">
        <v>0</v>
      </c>
      <c r="T204" s="35" t="b">
        <v>0</v>
      </c>
      <c r="U204" s="41" t="str">
        <f>IFERROR(__xludf.DUMMYFUNCTION("""["" &amp; JOIN("", "", ARRAYFORMULA("""""""" &amp; TRIM(SPLIT(A204, "","")) &amp; """""""")) &amp; ""]"""),"[""99999""]")</f>
        <v>["99999"]</v>
      </c>
      <c r="V204" s="52" t="s">
        <v>1258</v>
      </c>
      <c r="W204" s="52" t="s">
        <v>1259</v>
      </c>
      <c r="X204" s="43"/>
      <c r="Y204" s="44" t="str">
        <f>vlookup(G204,zip_codes!$B$6:$J988,3,false)</f>
        <v>Houston</v>
      </c>
      <c r="Z204" s="45" t="str">
        <f>vlookup(G204,zip_codes!$B$6:$J988,9,false)</f>
        <v>Eastwood, Gulfgate Riverview / Pine Valley, Idylwood, Lawndale / Wayside, Magnolia Park, South Central Houston</v>
      </c>
      <c r="AA204" s="44" t="str">
        <f>vlookup(B204,organizations!$B$1:$C988,2,false)</f>
        <v>Christus Foundation for HealthCare</v>
      </c>
      <c r="AB204" s="46" t="s">
        <v>1260</v>
      </c>
      <c r="AC204" s="47" t="s">
        <v>1261</v>
      </c>
      <c r="AD204" s="48" t="s">
        <v>81</v>
      </c>
      <c r="AE204" s="48" t="str">
        <f t="shared" si="26"/>
        <v>Christus St Mary's Clinic2002 S Wayside Drive31</v>
      </c>
      <c r="AF204" s="48" t="str">
        <f t="shared" si="31"/>
        <v/>
      </c>
    </row>
    <row r="205" ht="66.75" customHeight="1">
      <c r="A205" s="49" t="s">
        <v>1262</v>
      </c>
      <c r="B205" s="35" t="s">
        <v>1263</v>
      </c>
      <c r="C205" s="36" t="s">
        <v>1264</v>
      </c>
      <c r="D205" s="36"/>
      <c r="E205" s="36" t="s">
        <v>36</v>
      </c>
      <c r="F205" s="36" t="s">
        <v>37</v>
      </c>
      <c r="G205" s="35" t="s">
        <v>1265</v>
      </c>
      <c r="H205" s="35" t="s">
        <v>1266</v>
      </c>
      <c r="I205" s="35" t="s">
        <v>751</v>
      </c>
      <c r="J205" s="35"/>
      <c r="K205" s="37">
        <f>IFERROR(__xludf.DUMMYFUNCTION("query(assistance!$A$2:$E988,""Select C Where D = '""&amp;L205&amp;""'"")"),13.0)</f>
        <v>13</v>
      </c>
      <c r="L205" s="36" t="s">
        <v>240</v>
      </c>
      <c r="M205" s="38">
        <f t="shared" si="32"/>
        <v>1</v>
      </c>
      <c r="N205" s="39" t="s">
        <v>42</v>
      </c>
      <c r="O205" s="65"/>
      <c r="P205" s="50"/>
      <c r="Q205" s="50"/>
      <c r="R205" s="50"/>
      <c r="S205" s="35" t="b">
        <v>0</v>
      </c>
      <c r="T205" s="35" t="b">
        <v>0</v>
      </c>
      <c r="U205" s="41" t="str">
        <f>IFERROR(__xludf.DUMMYFUNCTION("""["" &amp; JOIN("", "", ARRAYFORMULA("""""""" &amp; TRIM(SPLIT(A205, "","")) &amp; """""""")) &amp; ""]"""),"[""77072"", ""77082"", ""77088"", ""77091"", ""77092"", ""77099""]")</f>
        <v>["77072", "77082", "77088", "77091", "77092", "77099"]</v>
      </c>
      <c r="V205" s="52" t="s">
        <v>1267</v>
      </c>
      <c r="W205" s="52" t="s">
        <v>1268</v>
      </c>
      <c r="X205" s="43"/>
      <c r="Y205" s="44" t="str">
        <f>vlookup(G205,zip_codes!$B$6:$J988,3,false)</f>
        <v>Houston</v>
      </c>
      <c r="Z205" s="45" t="str">
        <f>vlookup(G205,zip_codes!$B$6:$J988,9,false)</f>
        <v>Central Northwest, Fairbanks / Northwest Crossing, Lazybrook / Timbergrove, Oak Forest West, Westside</v>
      </c>
      <c r="AA205" s="44" t="str">
        <f>vlookup(B205,organizations!$B$1:$C988,2,false)</f>
        <v>Church Without Walls</v>
      </c>
      <c r="AB205" s="46" t="s">
        <v>1269</v>
      </c>
      <c r="AC205" s="47" t="s">
        <v>756</v>
      </c>
      <c r="AD205" s="48" t="s">
        <v>1270</v>
      </c>
      <c r="AE205" s="48" t="str">
        <f t="shared" si="26"/>
        <v>Church Without Walls5314 Bingle Road13</v>
      </c>
      <c r="AF205" s="48" t="str">
        <f t="shared" si="31"/>
        <v/>
      </c>
    </row>
    <row r="206" ht="66.75" customHeight="1">
      <c r="A206" s="49" t="s">
        <v>1271</v>
      </c>
      <c r="B206" s="35" t="s">
        <v>1272</v>
      </c>
      <c r="C206" s="36" t="s">
        <v>1273</v>
      </c>
      <c r="D206" s="36"/>
      <c r="E206" s="36" t="s">
        <v>1274</v>
      </c>
      <c r="F206" s="36" t="s">
        <v>37</v>
      </c>
      <c r="G206" s="56" t="s">
        <v>1275</v>
      </c>
      <c r="H206" s="35" t="s">
        <v>1276</v>
      </c>
      <c r="I206" s="35" t="s">
        <v>1277</v>
      </c>
      <c r="J206" s="35"/>
      <c r="K206" s="37">
        <f>IFERROR(__xludf.DUMMYFUNCTION("query(assistance!$A$2:$E988,""Select C Where D = '""&amp;L206&amp;""'"")"),11.0)</f>
        <v>11</v>
      </c>
      <c r="L206" s="36" t="s">
        <v>322</v>
      </c>
      <c r="M206" s="38">
        <f t="shared" si="32"/>
        <v>1</v>
      </c>
      <c r="N206" s="39" t="s">
        <v>42</v>
      </c>
      <c r="O206" s="40">
        <v>46071.0</v>
      </c>
      <c r="P206" s="35" t="s">
        <v>43</v>
      </c>
      <c r="Q206" s="35"/>
      <c r="R206" s="35" t="s">
        <v>1278</v>
      </c>
      <c r="S206" s="35" t="b">
        <v>0</v>
      </c>
      <c r="T206" s="35" t="b">
        <v>0</v>
      </c>
      <c r="U206" s="35" t="str">
        <f>IFERROR(__xludf.DUMMYFUNCTION("""["" &amp; JOIN("", "", ARRAYFORMULA("""""""" &amp; TRIM(SPLIT(A206, "","")) &amp; """""""")) &amp; ""]"""),"[""77336"", ""77532""]")</f>
        <v>["77336", "77532"]</v>
      </c>
      <c r="V206" s="42" t="s">
        <v>1279</v>
      </c>
      <c r="W206" s="42" t="s">
        <v>1280</v>
      </c>
      <c r="X206" s="43"/>
      <c r="Y206" s="44" t="str">
        <f>vlookup(G206,zip_codes!$B$6:$J988,3,false)</f>
        <v>Crosby</v>
      </c>
      <c r="Z206" s="45" t="str">
        <f>vlookup(G206,zip_codes!$B$6:$J988,9,false)</f>
        <v>Burris, Crosby</v>
      </c>
      <c r="AA206" s="44" t="str">
        <f>vlookup(B206,organizations!$B$1:$C988,2,false)</f>
        <v>Churches United in Caring</v>
      </c>
      <c r="AB206" s="55" t="s">
        <v>1281</v>
      </c>
      <c r="AC206" s="47" t="str">
        <f t="shared" ref="AC206:AC210" si="33">PARSE_HOURS(I206)</f>
        <v>{"regular":[{"days":["Mo","We","Fr"],"open":"10:00","close":"11:30"}]}</v>
      </c>
      <c r="AD206" s="58" t="s">
        <v>1274</v>
      </c>
      <c r="AE206" s="48"/>
      <c r="AF206" s="48"/>
    </row>
    <row r="207" ht="66.75" customHeight="1">
      <c r="A207" s="49" t="s">
        <v>1271</v>
      </c>
      <c r="B207" s="35" t="s">
        <v>1272</v>
      </c>
      <c r="C207" s="36" t="s">
        <v>1273</v>
      </c>
      <c r="D207" s="36"/>
      <c r="E207" s="36" t="s">
        <v>1274</v>
      </c>
      <c r="F207" s="36" t="s">
        <v>37</v>
      </c>
      <c r="G207" s="56" t="s">
        <v>1275</v>
      </c>
      <c r="H207" s="35" t="s">
        <v>1276</v>
      </c>
      <c r="I207" s="35" t="s">
        <v>1277</v>
      </c>
      <c r="J207" s="35"/>
      <c r="K207" s="37">
        <f>IFERROR(__xludf.DUMMYFUNCTION("query(assistance!$A$2:$E988,""Select C Where D = '""&amp;L207&amp;""'"")"),12.0)</f>
        <v>12</v>
      </c>
      <c r="L207" s="36" t="s">
        <v>330</v>
      </c>
      <c r="M207" s="38">
        <f t="shared" si="32"/>
        <v>1</v>
      </c>
      <c r="N207" s="39" t="s">
        <v>42</v>
      </c>
      <c r="O207" s="40">
        <v>46071.0</v>
      </c>
      <c r="P207" s="35" t="s">
        <v>43</v>
      </c>
      <c r="Q207" s="35"/>
      <c r="R207" s="35" t="s">
        <v>1282</v>
      </c>
      <c r="S207" s="35" t="b">
        <v>0</v>
      </c>
      <c r="T207" s="35" t="b">
        <v>0</v>
      </c>
      <c r="U207" s="35" t="str">
        <f>IFERROR(__xludf.DUMMYFUNCTION("""["" &amp; JOIN("", "", ARRAYFORMULA("""""""" &amp; TRIM(SPLIT(A207, "","")) &amp; """""""")) &amp; ""]"""),"[""77336"", ""77532""]")</f>
        <v>["77336", "77532"]</v>
      </c>
      <c r="V207" s="42" t="s">
        <v>1279</v>
      </c>
      <c r="W207" s="42" t="s">
        <v>1280</v>
      </c>
      <c r="X207" s="43"/>
      <c r="Y207" s="44" t="str">
        <f>vlookup(G207,zip_codes!$B$6:$J988,3,false)</f>
        <v>Crosby</v>
      </c>
      <c r="Z207" s="45" t="str">
        <f>vlookup(G207,zip_codes!$B$6:$J988,9,false)</f>
        <v>Burris, Crosby</v>
      </c>
      <c r="AA207" s="44" t="str">
        <f>vlookup(B207,organizations!$B$1:$C988,2,false)</f>
        <v>Churches United in Caring</v>
      </c>
      <c r="AB207" s="55" t="s">
        <v>1281</v>
      </c>
      <c r="AC207" s="47" t="str">
        <f t="shared" si="33"/>
        <v>{"regular":[{"days":["Mo","We","Fr"],"open":"10:00","close":"11:30"}]}</v>
      </c>
      <c r="AD207" s="58" t="s">
        <v>1274</v>
      </c>
      <c r="AE207" s="48"/>
      <c r="AF207" s="48"/>
    </row>
    <row r="208" ht="66.75" customHeight="1">
      <c r="A208" s="49" t="s">
        <v>1271</v>
      </c>
      <c r="B208" s="35" t="s">
        <v>1272</v>
      </c>
      <c r="C208" s="36" t="s">
        <v>1273</v>
      </c>
      <c r="D208" s="36"/>
      <c r="E208" s="36" t="s">
        <v>1274</v>
      </c>
      <c r="F208" s="36" t="s">
        <v>37</v>
      </c>
      <c r="G208" s="56" t="s">
        <v>1275</v>
      </c>
      <c r="H208" s="35" t="s">
        <v>1276</v>
      </c>
      <c r="I208" s="35" t="s">
        <v>1277</v>
      </c>
      <c r="J208" s="35"/>
      <c r="K208" s="37">
        <f>IFERROR(__xludf.DUMMYFUNCTION("query(assistance!$A$2:$E988,""Select C Where D = '""&amp;L208&amp;""'"")"),13.0)</f>
        <v>13</v>
      </c>
      <c r="L208" s="36" t="s">
        <v>240</v>
      </c>
      <c r="M208" s="38">
        <f t="shared" si="32"/>
        <v>1</v>
      </c>
      <c r="N208" s="39" t="s">
        <v>42</v>
      </c>
      <c r="O208" s="40">
        <v>46071.0</v>
      </c>
      <c r="P208" s="35" t="s">
        <v>43</v>
      </c>
      <c r="Q208" s="35"/>
      <c r="R208" s="35" t="s">
        <v>1283</v>
      </c>
      <c r="S208" s="35" t="b">
        <v>0</v>
      </c>
      <c r="T208" s="35" t="b">
        <v>0</v>
      </c>
      <c r="U208" s="35" t="str">
        <f>IFERROR(__xludf.DUMMYFUNCTION("""["" &amp; JOIN("", "", ARRAYFORMULA("""""""" &amp; TRIM(SPLIT(A208, "","")) &amp; """""""")) &amp; ""]"""),"[""77336"", ""77532""]")</f>
        <v>["77336", "77532"]</v>
      </c>
      <c r="V208" s="42" t="s">
        <v>1279</v>
      </c>
      <c r="W208" s="42" t="s">
        <v>1280</v>
      </c>
      <c r="X208" s="43"/>
      <c r="Y208" s="44" t="str">
        <f>vlookup(G208,zip_codes!$B$6:$J988,3,false)</f>
        <v>Crosby</v>
      </c>
      <c r="Z208" s="45" t="str">
        <f>vlookup(G208,zip_codes!$B$6:$J988,9,false)</f>
        <v>Burris, Crosby</v>
      </c>
      <c r="AA208" s="44" t="str">
        <f>vlookup(B208,organizations!$B$1:$C988,2,false)</f>
        <v>Churches United in Caring</v>
      </c>
      <c r="AB208" s="55" t="s">
        <v>1281</v>
      </c>
      <c r="AC208" s="47" t="str">
        <f t="shared" si="33"/>
        <v>{"regular":[{"days":["Mo","We","Fr"],"open":"10:00","close":"11:30"}]}</v>
      </c>
      <c r="AD208" s="58" t="s">
        <v>1274</v>
      </c>
      <c r="AE208" s="48"/>
      <c r="AF208" s="48"/>
    </row>
    <row r="209" ht="66.75" customHeight="1">
      <c r="A209" s="49" t="s">
        <v>1271</v>
      </c>
      <c r="B209" s="35" t="s">
        <v>1272</v>
      </c>
      <c r="C209" s="36" t="s">
        <v>1273</v>
      </c>
      <c r="D209" s="36"/>
      <c r="E209" s="36" t="s">
        <v>1274</v>
      </c>
      <c r="F209" s="36" t="s">
        <v>37</v>
      </c>
      <c r="G209" s="56" t="s">
        <v>1275</v>
      </c>
      <c r="H209" s="35" t="s">
        <v>1276</v>
      </c>
      <c r="I209" s="35" t="s">
        <v>1284</v>
      </c>
      <c r="J209" s="35"/>
      <c r="K209" s="37">
        <f>IFERROR(__xludf.DUMMYFUNCTION("query(assistance!$A$2:$E988,""Select C Where D = '""&amp;L209&amp;""'"")"),14.0)</f>
        <v>14</v>
      </c>
      <c r="L209" s="36" t="s">
        <v>391</v>
      </c>
      <c r="M209" s="38">
        <f t="shared" si="32"/>
        <v>1</v>
      </c>
      <c r="N209" s="39" t="s">
        <v>42</v>
      </c>
      <c r="O209" s="40">
        <v>46071.0</v>
      </c>
      <c r="P209" s="35" t="s">
        <v>43</v>
      </c>
      <c r="Q209" s="35"/>
      <c r="R209" s="35" t="s">
        <v>1285</v>
      </c>
      <c r="S209" s="35" t="b">
        <v>0</v>
      </c>
      <c r="T209" s="35" t="b">
        <v>0</v>
      </c>
      <c r="U209" s="35" t="str">
        <f>IFERROR(__xludf.DUMMYFUNCTION("""["" &amp; JOIN("", "", ARRAYFORMULA("""""""" &amp; TRIM(SPLIT(A209, "","")) &amp; """""""")) &amp; ""]"""),"[""77336"", ""77532""]")</f>
        <v>["77336", "77532"]</v>
      </c>
      <c r="V209" s="42" t="s">
        <v>1279</v>
      </c>
      <c r="W209" s="42" t="s">
        <v>1280</v>
      </c>
      <c r="X209" s="43"/>
      <c r="Y209" s="44" t="str">
        <f>vlookup(G209,zip_codes!$B$6:$J988,3,false)</f>
        <v>Crosby</v>
      </c>
      <c r="Z209" s="45" t="str">
        <f>vlookup(G209,zip_codes!$B$6:$J988,9,false)</f>
        <v>Burris, Crosby</v>
      </c>
      <c r="AA209" s="44" t="str">
        <f>vlookup(B209,organizations!$B$1:$C988,2,false)</f>
        <v>Churches United in Caring</v>
      </c>
      <c r="AB209" s="55" t="s">
        <v>1281</v>
      </c>
      <c r="AC209" s="47" t="str">
        <f t="shared" si="33"/>
        <v>{"regular":[{"days":["Mo","Tu","We","Th","Fr","Sa"],"open":"10:00","close":"14:00"}]}</v>
      </c>
      <c r="AD209" s="58" t="s">
        <v>1274</v>
      </c>
      <c r="AE209" s="48"/>
      <c r="AF209" s="48"/>
    </row>
    <row r="210" ht="66.75" customHeight="1">
      <c r="A210" s="49" t="s">
        <v>1271</v>
      </c>
      <c r="B210" s="35" t="s">
        <v>1272</v>
      </c>
      <c r="C210" s="36" t="s">
        <v>1273</v>
      </c>
      <c r="D210" s="36"/>
      <c r="E210" s="36" t="s">
        <v>1274</v>
      </c>
      <c r="F210" s="36" t="s">
        <v>37</v>
      </c>
      <c r="G210" s="56" t="s">
        <v>1275</v>
      </c>
      <c r="H210" s="35" t="s">
        <v>1276</v>
      </c>
      <c r="I210" s="35" t="s">
        <v>1277</v>
      </c>
      <c r="J210" s="35"/>
      <c r="K210" s="37">
        <f>IFERROR(__xludf.DUMMYFUNCTION("query(assistance!$A$2:$E988,""Select C Where D = '""&amp;L210&amp;""'"")"),53.0)</f>
        <v>53</v>
      </c>
      <c r="L210" s="36" t="s">
        <v>1109</v>
      </c>
      <c r="M210" s="38">
        <f t="shared" si="32"/>
        <v>1</v>
      </c>
      <c r="N210" s="39" t="s">
        <v>42</v>
      </c>
      <c r="O210" s="40">
        <v>46071.0</v>
      </c>
      <c r="P210" s="35" t="s">
        <v>43</v>
      </c>
      <c r="Q210" s="35"/>
      <c r="R210" s="35" t="s">
        <v>1286</v>
      </c>
      <c r="S210" s="35" t="b">
        <v>0</v>
      </c>
      <c r="T210" s="35" t="b">
        <v>0</v>
      </c>
      <c r="U210" s="35" t="str">
        <f>IFERROR(__xludf.DUMMYFUNCTION("""["" &amp; JOIN("", "", ARRAYFORMULA("""""""" &amp; TRIM(SPLIT(A210, "","")) &amp; """""""")) &amp; ""]"""),"[""77336"", ""77532""]")</f>
        <v>["77336", "77532"]</v>
      </c>
      <c r="V210" s="42" t="s">
        <v>1279</v>
      </c>
      <c r="W210" s="42" t="s">
        <v>1280</v>
      </c>
      <c r="X210" s="43"/>
      <c r="Y210" s="44" t="str">
        <f>vlookup(G210,zip_codes!$B$6:$J988,3,false)</f>
        <v>Crosby</v>
      </c>
      <c r="Z210" s="45" t="str">
        <f>vlookup(G210,zip_codes!$B$6:$J988,9,false)</f>
        <v>Burris, Crosby</v>
      </c>
      <c r="AA210" s="44" t="str">
        <f>vlookup(B210,organizations!$B$1:$C988,2,false)</f>
        <v>Churches United in Caring</v>
      </c>
      <c r="AB210" s="55" t="s">
        <v>1281</v>
      </c>
      <c r="AC210" s="47" t="str">
        <f t="shared" si="33"/>
        <v>{"regular":[{"days":["Mo","We","Fr"],"open":"10:00","close":"11:30"}]}</v>
      </c>
      <c r="AD210" s="58" t="s">
        <v>1274</v>
      </c>
      <c r="AE210" s="48"/>
      <c r="AF210" s="48"/>
    </row>
    <row r="211" ht="66.75" customHeight="1">
      <c r="A211" s="49" t="s">
        <v>50</v>
      </c>
      <c r="B211" s="35" t="s">
        <v>1287</v>
      </c>
      <c r="C211" s="36" t="s">
        <v>1288</v>
      </c>
      <c r="D211" s="36"/>
      <c r="E211" s="36" t="s">
        <v>36</v>
      </c>
      <c r="F211" s="36" t="s">
        <v>37</v>
      </c>
      <c r="G211" s="35" t="s">
        <v>1289</v>
      </c>
      <c r="H211" s="35" t="s">
        <v>1290</v>
      </c>
      <c r="I211" s="35" t="s">
        <v>272</v>
      </c>
      <c r="J211" s="50"/>
      <c r="K211" s="37">
        <f>IFERROR(__xludf.DUMMYFUNCTION("query(assistance!$A$2:$E988,""Select C Where D = '""&amp;L211&amp;""'"")"),12.0)</f>
        <v>12</v>
      </c>
      <c r="L211" s="36" t="s">
        <v>330</v>
      </c>
      <c r="M211" s="38">
        <f t="shared" si="32"/>
        <v>2</v>
      </c>
      <c r="N211" s="51" t="s">
        <v>385</v>
      </c>
      <c r="O211" s="65"/>
      <c r="P211" s="35" t="s">
        <v>1291</v>
      </c>
      <c r="Q211" s="35"/>
      <c r="R211" s="35" t="s">
        <v>1292</v>
      </c>
      <c r="S211" s="35" t="b">
        <v>0</v>
      </c>
      <c r="T211" s="35" t="b">
        <v>0</v>
      </c>
      <c r="U211" s="41" t="str">
        <f>IFERROR(__xludf.DUMMYFUNCTION("""["" &amp; JOIN("", "", ARRAYFORMULA("""""""" &amp; TRIM(SPLIT(A211, "","")) &amp; """""""")) &amp; ""]"""),"[""99999""]")</f>
        <v>["99999"]</v>
      </c>
      <c r="V211" s="42" t="s">
        <v>1293</v>
      </c>
      <c r="W211" s="52" t="s">
        <v>1294</v>
      </c>
      <c r="X211" s="43"/>
      <c r="Y211" s="44" t="str">
        <f>vlookup(G211,zip_codes!$B$6:$J988,3,false)</f>
        <v>Houston</v>
      </c>
      <c r="Z211" s="45" t="str">
        <f>vlookup(G211,zip_codes!$B$6:$J988,9,false)</f>
        <v>P.O. Boxes</v>
      </c>
      <c r="AA211" s="44" t="str">
        <f>vlookup(B211,organizations!$B$1:$C988,2,false)</f>
        <v>City of Houston</v>
      </c>
      <c r="AB211" s="55" t="s">
        <v>1295</v>
      </c>
      <c r="AC211" s="47" t="s">
        <v>278</v>
      </c>
      <c r="AD211" s="48" t="s">
        <v>1296</v>
      </c>
      <c r="AE211" s="48" t="str">
        <f t="shared" ref="AE211:AE261" si="34">B211&amp;C211&amp;K211</f>
        <v>City of Houston W.A.T.E.R. FundP.O. Box 468312</v>
      </c>
      <c r="AF211" s="48" t="str">
        <f t="shared" ref="AF211:AF261" si="35">if(AE211=AE210,"XXX","")</f>
        <v/>
      </c>
    </row>
    <row r="212" ht="66.75" customHeight="1">
      <c r="A212" s="49" t="s">
        <v>50</v>
      </c>
      <c r="B212" s="35" t="s">
        <v>1297</v>
      </c>
      <c r="C212" s="36" t="s">
        <v>1298</v>
      </c>
      <c r="D212" s="36"/>
      <c r="E212" s="36" t="s">
        <v>36</v>
      </c>
      <c r="F212" s="36" t="s">
        <v>37</v>
      </c>
      <c r="G212" s="56" t="s">
        <v>1299</v>
      </c>
      <c r="H212" s="35" t="s">
        <v>1300</v>
      </c>
      <c r="I212" s="35" t="s">
        <v>1301</v>
      </c>
      <c r="J212" s="35"/>
      <c r="K212" s="37">
        <f>IFERROR(__xludf.DUMMYFUNCTION("query(assistance!$A$2:$E988,""Select C Where D = '""&amp;L212&amp;""'"")"),11.0)</f>
        <v>11</v>
      </c>
      <c r="L212" s="36" t="s">
        <v>322</v>
      </c>
      <c r="M212" s="39">
        <f t="shared" ref="M212:M215" si="36">if(N212="Inactive",3,if(N212="Limited", 2, if(N212="Closed", 4, 1)))</f>
        <v>3</v>
      </c>
      <c r="N212" s="39" t="s">
        <v>973</v>
      </c>
      <c r="O212" s="57">
        <v>46078.0</v>
      </c>
      <c r="P212" s="35"/>
      <c r="Q212" s="35"/>
      <c r="R212" s="35" t="s">
        <v>1302</v>
      </c>
      <c r="S212" s="35" t="b">
        <v>0</v>
      </c>
      <c r="T212" s="35" t="b">
        <v>0</v>
      </c>
      <c r="U212" s="41" t="str">
        <f>IFERROR(__xludf.DUMMYFUNCTION("""["" &amp; JOIN("", "", ARRAYFORMULA("""""""" &amp; TRIM(SPLIT(A212, "","")) &amp; """""""")) &amp; ""]"""),"[""99999""]")</f>
        <v>["99999"]</v>
      </c>
      <c r="V212" s="42" t="s">
        <v>1303</v>
      </c>
      <c r="W212" s="42" t="s">
        <v>1304</v>
      </c>
      <c r="X212" s="43"/>
      <c r="Y212" s="44" t="str">
        <f>vlookup(G212,zip_codes!$B$6:$J988,3,false)</f>
        <v>Bellaire</v>
      </c>
      <c r="Z212" s="45" t="str">
        <f>vlookup(G212,zip_codes!$B$6:$J988,9,false)</f>
        <v>Bellaire</v>
      </c>
      <c r="AA212" s="44" t="str">
        <f>vlookup(B212,organizations!$B$1:$C988,2,false)</f>
        <v>City Wide Club</v>
      </c>
      <c r="AB212" s="55" t="s">
        <v>1305</v>
      </c>
      <c r="AC212" s="47" t="str">
        <f t="shared" ref="AC212:AC215" si="37">PARSE_HOURS(I212)</f>
        <v>{"regular":[{"days":["Mo","Tu","We","Th"],"open":"09:30","close":"17:00"}]}</v>
      </c>
      <c r="AD212" s="58" t="s">
        <v>1306</v>
      </c>
      <c r="AE212" s="48" t="str">
        <f t="shared" si="34"/>
        <v>City Wide Club4900 Fournace Place11</v>
      </c>
      <c r="AF212" s="48" t="str">
        <f t="shared" si="35"/>
        <v/>
      </c>
    </row>
    <row r="213" ht="66.75" customHeight="1">
      <c r="A213" s="49" t="s">
        <v>50</v>
      </c>
      <c r="B213" s="35" t="s">
        <v>1297</v>
      </c>
      <c r="C213" s="36" t="s">
        <v>1298</v>
      </c>
      <c r="D213" s="36"/>
      <c r="E213" s="36" t="s">
        <v>36</v>
      </c>
      <c r="F213" s="36" t="s">
        <v>37</v>
      </c>
      <c r="G213" s="56" t="s">
        <v>1299</v>
      </c>
      <c r="H213" s="35" t="s">
        <v>1300</v>
      </c>
      <c r="I213" s="35" t="s">
        <v>1301</v>
      </c>
      <c r="J213" s="35"/>
      <c r="K213" s="37">
        <f>IFERROR(__xludf.DUMMYFUNCTION("query(assistance!$A$2:$E988,""Select C Where D = '""&amp;L213&amp;""'"")"),12.0)</f>
        <v>12</v>
      </c>
      <c r="L213" s="36" t="s">
        <v>330</v>
      </c>
      <c r="M213" s="39">
        <f t="shared" si="36"/>
        <v>3</v>
      </c>
      <c r="N213" s="39" t="s">
        <v>973</v>
      </c>
      <c r="O213" s="57">
        <v>46078.0</v>
      </c>
      <c r="P213" s="35"/>
      <c r="Q213" s="35"/>
      <c r="R213" s="35" t="s">
        <v>1307</v>
      </c>
      <c r="S213" s="35" t="b">
        <v>0</v>
      </c>
      <c r="T213" s="35" t="b">
        <v>0</v>
      </c>
      <c r="U213" s="41" t="str">
        <f>IFERROR(__xludf.DUMMYFUNCTION("""["" &amp; JOIN("", "", ARRAYFORMULA("""""""" &amp; TRIM(SPLIT(A213, "","")) &amp; """""""")) &amp; ""]"""),"[""99999""]")</f>
        <v>["99999"]</v>
      </c>
      <c r="V213" s="42" t="s">
        <v>1303</v>
      </c>
      <c r="W213" s="42" t="s">
        <v>1304</v>
      </c>
      <c r="X213" s="43"/>
      <c r="Y213" s="44" t="str">
        <f>vlookup(G213,zip_codes!$B$6:$J988,3,false)</f>
        <v>Bellaire</v>
      </c>
      <c r="Z213" s="45" t="str">
        <f>vlookup(G213,zip_codes!$B$6:$J988,9,false)</f>
        <v>Bellaire</v>
      </c>
      <c r="AA213" s="44" t="str">
        <f>vlookup(B213,organizations!$B$1:$C988,2,false)</f>
        <v>City Wide Club</v>
      </c>
      <c r="AB213" s="55" t="s">
        <v>1305</v>
      </c>
      <c r="AC213" s="47" t="str">
        <f t="shared" si="37"/>
        <v>{"regular":[{"days":["Mo","Tu","We","Th"],"open":"09:30","close":"17:00"}]}</v>
      </c>
      <c r="AD213" s="58" t="s">
        <v>1306</v>
      </c>
      <c r="AE213" s="48" t="str">
        <f t="shared" si="34"/>
        <v>City Wide Club4900 Fournace Place12</v>
      </c>
      <c r="AF213" s="48" t="str">
        <f t="shared" si="35"/>
        <v/>
      </c>
    </row>
    <row r="214" ht="66.75" customHeight="1">
      <c r="A214" s="49" t="s">
        <v>50</v>
      </c>
      <c r="B214" s="35" t="s">
        <v>1297</v>
      </c>
      <c r="C214" s="36" t="s">
        <v>1298</v>
      </c>
      <c r="D214" s="36"/>
      <c r="E214" s="36" t="s">
        <v>36</v>
      </c>
      <c r="F214" s="36" t="s">
        <v>37</v>
      </c>
      <c r="G214" s="56" t="s">
        <v>1299</v>
      </c>
      <c r="H214" s="35" t="s">
        <v>1300</v>
      </c>
      <c r="I214" s="35" t="s">
        <v>1301</v>
      </c>
      <c r="J214" s="35"/>
      <c r="K214" s="37">
        <f>IFERROR(__xludf.DUMMYFUNCTION("query(assistance!$A$2:$E988,""Select C Where D = '""&amp;L214&amp;""'"")"),53.0)</f>
        <v>53</v>
      </c>
      <c r="L214" s="36" t="s">
        <v>1109</v>
      </c>
      <c r="M214" s="39">
        <f t="shared" si="36"/>
        <v>3</v>
      </c>
      <c r="N214" s="39" t="s">
        <v>973</v>
      </c>
      <c r="O214" s="57">
        <v>46078.0</v>
      </c>
      <c r="P214" s="35"/>
      <c r="Q214" s="35"/>
      <c r="R214" s="35" t="s">
        <v>1308</v>
      </c>
      <c r="S214" s="35" t="b">
        <v>0</v>
      </c>
      <c r="T214" s="35" t="b">
        <v>0</v>
      </c>
      <c r="U214" s="41" t="str">
        <f>IFERROR(__xludf.DUMMYFUNCTION("""["" &amp; JOIN("", "", ARRAYFORMULA("""""""" &amp; TRIM(SPLIT(A214, "","")) &amp; """""""")) &amp; ""]"""),"[""99999""]")</f>
        <v>["99999"]</v>
      </c>
      <c r="V214" s="42" t="s">
        <v>1303</v>
      </c>
      <c r="W214" s="42" t="s">
        <v>1304</v>
      </c>
      <c r="X214" s="43"/>
      <c r="Y214" s="44" t="str">
        <f>vlookup(G214,zip_codes!$B$6:$J988,3,false)</f>
        <v>Bellaire</v>
      </c>
      <c r="Z214" s="45" t="str">
        <f>vlookup(G214,zip_codes!$B$6:$J988,9,false)</f>
        <v>Bellaire</v>
      </c>
      <c r="AA214" s="44" t="str">
        <f>vlookup(B214,organizations!$B$1:$C988,2,false)</f>
        <v>City Wide Club</v>
      </c>
      <c r="AB214" s="55" t="s">
        <v>1305</v>
      </c>
      <c r="AC214" s="47" t="str">
        <f t="shared" si="37"/>
        <v>{"regular":[{"days":["Mo","Tu","We","Th"],"open":"09:30","close":"17:00"}]}</v>
      </c>
      <c r="AD214" s="58" t="s">
        <v>1306</v>
      </c>
      <c r="AE214" s="48" t="str">
        <f t="shared" si="34"/>
        <v>City Wide Club4900 Fournace Place53</v>
      </c>
      <c r="AF214" s="48" t="str">
        <f t="shared" si="35"/>
        <v/>
      </c>
    </row>
    <row r="215" ht="66.75" customHeight="1">
      <c r="A215" s="49" t="s">
        <v>50</v>
      </c>
      <c r="B215" s="35" t="s">
        <v>1297</v>
      </c>
      <c r="C215" s="36" t="s">
        <v>1298</v>
      </c>
      <c r="D215" s="36"/>
      <c r="E215" s="36" t="s">
        <v>36</v>
      </c>
      <c r="F215" s="36" t="s">
        <v>37</v>
      </c>
      <c r="G215" s="56" t="s">
        <v>1299</v>
      </c>
      <c r="H215" s="35" t="s">
        <v>1300</v>
      </c>
      <c r="I215" s="35" t="s">
        <v>1301</v>
      </c>
      <c r="J215" s="35"/>
      <c r="K215" s="37">
        <f>IFERROR(__xludf.DUMMYFUNCTION("query(assistance!$A$2:$E988,""Select C Where D = '""&amp;L215&amp;""'"")"),64.0)</f>
        <v>64</v>
      </c>
      <c r="L215" s="36" t="s">
        <v>817</v>
      </c>
      <c r="M215" s="39">
        <f t="shared" si="36"/>
        <v>3</v>
      </c>
      <c r="N215" s="39" t="s">
        <v>973</v>
      </c>
      <c r="O215" s="57">
        <v>46078.0</v>
      </c>
      <c r="P215" s="35"/>
      <c r="Q215" s="35"/>
      <c r="R215" s="35" t="s">
        <v>1309</v>
      </c>
      <c r="S215" s="35" t="b">
        <v>0</v>
      </c>
      <c r="T215" s="35" t="b">
        <v>0</v>
      </c>
      <c r="U215" s="41" t="str">
        <f>IFERROR(__xludf.DUMMYFUNCTION("""["" &amp; JOIN("", "", ARRAYFORMULA("""""""" &amp; TRIM(SPLIT(A215, "","")) &amp; """""""")) &amp; ""]"""),"[""99999""]")</f>
        <v>["99999"]</v>
      </c>
      <c r="V215" s="42" t="s">
        <v>1303</v>
      </c>
      <c r="W215" s="42" t="s">
        <v>1304</v>
      </c>
      <c r="X215" s="43"/>
      <c r="Y215" s="44" t="str">
        <f>vlookup(G215,zip_codes!$B$6:$J988,3,false)</f>
        <v>Bellaire</v>
      </c>
      <c r="Z215" s="45" t="str">
        <f>vlookup(G215,zip_codes!$B$6:$J988,9,false)</f>
        <v>Bellaire</v>
      </c>
      <c r="AA215" s="44" t="str">
        <f>vlookup(B215,organizations!$B$1:$C988,2,false)</f>
        <v>City Wide Club</v>
      </c>
      <c r="AB215" s="55" t="s">
        <v>1305</v>
      </c>
      <c r="AC215" s="47" t="str">
        <f t="shared" si="37"/>
        <v>{"regular":[{"days":["Mo","Tu","We","Th"],"open":"09:30","close":"17:00"}]}</v>
      </c>
      <c r="AD215" s="58" t="s">
        <v>1306</v>
      </c>
      <c r="AE215" s="48" t="str">
        <f t="shared" si="34"/>
        <v>City Wide Club4900 Fournace Place64</v>
      </c>
      <c r="AF215" s="48" t="str">
        <f t="shared" si="35"/>
        <v/>
      </c>
    </row>
    <row r="216" ht="66.75" customHeight="1">
      <c r="A216" s="49" t="s">
        <v>50</v>
      </c>
      <c r="B216" s="35" t="s">
        <v>1310</v>
      </c>
      <c r="C216" s="36" t="s">
        <v>1311</v>
      </c>
      <c r="D216" s="36"/>
      <c r="E216" s="36" t="s">
        <v>1175</v>
      </c>
      <c r="F216" s="36" t="s">
        <v>37</v>
      </c>
      <c r="G216" s="35" t="s">
        <v>1312</v>
      </c>
      <c r="H216" s="35" t="s">
        <v>1313</v>
      </c>
      <c r="I216" s="35" t="s">
        <v>272</v>
      </c>
      <c r="J216" s="35"/>
      <c r="K216" s="37">
        <f>IFERROR(__xludf.DUMMYFUNCTION("query(assistance!$A$2:$E988,""Select C Where D = '""&amp;L216&amp;""'"")"),31.0)</f>
        <v>31</v>
      </c>
      <c r="L216" s="36" t="s">
        <v>90</v>
      </c>
      <c r="M216" s="38">
        <f t="shared" ref="M216:M226" si="38">if(N216="Inactive",3,if(N216="Limited", 2, 1))</f>
        <v>1</v>
      </c>
      <c r="N216" s="39" t="s">
        <v>42</v>
      </c>
      <c r="O216" s="40">
        <v>46049.0</v>
      </c>
      <c r="P216" s="35" t="s">
        <v>43</v>
      </c>
      <c r="Q216" s="35"/>
      <c r="R216" s="35" t="s">
        <v>1314</v>
      </c>
      <c r="S216" s="35" t="b">
        <v>0</v>
      </c>
      <c r="T216" s="35" t="b">
        <v>0</v>
      </c>
      <c r="U216" s="41" t="str">
        <f>IFERROR(__xludf.DUMMYFUNCTION("""["" &amp; JOIN("", "", ARRAYFORMULA("""""""" &amp; TRIM(SPLIT(A216, "","")) &amp; """""""")) &amp; ""]"""),"[""99999""]")</f>
        <v>["99999"]</v>
      </c>
      <c r="V216" s="42" t="s">
        <v>1315</v>
      </c>
      <c r="W216" s="42" t="s">
        <v>1316</v>
      </c>
      <c r="X216" s="43"/>
      <c r="Y216" s="44" t="str">
        <f>vlookup(G216,zip_codes!$B$6:$J988,3,false)</f>
        <v>Galveston</v>
      </c>
      <c r="Z216" s="45" t="str">
        <f>vlookup(G216,zip_codes!$B$6:$J988,9,false)</f>
        <v>Galveston</v>
      </c>
      <c r="AA216" s="44" t="str">
        <f>vlookup(B216,organizations!$B$1:$C988,2,false)</f>
        <v>Coastal Health &amp; Wellness</v>
      </c>
      <c r="AB216" s="46" t="s">
        <v>1317</v>
      </c>
      <c r="AC216" s="47" t="s">
        <v>278</v>
      </c>
      <c r="AD216" s="48" t="s">
        <v>1175</v>
      </c>
      <c r="AE216" s="48" t="str">
        <f t="shared" si="34"/>
        <v>Coastal Health &amp; Wellness - Galveston4700 Broadway F10031</v>
      </c>
      <c r="AF216" s="48" t="str">
        <f t="shared" si="35"/>
        <v/>
      </c>
    </row>
    <row r="217" ht="66.75" customHeight="1">
      <c r="A217" s="49" t="s">
        <v>50</v>
      </c>
      <c r="B217" s="35" t="s">
        <v>1310</v>
      </c>
      <c r="C217" s="36" t="s">
        <v>1311</v>
      </c>
      <c r="D217" s="36"/>
      <c r="E217" s="36" t="s">
        <v>1175</v>
      </c>
      <c r="F217" s="36" t="s">
        <v>37</v>
      </c>
      <c r="G217" s="35" t="s">
        <v>1312</v>
      </c>
      <c r="H217" s="35" t="s">
        <v>1313</v>
      </c>
      <c r="I217" s="35" t="s">
        <v>272</v>
      </c>
      <c r="J217" s="35"/>
      <c r="K217" s="37">
        <f>IFERROR(__xludf.DUMMYFUNCTION("query(assistance!$A$2:$E988,""Select C Where D = '""&amp;L217&amp;""'"")"),32.0)</f>
        <v>32</v>
      </c>
      <c r="L217" s="36" t="s">
        <v>208</v>
      </c>
      <c r="M217" s="38">
        <f t="shared" si="38"/>
        <v>1</v>
      </c>
      <c r="N217" s="39" t="s">
        <v>42</v>
      </c>
      <c r="O217" s="57">
        <v>46049.0</v>
      </c>
      <c r="P217" s="35" t="s">
        <v>43</v>
      </c>
      <c r="Q217" s="35"/>
      <c r="R217" s="35" t="s">
        <v>1318</v>
      </c>
      <c r="S217" s="35" t="b">
        <v>1</v>
      </c>
      <c r="T217" s="35" t="b">
        <v>0</v>
      </c>
      <c r="U217" s="41" t="str">
        <f>IFERROR(__xludf.DUMMYFUNCTION("""["" &amp; JOIN("", "", ARRAYFORMULA("""""""" &amp; TRIM(SPLIT(A217, "","")) &amp; """""""")) &amp; ""]"""),"[""99999""]")</f>
        <v>["99999"]</v>
      </c>
      <c r="V217" s="42" t="s">
        <v>1315</v>
      </c>
      <c r="W217" s="42" t="s">
        <v>1316</v>
      </c>
      <c r="X217" s="43"/>
      <c r="Y217" s="44" t="str">
        <f>vlookup(G217,zip_codes!$B$6:$J988,3,false)</f>
        <v>Galveston</v>
      </c>
      <c r="Z217" s="45" t="str">
        <f>vlookup(G217,zip_codes!$B$6:$J988,9,false)</f>
        <v>Galveston</v>
      </c>
      <c r="AA217" s="44" t="str">
        <f>vlookup(B217,organizations!$B$1:$C988,2,false)</f>
        <v>Coastal Health &amp; Wellness</v>
      </c>
      <c r="AB217" s="46" t="s">
        <v>1317</v>
      </c>
      <c r="AC217" s="47" t="s">
        <v>278</v>
      </c>
      <c r="AD217" s="48" t="s">
        <v>1175</v>
      </c>
      <c r="AE217" s="48" t="str">
        <f t="shared" si="34"/>
        <v>Coastal Health &amp; Wellness - Galveston4700 Broadway F10032</v>
      </c>
      <c r="AF217" s="48" t="str">
        <f t="shared" si="35"/>
        <v/>
      </c>
    </row>
    <row r="218" ht="66.75" customHeight="1">
      <c r="A218" s="49" t="s">
        <v>50</v>
      </c>
      <c r="B218" s="35" t="s">
        <v>1310</v>
      </c>
      <c r="C218" s="36" t="s">
        <v>1311</v>
      </c>
      <c r="D218" s="36"/>
      <c r="E218" s="36" t="s">
        <v>1175</v>
      </c>
      <c r="F218" s="36" t="s">
        <v>37</v>
      </c>
      <c r="G218" s="35" t="s">
        <v>1312</v>
      </c>
      <c r="H218" s="35" t="s">
        <v>1313</v>
      </c>
      <c r="I218" s="35" t="s">
        <v>272</v>
      </c>
      <c r="J218" s="35"/>
      <c r="K218" s="37">
        <f>IFERROR(__xludf.DUMMYFUNCTION("query(assistance!$A$2:$E988,""Select C Where D = '""&amp;L218&amp;""'"")"),33.0)</f>
        <v>33</v>
      </c>
      <c r="L218" s="36" t="s">
        <v>333</v>
      </c>
      <c r="M218" s="38">
        <f t="shared" si="38"/>
        <v>1</v>
      </c>
      <c r="N218" s="39" t="s">
        <v>42</v>
      </c>
      <c r="O218" s="40">
        <v>46049.0</v>
      </c>
      <c r="P218" s="35" t="s">
        <v>43</v>
      </c>
      <c r="Q218" s="35"/>
      <c r="R218" s="35" t="s">
        <v>1319</v>
      </c>
      <c r="S218" s="35" t="b">
        <v>0</v>
      </c>
      <c r="T218" s="35" t="b">
        <v>0</v>
      </c>
      <c r="U218" s="41" t="str">
        <f>IFERROR(__xludf.DUMMYFUNCTION("""["" &amp; JOIN("", "", ARRAYFORMULA("""""""" &amp; TRIM(SPLIT(A218, "","")) &amp; """""""")) &amp; ""]"""),"[""99999""]")</f>
        <v>["99999"]</v>
      </c>
      <c r="V218" s="42" t="s">
        <v>1315</v>
      </c>
      <c r="W218" s="42" t="s">
        <v>1316</v>
      </c>
      <c r="X218" s="43"/>
      <c r="Y218" s="44" t="str">
        <f>vlookup(G218,zip_codes!$B$6:$J988,3,false)</f>
        <v>Galveston</v>
      </c>
      <c r="Z218" s="45" t="str">
        <f>vlookup(G218,zip_codes!$B$6:$J988,9,false)</f>
        <v>Galveston</v>
      </c>
      <c r="AA218" s="44" t="str">
        <f>vlookup(B218,organizations!$B$1:$C988,2,false)</f>
        <v>Coastal Health &amp; Wellness</v>
      </c>
      <c r="AB218" s="46" t="s">
        <v>1317</v>
      </c>
      <c r="AC218" s="47" t="s">
        <v>278</v>
      </c>
      <c r="AD218" s="48" t="s">
        <v>1175</v>
      </c>
      <c r="AE218" s="48" t="str">
        <f t="shared" si="34"/>
        <v>Coastal Health &amp; Wellness - Galveston4700 Broadway F10033</v>
      </c>
      <c r="AF218" s="48" t="str">
        <f t="shared" si="35"/>
        <v/>
      </c>
    </row>
    <row r="219" ht="66.75" customHeight="1">
      <c r="A219" s="49" t="s">
        <v>50</v>
      </c>
      <c r="B219" s="35" t="s">
        <v>1320</v>
      </c>
      <c r="C219" s="36" t="s">
        <v>1321</v>
      </c>
      <c r="D219" s="36"/>
      <c r="E219" s="36" t="s">
        <v>1219</v>
      </c>
      <c r="F219" s="36" t="s">
        <v>37</v>
      </c>
      <c r="G219" s="35" t="s">
        <v>1322</v>
      </c>
      <c r="H219" s="35" t="s">
        <v>1313</v>
      </c>
      <c r="I219" s="35" t="s">
        <v>1323</v>
      </c>
      <c r="J219" s="35"/>
      <c r="K219" s="37">
        <f>IFERROR(__xludf.DUMMYFUNCTION("query(assistance!$A$2:$E988,""Select C Where D = '""&amp;L219&amp;""'"")"),31.0)</f>
        <v>31</v>
      </c>
      <c r="L219" s="36" t="s">
        <v>90</v>
      </c>
      <c r="M219" s="38">
        <f t="shared" si="38"/>
        <v>1</v>
      </c>
      <c r="N219" s="39" t="s">
        <v>42</v>
      </c>
      <c r="O219" s="40">
        <v>46049.0</v>
      </c>
      <c r="P219" s="35" t="s">
        <v>43</v>
      </c>
      <c r="Q219" s="35"/>
      <c r="R219" s="35" t="s">
        <v>1314</v>
      </c>
      <c r="S219" s="35" t="b">
        <v>0</v>
      </c>
      <c r="T219" s="35" t="b">
        <v>0</v>
      </c>
      <c r="U219" s="41" t="str">
        <f>IFERROR(__xludf.DUMMYFUNCTION("""["" &amp; JOIN("", "", ARRAYFORMULA("""""""" &amp; TRIM(SPLIT(A219, "","")) &amp; """""""")) &amp; ""]"""),"[""99999""]")</f>
        <v>["99999"]</v>
      </c>
      <c r="V219" s="42" t="s">
        <v>1315</v>
      </c>
      <c r="W219" s="42" t="s">
        <v>1316</v>
      </c>
      <c r="X219" s="43"/>
      <c r="Y219" s="44" t="str">
        <f>vlookup(G219,zip_codes!$B$6:$J988,3,false)</f>
        <v>Texas City</v>
      </c>
      <c r="Z219" s="45" t="str">
        <f>vlookup(G219,zip_codes!$B$6:$J988,9,false)</f>
        <v>Texas City</v>
      </c>
      <c r="AA219" s="44" t="str">
        <f>vlookup(B219,organizations!$B$1:$C988,2,false)</f>
        <v>Coastal Health &amp; Wellness</v>
      </c>
      <c r="AB219" s="46" t="s">
        <v>1324</v>
      </c>
      <c r="AC219" s="47" t="s">
        <v>1325</v>
      </c>
      <c r="AD219" s="48" t="s">
        <v>1219</v>
      </c>
      <c r="AE219" s="48" t="str">
        <f t="shared" si="34"/>
        <v>Coastal Health &amp; Wellness - Texas City9850-C Emmett F Lowry Expy31</v>
      </c>
      <c r="AF219" s="48" t="str">
        <f t="shared" si="35"/>
        <v/>
      </c>
    </row>
    <row r="220" ht="66.75" customHeight="1">
      <c r="A220" s="49" t="s">
        <v>50</v>
      </c>
      <c r="B220" s="35" t="s">
        <v>1320</v>
      </c>
      <c r="C220" s="36" t="s">
        <v>1321</v>
      </c>
      <c r="D220" s="36"/>
      <c r="E220" s="36" t="s">
        <v>1219</v>
      </c>
      <c r="F220" s="36" t="s">
        <v>37</v>
      </c>
      <c r="G220" s="35" t="s">
        <v>1322</v>
      </c>
      <c r="H220" s="35" t="s">
        <v>1313</v>
      </c>
      <c r="I220" s="35" t="s">
        <v>1323</v>
      </c>
      <c r="J220" s="35"/>
      <c r="K220" s="37">
        <f>IFERROR(__xludf.DUMMYFUNCTION("query(assistance!$A$2:$E988,""Select C Where D = '""&amp;L220&amp;""'"")"),32.0)</f>
        <v>32</v>
      </c>
      <c r="L220" s="36" t="s">
        <v>208</v>
      </c>
      <c r="M220" s="38">
        <f t="shared" si="38"/>
        <v>1</v>
      </c>
      <c r="N220" s="39" t="s">
        <v>42</v>
      </c>
      <c r="O220" s="40">
        <v>45789.0</v>
      </c>
      <c r="P220" s="35" t="s">
        <v>43</v>
      </c>
      <c r="Q220" s="35"/>
      <c r="R220" s="35" t="s">
        <v>1318</v>
      </c>
      <c r="S220" s="35" t="b">
        <v>1</v>
      </c>
      <c r="T220" s="35" t="b">
        <v>0</v>
      </c>
      <c r="U220" s="41" t="str">
        <f>IFERROR(__xludf.DUMMYFUNCTION("""["" &amp; JOIN("", "", ARRAYFORMULA("""""""" &amp; TRIM(SPLIT(A220, "","")) &amp; """""""")) &amp; ""]"""),"[""99999""]")</f>
        <v>["99999"]</v>
      </c>
      <c r="V220" s="42" t="s">
        <v>1315</v>
      </c>
      <c r="W220" s="42" t="s">
        <v>1316</v>
      </c>
      <c r="X220" s="43"/>
      <c r="Y220" s="44" t="str">
        <f>vlookup(G220,zip_codes!$B$6:$J988,3,false)</f>
        <v>Texas City</v>
      </c>
      <c r="Z220" s="45" t="str">
        <f>vlookup(G220,zip_codes!$B$6:$J988,9,false)</f>
        <v>Texas City</v>
      </c>
      <c r="AA220" s="44" t="str">
        <f>vlookup(B220,organizations!$B$1:$C988,2,false)</f>
        <v>Coastal Health &amp; Wellness</v>
      </c>
      <c r="AB220" s="46" t="s">
        <v>1324</v>
      </c>
      <c r="AC220" s="47" t="s">
        <v>1325</v>
      </c>
      <c r="AD220" s="48" t="s">
        <v>1219</v>
      </c>
      <c r="AE220" s="48" t="str">
        <f t="shared" si="34"/>
        <v>Coastal Health &amp; Wellness - Texas City9850-C Emmett F Lowry Expy32</v>
      </c>
      <c r="AF220" s="48" t="str">
        <f t="shared" si="35"/>
        <v/>
      </c>
    </row>
    <row r="221" ht="66.75" customHeight="1">
      <c r="A221" s="49" t="s">
        <v>50</v>
      </c>
      <c r="B221" s="35" t="s">
        <v>1320</v>
      </c>
      <c r="C221" s="36" t="s">
        <v>1321</v>
      </c>
      <c r="D221" s="36"/>
      <c r="E221" s="36" t="s">
        <v>1219</v>
      </c>
      <c r="F221" s="36" t="s">
        <v>37</v>
      </c>
      <c r="G221" s="35" t="s">
        <v>1322</v>
      </c>
      <c r="H221" s="35" t="s">
        <v>1313</v>
      </c>
      <c r="I221" s="35" t="s">
        <v>1323</v>
      </c>
      <c r="J221" s="35"/>
      <c r="K221" s="37">
        <f>IFERROR(__xludf.DUMMYFUNCTION("query(assistance!$A$2:$E988,""Select C Where D = '""&amp;L221&amp;""'"")"),33.0)</f>
        <v>33</v>
      </c>
      <c r="L221" s="36" t="s">
        <v>333</v>
      </c>
      <c r="M221" s="38">
        <f t="shared" si="38"/>
        <v>1</v>
      </c>
      <c r="N221" s="39" t="s">
        <v>42</v>
      </c>
      <c r="O221" s="40">
        <v>46049.0</v>
      </c>
      <c r="P221" s="35" t="s">
        <v>43</v>
      </c>
      <c r="Q221" s="35"/>
      <c r="R221" s="35" t="s">
        <v>1319</v>
      </c>
      <c r="S221" s="35" t="b">
        <v>0</v>
      </c>
      <c r="T221" s="35" t="b">
        <v>0</v>
      </c>
      <c r="U221" s="41" t="str">
        <f>IFERROR(__xludf.DUMMYFUNCTION("""["" &amp; JOIN("", "", ARRAYFORMULA("""""""" &amp; TRIM(SPLIT(A221, "","")) &amp; """""""")) &amp; ""]"""),"[""99999""]")</f>
        <v>["99999"]</v>
      </c>
      <c r="V221" s="42" t="s">
        <v>1315</v>
      </c>
      <c r="W221" s="42" t="s">
        <v>1316</v>
      </c>
      <c r="X221" s="43"/>
      <c r="Y221" s="44" t="str">
        <f>vlookup(G221,zip_codes!$B$6:$J988,3,false)</f>
        <v>Texas City</v>
      </c>
      <c r="Z221" s="45" t="str">
        <f>vlookup(G221,zip_codes!$B$6:$J988,9,false)</f>
        <v>Texas City</v>
      </c>
      <c r="AA221" s="44" t="str">
        <f>vlookup(B221,organizations!$B$1:$C988,2,false)</f>
        <v>Coastal Health &amp; Wellness</v>
      </c>
      <c r="AB221" s="46" t="s">
        <v>1324</v>
      </c>
      <c r="AC221" s="47" t="s">
        <v>1325</v>
      </c>
      <c r="AD221" s="48" t="s">
        <v>1219</v>
      </c>
      <c r="AE221" s="48" t="str">
        <f t="shared" si="34"/>
        <v>Coastal Health &amp; Wellness - Texas City9850-C Emmett F Lowry Expy33</v>
      </c>
      <c r="AF221" s="48" t="str">
        <f t="shared" si="35"/>
        <v/>
      </c>
    </row>
    <row r="222" ht="66.75" customHeight="1">
      <c r="A222" s="49" t="s">
        <v>50</v>
      </c>
      <c r="B222" s="35" t="s">
        <v>1326</v>
      </c>
      <c r="C222" s="36" t="s">
        <v>1327</v>
      </c>
      <c r="D222" s="36" t="s">
        <v>1328</v>
      </c>
      <c r="E222" s="36" t="s">
        <v>36</v>
      </c>
      <c r="F222" s="36" t="s">
        <v>37</v>
      </c>
      <c r="G222" s="35" t="s">
        <v>1053</v>
      </c>
      <c r="H222" s="35" t="s">
        <v>1329</v>
      </c>
      <c r="I222" s="35" t="s">
        <v>40</v>
      </c>
      <c r="J222" s="35"/>
      <c r="K222" s="37">
        <f>IFERROR(__xludf.DUMMYFUNCTION("query(assistance!$A$2:$E988,""Select C Where D = '""&amp;L222&amp;""'"")"),65.0)</f>
        <v>65</v>
      </c>
      <c r="L222" s="36" t="s">
        <v>41</v>
      </c>
      <c r="M222" s="38">
        <f t="shared" si="38"/>
        <v>1</v>
      </c>
      <c r="N222" s="39" t="s">
        <v>42</v>
      </c>
      <c r="O222" s="40">
        <v>45761.0</v>
      </c>
      <c r="P222" s="35" t="s">
        <v>406</v>
      </c>
      <c r="Q222" s="35"/>
      <c r="R222" s="35" t="s">
        <v>1330</v>
      </c>
      <c r="S222" s="35" t="b">
        <v>0</v>
      </c>
      <c r="T222" s="35" t="b">
        <v>0</v>
      </c>
      <c r="U222" s="41" t="str">
        <f>IFERROR(__xludf.DUMMYFUNCTION("""["" &amp; JOIN("", "", ARRAYFORMULA("""""""" &amp; TRIM(SPLIT(A222, "","")) &amp; """""""")) &amp; ""]"""),"[""99999""]")</f>
        <v>["99999"]</v>
      </c>
      <c r="V222" s="52" t="s">
        <v>1331</v>
      </c>
      <c r="W222" s="43"/>
      <c r="X222" s="43"/>
      <c r="Y222" s="44" t="str">
        <f>vlookup(G222,zip_codes!$B$6:$J988,3,false)</f>
        <v>Houston</v>
      </c>
      <c r="Z222" s="45" t="str">
        <f>vlookup(G222,zip_codes!$B$6:$J988,9,false)</f>
        <v>Galleria, Tanglewood, Uptown, Westside</v>
      </c>
      <c r="AA222" s="44" t="str">
        <f>vlookup(B222,organizations!$B$1:$C988,2,false)</f>
        <v>Collaborative for Children</v>
      </c>
      <c r="AB222" s="46" t="s">
        <v>1332</v>
      </c>
      <c r="AC222" s="47" t="s">
        <v>48</v>
      </c>
      <c r="AD222" s="48" t="s">
        <v>1059</v>
      </c>
      <c r="AE222" s="48" t="str">
        <f t="shared" si="34"/>
        <v>Collaborative for Children2200 Post Oak Blvd65</v>
      </c>
      <c r="AF222" s="48" t="str">
        <f t="shared" si="35"/>
        <v/>
      </c>
    </row>
    <row r="223" ht="66.75" customHeight="1">
      <c r="A223" s="34" t="s">
        <v>1333</v>
      </c>
      <c r="B223" s="35" t="s">
        <v>1334</v>
      </c>
      <c r="C223" s="36" t="s">
        <v>1335</v>
      </c>
      <c r="D223" s="36"/>
      <c r="E223" s="36" t="s">
        <v>989</v>
      </c>
      <c r="F223" s="36" t="s">
        <v>37</v>
      </c>
      <c r="G223" s="35" t="s">
        <v>1336</v>
      </c>
      <c r="H223" s="35" t="s">
        <v>1337</v>
      </c>
      <c r="I223" s="35" t="s">
        <v>1338</v>
      </c>
      <c r="J223" s="35" t="s">
        <v>298</v>
      </c>
      <c r="K223" s="37">
        <f>IFERROR(__xludf.DUMMYFUNCTION("query(assistance!$A$2:$E988,""Select C Where D = '""&amp;L223&amp;""'"")"),11.0)</f>
        <v>11</v>
      </c>
      <c r="L223" s="36" t="s">
        <v>322</v>
      </c>
      <c r="M223" s="38">
        <f t="shared" si="38"/>
        <v>1</v>
      </c>
      <c r="N223" s="39" t="s">
        <v>42</v>
      </c>
      <c r="O223" s="57">
        <v>45867.0</v>
      </c>
      <c r="P223" s="35" t="s">
        <v>43</v>
      </c>
      <c r="Q223" s="35"/>
      <c r="R223" s="35" t="s">
        <v>1339</v>
      </c>
      <c r="S223" s="35" t="b">
        <v>0</v>
      </c>
      <c r="T223" s="35" t="b">
        <v>0</v>
      </c>
      <c r="U223" s="41" t="str">
        <f>IFERROR(__xludf.DUMMYFUNCTION("""["" &amp; JOIN("", "", ARRAYFORMULA("""""""" &amp; TRIM(SPLIT(A223,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223" s="42" t="s">
        <v>1340</v>
      </c>
      <c r="W223" s="42" t="s">
        <v>1341</v>
      </c>
      <c r="X223" s="43"/>
      <c r="Y223" s="44" t="str">
        <f>vlookup(G223,zip_codes!$B$6:$J988,3,false)</f>
        <v>Conroe</v>
      </c>
      <c r="Z223" s="45" t="str">
        <f>vlookup(G223,zip_codes!$B$6:$J988,9,false)</f>
        <v>Conroe (Central/Downtown), Panorama Village</v>
      </c>
      <c r="AA223" s="44" t="str">
        <f>vlookup(B223,organizations!$B$1:$C988,2,false)</f>
        <v>Community Assistance Center</v>
      </c>
      <c r="AB223" s="55" t="s">
        <v>1342</v>
      </c>
      <c r="AC223" s="47" t="s">
        <v>1343</v>
      </c>
      <c r="AD223" s="48" t="s">
        <v>989</v>
      </c>
      <c r="AE223" s="48" t="str">
        <f t="shared" si="34"/>
        <v>Community Assistance Center1022 McCall Avenue11</v>
      </c>
      <c r="AF223" s="48" t="str">
        <f t="shared" si="35"/>
        <v/>
      </c>
    </row>
    <row r="224" ht="66.75" customHeight="1">
      <c r="A224" s="34" t="s">
        <v>1333</v>
      </c>
      <c r="B224" s="35" t="s">
        <v>1334</v>
      </c>
      <c r="C224" s="36" t="s">
        <v>1335</v>
      </c>
      <c r="D224" s="36"/>
      <c r="E224" s="36" t="s">
        <v>989</v>
      </c>
      <c r="F224" s="36" t="s">
        <v>37</v>
      </c>
      <c r="G224" s="35" t="s">
        <v>1336</v>
      </c>
      <c r="H224" s="35" t="s">
        <v>1337</v>
      </c>
      <c r="I224" s="35" t="s">
        <v>1338</v>
      </c>
      <c r="J224" s="35" t="s">
        <v>298</v>
      </c>
      <c r="K224" s="37">
        <f>IFERROR(__xludf.DUMMYFUNCTION("query(assistance!$A$2:$E988,""Select C Where D = '""&amp;L224&amp;""'"")"),12.0)</f>
        <v>12</v>
      </c>
      <c r="L224" s="36" t="s">
        <v>330</v>
      </c>
      <c r="M224" s="38">
        <f t="shared" si="38"/>
        <v>1</v>
      </c>
      <c r="N224" s="39" t="s">
        <v>42</v>
      </c>
      <c r="O224" s="57">
        <v>45867.0</v>
      </c>
      <c r="P224" s="35" t="s">
        <v>43</v>
      </c>
      <c r="Q224" s="35"/>
      <c r="R224" s="35" t="s">
        <v>1339</v>
      </c>
      <c r="S224" s="35" t="b">
        <v>0</v>
      </c>
      <c r="T224" s="35" t="b">
        <v>0</v>
      </c>
      <c r="U224" s="41" t="str">
        <f>IFERROR(__xludf.DUMMYFUNCTION("""["" &amp; JOIN("", "", ARRAYFORMULA("""""""" &amp; TRIM(SPLIT(A224,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224" s="42" t="s">
        <v>1340</v>
      </c>
      <c r="W224" s="42" t="s">
        <v>1341</v>
      </c>
      <c r="X224" s="43"/>
      <c r="Y224" s="44" t="str">
        <f>vlookup(G224,zip_codes!$B$6:$J988,3,false)</f>
        <v>Conroe</v>
      </c>
      <c r="Z224" s="45" t="str">
        <f>vlookup(G224,zip_codes!$B$6:$J988,9,false)</f>
        <v>Conroe (Central/Downtown), Panorama Village</v>
      </c>
      <c r="AA224" s="44" t="str">
        <f>vlookup(B224,organizations!$B$1:$C988,2,false)</f>
        <v>Community Assistance Center</v>
      </c>
      <c r="AB224" s="55" t="s">
        <v>1342</v>
      </c>
      <c r="AC224" s="47" t="s">
        <v>1343</v>
      </c>
      <c r="AD224" s="48" t="s">
        <v>989</v>
      </c>
      <c r="AE224" s="48" t="str">
        <f t="shared" si="34"/>
        <v>Community Assistance Center1022 McCall Avenue12</v>
      </c>
      <c r="AF224" s="48" t="str">
        <f t="shared" si="35"/>
        <v/>
      </c>
    </row>
    <row r="225" ht="66.75" customHeight="1">
      <c r="A225" s="34" t="s">
        <v>1333</v>
      </c>
      <c r="B225" s="35" t="s">
        <v>1334</v>
      </c>
      <c r="C225" s="36" t="s">
        <v>1335</v>
      </c>
      <c r="D225" s="36"/>
      <c r="E225" s="36" t="s">
        <v>989</v>
      </c>
      <c r="F225" s="36" t="s">
        <v>37</v>
      </c>
      <c r="G225" s="35" t="s">
        <v>1336</v>
      </c>
      <c r="H225" s="35" t="s">
        <v>1337</v>
      </c>
      <c r="I225" s="35"/>
      <c r="J225" s="36" t="s">
        <v>1031</v>
      </c>
      <c r="K225" s="37">
        <f>IFERROR(__xludf.DUMMYFUNCTION("query(assistance!$A$2:$E988,""Select C Where D = '""&amp;L225&amp;""'"")"),13.0)</f>
        <v>13</v>
      </c>
      <c r="L225" s="36" t="s">
        <v>240</v>
      </c>
      <c r="M225" s="38">
        <f t="shared" si="38"/>
        <v>1</v>
      </c>
      <c r="N225" s="39" t="s">
        <v>42</v>
      </c>
      <c r="O225" s="57">
        <v>45867.0</v>
      </c>
      <c r="P225" s="35" t="s">
        <v>43</v>
      </c>
      <c r="Q225" s="35"/>
      <c r="R225" s="35"/>
      <c r="S225" s="35" t="b">
        <v>0</v>
      </c>
      <c r="T225" s="35" t="b">
        <v>0</v>
      </c>
      <c r="U225" s="41" t="str">
        <f>IFERROR(__xludf.DUMMYFUNCTION("""["" &amp; JOIN("", "", ARRAYFORMULA("""""""" &amp; TRIM(SPLIT(A225,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225" s="42" t="s">
        <v>1344</v>
      </c>
      <c r="W225" s="42" t="s">
        <v>1341</v>
      </c>
      <c r="X225" s="43"/>
      <c r="Y225" s="44" t="str">
        <f>vlookup(G225,zip_codes!$B$6:$J988,3,false)</f>
        <v>Conroe</v>
      </c>
      <c r="Z225" s="45" t="str">
        <f>vlookup(G225,zip_codes!$B$6:$J988,9,false)</f>
        <v>Conroe (Central/Downtown), Panorama Village</v>
      </c>
      <c r="AA225" s="44" t="str">
        <f>vlookup(B225,organizations!$B$1:$C988,2,false)</f>
        <v>Community Assistance Center</v>
      </c>
      <c r="AB225" s="55" t="s">
        <v>1342</v>
      </c>
      <c r="AC225" s="53"/>
      <c r="AD225" s="48" t="s">
        <v>989</v>
      </c>
      <c r="AE225" s="48" t="str">
        <f t="shared" si="34"/>
        <v>Community Assistance Center1022 McCall Avenue13</v>
      </c>
      <c r="AF225" s="48" t="str">
        <f t="shared" si="35"/>
        <v/>
      </c>
    </row>
    <row r="226" ht="66.75" customHeight="1">
      <c r="A226" s="34" t="s">
        <v>1333</v>
      </c>
      <c r="B226" s="35" t="s">
        <v>1334</v>
      </c>
      <c r="C226" s="36" t="s">
        <v>1335</v>
      </c>
      <c r="D226" s="36"/>
      <c r="E226" s="36" t="s">
        <v>989</v>
      </c>
      <c r="F226" s="36" t="s">
        <v>37</v>
      </c>
      <c r="G226" s="35" t="s">
        <v>1336</v>
      </c>
      <c r="H226" s="35" t="s">
        <v>1337</v>
      </c>
      <c r="I226" s="35" t="s">
        <v>1345</v>
      </c>
      <c r="J226" s="36" t="s">
        <v>1346</v>
      </c>
      <c r="K226" s="37">
        <f>IFERROR(__xludf.DUMMYFUNCTION("query(assistance!$A$2:$E988,""Select C Where D = '""&amp;L226&amp;""'"")"),14.0)</f>
        <v>14</v>
      </c>
      <c r="L226" s="36" t="s">
        <v>391</v>
      </c>
      <c r="M226" s="38">
        <f t="shared" si="38"/>
        <v>1</v>
      </c>
      <c r="N226" s="39" t="s">
        <v>42</v>
      </c>
      <c r="O226" s="57">
        <v>45867.0</v>
      </c>
      <c r="P226" s="35" t="s">
        <v>43</v>
      </c>
      <c r="Q226" s="35"/>
      <c r="R226" s="35" t="s">
        <v>1347</v>
      </c>
      <c r="S226" s="35" t="b">
        <v>0</v>
      </c>
      <c r="T226" s="35" t="b">
        <v>0</v>
      </c>
      <c r="U226" s="41" t="str">
        <f>IFERROR(__xludf.DUMMYFUNCTION("""["" &amp; JOIN("", "", ARRAYFORMULA("""""""" &amp; TRIM(SPLIT(A226,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226" s="42" t="s">
        <v>1344</v>
      </c>
      <c r="W226" s="42" t="s">
        <v>1341</v>
      </c>
      <c r="X226" s="43"/>
      <c r="Y226" s="44" t="str">
        <f>vlookup(G226,zip_codes!$B$6:$J988,3,false)</f>
        <v>Conroe</v>
      </c>
      <c r="Z226" s="45" t="str">
        <f>vlookup(G226,zip_codes!$B$6:$J988,9,false)</f>
        <v>Conroe (Central/Downtown), Panorama Village</v>
      </c>
      <c r="AA226" s="44" t="str">
        <f>vlookup(B226,organizations!$B$1:$C988,2,false)</f>
        <v>Community Assistance Center</v>
      </c>
      <c r="AB226" s="55" t="s">
        <v>1342</v>
      </c>
      <c r="AC226" s="47" t="s">
        <v>1348</v>
      </c>
      <c r="AD226" s="48" t="s">
        <v>989</v>
      </c>
      <c r="AE226" s="48" t="str">
        <f t="shared" si="34"/>
        <v>Community Assistance Center1022 McCall Avenue14</v>
      </c>
      <c r="AF226" s="48" t="str">
        <f t="shared" si="35"/>
        <v/>
      </c>
    </row>
    <row r="227" ht="66.75" customHeight="1">
      <c r="A227" s="49" t="s">
        <v>1349</v>
      </c>
      <c r="B227" s="35" t="s">
        <v>1350</v>
      </c>
      <c r="C227" s="36" t="s">
        <v>856</v>
      </c>
      <c r="D227" s="36"/>
      <c r="E227" s="36" t="s">
        <v>36</v>
      </c>
      <c r="F227" s="36" t="s">
        <v>37</v>
      </c>
      <c r="G227" s="35" t="s">
        <v>857</v>
      </c>
      <c r="H227" s="35" t="s">
        <v>1351</v>
      </c>
      <c r="I227" s="35" t="s">
        <v>272</v>
      </c>
      <c r="J227" s="35"/>
      <c r="K227" s="37">
        <f>IFERROR(__xludf.DUMMYFUNCTION("query(assistance!$A$2:$E988,""Select C Where D = '""&amp;L227&amp;""'"")"),11.0)</f>
        <v>11</v>
      </c>
      <c r="L227" s="36" t="s">
        <v>322</v>
      </c>
      <c r="M227" s="39">
        <f t="shared" ref="M227:M228" si="39">if(N227="Inactive",3,if(N227="Limited", 2, if(N227="Closed", 4, 1)))</f>
        <v>3</v>
      </c>
      <c r="N227" s="51" t="s">
        <v>973</v>
      </c>
      <c r="O227" s="40">
        <v>46052.0</v>
      </c>
      <c r="P227" s="35" t="s">
        <v>323</v>
      </c>
      <c r="Q227" s="35"/>
      <c r="R227" s="35" t="s">
        <v>1352</v>
      </c>
      <c r="S227" s="35" t="b">
        <v>0</v>
      </c>
      <c r="T227" s="35" t="b">
        <v>0</v>
      </c>
      <c r="U227" s="41" t="str">
        <f>IFERROR(__xludf.DUMMYFUNCTION("""["" &amp; JOIN("", "", ARRAYFORMULA("""""""" &amp; TRIM(SPLIT(A227, "","")) &amp; """""""")) &amp; ""]"""),"[""77011"", ""77012"", ""77013"", ""77015"", ""77017"", ""77023"", ""77029"", ""77087"", ""77530"", ""77547""]")</f>
        <v>["77011", "77012", "77013", "77015", "77017", "77023", "77029", "77087", "77530", "77547"]</v>
      </c>
      <c r="V227" s="52" t="s">
        <v>1353</v>
      </c>
      <c r="W227" s="52" t="s">
        <v>1354</v>
      </c>
      <c r="X227" s="43"/>
      <c r="Y227" s="44" t="str">
        <f>vlookup(G227,zip_codes!$B$6:$J988,3,false)</f>
        <v>Houston</v>
      </c>
      <c r="Z227" s="45" t="str">
        <f>vlookup(G227,zip_codes!$B$6:$J988,9,false)</f>
        <v>Greater East End, Harrisburg, Magnolia Park</v>
      </c>
      <c r="AA227" s="44" t="str">
        <f>vlookup(B227,organizations!$B$1:$C988,2,false)</f>
        <v>Community Family Center</v>
      </c>
      <c r="AB227" s="46" t="s">
        <v>862</v>
      </c>
      <c r="AC227" s="47" t="s">
        <v>278</v>
      </c>
      <c r="AD227" s="48" t="s">
        <v>863</v>
      </c>
      <c r="AE227" s="48" t="str">
        <f t="shared" si="34"/>
        <v>Community Family Center7524 Avenue E11</v>
      </c>
      <c r="AF227" s="48" t="str">
        <f t="shared" si="35"/>
        <v/>
      </c>
    </row>
    <row r="228" ht="66.75" customHeight="1">
      <c r="A228" s="49" t="s">
        <v>1349</v>
      </c>
      <c r="B228" s="35" t="s">
        <v>1350</v>
      </c>
      <c r="C228" s="36" t="s">
        <v>856</v>
      </c>
      <c r="D228" s="36"/>
      <c r="E228" s="36" t="s">
        <v>36</v>
      </c>
      <c r="F228" s="36" t="s">
        <v>37</v>
      </c>
      <c r="G228" s="35" t="s">
        <v>857</v>
      </c>
      <c r="H228" s="35" t="s">
        <v>1351</v>
      </c>
      <c r="I228" s="35" t="s">
        <v>272</v>
      </c>
      <c r="J228" s="35"/>
      <c r="K228" s="37">
        <f>IFERROR(__xludf.DUMMYFUNCTION("query(assistance!$A$2:$E988,""Select C Where D = '""&amp;L228&amp;""'"")"),12.0)</f>
        <v>12</v>
      </c>
      <c r="L228" s="36" t="s">
        <v>330</v>
      </c>
      <c r="M228" s="39">
        <f t="shared" si="39"/>
        <v>3</v>
      </c>
      <c r="N228" s="51" t="s">
        <v>973</v>
      </c>
      <c r="O228" s="40">
        <v>46052.0</v>
      </c>
      <c r="P228" s="35" t="s">
        <v>323</v>
      </c>
      <c r="Q228" s="35"/>
      <c r="R228" s="35" t="s">
        <v>1355</v>
      </c>
      <c r="S228" s="35" t="b">
        <v>0</v>
      </c>
      <c r="T228" s="35" t="b">
        <v>0</v>
      </c>
      <c r="U228" s="41" t="str">
        <f>IFERROR(__xludf.DUMMYFUNCTION("""["" &amp; JOIN("", "", ARRAYFORMULA("""""""" &amp; TRIM(SPLIT(A228, "","")) &amp; """""""")) &amp; ""]"""),"[""77011"", ""77012"", ""77013"", ""77015"", ""77017"", ""77023"", ""77029"", ""77087"", ""77530"", ""77547""]")</f>
        <v>["77011", "77012", "77013", "77015", "77017", "77023", "77029", "77087", "77530", "77547"]</v>
      </c>
      <c r="V228" s="52" t="s">
        <v>1353</v>
      </c>
      <c r="W228" s="52" t="s">
        <v>1354</v>
      </c>
      <c r="X228" s="43"/>
      <c r="Y228" s="44" t="str">
        <f>vlookup(G228,zip_codes!$B$6:$J988,3,false)</f>
        <v>Houston</v>
      </c>
      <c r="Z228" s="45" t="str">
        <f>vlookup(G228,zip_codes!$B$6:$J988,9,false)</f>
        <v>Greater East End, Harrisburg, Magnolia Park</v>
      </c>
      <c r="AA228" s="44" t="str">
        <f>vlookup(B228,organizations!$B$1:$C988,2,false)</f>
        <v>Community Family Center</v>
      </c>
      <c r="AB228" s="46" t="s">
        <v>862</v>
      </c>
      <c r="AC228" s="47" t="s">
        <v>278</v>
      </c>
      <c r="AD228" s="48" t="s">
        <v>863</v>
      </c>
      <c r="AE228" s="48" t="str">
        <f t="shared" si="34"/>
        <v>Community Family Center7524 Avenue E12</v>
      </c>
      <c r="AF228" s="48" t="str">
        <f t="shared" si="35"/>
        <v/>
      </c>
    </row>
    <row r="229" ht="66.75" customHeight="1">
      <c r="A229" s="49" t="s">
        <v>50</v>
      </c>
      <c r="B229" s="35" t="s">
        <v>1350</v>
      </c>
      <c r="C229" s="36" t="s">
        <v>856</v>
      </c>
      <c r="D229" s="36"/>
      <c r="E229" s="36" t="s">
        <v>36</v>
      </c>
      <c r="F229" s="36" t="s">
        <v>37</v>
      </c>
      <c r="G229" s="35" t="s">
        <v>857</v>
      </c>
      <c r="H229" s="35" t="s">
        <v>1351</v>
      </c>
      <c r="I229" s="35" t="s">
        <v>272</v>
      </c>
      <c r="J229" s="35"/>
      <c r="K229" s="37">
        <f>IFERROR(__xludf.DUMMYFUNCTION("query(assistance!$A$2:$E988,""Select C Where D = '""&amp;L229&amp;""'"")"),13.0)</f>
        <v>13</v>
      </c>
      <c r="L229" s="36" t="s">
        <v>240</v>
      </c>
      <c r="M229" s="38">
        <f t="shared" ref="M229:M274" si="40">if(N229="Inactive",3,if(N229="Limited", 2, 1))</f>
        <v>1</v>
      </c>
      <c r="N229" s="39" t="s">
        <v>42</v>
      </c>
      <c r="O229" s="40">
        <v>46052.0</v>
      </c>
      <c r="P229" s="35" t="s">
        <v>323</v>
      </c>
      <c r="Q229" s="50"/>
      <c r="R229" s="50"/>
      <c r="S229" s="35" t="b">
        <v>0</v>
      </c>
      <c r="T229" s="35" t="b">
        <v>0</v>
      </c>
      <c r="U229" s="41" t="str">
        <f>IFERROR(__xludf.DUMMYFUNCTION("""["" &amp; JOIN("", "", ARRAYFORMULA("""""""" &amp; TRIM(SPLIT(A229, "","")) &amp; """""""")) &amp; ""]"""),"[""99999""]")</f>
        <v>["99999"]</v>
      </c>
      <c r="V229" s="52" t="s">
        <v>1353</v>
      </c>
      <c r="W229" s="52" t="s">
        <v>1354</v>
      </c>
      <c r="X229" s="43"/>
      <c r="Y229" s="44" t="str">
        <f>vlookup(G229,zip_codes!$B$6:$J988,3,false)</f>
        <v>Houston</v>
      </c>
      <c r="Z229" s="45" t="str">
        <f>vlookup(G229,zip_codes!$B$6:$J988,9,false)</f>
        <v>Greater East End, Harrisburg, Magnolia Park</v>
      </c>
      <c r="AA229" s="44" t="str">
        <f>vlookup(B229,organizations!$B$1:$C988,2,false)</f>
        <v>Community Family Center</v>
      </c>
      <c r="AB229" s="46" t="s">
        <v>862</v>
      </c>
      <c r="AC229" s="47" t="s">
        <v>278</v>
      </c>
      <c r="AD229" s="48" t="s">
        <v>863</v>
      </c>
      <c r="AE229" s="48" t="str">
        <f t="shared" si="34"/>
        <v>Community Family Center7524 Avenue E13</v>
      </c>
      <c r="AF229" s="48" t="str">
        <f t="shared" si="35"/>
        <v/>
      </c>
    </row>
    <row r="230" ht="66.75" customHeight="1">
      <c r="A230" s="49" t="s">
        <v>50</v>
      </c>
      <c r="B230" s="35" t="s">
        <v>1350</v>
      </c>
      <c r="C230" s="36" t="s">
        <v>856</v>
      </c>
      <c r="D230" s="36"/>
      <c r="E230" s="36" t="s">
        <v>36</v>
      </c>
      <c r="F230" s="36" t="s">
        <v>37</v>
      </c>
      <c r="G230" s="35" t="s">
        <v>857</v>
      </c>
      <c r="H230" s="35" t="s">
        <v>1351</v>
      </c>
      <c r="I230" s="35" t="s">
        <v>272</v>
      </c>
      <c r="J230" s="35"/>
      <c r="K230" s="37">
        <f>IFERROR(__xludf.DUMMYFUNCTION("query(assistance!$A$2:$E988,""Select C Where D = '""&amp;L230&amp;""'"")"),35.0)</f>
        <v>35</v>
      </c>
      <c r="L230" s="36" t="s">
        <v>731</v>
      </c>
      <c r="M230" s="38">
        <f t="shared" si="40"/>
        <v>1</v>
      </c>
      <c r="N230" s="39" t="s">
        <v>42</v>
      </c>
      <c r="O230" s="40">
        <v>46052.0</v>
      </c>
      <c r="P230" s="35" t="s">
        <v>323</v>
      </c>
      <c r="Q230" s="35"/>
      <c r="R230" s="35" t="s">
        <v>1356</v>
      </c>
      <c r="S230" s="35" t="b">
        <v>0</v>
      </c>
      <c r="T230" s="35" t="b">
        <v>0</v>
      </c>
      <c r="U230" s="41" t="str">
        <f>IFERROR(__xludf.DUMMYFUNCTION("""["" &amp; JOIN("", "", ARRAYFORMULA("""""""" &amp; TRIM(SPLIT(A230, "","")) &amp; """""""")) &amp; ""]"""),"[""99999""]")</f>
        <v>["99999"]</v>
      </c>
      <c r="V230" s="52" t="s">
        <v>1353</v>
      </c>
      <c r="W230" s="52" t="s">
        <v>1354</v>
      </c>
      <c r="X230" s="43"/>
      <c r="Y230" s="44" t="str">
        <f>vlookup(G230,zip_codes!$B$6:$J988,3,false)</f>
        <v>Houston</v>
      </c>
      <c r="Z230" s="45" t="str">
        <f>vlookup(G230,zip_codes!$B$6:$J988,9,false)</f>
        <v>Greater East End, Harrisburg, Magnolia Park</v>
      </c>
      <c r="AA230" s="44" t="str">
        <f>vlookup(B230,organizations!$B$1:$C988,2,false)</f>
        <v>Community Family Center</v>
      </c>
      <c r="AB230" s="46" t="s">
        <v>862</v>
      </c>
      <c r="AC230" s="47" t="s">
        <v>278</v>
      </c>
      <c r="AD230" s="48" t="s">
        <v>863</v>
      </c>
      <c r="AE230" s="48" t="str">
        <f t="shared" si="34"/>
        <v>Community Family Center7524 Avenue E35</v>
      </c>
      <c r="AF230" s="48" t="str">
        <f t="shared" si="35"/>
        <v/>
      </c>
    </row>
    <row r="231" ht="66.75" customHeight="1">
      <c r="A231" s="49" t="s">
        <v>50</v>
      </c>
      <c r="B231" s="35" t="s">
        <v>1350</v>
      </c>
      <c r="C231" s="36" t="s">
        <v>856</v>
      </c>
      <c r="D231" s="36"/>
      <c r="E231" s="36" t="s">
        <v>36</v>
      </c>
      <c r="F231" s="36" t="s">
        <v>37</v>
      </c>
      <c r="G231" s="35" t="s">
        <v>857</v>
      </c>
      <c r="H231" s="35" t="s">
        <v>1351</v>
      </c>
      <c r="I231" s="35" t="s">
        <v>272</v>
      </c>
      <c r="J231" s="35"/>
      <c r="K231" s="37">
        <f>IFERROR(__xludf.DUMMYFUNCTION("query(assistance!$A$2:$E988,""Select C Where D = '""&amp;L231&amp;""'"")"),44.0)</f>
        <v>44</v>
      </c>
      <c r="L231" s="36" t="s">
        <v>102</v>
      </c>
      <c r="M231" s="38">
        <f t="shared" si="40"/>
        <v>1</v>
      </c>
      <c r="N231" s="39" t="s">
        <v>42</v>
      </c>
      <c r="O231" s="40">
        <v>46052.0</v>
      </c>
      <c r="P231" s="35" t="s">
        <v>323</v>
      </c>
      <c r="Q231" s="35"/>
      <c r="R231" s="35" t="s">
        <v>1357</v>
      </c>
      <c r="S231" s="35" t="b">
        <v>0</v>
      </c>
      <c r="T231" s="35" t="b">
        <v>0</v>
      </c>
      <c r="U231" s="41" t="str">
        <f>IFERROR(__xludf.DUMMYFUNCTION("""["" &amp; JOIN("", "", ARRAYFORMULA("""""""" &amp; TRIM(SPLIT(A231, "","")) &amp; """""""")) &amp; ""]"""),"[""99999""]")</f>
        <v>["99999"]</v>
      </c>
      <c r="V231" s="52" t="s">
        <v>1353</v>
      </c>
      <c r="W231" s="52" t="s">
        <v>1354</v>
      </c>
      <c r="X231" s="43"/>
      <c r="Y231" s="44" t="str">
        <f>vlookup(G231,zip_codes!$B$6:$J988,3,false)</f>
        <v>Houston</v>
      </c>
      <c r="Z231" s="45" t="str">
        <f>vlookup(G231,zip_codes!$B$6:$J988,9,false)</f>
        <v>Greater East End, Harrisburg, Magnolia Park</v>
      </c>
      <c r="AA231" s="44" t="str">
        <f>vlookup(B231,organizations!$B$1:$C988,2,false)</f>
        <v>Community Family Center</v>
      </c>
      <c r="AB231" s="46" t="s">
        <v>862</v>
      </c>
      <c r="AC231" s="47" t="s">
        <v>278</v>
      </c>
      <c r="AD231" s="48" t="s">
        <v>863</v>
      </c>
      <c r="AE231" s="48" t="str">
        <f t="shared" si="34"/>
        <v>Community Family Center7524 Avenue E44</v>
      </c>
      <c r="AF231" s="48" t="str">
        <f t="shared" si="35"/>
        <v/>
      </c>
    </row>
    <row r="232" ht="66.75" customHeight="1">
      <c r="A232" s="49" t="s">
        <v>50</v>
      </c>
      <c r="B232" s="35" t="s">
        <v>1350</v>
      </c>
      <c r="C232" s="36" t="s">
        <v>856</v>
      </c>
      <c r="D232" s="36"/>
      <c r="E232" s="36" t="s">
        <v>36</v>
      </c>
      <c r="F232" s="36" t="s">
        <v>37</v>
      </c>
      <c r="G232" s="35" t="s">
        <v>857</v>
      </c>
      <c r="H232" s="35" t="s">
        <v>1351</v>
      </c>
      <c r="I232" s="35" t="s">
        <v>272</v>
      </c>
      <c r="J232" s="35"/>
      <c r="K232" s="37">
        <f>IFERROR(__xludf.DUMMYFUNCTION("query(assistance!$A$2:$E988,""Select C Where D = '""&amp;L232&amp;""'"")"),51.0)</f>
        <v>51</v>
      </c>
      <c r="L232" s="36" t="s">
        <v>468</v>
      </c>
      <c r="M232" s="38">
        <f t="shared" si="40"/>
        <v>1</v>
      </c>
      <c r="N232" s="39" t="s">
        <v>42</v>
      </c>
      <c r="O232" s="40">
        <v>46052.0</v>
      </c>
      <c r="P232" s="35" t="s">
        <v>323</v>
      </c>
      <c r="Q232" s="35"/>
      <c r="R232" s="35" t="s">
        <v>1358</v>
      </c>
      <c r="S232" s="35" t="b">
        <v>0</v>
      </c>
      <c r="T232" s="35" t="b">
        <v>0</v>
      </c>
      <c r="U232" s="41" t="str">
        <f>IFERROR(__xludf.DUMMYFUNCTION("""["" &amp; JOIN("", "", ARRAYFORMULA("""""""" &amp; TRIM(SPLIT(A232, "","")) &amp; """""""")) &amp; ""]"""),"[""99999""]")</f>
        <v>["99999"]</v>
      </c>
      <c r="V232" s="52" t="s">
        <v>1353</v>
      </c>
      <c r="W232" s="52" t="s">
        <v>1354</v>
      </c>
      <c r="X232" s="43"/>
      <c r="Y232" s="44" t="str">
        <f>vlookup(G232,zip_codes!$B$6:$J988,3,false)</f>
        <v>Houston</v>
      </c>
      <c r="Z232" s="45" t="str">
        <f>vlookup(G232,zip_codes!$B$6:$J988,9,false)</f>
        <v>Greater East End, Harrisburg, Magnolia Park</v>
      </c>
      <c r="AA232" s="44" t="str">
        <f>vlookup(B232,organizations!$B$1:$C988,2,false)</f>
        <v>Community Family Center</v>
      </c>
      <c r="AB232" s="46" t="s">
        <v>862</v>
      </c>
      <c r="AC232" s="47" t="s">
        <v>278</v>
      </c>
      <c r="AD232" s="48" t="s">
        <v>863</v>
      </c>
      <c r="AE232" s="48" t="str">
        <f t="shared" si="34"/>
        <v>Community Family Center7524 Avenue E51</v>
      </c>
      <c r="AF232" s="48" t="str">
        <f t="shared" si="35"/>
        <v/>
      </c>
    </row>
    <row r="233" ht="66.75" customHeight="1">
      <c r="A233" s="34" t="s">
        <v>1333</v>
      </c>
      <c r="B233" s="35" t="s">
        <v>1359</v>
      </c>
      <c r="C233" s="36" t="s">
        <v>1360</v>
      </c>
      <c r="D233" s="36"/>
      <c r="E233" s="36" t="s">
        <v>989</v>
      </c>
      <c r="F233" s="36" t="s">
        <v>37</v>
      </c>
      <c r="G233" s="35" t="s">
        <v>1361</v>
      </c>
      <c r="H233" s="35" t="s">
        <v>1362</v>
      </c>
      <c r="I233" s="35" t="s">
        <v>1363</v>
      </c>
      <c r="J233" s="35"/>
      <c r="K233" s="37">
        <f>IFERROR(__xludf.DUMMYFUNCTION("query(assistance!$A$2:$E988,""Select C Where D = '""&amp;L233&amp;""'"")"),13.0)</f>
        <v>13</v>
      </c>
      <c r="L233" s="36" t="s">
        <v>240</v>
      </c>
      <c r="M233" s="38">
        <f t="shared" si="40"/>
        <v>1</v>
      </c>
      <c r="N233" s="39" t="s">
        <v>42</v>
      </c>
      <c r="O233" s="57">
        <v>45941.0</v>
      </c>
      <c r="P233" s="35"/>
      <c r="Q233" s="35"/>
      <c r="R233" s="35"/>
      <c r="S233" s="35" t="b">
        <v>0</v>
      </c>
      <c r="T233" s="35" t="b">
        <v>0</v>
      </c>
      <c r="U233" s="41" t="str">
        <f>IFERROR(__xludf.DUMMYFUNCTION("""["" &amp; JOIN("", "", ARRAYFORMULA("""""""" &amp; TRIM(SPLIT(A233,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233" s="42" t="s">
        <v>1364</v>
      </c>
      <c r="W233" s="42" t="s">
        <v>1365</v>
      </c>
      <c r="X233" s="43"/>
      <c r="Y233" s="44" t="str">
        <f>vlookup(G233,zip_codes!$B$6:$J988,3,false)</f>
        <v>Conroe</v>
      </c>
      <c r="Z233" s="45" t="str">
        <f>vlookup(G233,zip_codes!$B$6:$J988,9,false)</f>
        <v>Caney Creek, Conroe (Northeast), Cut and Shoot</v>
      </c>
      <c r="AA233" s="44" t="str">
        <f>vlookup(B233,organizations!$B$1:$C988,2,false)</f>
        <v>Compassion United</v>
      </c>
      <c r="AB233" s="55" t="s">
        <v>1366</v>
      </c>
      <c r="AC233" s="47" t="s">
        <v>1367</v>
      </c>
      <c r="AD233" s="48" t="s">
        <v>1368</v>
      </c>
      <c r="AE233" s="48" t="str">
        <f t="shared" si="34"/>
        <v>Compassion United18856 FN 148413</v>
      </c>
      <c r="AF233" s="48" t="str">
        <f t="shared" si="35"/>
        <v/>
      </c>
    </row>
    <row r="234" ht="66.75" customHeight="1">
      <c r="A234" s="34" t="s">
        <v>1333</v>
      </c>
      <c r="B234" s="35" t="s">
        <v>1359</v>
      </c>
      <c r="C234" s="36" t="s">
        <v>1369</v>
      </c>
      <c r="D234" s="36"/>
      <c r="E234" s="36" t="s">
        <v>989</v>
      </c>
      <c r="F234" s="36" t="s">
        <v>37</v>
      </c>
      <c r="G234" s="35" t="s">
        <v>1336</v>
      </c>
      <c r="H234" s="35" t="s">
        <v>1362</v>
      </c>
      <c r="I234" s="35" t="s">
        <v>67</v>
      </c>
      <c r="J234" s="35"/>
      <c r="K234" s="37">
        <f>IFERROR(__xludf.DUMMYFUNCTION("query(assistance!$A$2:$E988,""Select C Where D = '""&amp;L234&amp;""'"")"),22.0)</f>
        <v>22</v>
      </c>
      <c r="L234" s="36" t="s">
        <v>1178</v>
      </c>
      <c r="M234" s="38">
        <f t="shared" si="40"/>
        <v>1</v>
      </c>
      <c r="N234" s="39" t="s">
        <v>42</v>
      </c>
      <c r="O234" s="57">
        <v>45941.0</v>
      </c>
      <c r="P234" s="35"/>
      <c r="Q234" s="35"/>
      <c r="R234" s="35" t="s">
        <v>1370</v>
      </c>
      <c r="S234" s="35" t="b">
        <v>0</v>
      </c>
      <c r="T234" s="35" t="b">
        <v>0</v>
      </c>
      <c r="U234" s="41" t="str">
        <f>IFERROR(__xludf.DUMMYFUNCTION("""["" &amp; JOIN("", "", ARRAYFORMULA("""""""" &amp; TRIM(SPLIT(A234,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234" s="42" t="s">
        <v>1371</v>
      </c>
      <c r="W234" s="42" t="s">
        <v>1372</v>
      </c>
      <c r="X234" s="43"/>
      <c r="Y234" s="44" t="str">
        <f>vlookup(G234,zip_codes!$B$6:$J988,3,false)</f>
        <v>Conroe</v>
      </c>
      <c r="Z234" s="45" t="str">
        <f>vlookup(G234,zip_codes!$B$6:$J988,9,false)</f>
        <v>Conroe (Central/Downtown), Panorama Village</v>
      </c>
      <c r="AA234" s="44" t="str">
        <f>vlookup(B234,organizations!$B$1:$C988,2,false)</f>
        <v>Compassion United</v>
      </c>
      <c r="AB234" s="55" t="s">
        <v>1373</v>
      </c>
      <c r="AC234" s="47" t="s">
        <v>73</v>
      </c>
      <c r="AD234" s="48" t="s">
        <v>989</v>
      </c>
      <c r="AE234" s="48" t="str">
        <f t="shared" si="34"/>
        <v>Compassion United350 Foster Drive22</v>
      </c>
      <c r="AF234" s="48" t="str">
        <f t="shared" si="35"/>
        <v/>
      </c>
    </row>
    <row r="235" ht="66.75" customHeight="1">
      <c r="A235" s="49" t="s">
        <v>50</v>
      </c>
      <c r="B235" s="35" t="s">
        <v>1374</v>
      </c>
      <c r="C235" s="36" t="s">
        <v>1375</v>
      </c>
      <c r="D235" s="36" t="s">
        <v>1376</v>
      </c>
      <c r="E235" s="36" t="s">
        <v>36</v>
      </c>
      <c r="F235" s="36" t="s">
        <v>37</v>
      </c>
      <c r="G235" s="35" t="s">
        <v>270</v>
      </c>
      <c r="H235" s="35" t="s">
        <v>1377</v>
      </c>
      <c r="I235" s="35" t="s">
        <v>1378</v>
      </c>
      <c r="J235" s="35" t="s">
        <v>1379</v>
      </c>
      <c r="K235" s="37">
        <f>IFERROR(__xludf.DUMMYFUNCTION("query(assistance!$A$2:$E988,""Select C Where D = '""&amp;L235&amp;""'"")"),24.0)</f>
        <v>24</v>
      </c>
      <c r="L235" s="36" t="s">
        <v>405</v>
      </c>
      <c r="M235" s="38">
        <f t="shared" si="40"/>
        <v>2</v>
      </c>
      <c r="N235" s="39" t="s">
        <v>385</v>
      </c>
      <c r="O235" s="57">
        <v>45967.0</v>
      </c>
      <c r="P235" s="35" t="s">
        <v>1380</v>
      </c>
      <c r="Q235" s="35"/>
      <c r="R235" s="35" t="s">
        <v>1381</v>
      </c>
      <c r="S235" s="35" t="b">
        <v>0</v>
      </c>
      <c r="T235" s="35" t="b">
        <v>0</v>
      </c>
      <c r="U235" s="41" t="str">
        <f>IFERROR(__xludf.DUMMYFUNCTION("""["" &amp; JOIN("", "", ARRAYFORMULA("""""""" &amp; TRIM(SPLIT(A235, "","")) &amp; """""""")) &amp; ""]"""),"[""99999""]")</f>
        <v>["99999"]</v>
      </c>
      <c r="V235" s="42" t="s">
        <v>1382</v>
      </c>
      <c r="W235" s="54" t="s">
        <v>1383</v>
      </c>
      <c r="X235" s="43"/>
      <c r="Y235" s="44" t="str">
        <f>vlookup(G235,zip_codes!$B$6:$J988,3,false)</f>
        <v>Houston</v>
      </c>
      <c r="Z235" s="45" t="str">
        <f>vlookup(G235,zip_codes!$B$6:$J988,9,false)</f>
        <v>Central Business District, Downtown Houston, East Downtown, South Central Houston, Theater District, University Place, Warehouse District</v>
      </c>
      <c r="AA235" s="44" t="str">
        <f>vlookup(B235,organizations!$B$1:$C988,2,false)</f>
        <v>Coordinated Access Intake</v>
      </c>
      <c r="AB235" s="55" t="s">
        <v>1384</v>
      </c>
      <c r="AC235" s="47" t="s">
        <v>1385</v>
      </c>
      <c r="AD235" s="58" t="s">
        <v>314</v>
      </c>
      <c r="AE235" s="48" t="str">
        <f t="shared" si="34"/>
        <v>Coordinated Access Intake200 Crawford Street24</v>
      </c>
      <c r="AF235" s="48" t="str">
        <f t="shared" si="35"/>
        <v/>
      </c>
    </row>
    <row r="236" ht="66.75" customHeight="1">
      <c r="A236" s="49" t="s">
        <v>50</v>
      </c>
      <c r="B236" s="35" t="s">
        <v>1386</v>
      </c>
      <c r="C236" s="36" t="s">
        <v>1387</v>
      </c>
      <c r="D236" s="36"/>
      <c r="E236" s="36" t="s">
        <v>36</v>
      </c>
      <c r="F236" s="36" t="s">
        <v>37</v>
      </c>
      <c r="G236" s="35" t="s">
        <v>1388</v>
      </c>
      <c r="H236" s="35" t="s">
        <v>1389</v>
      </c>
      <c r="I236" s="35"/>
      <c r="J236" s="35"/>
      <c r="K236" s="37">
        <f>IFERROR(__xludf.DUMMYFUNCTION("query(assistance!$A$2:$E988,""Select C Where D = '""&amp;L236&amp;""'"")"),24.0)</f>
        <v>24</v>
      </c>
      <c r="L236" s="36" t="s">
        <v>405</v>
      </c>
      <c r="M236" s="38">
        <f t="shared" si="40"/>
        <v>1</v>
      </c>
      <c r="N236" s="39" t="s">
        <v>42</v>
      </c>
      <c r="O236" s="40">
        <v>45791.0</v>
      </c>
      <c r="P236" s="35" t="s">
        <v>43</v>
      </c>
      <c r="Q236" s="35"/>
      <c r="R236" s="35" t="s">
        <v>1390</v>
      </c>
      <c r="S236" s="35" t="b">
        <v>0</v>
      </c>
      <c r="T236" s="35" t="b">
        <v>0</v>
      </c>
      <c r="U236" s="41" t="str">
        <f>IFERROR(__xludf.DUMMYFUNCTION("""["" &amp; JOIN("", "", ARRAYFORMULA("""""""" &amp; TRIM(SPLIT(A236, "","")) &amp; """""""")) &amp; ""]"""),"[""99999""]")</f>
        <v>["99999"]</v>
      </c>
      <c r="V236" s="42" t="s">
        <v>1391</v>
      </c>
      <c r="W236" s="59" t="s">
        <v>1392</v>
      </c>
      <c r="X236" s="43"/>
      <c r="Y236" s="44" t="str">
        <f>vlookup(G236,zip_codes!$B$6:$J988,3,false)</f>
        <v>Houston</v>
      </c>
      <c r="Z236" s="45" t="str">
        <f>vlookup(G236,zip_codes!$B$6:$J988,9,false)</f>
        <v>Bammel Village, Cornerstone Village North, Northchase</v>
      </c>
      <c r="AA236" s="44" t="str">
        <f>vlookup(B236,organizations!$B$1:$C988,2,false)</f>
        <v>Cornerstone Gardens (RHF)</v>
      </c>
      <c r="AB236" s="46" t="s">
        <v>1393</v>
      </c>
      <c r="AC236" s="53"/>
      <c r="AD236" s="48" t="s">
        <v>1394</v>
      </c>
      <c r="AE236" s="48" t="str">
        <f t="shared" si="34"/>
        <v>Cornerstone Gardens (RHF)14522 Cornerstone Village Drive24</v>
      </c>
      <c r="AF236" s="48" t="str">
        <f t="shared" si="35"/>
        <v/>
      </c>
    </row>
    <row r="237" ht="66.75" customHeight="1">
      <c r="A237" s="49" t="s">
        <v>50</v>
      </c>
      <c r="B237" s="35" t="s">
        <v>1395</v>
      </c>
      <c r="C237" s="36" t="s">
        <v>1396</v>
      </c>
      <c r="D237" s="36"/>
      <c r="E237" s="36" t="s">
        <v>36</v>
      </c>
      <c r="F237" s="36" t="s">
        <v>37</v>
      </c>
      <c r="G237" s="35" t="s">
        <v>749</v>
      </c>
      <c r="H237" s="35" t="s">
        <v>1397</v>
      </c>
      <c r="I237" s="35" t="s">
        <v>1398</v>
      </c>
      <c r="J237" s="35" t="s">
        <v>1399</v>
      </c>
      <c r="K237" s="37">
        <f>IFERROR(__xludf.DUMMYFUNCTION("query(assistance!$A$2:$E988,""Select C Where D = '""&amp;L237&amp;""'"")"),22.0)</f>
        <v>22</v>
      </c>
      <c r="L237" s="36" t="s">
        <v>1178</v>
      </c>
      <c r="M237" s="38">
        <f t="shared" si="40"/>
        <v>1</v>
      </c>
      <c r="N237" s="39" t="s">
        <v>42</v>
      </c>
      <c r="O237" s="65"/>
      <c r="P237" s="50"/>
      <c r="Q237" s="35"/>
      <c r="R237" s="35" t="s">
        <v>1400</v>
      </c>
      <c r="S237" s="35" t="b">
        <v>0</v>
      </c>
      <c r="T237" s="35" t="b">
        <v>0</v>
      </c>
      <c r="U237" s="41" t="str">
        <f>IFERROR(__xludf.DUMMYFUNCTION("""["" &amp; JOIN("", "", ARRAYFORMULA("""""""" &amp; TRIM(SPLIT(A237, "","")) &amp; """""""")) &amp; ""]"""),"[""99999""]")</f>
        <v>["99999"]</v>
      </c>
      <c r="V237" s="87"/>
      <c r="W237" s="43"/>
      <c r="X237" s="43"/>
      <c r="Y237" s="44" t="str">
        <f>vlookup(G237,zip_codes!$B$6:$J988,3,false)</f>
        <v>Houston</v>
      </c>
      <c r="Z237" s="45" t="str">
        <f>vlookup(G237,zip_codes!$B$6:$J988,9,false)</f>
        <v>East Downtown, Downtown Houston, Houston Museum District, Midtown, Museum District, South Central Houston, South Side, Third Ward, University Place</v>
      </c>
      <c r="AA237" s="44" t="str">
        <f>vlookup(B237,organizations!$B$1:$C988,2,false)</f>
        <v>Covenant House Texas</v>
      </c>
      <c r="AB237" s="46" t="s">
        <v>1401</v>
      </c>
      <c r="AC237" s="47" t="s">
        <v>1402</v>
      </c>
      <c r="AD237" s="48" t="s">
        <v>49</v>
      </c>
      <c r="AE237" s="48" t="str">
        <f t="shared" si="34"/>
        <v>Covenant House Texas3412 Beulah Street22</v>
      </c>
      <c r="AF237" s="48" t="str">
        <f t="shared" si="35"/>
        <v/>
      </c>
    </row>
    <row r="238" ht="66.75" customHeight="1">
      <c r="A238" s="49" t="s">
        <v>50</v>
      </c>
      <c r="B238" s="35" t="s">
        <v>1403</v>
      </c>
      <c r="C238" s="36" t="s">
        <v>1404</v>
      </c>
      <c r="D238" s="36"/>
      <c r="E238" s="36" t="s">
        <v>36</v>
      </c>
      <c r="F238" s="36" t="s">
        <v>37</v>
      </c>
      <c r="G238" s="35" t="s">
        <v>1405</v>
      </c>
      <c r="H238" s="35" t="s">
        <v>1406</v>
      </c>
      <c r="I238" s="35"/>
      <c r="J238" s="35"/>
      <c r="K238" s="37">
        <f>IFERROR(__xludf.DUMMYFUNCTION("query(assistance!$A$2:$E988,""Select C Where D = '""&amp;L238&amp;""'"")"),24.0)</f>
        <v>24</v>
      </c>
      <c r="L238" s="36" t="s">
        <v>405</v>
      </c>
      <c r="M238" s="38">
        <f t="shared" si="40"/>
        <v>1</v>
      </c>
      <c r="N238" s="39" t="s">
        <v>42</v>
      </c>
      <c r="O238" s="40">
        <v>45791.0</v>
      </c>
      <c r="P238" s="35" t="s">
        <v>43</v>
      </c>
      <c r="Q238" s="35"/>
      <c r="R238" s="35" t="s">
        <v>1407</v>
      </c>
      <c r="S238" s="35" t="b">
        <v>0</v>
      </c>
      <c r="T238" s="35" t="b">
        <v>0</v>
      </c>
      <c r="U238" s="41" t="str">
        <f>IFERROR(__xludf.DUMMYFUNCTION("""["" &amp; JOIN("", "", ARRAYFORMULA("""""""" &amp; TRIM(SPLIT(A238, "","")) &amp; """""""")) &amp; ""]"""),"[""99999""]")</f>
        <v>["99999"]</v>
      </c>
      <c r="V238" s="42" t="s">
        <v>1408</v>
      </c>
      <c r="W238" s="42" t="s">
        <v>1409</v>
      </c>
      <c r="X238" s="43"/>
      <c r="Y238" s="44" t="str">
        <f>vlookup(G238,zip_codes!$B$6:$J988,3,false)</f>
        <v>Houston</v>
      </c>
      <c r="Z238" s="45" t="str">
        <f>vlookup(G238,zip_codes!$B$6:$J988,9,false)</f>
        <v>Brays Oaks, Fondren Gardens, Westbury</v>
      </c>
      <c r="AA238" s="44" t="str">
        <f>vlookup(B238,organizations!$B$1:$C988,2,false)</f>
        <v>Creekbend Gardens (RHF)</v>
      </c>
      <c r="AB238" s="46" t="s">
        <v>1410</v>
      </c>
      <c r="AC238" s="53"/>
      <c r="AD238" s="48" t="s">
        <v>62</v>
      </c>
      <c r="AE238" s="48" t="str">
        <f t="shared" si="34"/>
        <v>Creekbend Gardens (RHF)8106 Creekbend Drive24</v>
      </c>
      <c r="AF238" s="48" t="str">
        <f t="shared" si="35"/>
        <v/>
      </c>
    </row>
    <row r="239" ht="66.75" customHeight="1">
      <c r="A239" s="49" t="s">
        <v>1411</v>
      </c>
      <c r="B239" s="35" t="s">
        <v>1412</v>
      </c>
      <c r="C239" s="36" t="s">
        <v>1413</v>
      </c>
      <c r="D239" s="36"/>
      <c r="E239" s="36" t="s">
        <v>36</v>
      </c>
      <c r="F239" s="36" t="s">
        <v>37</v>
      </c>
      <c r="G239" s="35" t="s">
        <v>1414</v>
      </c>
      <c r="H239" s="35" t="s">
        <v>1415</v>
      </c>
      <c r="I239" s="35" t="s">
        <v>1416</v>
      </c>
      <c r="J239" s="35"/>
      <c r="K239" s="37">
        <f>IFERROR(__xludf.DUMMYFUNCTION("query(assistance!$A$2:$E988,""Select C Where D = '""&amp;L239&amp;""'"")"),13.0)</f>
        <v>13</v>
      </c>
      <c r="L239" s="36" t="s">
        <v>240</v>
      </c>
      <c r="M239" s="38">
        <f t="shared" si="40"/>
        <v>1</v>
      </c>
      <c r="N239" s="39" t="s">
        <v>42</v>
      </c>
      <c r="O239" s="65"/>
      <c r="P239" s="50"/>
      <c r="Q239" s="35"/>
      <c r="R239" s="35" t="s">
        <v>1417</v>
      </c>
      <c r="S239" s="35" t="b">
        <v>0</v>
      </c>
      <c r="T239" s="35" t="b">
        <v>0</v>
      </c>
      <c r="U239" s="41" t="str">
        <f>IFERROR(__xludf.DUMMYFUNCTION("""["" &amp; JOIN("", "", ARRAYFORMULA("""""""" &amp; TRIM(SPLIT(A239, "","")) &amp; """""""")) &amp; ""]"""),"[""77040"", ""77041"", ""77064"", ""77065"", ""77066"", ""77069"", ""77070"", ""77084"", ""77088"", ""77092"", ""77095"", ""77429"", ""77433"", ""77449""]")</f>
        <v>["77040", "77041", "77064", "77065", "77066", "77069", "77070", "77084", "77088", "77092", "77095", "77429", "77433", "77449"]</v>
      </c>
      <c r="V239" s="52" t="s">
        <v>1418</v>
      </c>
      <c r="W239" s="52" t="s">
        <v>1419</v>
      </c>
      <c r="X239" s="43"/>
      <c r="Y239" s="44" t="str">
        <f>vlookup(G239,zip_codes!$B$6:$J988,3,false)</f>
        <v>Houston</v>
      </c>
      <c r="Z239" s="45" t="str">
        <f>vlookup(G239,zip_codes!$B$6:$J988,9,false)</f>
        <v>Fairbanks / Northwest Crossing, Jersey Village, Northside, Oak Hollow</v>
      </c>
      <c r="AA239" s="44" t="str">
        <f>vlookup(B239,organizations!$B$1:$C988,2,false)</f>
        <v>Cy-Fair Helping Hands</v>
      </c>
      <c r="AB239" s="46" t="s">
        <v>1420</v>
      </c>
      <c r="AC239" s="47" t="s">
        <v>1421</v>
      </c>
      <c r="AD239" s="48" t="s">
        <v>1422</v>
      </c>
      <c r="AE239" s="48" t="str">
        <f t="shared" si="34"/>
        <v>Cy-Fair Helping Hands9204 Emmott Road13</v>
      </c>
      <c r="AF239" s="48" t="str">
        <f t="shared" si="35"/>
        <v/>
      </c>
    </row>
    <row r="240" ht="66.75" customHeight="1">
      <c r="A240" s="49" t="s">
        <v>1411</v>
      </c>
      <c r="B240" s="35" t="s">
        <v>1412</v>
      </c>
      <c r="C240" s="36" t="s">
        <v>1413</v>
      </c>
      <c r="D240" s="36"/>
      <c r="E240" s="36" t="s">
        <v>36</v>
      </c>
      <c r="F240" s="36" t="s">
        <v>37</v>
      </c>
      <c r="G240" s="35" t="s">
        <v>1414</v>
      </c>
      <c r="H240" s="35" t="s">
        <v>1415</v>
      </c>
      <c r="I240" s="35" t="s">
        <v>1423</v>
      </c>
      <c r="J240" s="35"/>
      <c r="K240" s="37">
        <f>IFERROR(__xludf.DUMMYFUNCTION("query(assistance!$A$2:$E988,""Select C Where D = '""&amp;L240&amp;""'"")"),22.0)</f>
        <v>22</v>
      </c>
      <c r="L240" s="36" t="s">
        <v>1178</v>
      </c>
      <c r="M240" s="38">
        <f t="shared" si="40"/>
        <v>1</v>
      </c>
      <c r="N240" s="39" t="s">
        <v>42</v>
      </c>
      <c r="O240" s="65"/>
      <c r="P240" s="50"/>
      <c r="Q240" s="35"/>
      <c r="R240" s="35" t="s">
        <v>1424</v>
      </c>
      <c r="S240" s="35" t="b">
        <v>0</v>
      </c>
      <c r="T240" s="35" t="b">
        <v>0</v>
      </c>
      <c r="U240" s="41" t="str">
        <f>IFERROR(__xludf.DUMMYFUNCTION("""["" &amp; JOIN("", "", ARRAYFORMULA("""""""" &amp; TRIM(SPLIT(A240, "","")) &amp; """""""")) &amp; ""]"""),"[""77040"", ""77041"", ""77064"", ""77065"", ""77066"", ""77069"", ""77070"", ""77084"", ""77088"", ""77092"", ""77095"", ""77429"", ""77433"", ""77449""]")</f>
        <v>["77040", "77041", "77064", "77065", "77066", "77069", "77070", "77084", "77088", "77092", "77095", "77429", "77433", "77449"]</v>
      </c>
      <c r="V240" s="52" t="s">
        <v>1418</v>
      </c>
      <c r="W240" s="52" t="s">
        <v>1419</v>
      </c>
      <c r="X240" s="43"/>
      <c r="Y240" s="44" t="str">
        <f>vlookup(G240,zip_codes!$B$6:$J988,3,false)</f>
        <v>Houston</v>
      </c>
      <c r="Z240" s="45" t="str">
        <f>vlookup(G240,zip_codes!$B$6:$J988,9,false)</f>
        <v>Fairbanks / Northwest Crossing, Jersey Village, Northside, Oak Hollow</v>
      </c>
      <c r="AA240" s="44" t="str">
        <f>vlookup(B240,organizations!$B$1:$C988,2,false)</f>
        <v>Cy-Fair Helping Hands</v>
      </c>
      <c r="AB240" s="46" t="s">
        <v>1420</v>
      </c>
      <c r="AC240" s="47" t="s">
        <v>1425</v>
      </c>
      <c r="AD240" s="48" t="s">
        <v>1422</v>
      </c>
      <c r="AE240" s="48" t="str">
        <f t="shared" si="34"/>
        <v>Cy-Fair Helping Hands9204 Emmott Road22</v>
      </c>
      <c r="AF240" s="48" t="str">
        <f t="shared" si="35"/>
        <v/>
      </c>
    </row>
    <row r="241" ht="66.75" customHeight="1">
      <c r="A241" s="49" t="s">
        <v>1411</v>
      </c>
      <c r="B241" s="35" t="s">
        <v>1412</v>
      </c>
      <c r="C241" s="36" t="s">
        <v>1413</v>
      </c>
      <c r="D241" s="36"/>
      <c r="E241" s="36" t="s">
        <v>36</v>
      </c>
      <c r="F241" s="36" t="s">
        <v>37</v>
      </c>
      <c r="G241" s="35" t="s">
        <v>1414</v>
      </c>
      <c r="H241" s="35" t="s">
        <v>1415</v>
      </c>
      <c r="I241" s="35" t="s">
        <v>1426</v>
      </c>
      <c r="J241" s="35" t="s">
        <v>89</v>
      </c>
      <c r="K241" s="37">
        <f>IFERROR(__xludf.DUMMYFUNCTION("query(assistance!$A$2:$E988,""Select C Where D = '""&amp;L241&amp;""'"")"),24.0)</f>
        <v>24</v>
      </c>
      <c r="L241" s="36" t="s">
        <v>405</v>
      </c>
      <c r="M241" s="38">
        <f t="shared" si="40"/>
        <v>2</v>
      </c>
      <c r="N241" s="51" t="s">
        <v>385</v>
      </c>
      <c r="O241" s="40">
        <v>45647.0</v>
      </c>
      <c r="P241" s="35" t="s">
        <v>1427</v>
      </c>
      <c r="Q241" s="35"/>
      <c r="R241" s="35" t="s">
        <v>1428</v>
      </c>
      <c r="S241" s="35" t="b">
        <v>0</v>
      </c>
      <c r="T241" s="35" t="b">
        <v>0</v>
      </c>
      <c r="U241" s="41" t="str">
        <f>IFERROR(__xludf.DUMMYFUNCTION("""["" &amp; JOIN("", "", ARRAYFORMULA("""""""" &amp; TRIM(SPLIT(A241, "","")) &amp; """""""")) &amp; ""]"""),"[""77040"", ""77041"", ""77064"", ""77065"", ""77066"", ""77069"", ""77070"", ""77084"", ""77088"", ""77092"", ""77095"", ""77429"", ""77433"", ""77449""]")</f>
        <v>["77040", "77041", "77064", "77065", "77066", "77069", "77070", "77084", "77088", "77092", "77095", "77429", "77433", "77449"]</v>
      </c>
      <c r="V241" s="52" t="s">
        <v>1418</v>
      </c>
      <c r="W241" s="52" t="s">
        <v>1419</v>
      </c>
      <c r="X241" s="43"/>
      <c r="Y241" s="44" t="str">
        <f>vlookup(G241,zip_codes!$B$6:$J988,3,false)</f>
        <v>Houston</v>
      </c>
      <c r="Z241" s="45" t="str">
        <f>vlookup(G241,zip_codes!$B$6:$J988,9,false)</f>
        <v>Fairbanks / Northwest Crossing, Jersey Village, Northside, Oak Hollow</v>
      </c>
      <c r="AA241" s="44" t="str">
        <f>vlookup(B241,organizations!$B$1:$C988,2,false)</f>
        <v>Cy-Fair Helping Hands</v>
      </c>
      <c r="AB241" s="46" t="s">
        <v>1420</v>
      </c>
      <c r="AC241" s="47" t="s">
        <v>1429</v>
      </c>
      <c r="AD241" s="48" t="s">
        <v>1422</v>
      </c>
      <c r="AE241" s="48" t="str">
        <f t="shared" si="34"/>
        <v>Cy-Fair Helping Hands9204 Emmott Road24</v>
      </c>
      <c r="AF241" s="48" t="str">
        <f t="shared" si="35"/>
        <v/>
      </c>
    </row>
    <row r="242" ht="66.75" customHeight="1">
      <c r="A242" s="49" t="s">
        <v>1411</v>
      </c>
      <c r="B242" s="35" t="s">
        <v>1412</v>
      </c>
      <c r="C242" s="36" t="s">
        <v>1413</v>
      </c>
      <c r="D242" s="36"/>
      <c r="E242" s="36" t="s">
        <v>36</v>
      </c>
      <c r="F242" s="36" t="s">
        <v>37</v>
      </c>
      <c r="G242" s="35" t="s">
        <v>1414</v>
      </c>
      <c r="H242" s="35" t="s">
        <v>1415</v>
      </c>
      <c r="I242" s="50"/>
      <c r="J242" s="64"/>
      <c r="K242" s="37">
        <f>IFERROR(__xludf.DUMMYFUNCTION("query(assistance!$A$2:$E988,""Select C Where D = '""&amp;L242&amp;""'"")"),64.0)</f>
        <v>64</v>
      </c>
      <c r="L242" s="36" t="s">
        <v>817</v>
      </c>
      <c r="M242" s="38">
        <f t="shared" si="40"/>
        <v>1</v>
      </c>
      <c r="N242" s="39" t="s">
        <v>42</v>
      </c>
      <c r="O242" s="65"/>
      <c r="P242" s="50"/>
      <c r="Q242" s="35"/>
      <c r="R242" s="35" t="s">
        <v>1430</v>
      </c>
      <c r="S242" s="35" t="b">
        <v>0</v>
      </c>
      <c r="T242" s="35" t="b">
        <v>0</v>
      </c>
      <c r="U242" s="41" t="str">
        <f>IFERROR(__xludf.DUMMYFUNCTION("""["" &amp; JOIN("", "", ARRAYFORMULA("""""""" &amp; TRIM(SPLIT(A242, "","")) &amp; """""""")) &amp; ""]"""),"[""77040"", ""77041"", ""77064"", ""77065"", ""77066"", ""77069"", ""77070"", ""77084"", ""77088"", ""77092"", ""77095"", ""77429"", ""77433"", ""77449""]")</f>
        <v>["77040", "77041", "77064", "77065", "77066", "77069", "77070", "77084", "77088", "77092", "77095", "77429", "77433", "77449"]</v>
      </c>
      <c r="V242" s="52" t="s">
        <v>1418</v>
      </c>
      <c r="W242" s="52" t="s">
        <v>1419</v>
      </c>
      <c r="X242" s="43"/>
      <c r="Y242" s="44" t="str">
        <f>vlookup(G242,zip_codes!$B$6:$J988,3,false)</f>
        <v>Houston</v>
      </c>
      <c r="Z242" s="45" t="str">
        <f>vlookup(G242,zip_codes!$B$6:$J988,9,false)</f>
        <v>Fairbanks / Northwest Crossing, Jersey Village, Northside, Oak Hollow</v>
      </c>
      <c r="AA242" s="44" t="str">
        <f>vlookup(B242,organizations!$B$1:$C988,2,false)</f>
        <v>Cy-Fair Helping Hands</v>
      </c>
      <c r="AB242" s="46" t="s">
        <v>1420</v>
      </c>
      <c r="AC242" s="53"/>
      <c r="AD242" s="48" t="s">
        <v>1422</v>
      </c>
      <c r="AE242" s="48" t="str">
        <f t="shared" si="34"/>
        <v>Cy-Fair Helping Hands9204 Emmott Road64</v>
      </c>
      <c r="AF242" s="48" t="str">
        <f t="shared" si="35"/>
        <v/>
      </c>
    </row>
    <row r="243" ht="66.75" customHeight="1">
      <c r="A243" s="49" t="s">
        <v>1431</v>
      </c>
      <c r="B243" s="35" t="s">
        <v>1432</v>
      </c>
      <c r="C243" s="36" t="s">
        <v>1433</v>
      </c>
      <c r="D243" s="36"/>
      <c r="E243" s="36" t="s">
        <v>36</v>
      </c>
      <c r="F243" s="36" t="s">
        <v>37</v>
      </c>
      <c r="G243" s="35" t="s">
        <v>1434</v>
      </c>
      <c r="H243" s="35" t="s">
        <v>1435</v>
      </c>
      <c r="I243" s="35" t="s">
        <v>1436</v>
      </c>
      <c r="J243" s="35" t="s">
        <v>298</v>
      </c>
      <c r="K243" s="37">
        <f>IFERROR(__xludf.DUMMYFUNCTION("query(assistance!$A$2:$E988,""Select C Where D = '""&amp;L243&amp;""'"")"),11.0)</f>
        <v>11</v>
      </c>
      <c r="L243" s="36" t="s">
        <v>322</v>
      </c>
      <c r="M243" s="38">
        <f t="shared" si="40"/>
        <v>1</v>
      </c>
      <c r="N243" s="39" t="s">
        <v>42</v>
      </c>
      <c r="O243" s="40">
        <v>46051.0</v>
      </c>
      <c r="P243" s="35" t="s">
        <v>323</v>
      </c>
      <c r="Q243" s="35"/>
      <c r="R243" s="35" t="s">
        <v>1437</v>
      </c>
      <c r="S243" s="35" t="b">
        <v>0</v>
      </c>
      <c r="T243" s="35" t="b">
        <v>0</v>
      </c>
      <c r="U243" s="41" t="str">
        <f>IFERROR(__xludf.DUMMYFUNCTION("""["" &amp; JOIN("", "", ARRAYFORMULA("""""""" &amp; TRIM(SPLIT(A243, "","")) &amp; """""""")) &amp; ""]"""),"[""77065"", ""77095"", ""77429"", ""77433""]")</f>
        <v>["77065", "77095", "77429", "77433"]</v>
      </c>
      <c r="V243" s="52" t="s">
        <v>1438</v>
      </c>
      <c r="W243" s="52" t="s">
        <v>1439</v>
      </c>
      <c r="X243" s="43"/>
      <c r="Y243" s="44" t="str">
        <f>vlookup(G243,zip_codes!$B$6:$J988,3,false)</f>
        <v>Cypress</v>
      </c>
      <c r="Z243" s="45" t="str">
        <f>vlookup(G243,zip_codes!$B$6:$J988,9,false)</f>
        <v>Coles Crossing, Cypress, Rock Creek</v>
      </c>
      <c r="AA243" s="44" t="str">
        <f>vlookup(B243,organizations!$B$1:$C988,2,false)</f>
        <v>Cypress Assistance Ministries</v>
      </c>
      <c r="AB243" s="46" t="s">
        <v>1440</v>
      </c>
      <c r="AC243" s="47" t="s">
        <v>1441</v>
      </c>
      <c r="AD243" s="48" t="s">
        <v>1108</v>
      </c>
      <c r="AE243" s="48" t="str">
        <f t="shared" si="34"/>
        <v>Cypress Assistance Ministries12930 Cypress N Houston Road11</v>
      </c>
      <c r="AF243" s="48" t="str">
        <f t="shared" si="35"/>
        <v/>
      </c>
    </row>
    <row r="244" ht="66.75" customHeight="1">
      <c r="A244" s="49" t="s">
        <v>1431</v>
      </c>
      <c r="B244" s="35" t="s">
        <v>1432</v>
      </c>
      <c r="C244" s="36" t="s">
        <v>1433</v>
      </c>
      <c r="D244" s="36"/>
      <c r="E244" s="36" t="s">
        <v>36</v>
      </c>
      <c r="F244" s="36" t="s">
        <v>37</v>
      </c>
      <c r="G244" s="35" t="s">
        <v>1434</v>
      </c>
      <c r="H244" s="35" t="s">
        <v>1435</v>
      </c>
      <c r="I244" s="35" t="s">
        <v>1436</v>
      </c>
      <c r="J244" s="35" t="s">
        <v>298</v>
      </c>
      <c r="K244" s="37">
        <f>IFERROR(__xludf.DUMMYFUNCTION("query(assistance!$A$2:$E988,""Select C Where D = '""&amp;L244&amp;""'"")"),12.0)</f>
        <v>12</v>
      </c>
      <c r="L244" s="36" t="s">
        <v>330</v>
      </c>
      <c r="M244" s="38">
        <f t="shared" si="40"/>
        <v>1</v>
      </c>
      <c r="N244" s="39" t="s">
        <v>42</v>
      </c>
      <c r="O244" s="40">
        <v>46051.0</v>
      </c>
      <c r="P244" s="35" t="s">
        <v>323</v>
      </c>
      <c r="Q244" s="35"/>
      <c r="R244" s="35" t="s">
        <v>1442</v>
      </c>
      <c r="S244" s="35" t="b">
        <v>0</v>
      </c>
      <c r="T244" s="35" t="b">
        <v>0</v>
      </c>
      <c r="U244" s="41" t="str">
        <f>IFERROR(__xludf.DUMMYFUNCTION("""["" &amp; JOIN("", "", ARRAYFORMULA("""""""" &amp; TRIM(SPLIT(A244, "","")) &amp; """""""")) &amp; ""]"""),"[""77065"", ""77095"", ""77429"", ""77433""]")</f>
        <v>["77065", "77095", "77429", "77433"]</v>
      </c>
      <c r="V244" s="52" t="s">
        <v>1438</v>
      </c>
      <c r="W244" s="52" t="s">
        <v>1439</v>
      </c>
      <c r="X244" s="43"/>
      <c r="Y244" s="44" t="str">
        <f>vlookup(G244,zip_codes!$B$6:$J988,3,false)</f>
        <v>Cypress</v>
      </c>
      <c r="Z244" s="45" t="str">
        <f>vlookup(G244,zip_codes!$B$6:$J988,9,false)</f>
        <v>Coles Crossing, Cypress, Rock Creek</v>
      </c>
      <c r="AA244" s="44" t="str">
        <f>vlookup(B244,organizations!$B$1:$C988,2,false)</f>
        <v>Cypress Assistance Ministries</v>
      </c>
      <c r="AB244" s="46" t="s">
        <v>1440</v>
      </c>
      <c r="AC244" s="47" t="s">
        <v>1441</v>
      </c>
      <c r="AD244" s="48" t="s">
        <v>1108</v>
      </c>
      <c r="AE244" s="48" t="str">
        <f t="shared" si="34"/>
        <v>Cypress Assistance Ministries12930 Cypress N Houston Road12</v>
      </c>
      <c r="AF244" s="48" t="str">
        <f t="shared" si="35"/>
        <v/>
      </c>
    </row>
    <row r="245" ht="66.75" customHeight="1">
      <c r="A245" s="49" t="s">
        <v>1431</v>
      </c>
      <c r="B245" s="35" t="s">
        <v>1432</v>
      </c>
      <c r="C245" s="36" t="s">
        <v>1433</v>
      </c>
      <c r="D245" s="36"/>
      <c r="E245" s="36" t="s">
        <v>36</v>
      </c>
      <c r="F245" s="36" t="s">
        <v>37</v>
      </c>
      <c r="G245" s="35" t="s">
        <v>1434</v>
      </c>
      <c r="H245" s="35" t="s">
        <v>1435</v>
      </c>
      <c r="I245" s="35" t="s">
        <v>1436</v>
      </c>
      <c r="J245" s="35" t="s">
        <v>1443</v>
      </c>
      <c r="K245" s="37">
        <f>IFERROR(__xludf.DUMMYFUNCTION("query(assistance!$A$2:$E988,""Select C Where D = '""&amp;L245&amp;""'"")"),13.0)</f>
        <v>13</v>
      </c>
      <c r="L245" s="36" t="s">
        <v>240</v>
      </c>
      <c r="M245" s="38">
        <f t="shared" si="40"/>
        <v>1</v>
      </c>
      <c r="N245" s="39" t="s">
        <v>42</v>
      </c>
      <c r="O245" s="40">
        <v>45772.0</v>
      </c>
      <c r="P245" s="35" t="s">
        <v>1444</v>
      </c>
      <c r="Q245" s="35"/>
      <c r="R245" s="35" t="s">
        <v>1445</v>
      </c>
      <c r="S245" s="35" t="b">
        <v>0</v>
      </c>
      <c r="T245" s="35" t="b">
        <v>0</v>
      </c>
      <c r="U245" s="41" t="str">
        <f>IFERROR(__xludf.DUMMYFUNCTION("""["" &amp; JOIN("", "", ARRAYFORMULA("""""""" &amp; TRIM(SPLIT(A245, "","")) &amp; """""""")) &amp; ""]"""),"[""77065"", ""77095"", ""77429"", ""77433""]")</f>
        <v>["77065", "77095", "77429", "77433"]</v>
      </c>
      <c r="V245" s="52" t="s">
        <v>1438</v>
      </c>
      <c r="W245" s="52" t="s">
        <v>1439</v>
      </c>
      <c r="X245" s="43"/>
      <c r="Y245" s="44" t="str">
        <f>vlookup(G245,zip_codes!$B$6:$J988,3,false)</f>
        <v>Cypress</v>
      </c>
      <c r="Z245" s="45" t="str">
        <f>vlookup(G245,zip_codes!$B$6:$J988,9,false)</f>
        <v>Coles Crossing, Cypress, Rock Creek</v>
      </c>
      <c r="AA245" s="44" t="str">
        <f>vlookup(B245,organizations!$B$1:$C988,2,false)</f>
        <v>Cypress Assistance Ministries</v>
      </c>
      <c r="AB245" s="46" t="s">
        <v>1440</v>
      </c>
      <c r="AC245" s="47" t="s">
        <v>1446</v>
      </c>
      <c r="AD245" s="48" t="s">
        <v>1108</v>
      </c>
      <c r="AE245" s="48" t="str">
        <f t="shared" si="34"/>
        <v>Cypress Assistance Ministries12930 Cypress N Houston Road13</v>
      </c>
      <c r="AF245" s="48" t="str">
        <f t="shared" si="35"/>
        <v/>
      </c>
    </row>
    <row r="246" ht="66.75" customHeight="1">
      <c r="A246" s="49" t="s">
        <v>1431</v>
      </c>
      <c r="B246" s="35" t="s">
        <v>1432</v>
      </c>
      <c r="C246" s="36" t="s">
        <v>1433</v>
      </c>
      <c r="D246" s="36"/>
      <c r="E246" s="36" t="s">
        <v>36</v>
      </c>
      <c r="F246" s="36" t="s">
        <v>37</v>
      </c>
      <c r="G246" s="35" t="s">
        <v>1434</v>
      </c>
      <c r="H246" s="35" t="s">
        <v>1435</v>
      </c>
      <c r="I246" s="35" t="s">
        <v>1436</v>
      </c>
      <c r="J246" s="35" t="s">
        <v>1443</v>
      </c>
      <c r="K246" s="37">
        <f>IFERROR(__xludf.DUMMYFUNCTION("query(assistance!$A$2:$E988,""Select C Where D = '""&amp;L246&amp;""'"")"),14.0)</f>
        <v>14</v>
      </c>
      <c r="L246" s="36" t="s">
        <v>391</v>
      </c>
      <c r="M246" s="38">
        <f t="shared" si="40"/>
        <v>1</v>
      </c>
      <c r="N246" s="39" t="s">
        <v>42</v>
      </c>
      <c r="O246" s="40">
        <v>45772.0</v>
      </c>
      <c r="P246" s="50"/>
      <c r="Q246" s="35"/>
      <c r="R246" s="35" t="s">
        <v>1447</v>
      </c>
      <c r="S246" s="35" t="b">
        <v>0</v>
      </c>
      <c r="T246" s="35" t="b">
        <v>0</v>
      </c>
      <c r="U246" s="41" t="str">
        <f>IFERROR(__xludf.DUMMYFUNCTION("""["" &amp; JOIN("", "", ARRAYFORMULA("""""""" &amp; TRIM(SPLIT(A246, "","")) &amp; """""""")) &amp; ""]"""),"[""77065"", ""77095"", ""77429"", ""77433""]")</f>
        <v>["77065", "77095", "77429", "77433"]</v>
      </c>
      <c r="V246" s="52" t="s">
        <v>1438</v>
      </c>
      <c r="W246" s="52" t="s">
        <v>1439</v>
      </c>
      <c r="X246" s="43"/>
      <c r="Y246" s="44" t="str">
        <f>vlookup(G246,zip_codes!$B$6:$J988,3,false)</f>
        <v>Cypress</v>
      </c>
      <c r="Z246" s="45" t="str">
        <f>vlookup(G246,zip_codes!$B$6:$J988,9,false)</f>
        <v>Coles Crossing, Cypress, Rock Creek</v>
      </c>
      <c r="AA246" s="44" t="str">
        <f>vlookup(B246,organizations!$B$1:$C988,2,false)</f>
        <v>Cypress Assistance Ministries</v>
      </c>
      <c r="AB246" s="46" t="s">
        <v>1440</v>
      </c>
      <c r="AC246" s="47" t="s">
        <v>1441</v>
      </c>
      <c r="AD246" s="48" t="s">
        <v>1108</v>
      </c>
      <c r="AE246" s="48" t="str">
        <f t="shared" si="34"/>
        <v>Cypress Assistance Ministries12930 Cypress N Houston Road14</v>
      </c>
      <c r="AF246" s="48" t="str">
        <f t="shared" si="35"/>
        <v/>
      </c>
    </row>
    <row r="247" ht="66.75" customHeight="1">
      <c r="A247" s="49" t="s">
        <v>1431</v>
      </c>
      <c r="B247" s="35" t="s">
        <v>1432</v>
      </c>
      <c r="C247" s="36" t="s">
        <v>1433</v>
      </c>
      <c r="D247" s="36"/>
      <c r="E247" s="36" t="s">
        <v>36</v>
      </c>
      <c r="F247" s="36" t="s">
        <v>37</v>
      </c>
      <c r="G247" s="35" t="s">
        <v>1434</v>
      </c>
      <c r="H247" s="35" t="s">
        <v>1435</v>
      </c>
      <c r="I247" s="35" t="s">
        <v>1436</v>
      </c>
      <c r="J247" s="35" t="s">
        <v>1443</v>
      </c>
      <c r="K247" s="37">
        <f>IFERROR(__xludf.DUMMYFUNCTION("query(assistance!$A$2:$E988,""Select C Where D = '""&amp;L247&amp;""'"")"),51.0)</f>
        <v>51</v>
      </c>
      <c r="L247" s="36" t="s">
        <v>468</v>
      </c>
      <c r="M247" s="38">
        <f t="shared" si="40"/>
        <v>1</v>
      </c>
      <c r="N247" s="39" t="s">
        <v>42</v>
      </c>
      <c r="O247" s="65"/>
      <c r="P247" s="50"/>
      <c r="Q247" s="35"/>
      <c r="R247" s="35" t="s">
        <v>1448</v>
      </c>
      <c r="S247" s="35" t="b">
        <v>0</v>
      </c>
      <c r="T247" s="35" t="b">
        <v>0</v>
      </c>
      <c r="U247" s="41" t="str">
        <f>IFERROR(__xludf.DUMMYFUNCTION("""["" &amp; JOIN("", "", ARRAYFORMULA("""""""" &amp; TRIM(SPLIT(A247, "","")) &amp; """""""")) &amp; ""]"""),"[""77065"", ""77095"", ""77429"", ""77433""]")</f>
        <v>["77065", "77095", "77429", "77433"]</v>
      </c>
      <c r="V247" s="52" t="s">
        <v>1438</v>
      </c>
      <c r="W247" s="52" t="s">
        <v>1439</v>
      </c>
      <c r="X247" s="43"/>
      <c r="Y247" s="44" t="str">
        <f>vlookup(G247,zip_codes!$B$6:$J988,3,false)</f>
        <v>Cypress</v>
      </c>
      <c r="Z247" s="45" t="str">
        <f>vlookup(G247,zip_codes!$B$6:$J988,9,false)</f>
        <v>Coles Crossing, Cypress, Rock Creek</v>
      </c>
      <c r="AA247" s="44" t="str">
        <f>vlookup(B247,organizations!$B$1:$C988,2,false)</f>
        <v>Cypress Assistance Ministries</v>
      </c>
      <c r="AB247" s="46" t="s">
        <v>1440</v>
      </c>
      <c r="AC247" s="47" t="s">
        <v>1441</v>
      </c>
      <c r="AD247" s="48" t="s">
        <v>1108</v>
      </c>
      <c r="AE247" s="48" t="str">
        <f t="shared" si="34"/>
        <v>Cypress Assistance Ministries12930 Cypress N Houston Road51</v>
      </c>
      <c r="AF247" s="48" t="str">
        <f t="shared" si="35"/>
        <v/>
      </c>
    </row>
    <row r="248" ht="66.75" customHeight="1">
      <c r="A248" s="49" t="s">
        <v>1431</v>
      </c>
      <c r="B248" s="35" t="s">
        <v>1432</v>
      </c>
      <c r="C248" s="36" t="s">
        <v>1433</v>
      </c>
      <c r="D248" s="36"/>
      <c r="E248" s="36" t="s">
        <v>36</v>
      </c>
      <c r="F248" s="36" t="s">
        <v>37</v>
      </c>
      <c r="G248" s="35" t="s">
        <v>1434</v>
      </c>
      <c r="H248" s="35" t="s">
        <v>1435</v>
      </c>
      <c r="I248" s="35" t="s">
        <v>1436</v>
      </c>
      <c r="J248" s="35" t="s">
        <v>1443</v>
      </c>
      <c r="K248" s="37">
        <f>IFERROR(__xludf.DUMMYFUNCTION("query(assistance!$A$2:$E988,""Select C Where D = '""&amp;L248&amp;""'"")"),52.0)</f>
        <v>52</v>
      </c>
      <c r="L248" s="36" t="s">
        <v>336</v>
      </c>
      <c r="M248" s="38">
        <f t="shared" si="40"/>
        <v>1</v>
      </c>
      <c r="N248" s="39" t="s">
        <v>42</v>
      </c>
      <c r="O248" s="65"/>
      <c r="P248" s="50"/>
      <c r="Q248" s="35"/>
      <c r="R248" s="35" t="s">
        <v>1449</v>
      </c>
      <c r="S248" s="35" t="b">
        <v>0</v>
      </c>
      <c r="T248" s="35" t="b">
        <v>0</v>
      </c>
      <c r="U248" s="41" t="str">
        <f>IFERROR(__xludf.DUMMYFUNCTION("""["" &amp; JOIN("", "", ARRAYFORMULA("""""""" &amp; TRIM(SPLIT(A248, "","")) &amp; """""""")) &amp; ""]"""),"[""77065"", ""77095"", ""77429"", ""77433""]")</f>
        <v>["77065", "77095", "77429", "77433"]</v>
      </c>
      <c r="V248" s="52" t="s">
        <v>1438</v>
      </c>
      <c r="W248" s="52" t="s">
        <v>1439</v>
      </c>
      <c r="X248" s="43"/>
      <c r="Y248" s="44" t="str">
        <f>vlookup(G248,zip_codes!$B$6:$J988,3,false)</f>
        <v>Cypress</v>
      </c>
      <c r="Z248" s="45" t="str">
        <f>vlookup(G248,zip_codes!$B$6:$J988,9,false)</f>
        <v>Coles Crossing, Cypress, Rock Creek</v>
      </c>
      <c r="AA248" s="44" t="str">
        <f>vlookup(B248,organizations!$B$1:$C988,2,false)</f>
        <v>Cypress Assistance Ministries</v>
      </c>
      <c r="AB248" s="46" t="s">
        <v>1440</v>
      </c>
      <c r="AC248" s="47" t="s">
        <v>1441</v>
      </c>
      <c r="AD248" s="48" t="s">
        <v>1108</v>
      </c>
      <c r="AE248" s="48" t="str">
        <f t="shared" si="34"/>
        <v>Cypress Assistance Ministries12930 Cypress N Houston Road52</v>
      </c>
      <c r="AF248" s="48" t="str">
        <f t="shared" si="35"/>
        <v/>
      </c>
    </row>
    <row r="249" ht="66.75" customHeight="1">
      <c r="A249" s="49" t="s">
        <v>1431</v>
      </c>
      <c r="B249" s="35" t="s">
        <v>1432</v>
      </c>
      <c r="C249" s="36" t="s">
        <v>1433</v>
      </c>
      <c r="D249" s="36"/>
      <c r="E249" s="36" t="s">
        <v>36</v>
      </c>
      <c r="F249" s="36" t="s">
        <v>37</v>
      </c>
      <c r="G249" s="35" t="s">
        <v>1434</v>
      </c>
      <c r="H249" s="35" t="s">
        <v>1435</v>
      </c>
      <c r="I249" s="35" t="s">
        <v>1436</v>
      </c>
      <c r="J249" s="35" t="s">
        <v>1443</v>
      </c>
      <c r="K249" s="37">
        <f>IFERROR(__xludf.DUMMYFUNCTION("query(assistance!$A$2:$E988,""Select C Where D = '""&amp;L249&amp;""'"")"),64.0)</f>
        <v>64</v>
      </c>
      <c r="L249" s="36" t="s">
        <v>817</v>
      </c>
      <c r="M249" s="38">
        <f t="shared" si="40"/>
        <v>1</v>
      </c>
      <c r="N249" s="39" t="s">
        <v>42</v>
      </c>
      <c r="O249" s="65"/>
      <c r="P249" s="50"/>
      <c r="Q249" s="35"/>
      <c r="R249" s="35" t="s">
        <v>1450</v>
      </c>
      <c r="S249" s="35" t="b">
        <v>0</v>
      </c>
      <c r="T249" s="35" t="b">
        <v>0</v>
      </c>
      <c r="U249" s="41" t="str">
        <f>IFERROR(__xludf.DUMMYFUNCTION("""["" &amp; JOIN("", "", ARRAYFORMULA("""""""" &amp; TRIM(SPLIT(A249, "","")) &amp; """""""")) &amp; ""]"""),"[""77065"", ""77095"", ""77429"", ""77433""]")</f>
        <v>["77065", "77095", "77429", "77433"]</v>
      </c>
      <c r="V249" s="52" t="s">
        <v>1438</v>
      </c>
      <c r="W249" s="52" t="s">
        <v>1439</v>
      </c>
      <c r="X249" s="43"/>
      <c r="Y249" s="44" t="str">
        <f>vlookup(G249,zip_codes!$B$6:$J988,3,false)</f>
        <v>Cypress</v>
      </c>
      <c r="Z249" s="45" t="str">
        <f>vlookup(G249,zip_codes!$B$6:$J988,9,false)</f>
        <v>Coles Crossing, Cypress, Rock Creek</v>
      </c>
      <c r="AA249" s="44" t="str">
        <f>vlookup(B249,organizations!$B$1:$C988,2,false)</f>
        <v>Cypress Assistance Ministries</v>
      </c>
      <c r="AB249" s="46" t="s">
        <v>1440</v>
      </c>
      <c r="AC249" s="47" t="s">
        <v>1441</v>
      </c>
      <c r="AD249" s="48" t="s">
        <v>1108</v>
      </c>
      <c r="AE249" s="48" t="str">
        <f t="shared" si="34"/>
        <v>Cypress Assistance Ministries12930 Cypress N Houston Road64</v>
      </c>
      <c r="AF249" s="48" t="str">
        <f t="shared" si="35"/>
        <v/>
      </c>
    </row>
    <row r="250" ht="66.75" customHeight="1">
      <c r="A250" s="49" t="s">
        <v>50</v>
      </c>
      <c r="B250" s="35" t="s">
        <v>1451</v>
      </c>
      <c r="C250" s="36" t="s">
        <v>1452</v>
      </c>
      <c r="D250" s="36"/>
      <c r="E250" s="36" t="s">
        <v>36</v>
      </c>
      <c r="F250" s="36" t="s">
        <v>37</v>
      </c>
      <c r="G250" s="35" t="s">
        <v>749</v>
      </c>
      <c r="H250" s="35"/>
      <c r="I250" s="35"/>
      <c r="J250" s="35"/>
      <c r="K250" s="37">
        <f>IFERROR(__xludf.DUMMYFUNCTION("query(assistance!$A$2:$E988,""Select C Where D = '""&amp;L250&amp;""'"")"),37.0)</f>
        <v>37</v>
      </c>
      <c r="L250" s="36" t="s">
        <v>309</v>
      </c>
      <c r="M250" s="38">
        <f t="shared" si="40"/>
        <v>1</v>
      </c>
      <c r="N250" s="39" t="s">
        <v>42</v>
      </c>
      <c r="O250" s="40">
        <v>45791.0</v>
      </c>
      <c r="P250" s="35" t="s">
        <v>43</v>
      </c>
      <c r="Q250" s="35"/>
      <c r="R250" s="35" t="s">
        <v>1453</v>
      </c>
      <c r="S250" s="35" t="b">
        <v>0</v>
      </c>
      <c r="T250" s="35" t="b">
        <v>0</v>
      </c>
      <c r="U250" s="41" t="str">
        <f>IFERROR(__xludf.DUMMYFUNCTION("""["" &amp; JOIN("", "", ARRAYFORMULA("""""""" &amp; TRIM(SPLIT(A250, "","")) &amp; """""""")) &amp; ""]"""),"[""99999""]")</f>
        <v>["99999"]</v>
      </c>
      <c r="V250" s="42" t="s">
        <v>1454</v>
      </c>
      <c r="W250" s="42"/>
      <c r="X250" s="43"/>
      <c r="Y250" s="44" t="str">
        <f>vlookup(G250,zip_codes!$B$6:$J988,3,false)</f>
        <v>Houston</v>
      </c>
      <c r="Z250" s="45" t="str">
        <f>vlookup(G250,zip_codes!$B$6:$J988,9,false)</f>
        <v>East Downtown, Downtown Houston, Houston Museum District, Midtown, Museum District, South Central Houston, South Side, Third Ward, University Place</v>
      </c>
      <c r="AA250" s="44" t="str">
        <f>vlookup(B250,organizations!$B$1:$C988,2,false)</f>
        <v>Dan's House of Hope</v>
      </c>
      <c r="AB250" s="46" t="s">
        <v>1455</v>
      </c>
      <c r="AC250" s="53" t="str">
        <f>PARSE_HOURS(I250)</f>
        <v/>
      </c>
      <c r="AD250" s="48" t="s">
        <v>1456</v>
      </c>
      <c r="AE250" s="48" t="str">
        <f t="shared" si="34"/>
        <v>Dan's House of Hope4917 Jackson Street37</v>
      </c>
      <c r="AF250" s="48" t="str">
        <f t="shared" si="35"/>
        <v/>
      </c>
    </row>
    <row r="251" ht="66.75" customHeight="1">
      <c r="A251" s="49" t="s">
        <v>50</v>
      </c>
      <c r="B251" s="35" t="s">
        <v>1457</v>
      </c>
      <c r="C251" s="36" t="s">
        <v>1458</v>
      </c>
      <c r="D251" s="36"/>
      <c r="E251" s="36" t="s">
        <v>36</v>
      </c>
      <c r="F251" s="36" t="s">
        <v>37</v>
      </c>
      <c r="G251" s="35" t="s">
        <v>1459</v>
      </c>
      <c r="H251" s="35" t="s">
        <v>1460</v>
      </c>
      <c r="I251" s="35" t="s">
        <v>40</v>
      </c>
      <c r="J251" s="35"/>
      <c r="K251" s="37">
        <f>IFERROR(__xludf.DUMMYFUNCTION("query(assistance!$A$2:$E988,""Select C Where D = '""&amp;L251&amp;""'"")"),42.0)</f>
        <v>42</v>
      </c>
      <c r="L251" s="36" t="s">
        <v>273</v>
      </c>
      <c r="M251" s="38">
        <f t="shared" si="40"/>
        <v>1</v>
      </c>
      <c r="N251" s="39" t="s">
        <v>42</v>
      </c>
      <c r="O251" s="65"/>
      <c r="P251" s="50"/>
      <c r="Q251" s="35"/>
      <c r="R251" s="35" t="s">
        <v>1461</v>
      </c>
      <c r="S251" s="35" t="b">
        <v>0</v>
      </c>
      <c r="T251" s="35" t="b">
        <v>0</v>
      </c>
      <c r="U251" s="41" t="str">
        <f>IFERROR(__xludf.DUMMYFUNCTION("""["" &amp; JOIN("", "", ARRAYFORMULA("""""""" &amp; TRIM(SPLIT(A251, "","")) &amp; """""""")) &amp; ""]"""),"[""99999""]")</f>
        <v>["99999"]</v>
      </c>
      <c r="V251" s="52" t="s">
        <v>1462</v>
      </c>
      <c r="W251" s="52"/>
      <c r="X251" s="43"/>
      <c r="Y251" s="44" t="str">
        <f>vlookup(G251,zip_codes!$B$6:$J988,3,false)</f>
        <v>Houston</v>
      </c>
      <c r="Z251" s="45" t="str">
        <f>vlookup(G251,zip_codes!$B$6:$J988,9,false)</f>
        <v>P.O. Boxes</v>
      </c>
      <c r="AA251" s="44" t="str">
        <f>vlookup(B251,organizations!$B$1:$C988,2,false)</f>
        <v>Daya</v>
      </c>
      <c r="AB251" s="88" t="s">
        <v>1463</v>
      </c>
      <c r="AC251" s="47" t="s">
        <v>48</v>
      </c>
      <c r="AD251" s="48" t="s">
        <v>1059</v>
      </c>
      <c r="AE251" s="48" t="str">
        <f t="shared" si="34"/>
        <v>DayaP.O. Box 42158142</v>
      </c>
      <c r="AF251" s="48" t="str">
        <f t="shared" si="35"/>
        <v/>
      </c>
    </row>
    <row r="252" ht="66.75" customHeight="1">
      <c r="A252" s="49" t="s">
        <v>1464</v>
      </c>
      <c r="B252" s="35" t="s">
        <v>1465</v>
      </c>
      <c r="C252" s="36" t="s">
        <v>1466</v>
      </c>
      <c r="D252" s="36"/>
      <c r="E252" s="36" t="s">
        <v>1467</v>
      </c>
      <c r="F252" s="36" t="s">
        <v>37</v>
      </c>
      <c r="G252" s="35" t="s">
        <v>1464</v>
      </c>
      <c r="H252" s="35" t="s">
        <v>1468</v>
      </c>
      <c r="I252" s="35" t="s">
        <v>1469</v>
      </c>
      <c r="J252" s="35"/>
      <c r="K252" s="37">
        <f>IFERROR(__xludf.DUMMYFUNCTION("query(assistance!$A$2:$E988,""Select C Where D = '""&amp;L252&amp;""'"")"),11.0)</f>
        <v>11</v>
      </c>
      <c r="L252" s="36" t="s">
        <v>322</v>
      </c>
      <c r="M252" s="38">
        <f t="shared" si="40"/>
        <v>2</v>
      </c>
      <c r="N252" s="51" t="s">
        <v>385</v>
      </c>
      <c r="O252" s="40">
        <v>45663.0</v>
      </c>
      <c r="P252" s="35" t="s">
        <v>1470</v>
      </c>
      <c r="Q252" s="50"/>
      <c r="R252" s="50"/>
      <c r="S252" s="35" t="b">
        <v>0</v>
      </c>
      <c r="T252" s="35" t="b">
        <v>0</v>
      </c>
      <c r="U252" s="41" t="str">
        <f>IFERROR(__xludf.DUMMYFUNCTION("""["" &amp; JOIN("", "", ARRAYFORMULA("""""""" &amp; TRIM(SPLIT(A252, "","")) &amp; """""""")) &amp; ""]"""),"[""77536""]")</f>
        <v>["77536"]</v>
      </c>
      <c r="V252" s="52" t="s">
        <v>1471</v>
      </c>
      <c r="W252" s="52" t="s">
        <v>1472</v>
      </c>
      <c r="X252" s="43"/>
      <c r="Y252" s="44" t="str">
        <f>vlookup(G252,zip_codes!$B$6:$J988,3,false)</f>
        <v>Deer Park</v>
      </c>
      <c r="Z252" s="45" t="str">
        <f>vlookup(G252,zip_codes!$B$6:$J988,9,false)</f>
        <v>Deer Park, Deer Park Gardens</v>
      </c>
      <c r="AA252" s="44" t="str">
        <f>vlookup(B252,organizations!$B$1:$C988,2,false)</f>
        <v>Deer Park First Baptist</v>
      </c>
      <c r="AB252" s="46" t="s">
        <v>1473</v>
      </c>
      <c r="AC252" s="47" t="s">
        <v>1474</v>
      </c>
      <c r="AD252" s="48" t="s">
        <v>1475</v>
      </c>
      <c r="AE252" s="48" t="str">
        <f t="shared" si="34"/>
        <v>Deer Park First Baptist438 E 8th Street11</v>
      </c>
      <c r="AF252" s="48" t="str">
        <f t="shared" si="35"/>
        <v/>
      </c>
    </row>
    <row r="253" ht="66.75" customHeight="1">
      <c r="A253" s="49" t="s">
        <v>1464</v>
      </c>
      <c r="B253" s="35" t="s">
        <v>1465</v>
      </c>
      <c r="C253" s="36" t="s">
        <v>1466</v>
      </c>
      <c r="D253" s="36"/>
      <c r="E253" s="36" t="s">
        <v>1467</v>
      </c>
      <c r="F253" s="36" t="s">
        <v>37</v>
      </c>
      <c r="G253" s="35" t="s">
        <v>1464</v>
      </c>
      <c r="H253" s="35" t="s">
        <v>1468</v>
      </c>
      <c r="I253" s="35" t="s">
        <v>1469</v>
      </c>
      <c r="J253" s="35"/>
      <c r="K253" s="37">
        <f>IFERROR(__xludf.DUMMYFUNCTION("query(assistance!$A$2:$E988,""Select C Where D = '""&amp;L253&amp;""'"")"),12.0)</f>
        <v>12</v>
      </c>
      <c r="L253" s="36" t="s">
        <v>330</v>
      </c>
      <c r="M253" s="38">
        <f t="shared" si="40"/>
        <v>2</v>
      </c>
      <c r="N253" s="51" t="s">
        <v>385</v>
      </c>
      <c r="O253" s="40">
        <v>45663.0</v>
      </c>
      <c r="P253" s="35" t="s">
        <v>1470</v>
      </c>
      <c r="Q253" s="50"/>
      <c r="R253" s="50"/>
      <c r="S253" s="35" t="b">
        <v>0</v>
      </c>
      <c r="T253" s="35" t="b">
        <v>0</v>
      </c>
      <c r="U253" s="41" t="str">
        <f>IFERROR(__xludf.DUMMYFUNCTION("""["" &amp; JOIN("", "", ARRAYFORMULA("""""""" &amp; TRIM(SPLIT(A253, "","")) &amp; """""""")) &amp; ""]"""),"[""77536""]")</f>
        <v>["77536"]</v>
      </c>
      <c r="V253" s="52" t="s">
        <v>1471</v>
      </c>
      <c r="W253" s="52" t="s">
        <v>1472</v>
      </c>
      <c r="X253" s="43"/>
      <c r="Y253" s="44" t="str">
        <f>vlookup(G253,zip_codes!$B$6:$J988,3,false)</f>
        <v>Deer Park</v>
      </c>
      <c r="Z253" s="45" t="str">
        <f>vlookup(G253,zip_codes!$B$6:$J988,9,false)</f>
        <v>Deer Park, Deer Park Gardens</v>
      </c>
      <c r="AA253" s="44" t="str">
        <f>vlookup(B253,organizations!$B$1:$C988,2,false)</f>
        <v>Deer Park First Baptist</v>
      </c>
      <c r="AB253" s="46" t="s">
        <v>1473</v>
      </c>
      <c r="AC253" s="47" t="s">
        <v>1474</v>
      </c>
      <c r="AD253" s="48" t="s">
        <v>1475</v>
      </c>
      <c r="AE253" s="48" t="str">
        <f t="shared" si="34"/>
        <v>Deer Park First Baptist438 E 8th Street12</v>
      </c>
      <c r="AF253" s="48" t="str">
        <f t="shared" si="35"/>
        <v/>
      </c>
    </row>
    <row r="254" ht="66.75" customHeight="1">
      <c r="A254" s="49" t="s">
        <v>1464</v>
      </c>
      <c r="B254" s="35" t="s">
        <v>1465</v>
      </c>
      <c r="C254" s="36" t="s">
        <v>1466</v>
      </c>
      <c r="D254" s="36"/>
      <c r="E254" s="36" t="s">
        <v>1467</v>
      </c>
      <c r="F254" s="36" t="s">
        <v>37</v>
      </c>
      <c r="G254" s="35" t="s">
        <v>1464</v>
      </c>
      <c r="H254" s="35" t="s">
        <v>1468</v>
      </c>
      <c r="I254" s="35" t="s">
        <v>1476</v>
      </c>
      <c r="J254" s="35"/>
      <c r="K254" s="37">
        <f>IFERROR(__xludf.DUMMYFUNCTION("query(assistance!$A$2:$E988,""Select C Where D = '""&amp;L254&amp;""'"")"),13.0)</f>
        <v>13</v>
      </c>
      <c r="L254" s="36" t="s">
        <v>240</v>
      </c>
      <c r="M254" s="38">
        <f t="shared" si="40"/>
        <v>1</v>
      </c>
      <c r="N254" s="39" t="s">
        <v>42</v>
      </c>
      <c r="O254" s="40">
        <v>45663.0</v>
      </c>
      <c r="P254" s="50"/>
      <c r="Q254" s="35"/>
      <c r="R254" s="35" t="s">
        <v>1477</v>
      </c>
      <c r="S254" s="35" t="b">
        <v>0</v>
      </c>
      <c r="T254" s="35" t="b">
        <v>0</v>
      </c>
      <c r="U254" s="41" t="str">
        <f>IFERROR(__xludf.DUMMYFUNCTION("""["" &amp; JOIN("", "", ARRAYFORMULA("""""""" &amp; TRIM(SPLIT(A254, "","")) &amp; """""""")) &amp; ""]"""),"[""77536""]")</f>
        <v>["77536"]</v>
      </c>
      <c r="V254" s="52" t="s">
        <v>1471</v>
      </c>
      <c r="W254" s="52" t="s">
        <v>1472</v>
      </c>
      <c r="X254" s="43"/>
      <c r="Y254" s="44" t="str">
        <f>vlookup(G254,zip_codes!$B$6:$J988,3,false)</f>
        <v>Deer Park</v>
      </c>
      <c r="Z254" s="45" t="str">
        <f>vlookup(G254,zip_codes!$B$6:$J988,9,false)</f>
        <v>Deer Park, Deer Park Gardens</v>
      </c>
      <c r="AA254" s="44" t="str">
        <f>vlookup(B254,organizations!$B$1:$C988,2,false)</f>
        <v>Deer Park First Baptist</v>
      </c>
      <c r="AB254" s="46" t="s">
        <v>1473</v>
      </c>
      <c r="AC254" s="47" t="s">
        <v>1478</v>
      </c>
      <c r="AD254" s="48" t="s">
        <v>1475</v>
      </c>
      <c r="AE254" s="48" t="str">
        <f t="shared" si="34"/>
        <v>Deer Park First Baptist438 E 8th Street13</v>
      </c>
      <c r="AF254" s="48" t="str">
        <f t="shared" si="35"/>
        <v/>
      </c>
    </row>
    <row r="255" ht="66.75" customHeight="1">
      <c r="A255" s="49" t="s">
        <v>1464</v>
      </c>
      <c r="B255" s="35" t="s">
        <v>1479</v>
      </c>
      <c r="C255" s="36" t="s">
        <v>1480</v>
      </c>
      <c r="D255" s="36"/>
      <c r="E255" s="36" t="s">
        <v>1467</v>
      </c>
      <c r="F255" s="36" t="s">
        <v>37</v>
      </c>
      <c r="G255" s="35" t="s">
        <v>1464</v>
      </c>
      <c r="H255" s="35" t="s">
        <v>1481</v>
      </c>
      <c r="I255" s="66"/>
      <c r="J255" s="89"/>
      <c r="K255" s="37">
        <f>IFERROR(__xludf.DUMMYFUNCTION("query(assistance!$A$2:$E988,""Select C Where D = '""&amp;L255&amp;""'"")"),11.0)</f>
        <v>11</v>
      </c>
      <c r="L255" s="36" t="s">
        <v>322</v>
      </c>
      <c r="M255" s="38">
        <f t="shared" si="40"/>
        <v>1</v>
      </c>
      <c r="N255" s="39" t="s">
        <v>42</v>
      </c>
      <c r="O255" s="40">
        <v>45663.0</v>
      </c>
      <c r="P255" s="50"/>
      <c r="Q255" s="50"/>
      <c r="R255" s="50"/>
      <c r="S255" s="35" t="b">
        <v>0</v>
      </c>
      <c r="T255" s="35" t="b">
        <v>0</v>
      </c>
      <c r="U255" s="41" t="str">
        <f>IFERROR(__xludf.DUMMYFUNCTION("""["" &amp; JOIN("", "", ARRAYFORMULA("""""""" &amp; TRIM(SPLIT(A255, "","")) &amp; """""""")) &amp; ""]"""),"[""77536""]")</f>
        <v>["77536"]</v>
      </c>
      <c r="V255" s="52" t="s">
        <v>1482</v>
      </c>
      <c r="W255" s="52" t="s">
        <v>1483</v>
      </c>
      <c r="X255" s="43"/>
      <c r="Y255" s="44" t="str">
        <f>vlookup(G255,zip_codes!$B$6:$J988,3,false)</f>
        <v>Deer Park</v>
      </c>
      <c r="Z255" s="45" t="str">
        <f>vlookup(G255,zip_codes!$B$6:$J988,9,false)</f>
        <v>Deer Park, Deer Park Gardens</v>
      </c>
      <c r="AA255" s="44" t="str">
        <f>vlookup(B255,organizations!$B$1:$C988,2,false)</f>
        <v>Deer Park UMC</v>
      </c>
      <c r="AB255" s="46" t="s">
        <v>1484</v>
      </c>
      <c r="AC255" s="53"/>
      <c r="AD255" s="48" t="s">
        <v>1475</v>
      </c>
      <c r="AE255" s="48" t="str">
        <f t="shared" si="34"/>
        <v>Deer Park UMC1300 E 13th Street11</v>
      </c>
      <c r="AF255" s="48" t="str">
        <f t="shared" si="35"/>
        <v/>
      </c>
    </row>
    <row r="256" ht="66.75" customHeight="1">
      <c r="A256" s="49" t="s">
        <v>1464</v>
      </c>
      <c r="B256" s="35" t="s">
        <v>1479</v>
      </c>
      <c r="C256" s="36" t="s">
        <v>1480</v>
      </c>
      <c r="D256" s="36"/>
      <c r="E256" s="36" t="s">
        <v>1467</v>
      </c>
      <c r="F256" s="36" t="s">
        <v>37</v>
      </c>
      <c r="G256" s="35" t="s">
        <v>1464</v>
      </c>
      <c r="H256" s="35" t="s">
        <v>1481</v>
      </c>
      <c r="I256" s="66"/>
      <c r="J256" s="89"/>
      <c r="K256" s="37">
        <f>IFERROR(__xludf.DUMMYFUNCTION("query(assistance!$A$2:$E988,""Select C Where D = '""&amp;L256&amp;""'"")"),12.0)</f>
        <v>12</v>
      </c>
      <c r="L256" s="36" t="s">
        <v>330</v>
      </c>
      <c r="M256" s="38">
        <f t="shared" si="40"/>
        <v>1</v>
      </c>
      <c r="N256" s="39" t="s">
        <v>42</v>
      </c>
      <c r="O256" s="40">
        <v>45663.0</v>
      </c>
      <c r="P256" s="50"/>
      <c r="Q256" s="50"/>
      <c r="R256" s="50"/>
      <c r="S256" s="35" t="b">
        <v>0</v>
      </c>
      <c r="T256" s="35" t="b">
        <v>0</v>
      </c>
      <c r="U256" s="41" t="str">
        <f>IFERROR(__xludf.DUMMYFUNCTION("""["" &amp; JOIN("", "", ARRAYFORMULA("""""""" &amp; TRIM(SPLIT(A256, "","")) &amp; """""""")) &amp; ""]"""),"[""77536""]")</f>
        <v>["77536"]</v>
      </c>
      <c r="V256" s="52" t="s">
        <v>1482</v>
      </c>
      <c r="W256" s="52" t="s">
        <v>1483</v>
      </c>
      <c r="X256" s="43"/>
      <c r="Y256" s="44" t="str">
        <f>vlookup(G256,zip_codes!$B$6:$J988,3,false)</f>
        <v>Deer Park</v>
      </c>
      <c r="Z256" s="45" t="str">
        <f>vlookup(G256,zip_codes!$B$6:$J988,9,false)</f>
        <v>Deer Park, Deer Park Gardens</v>
      </c>
      <c r="AA256" s="44" t="str">
        <f>vlookup(B256,organizations!$B$1:$C988,2,false)</f>
        <v>Deer Park UMC</v>
      </c>
      <c r="AB256" s="46" t="s">
        <v>1484</v>
      </c>
      <c r="AC256" s="53"/>
      <c r="AD256" s="48" t="s">
        <v>1475</v>
      </c>
      <c r="AE256" s="48" t="str">
        <f t="shared" si="34"/>
        <v>Deer Park UMC1300 E 13th Street12</v>
      </c>
      <c r="AF256" s="48" t="str">
        <f t="shared" si="35"/>
        <v/>
      </c>
    </row>
    <row r="257" ht="66.75" customHeight="1">
      <c r="A257" s="49" t="s">
        <v>1464</v>
      </c>
      <c r="B257" s="35" t="s">
        <v>1479</v>
      </c>
      <c r="C257" s="36" t="s">
        <v>1480</v>
      </c>
      <c r="D257" s="36"/>
      <c r="E257" s="36" t="s">
        <v>1467</v>
      </c>
      <c r="F257" s="36" t="s">
        <v>37</v>
      </c>
      <c r="G257" s="35" t="s">
        <v>1464</v>
      </c>
      <c r="H257" s="35" t="s">
        <v>1481</v>
      </c>
      <c r="I257" s="35" t="s">
        <v>1476</v>
      </c>
      <c r="J257" s="35"/>
      <c r="K257" s="37">
        <f>IFERROR(__xludf.DUMMYFUNCTION("query(assistance!$A$2:$E988,""Select C Where D = '""&amp;L257&amp;""'"")"),13.0)</f>
        <v>13</v>
      </c>
      <c r="L257" s="36" t="s">
        <v>240</v>
      </c>
      <c r="M257" s="38">
        <f t="shared" si="40"/>
        <v>1</v>
      </c>
      <c r="N257" s="39" t="s">
        <v>42</v>
      </c>
      <c r="O257" s="40">
        <v>45663.0</v>
      </c>
      <c r="P257" s="50"/>
      <c r="Q257" s="50"/>
      <c r="R257" s="50"/>
      <c r="S257" s="35" t="b">
        <v>0</v>
      </c>
      <c r="T257" s="35" t="b">
        <v>0</v>
      </c>
      <c r="U257" s="41" t="str">
        <f>IFERROR(__xludf.DUMMYFUNCTION("""["" &amp; JOIN("", "", ARRAYFORMULA("""""""" &amp; TRIM(SPLIT(A257, "","")) &amp; """""""")) &amp; ""]"""),"[""77536""]")</f>
        <v>["77536"]</v>
      </c>
      <c r="V257" s="43"/>
      <c r="W257" s="43"/>
      <c r="X257" s="43"/>
      <c r="Y257" s="44" t="str">
        <f>vlookup(G257,zip_codes!$B$6:$J988,3,false)</f>
        <v>Deer Park</v>
      </c>
      <c r="Z257" s="45" t="str">
        <f>vlookup(G257,zip_codes!$B$6:$J988,9,false)</f>
        <v>Deer Park, Deer Park Gardens</v>
      </c>
      <c r="AA257" s="44" t="str">
        <f>vlookup(B257,organizations!$B$1:$C988,2,false)</f>
        <v>Deer Park UMC</v>
      </c>
      <c r="AB257" s="46" t="s">
        <v>1484</v>
      </c>
      <c r="AC257" s="47" t="s">
        <v>1478</v>
      </c>
      <c r="AD257" s="48" t="s">
        <v>1475</v>
      </c>
      <c r="AE257" s="48" t="str">
        <f t="shared" si="34"/>
        <v>Deer Park UMC1300 E 13th Street13</v>
      </c>
      <c r="AF257" s="48" t="str">
        <f t="shared" si="35"/>
        <v/>
      </c>
    </row>
    <row r="258" ht="66.75" customHeight="1">
      <c r="A258" s="49" t="s">
        <v>50</v>
      </c>
      <c r="B258" s="35" t="s">
        <v>1485</v>
      </c>
      <c r="C258" s="36" t="s">
        <v>1486</v>
      </c>
      <c r="D258" s="36"/>
      <c r="E258" s="36" t="s">
        <v>36</v>
      </c>
      <c r="F258" s="36" t="s">
        <v>37</v>
      </c>
      <c r="G258" s="35" t="s">
        <v>846</v>
      </c>
      <c r="H258" s="35" t="s">
        <v>1487</v>
      </c>
      <c r="I258" s="35" t="s">
        <v>297</v>
      </c>
      <c r="J258" s="35" t="s">
        <v>298</v>
      </c>
      <c r="K258" s="37">
        <f>IFERROR(__xludf.DUMMYFUNCTION("query(assistance!$A$2:$E988,""Select C Where D = '""&amp;L258&amp;""'"")"),31.0)</f>
        <v>31</v>
      </c>
      <c r="L258" s="36" t="s">
        <v>90</v>
      </c>
      <c r="M258" s="38">
        <f t="shared" si="40"/>
        <v>1</v>
      </c>
      <c r="N258" s="39" t="s">
        <v>42</v>
      </c>
      <c r="O258" s="57">
        <v>46049.0</v>
      </c>
      <c r="P258" s="35" t="s">
        <v>43</v>
      </c>
      <c r="Q258" s="35"/>
      <c r="R258" s="35" t="s">
        <v>1488</v>
      </c>
      <c r="S258" s="35" t="b">
        <v>0</v>
      </c>
      <c r="T258" s="35" t="b">
        <v>0</v>
      </c>
      <c r="U258" s="41" t="str">
        <f>IFERROR(__xludf.DUMMYFUNCTION("""["" &amp; JOIN("", "", ARRAYFORMULA("""""""" &amp; TRIM(SPLIT(A258, "","")) &amp; """""""")) &amp; ""]"""),"[""99999""]")</f>
        <v>["99999"]</v>
      </c>
      <c r="V258" s="52" t="s">
        <v>300</v>
      </c>
      <c r="W258" s="52" t="s">
        <v>301</v>
      </c>
      <c r="X258" s="43"/>
      <c r="Y258" s="44" t="str">
        <f>vlookup(G258,zip_codes!$B$6:$J988,3,false)</f>
        <v>Houston</v>
      </c>
      <c r="Z258" s="45" t="str">
        <f>vlookup(G258,zip_codes!$B$6:$J988,9,false)</f>
        <v>Denver Harbor / Port Houston, Fifth Ward, Northside</v>
      </c>
      <c r="AA258" s="44" t="str">
        <f>vlookup(B258,organizations!$B$1:$C988,2,false)</f>
        <v>Vecino Health Centers</v>
      </c>
      <c r="AB258" s="46" t="s">
        <v>302</v>
      </c>
      <c r="AC258" s="47" t="s">
        <v>303</v>
      </c>
      <c r="AD258" s="48" t="s">
        <v>304</v>
      </c>
      <c r="AE258" s="48" t="str">
        <f t="shared" si="34"/>
        <v>Denver Harbor Family Health Center424 Hahlo Street31</v>
      </c>
      <c r="AF258" s="48" t="str">
        <f t="shared" si="35"/>
        <v/>
      </c>
    </row>
    <row r="259" ht="66.75" customHeight="1">
      <c r="A259" s="49" t="s">
        <v>50</v>
      </c>
      <c r="B259" s="35" t="s">
        <v>1485</v>
      </c>
      <c r="C259" s="36" t="s">
        <v>1486</v>
      </c>
      <c r="D259" s="36"/>
      <c r="E259" s="36" t="s">
        <v>36</v>
      </c>
      <c r="F259" s="36" t="s">
        <v>37</v>
      </c>
      <c r="G259" s="35" t="s">
        <v>846</v>
      </c>
      <c r="H259" s="35" t="s">
        <v>1487</v>
      </c>
      <c r="I259" s="35" t="s">
        <v>297</v>
      </c>
      <c r="J259" s="35" t="s">
        <v>298</v>
      </c>
      <c r="K259" s="37">
        <f>IFERROR(__xludf.DUMMYFUNCTION("query(assistance!$A$2:$E988,""Select C Where D = '""&amp;L259&amp;""'"")"),32.0)</f>
        <v>32</v>
      </c>
      <c r="L259" s="36" t="s">
        <v>208</v>
      </c>
      <c r="M259" s="38">
        <f t="shared" si="40"/>
        <v>1</v>
      </c>
      <c r="N259" s="39" t="s">
        <v>42</v>
      </c>
      <c r="O259" s="57">
        <v>46049.0</v>
      </c>
      <c r="P259" s="35" t="s">
        <v>43</v>
      </c>
      <c r="Q259" s="35"/>
      <c r="R259" s="35" t="s">
        <v>1489</v>
      </c>
      <c r="S259" s="35" t="b">
        <v>1</v>
      </c>
      <c r="T259" s="35" t="b">
        <v>0</v>
      </c>
      <c r="U259" s="41" t="str">
        <f>IFERROR(__xludf.DUMMYFUNCTION("""["" &amp; JOIN("", "", ARRAYFORMULA("""""""" &amp; TRIM(SPLIT(A259, "","")) &amp; """""""")) &amp; ""]"""),"[""99999""]")</f>
        <v>["99999"]</v>
      </c>
      <c r="V259" s="52" t="s">
        <v>300</v>
      </c>
      <c r="W259" s="52" t="s">
        <v>301</v>
      </c>
      <c r="X259" s="43"/>
      <c r="Y259" s="44" t="str">
        <f>vlookup(G259,zip_codes!$B$6:$J988,3,false)</f>
        <v>Houston</v>
      </c>
      <c r="Z259" s="45" t="str">
        <f>vlookup(G259,zip_codes!$B$6:$J988,9,false)</f>
        <v>Denver Harbor / Port Houston, Fifth Ward, Northside</v>
      </c>
      <c r="AA259" s="44" t="str">
        <f>vlookup(B259,organizations!$B$1:$C988,2,false)</f>
        <v>Vecino Health Centers</v>
      </c>
      <c r="AB259" s="46" t="s">
        <v>302</v>
      </c>
      <c r="AC259" s="47" t="s">
        <v>303</v>
      </c>
      <c r="AD259" s="48" t="s">
        <v>304</v>
      </c>
      <c r="AE259" s="48" t="str">
        <f t="shared" si="34"/>
        <v>Denver Harbor Family Health Center424 Hahlo Street32</v>
      </c>
      <c r="AF259" s="48" t="str">
        <f t="shared" si="35"/>
        <v/>
      </c>
    </row>
    <row r="260" ht="66.75" customHeight="1">
      <c r="A260" s="49" t="s">
        <v>50</v>
      </c>
      <c r="B260" s="35" t="s">
        <v>1485</v>
      </c>
      <c r="C260" s="36" t="s">
        <v>1486</v>
      </c>
      <c r="D260" s="36"/>
      <c r="E260" s="36" t="s">
        <v>36</v>
      </c>
      <c r="F260" s="36" t="s">
        <v>37</v>
      </c>
      <c r="G260" s="35" t="s">
        <v>846</v>
      </c>
      <c r="H260" s="35" t="s">
        <v>1487</v>
      </c>
      <c r="I260" s="35" t="s">
        <v>297</v>
      </c>
      <c r="J260" s="35" t="s">
        <v>298</v>
      </c>
      <c r="K260" s="37">
        <f>IFERROR(__xludf.DUMMYFUNCTION("query(assistance!$A$2:$E988,""Select C Where D = '""&amp;L260&amp;""'"")"),33.0)</f>
        <v>33</v>
      </c>
      <c r="L260" s="36" t="s">
        <v>333</v>
      </c>
      <c r="M260" s="38">
        <f t="shared" si="40"/>
        <v>1</v>
      </c>
      <c r="N260" s="39" t="s">
        <v>42</v>
      </c>
      <c r="O260" s="57">
        <v>46049.0</v>
      </c>
      <c r="P260" s="35" t="s">
        <v>43</v>
      </c>
      <c r="Q260" s="35"/>
      <c r="R260" s="35" t="s">
        <v>1490</v>
      </c>
      <c r="S260" s="35" t="b">
        <v>0</v>
      </c>
      <c r="T260" s="35" t="b">
        <v>0</v>
      </c>
      <c r="U260" s="41" t="str">
        <f>IFERROR(__xludf.DUMMYFUNCTION("""["" &amp; JOIN("", "", ARRAYFORMULA("""""""" &amp; TRIM(SPLIT(A260, "","")) &amp; """""""")) &amp; ""]"""),"[""99999""]")</f>
        <v>["99999"]</v>
      </c>
      <c r="V260" s="52" t="s">
        <v>300</v>
      </c>
      <c r="W260" s="52" t="s">
        <v>301</v>
      </c>
      <c r="X260" s="43"/>
      <c r="Y260" s="44" t="str">
        <f>vlookup(G260,zip_codes!$B$6:$J988,3,false)</f>
        <v>Houston</v>
      </c>
      <c r="Z260" s="45" t="str">
        <f>vlookup(G260,zip_codes!$B$6:$J988,9,false)</f>
        <v>Denver Harbor / Port Houston, Fifth Ward, Northside</v>
      </c>
      <c r="AA260" s="44" t="str">
        <f>vlookup(B260,organizations!$B$1:$C988,2,false)</f>
        <v>Vecino Health Centers</v>
      </c>
      <c r="AB260" s="46" t="s">
        <v>302</v>
      </c>
      <c r="AC260" s="47" t="s">
        <v>303</v>
      </c>
      <c r="AD260" s="48" t="s">
        <v>304</v>
      </c>
      <c r="AE260" s="48" t="str">
        <f t="shared" si="34"/>
        <v>Denver Harbor Family Health Center424 Hahlo Street33</v>
      </c>
      <c r="AF260" s="48" t="str">
        <f t="shared" si="35"/>
        <v/>
      </c>
    </row>
    <row r="261" ht="66.75" customHeight="1">
      <c r="A261" s="49" t="s">
        <v>50</v>
      </c>
      <c r="B261" s="35" t="s">
        <v>1485</v>
      </c>
      <c r="C261" s="36" t="s">
        <v>1486</v>
      </c>
      <c r="D261" s="36"/>
      <c r="E261" s="36" t="s">
        <v>36</v>
      </c>
      <c r="F261" s="36" t="s">
        <v>37</v>
      </c>
      <c r="G261" s="35" t="s">
        <v>846</v>
      </c>
      <c r="H261" s="35" t="s">
        <v>1487</v>
      </c>
      <c r="I261" s="35" t="s">
        <v>297</v>
      </c>
      <c r="J261" s="35" t="s">
        <v>298</v>
      </c>
      <c r="K261" s="37">
        <f>IFERROR(__xludf.DUMMYFUNCTION("query(assistance!$A$2:$E988,""Select C Where D = '""&amp;L261&amp;""'"")"),35.0)</f>
        <v>35</v>
      </c>
      <c r="L261" s="36" t="s">
        <v>731</v>
      </c>
      <c r="M261" s="38">
        <f t="shared" si="40"/>
        <v>1</v>
      </c>
      <c r="N261" s="39" t="s">
        <v>42</v>
      </c>
      <c r="O261" s="57">
        <v>46049.0</v>
      </c>
      <c r="P261" s="35" t="s">
        <v>43</v>
      </c>
      <c r="Q261" s="35"/>
      <c r="R261" s="35" t="s">
        <v>1356</v>
      </c>
      <c r="S261" s="35" t="b">
        <v>0</v>
      </c>
      <c r="T261" s="35" t="b">
        <v>0</v>
      </c>
      <c r="U261" s="41" t="str">
        <f>IFERROR(__xludf.DUMMYFUNCTION("""["" &amp; JOIN("", "", ARRAYFORMULA("""""""" &amp; TRIM(SPLIT(A261, "","")) &amp; """""""")) &amp; ""]"""),"[""99999""]")</f>
        <v>["99999"]</v>
      </c>
      <c r="V261" s="52" t="s">
        <v>300</v>
      </c>
      <c r="W261" s="52" t="s">
        <v>301</v>
      </c>
      <c r="X261" s="43"/>
      <c r="Y261" s="44" t="str">
        <f>vlookup(G261,zip_codes!$B$6:$J988,3,false)</f>
        <v>Houston</v>
      </c>
      <c r="Z261" s="45" t="str">
        <f>vlookup(G261,zip_codes!$B$6:$J988,9,false)</f>
        <v>Denver Harbor / Port Houston, Fifth Ward, Northside</v>
      </c>
      <c r="AA261" s="44" t="str">
        <f>vlookup(B261,organizations!$B$1:$C988,2,false)</f>
        <v>Vecino Health Centers</v>
      </c>
      <c r="AB261" s="46" t="s">
        <v>302</v>
      </c>
      <c r="AC261" s="47" t="s">
        <v>303</v>
      </c>
      <c r="AD261" s="48" t="s">
        <v>304</v>
      </c>
      <c r="AE261" s="48" t="str">
        <f t="shared" si="34"/>
        <v>Denver Harbor Family Health Center424 Hahlo Street35</v>
      </c>
      <c r="AF261" s="48" t="str">
        <f t="shared" si="35"/>
        <v/>
      </c>
    </row>
    <row r="262" ht="66.75" customHeight="1">
      <c r="A262" s="34" t="s">
        <v>234</v>
      </c>
      <c r="B262" s="35" t="s">
        <v>1491</v>
      </c>
      <c r="C262" s="36" t="s">
        <v>845</v>
      </c>
      <c r="D262" s="36"/>
      <c r="E262" s="36" t="s">
        <v>36</v>
      </c>
      <c r="F262" s="36" t="s">
        <v>37</v>
      </c>
      <c r="G262" s="56" t="s">
        <v>846</v>
      </c>
      <c r="H262" s="35" t="s">
        <v>1492</v>
      </c>
      <c r="I262" s="35" t="s">
        <v>131</v>
      </c>
      <c r="J262" s="35"/>
      <c r="K262" s="37">
        <f>IFERROR(__xludf.DUMMYFUNCTION("query(assistance!$A$2:$E988,""Select C Where D = '""&amp;L262&amp;""'"")"),44.0)</f>
        <v>44</v>
      </c>
      <c r="L262" s="36" t="s">
        <v>102</v>
      </c>
      <c r="M262" s="38">
        <f t="shared" si="40"/>
        <v>1</v>
      </c>
      <c r="N262" s="39" t="s">
        <v>42</v>
      </c>
      <c r="O262" s="57">
        <v>46057.0</v>
      </c>
      <c r="P262" s="35" t="s">
        <v>43</v>
      </c>
      <c r="Q262" s="35"/>
      <c r="R262" s="35" t="s">
        <v>246</v>
      </c>
      <c r="S262" s="35" t="b">
        <v>1</v>
      </c>
      <c r="T262" s="35" t="b">
        <v>0</v>
      </c>
      <c r="U262" s="41" t="str">
        <f>IFERROR(__xludf.DUMMYFUNCTION("""["" &amp; JOIN("", "", ARRAYFORMULA("""""""" &amp; TRIM(SPLIT(A262,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262" s="42" t="s">
        <v>1493</v>
      </c>
      <c r="W262" s="42" t="s">
        <v>1494</v>
      </c>
      <c r="X262" s="43"/>
      <c r="Y262" s="44" t="str">
        <f>vlookup(G262,zip_codes!$B$6:$J988,3,false)</f>
        <v>Houston</v>
      </c>
      <c r="Z262" s="45" t="str">
        <f>vlookup(G262,zip_codes!$B$6:$J988,9,false)</f>
        <v>Denver Harbor / Port Houston, Fifth Ward, Northside</v>
      </c>
      <c r="AA262" s="44" t="str">
        <f>vlookup(B262,organizations!$B$1:$C988,2,false)</f>
        <v>City of Houston</v>
      </c>
      <c r="AB262" s="55" t="s">
        <v>1495</v>
      </c>
      <c r="AC262" s="47" t="str">
        <f t="shared" ref="AC262:AC263" si="41">PARSE_HOURS(I262)</f>
        <v>{"regular":[{"days":["Mo","Tu","We","Th"],"open":"08:00","close":"17:00"}]}</v>
      </c>
      <c r="AD262" s="58" t="s">
        <v>304</v>
      </c>
      <c r="AE262" s="48"/>
      <c r="AF262" s="48"/>
    </row>
    <row r="263" ht="66.75" customHeight="1">
      <c r="A263" s="34" t="s">
        <v>234</v>
      </c>
      <c r="B263" s="35" t="s">
        <v>1491</v>
      </c>
      <c r="C263" s="36" t="s">
        <v>845</v>
      </c>
      <c r="D263" s="36"/>
      <c r="E263" s="36" t="s">
        <v>36</v>
      </c>
      <c r="F263" s="36" t="s">
        <v>37</v>
      </c>
      <c r="G263" s="56" t="s">
        <v>846</v>
      </c>
      <c r="H263" s="35" t="s">
        <v>1492</v>
      </c>
      <c r="I263" s="35" t="s">
        <v>1496</v>
      </c>
      <c r="J263" s="35" t="s">
        <v>1497</v>
      </c>
      <c r="K263" s="37">
        <f>IFERROR(__xludf.DUMMYFUNCTION("query(assistance!$A$2:$E988,""Select C Where D = '""&amp;L263&amp;""'"")"),61.0)</f>
        <v>61</v>
      </c>
      <c r="L263" s="36" t="s">
        <v>842</v>
      </c>
      <c r="M263" s="38">
        <f t="shared" si="40"/>
        <v>1</v>
      </c>
      <c r="N263" s="39" t="s">
        <v>42</v>
      </c>
      <c r="O263" s="57">
        <v>46057.0</v>
      </c>
      <c r="P263" s="35" t="s">
        <v>43</v>
      </c>
      <c r="Q263" s="35"/>
      <c r="R263" s="35" t="s">
        <v>1498</v>
      </c>
      <c r="S263" s="35" t="b">
        <v>0</v>
      </c>
      <c r="T263" s="35" t="b">
        <v>0</v>
      </c>
      <c r="U263" s="41" t="str">
        <f>IFERROR(__xludf.DUMMYFUNCTION("""["" &amp; JOIN("", "", ARRAYFORMULA("""""""" &amp; TRIM(SPLIT(A263,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263" s="42" t="s">
        <v>1493</v>
      </c>
      <c r="W263" s="42" t="s">
        <v>1494</v>
      </c>
      <c r="X263" s="43"/>
      <c r="Y263" s="44" t="str">
        <f>vlookup(G263,zip_codes!$B$6:$J988,3,false)</f>
        <v>Houston</v>
      </c>
      <c r="Z263" s="45" t="str">
        <f>vlookup(G263,zip_codes!$B$6:$J988,9,false)</f>
        <v>Denver Harbor / Port Houston, Fifth Ward, Northside</v>
      </c>
      <c r="AA263" s="44" t="str">
        <f>vlookup(B263,organizations!$B$1:$C988,2,false)</f>
        <v>City of Houston</v>
      </c>
      <c r="AB263" s="55" t="s">
        <v>1495</v>
      </c>
      <c r="AC263" s="47" t="str">
        <f t="shared" si="41"/>
        <v>{"regular":[{"days":["Mo"],"open":null,"close":null}]}</v>
      </c>
      <c r="AD263" s="58" t="s">
        <v>304</v>
      </c>
      <c r="AE263" s="48"/>
      <c r="AF263" s="48"/>
    </row>
    <row r="264" ht="66.75" customHeight="1">
      <c r="A264" s="49" t="s">
        <v>50</v>
      </c>
      <c r="B264" s="35" t="s">
        <v>1499</v>
      </c>
      <c r="C264" s="36" t="s">
        <v>1500</v>
      </c>
      <c r="D264" s="36" t="s">
        <v>1501</v>
      </c>
      <c r="E264" s="36" t="s">
        <v>1502</v>
      </c>
      <c r="F264" s="36" t="s">
        <v>1503</v>
      </c>
      <c r="G264" s="56" t="s">
        <v>1504</v>
      </c>
      <c r="H264" s="35"/>
      <c r="I264" s="35" t="s">
        <v>516</v>
      </c>
      <c r="J264" s="35"/>
      <c r="K264" s="37">
        <f>IFERROR(__xludf.DUMMYFUNCTION("query(assistance!$A$2:$E988,""Select C Where D = '""&amp;L264&amp;""'"")"),36.0)</f>
        <v>36</v>
      </c>
      <c r="L264" s="36" t="s">
        <v>227</v>
      </c>
      <c r="M264" s="38">
        <f t="shared" si="40"/>
        <v>1</v>
      </c>
      <c r="N264" s="51" t="s">
        <v>42</v>
      </c>
      <c r="O264" s="40">
        <v>46044.0</v>
      </c>
      <c r="P264" s="35" t="s">
        <v>1505</v>
      </c>
      <c r="Q264" s="35"/>
      <c r="R264" s="35" t="s">
        <v>1506</v>
      </c>
      <c r="S264" s="35" t="b">
        <v>0</v>
      </c>
      <c r="T264" s="35" t="b">
        <v>0</v>
      </c>
      <c r="U264" s="41" t="str">
        <f>IFERROR(__xludf.DUMMYFUNCTION("""["" &amp; JOIN("", "", ARRAYFORMULA("""""""" &amp; TRIM(SPLIT(A264, "","")) &amp; """""""")) &amp; ""]"""),"[""99999""]")</f>
        <v>["99999"]</v>
      </c>
      <c r="V264" s="54" t="s">
        <v>1507</v>
      </c>
      <c r="W264" s="42" t="s">
        <v>1508</v>
      </c>
      <c r="X264" s="43"/>
      <c r="Y264" s="44" t="str">
        <f>vlookup(G264,zip_codes!$B$6:$J988,3,false)</f>
        <v>Vancouver</v>
      </c>
      <c r="Z264" s="45" t="str">
        <f>vlookup(G264,zip_codes!$B$6:$J988,9,false)</f>
        <v>Felida</v>
      </c>
      <c r="AA264" s="44" t="str">
        <f>vlookup(B264,organizations!$B$1:$C988,2,false)</f>
        <v>Dollar For</v>
      </c>
      <c r="AB264" s="55" t="s">
        <v>1509</v>
      </c>
      <c r="AC264" s="47" t="s">
        <v>520</v>
      </c>
      <c r="AD264" s="58" t="s">
        <v>1502</v>
      </c>
      <c r="AE264" s="48" t="str">
        <f t="shared" ref="AE264:AE308" si="42">B264&amp;C264&amp;K264</f>
        <v>Dollar For104 W 9th Street36</v>
      </c>
      <c r="AF264" s="48" t="str">
        <f t="shared" ref="AF264:AF280" si="43">if(AE264=AE263,"XXX","")</f>
        <v/>
      </c>
    </row>
    <row r="265" ht="66.75" customHeight="1">
      <c r="A265" s="49" t="s">
        <v>50</v>
      </c>
      <c r="B265" s="35" t="s">
        <v>1510</v>
      </c>
      <c r="C265" s="36" t="s">
        <v>1511</v>
      </c>
      <c r="D265" s="36"/>
      <c r="E265" s="36" t="s">
        <v>36</v>
      </c>
      <c r="F265" s="36" t="s">
        <v>37</v>
      </c>
      <c r="G265" s="35" t="s">
        <v>383</v>
      </c>
      <c r="H265" s="35" t="s">
        <v>1512</v>
      </c>
      <c r="I265" s="35" t="s">
        <v>88</v>
      </c>
      <c r="J265" s="35"/>
      <c r="K265" s="37">
        <f>IFERROR(__xludf.DUMMYFUNCTION("query(assistance!$A$2:$E988,""Select C Where D = '""&amp;L265&amp;""'"")"),14.0)</f>
        <v>14</v>
      </c>
      <c r="L265" s="36" t="s">
        <v>391</v>
      </c>
      <c r="M265" s="38">
        <f t="shared" si="40"/>
        <v>1</v>
      </c>
      <c r="N265" s="39" t="s">
        <v>42</v>
      </c>
      <c r="O265" s="65"/>
      <c r="P265" s="50"/>
      <c r="Q265" s="50"/>
      <c r="R265" s="50"/>
      <c r="S265" s="35" t="b">
        <v>0</v>
      </c>
      <c r="T265" s="35" t="b">
        <v>0</v>
      </c>
      <c r="U265" s="41" t="str">
        <f>IFERROR(__xludf.DUMMYFUNCTION("""["" &amp; JOIN("", "", ARRAYFORMULA("""""""" &amp; TRIM(SPLIT(A265, "","")) &amp; """""""")) &amp; ""]"""),"[""99999""]")</f>
        <v>["99999"]</v>
      </c>
      <c r="V265" s="52" t="s">
        <v>1513</v>
      </c>
      <c r="W265" s="52" t="s">
        <v>1514</v>
      </c>
      <c r="X265" s="43"/>
      <c r="Y265" s="44" t="str">
        <f>vlookup(G265,zip_codes!$B$6:$J988,3,false)</f>
        <v>Houston</v>
      </c>
      <c r="Z265" s="45" t="str">
        <f>vlookup(G265,zip_codes!$B$6:$J988,9,false)</f>
        <v>Greenway / Upper Kirby Area, River Oaks, Upper Kirby</v>
      </c>
      <c r="AA265" s="44" t="str">
        <f>vlookup(B265,organizations!$B$1:$C988,2,false)</f>
        <v>Dress For Success</v>
      </c>
      <c r="AB265" s="46" t="s">
        <v>1515</v>
      </c>
      <c r="AC265" s="47" t="s">
        <v>1516</v>
      </c>
      <c r="AD265" s="48" t="s">
        <v>390</v>
      </c>
      <c r="AE265" s="48" t="str">
        <f t="shared" si="42"/>
        <v>Dress For Success3310 Eastside Street14</v>
      </c>
      <c r="AF265" s="48" t="str">
        <f t="shared" si="43"/>
        <v/>
      </c>
    </row>
    <row r="266" ht="66.75" customHeight="1">
      <c r="A266" s="49" t="s">
        <v>50</v>
      </c>
      <c r="B266" s="35" t="s">
        <v>1517</v>
      </c>
      <c r="C266" s="36" t="s">
        <v>1518</v>
      </c>
      <c r="D266" s="36"/>
      <c r="E266" s="36" t="s">
        <v>36</v>
      </c>
      <c r="F266" s="36" t="s">
        <v>37</v>
      </c>
      <c r="G266" s="35" t="s">
        <v>542</v>
      </c>
      <c r="H266" s="35" t="s">
        <v>1519</v>
      </c>
      <c r="I266" s="35" t="s">
        <v>1520</v>
      </c>
      <c r="J266" s="35" t="s">
        <v>298</v>
      </c>
      <c r="K266" s="37">
        <f>IFERROR(__xludf.DUMMYFUNCTION("query(assistance!$A$2:$E988,""Select C Where D = '""&amp;L266&amp;""'"")"),13.0)</f>
        <v>13</v>
      </c>
      <c r="L266" s="36" t="s">
        <v>240</v>
      </c>
      <c r="M266" s="38">
        <f t="shared" si="40"/>
        <v>1</v>
      </c>
      <c r="N266" s="51" t="s">
        <v>42</v>
      </c>
      <c r="O266" s="40">
        <v>45813.0</v>
      </c>
      <c r="P266" s="35" t="s">
        <v>43</v>
      </c>
      <c r="Q266" s="35"/>
      <c r="R266" s="35" t="s">
        <v>1521</v>
      </c>
      <c r="S266" s="35" t="b">
        <v>0</v>
      </c>
      <c r="T266" s="35" t="b">
        <v>0</v>
      </c>
      <c r="U266" s="41" t="str">
        <f>IFERROR(__xludf.DUMMYFUNCTION("""["" &amp; JOIN("", "", ARRAYFORMULA("""""""" &amp; TRIM(SPLIT(A266, "","")) &amp; """""""")) &amp; ""]"""),"[""99999""]")</f>
        <v>["99999"]</v>
      </c>
      <c r="V266" s="42" t="s">
        <v>1522</v>
      </c>
      <c r="W266" s="42" t="s">
        <v>1523</v>
      </c>
      <c r="X266" s="43"/>
      <c r="Y266" s="44" t="str">
        <f>vlookup(G266,zip_codes!$B$6:$J988,3,false)</f>
        <v>Houston</v>
      </c>
      <c r="Z266" s="45" t="str">
        <f>vlookup(G266,zip_codes!$B$6:$J988,9,false)</f>
        <v>Eastwood, Magnolia Park, Second Ward, South Central Houston</v>
      </c>
      <c r="AA266" s="44" t="str">
        <f>vlookup(B266,organizations!$B$1:$C988,2,false)</f>
        <v>East End Social Services, Inc.</v>
      </c>
      <c r="AB266" s="46" t="s">
        <v>1524</v>
      </c>
      <c r="AC266" s="47" t="s">
        <v>1525</v>
      </c>
      <c r="AD266" s="48" t="s">
        <v>863</v>
      </c>
      <c r="AE266" s="48" t="str">
        <f t="shared" si="42"/>
        <v>East End Social Services, Inc.6801 Avenue U13</v>
      </c>
      <c r="AF266" s="48" t="str">
        <f t="shared" si="43"/>
        <v/>
      </c>
    </row>
    <row r="267" ht="66.75" customHeight="1">
      <c r="A267" s="49" t="s">
        <v>1526</v>
      </c>
      <c r="B267" s="35" t="s">
        <v>1527</v>
      </c>
      <c r="C267" s="36" t="s">
        <v>1528</v>
      </c>
      <c r="D267" s="36"/>
      <c r="E267" s="36" t="s">
        <v>200</v>
      </c>
      <c r="F267" s="36" t="s">
        <v>37</v>
      </c>
      <c r="G267" s="35" t="s">
        <v>201</v>
      </c>
      <c r="H267" s="35" t="s">
        <v>1529</v>
      </c>
      <c r="I267" s="35" t="s">
        <v>1530</v>
      </c>
      <c r="J267" s="35"/>
      <c r="K267" s="37">
        <f>IFERROR(__xludf.DUMMYFUNCTION("query(assistance!$A$2:$E988,""Select C Where D = '""&amp;L267&amp;""'"")"),11.0)</f>
        <v>11</v>
      </c>
      <c r="L267" s="36" t="s">
        <v>322</v>
      </c>
      <c r="M267" s="38">
        <f t="shared" si="40"/>
        <v>1</v>
      </c>
      <c r="N267" s="39" t="s">
        <v>42</v>
      </c>
      <c r="O267" s="40">
        <v>45772.0</v>
      </c>
      <c r="P267" s="35" t="s">
        <v>1531</v>
      </c>
      <c r="Q267" s="35"/>
      <c r="R267" s="35" t="s">
        <v>1532</v>
      </c>
      <c r="S267" s="35" t="b">
        <v>0</v>
      </c>
      <c r="T267" s="35" t="b">
        <v>0</v>
      </c>
      <c r="U267" s="41" t="str">
        <f>IFERROR(__xludf.DUMMYFUNCTION("""["" &amp; JOIN("", "", ARRAYFORMULA("""""""" &amp; TRIM(SPLIT(A267, "","")) &amp; """""""")) &amp; ""]"""),"[""77053"", ""77083"", ""77085"", ""77099"", ""77301"", ""777407"", ""7477"", ""77478"", ""77479"", ""77483"", ""77459"", ""77469"", ""77489"", ""77498"", ""77545"", ""77583""]")</f>
        <v>["77053", "77083", "77085", "77099", "77301", "777407", "7477", "77478", "77479", "77483", "77459", "77469", "77489", "77498", "77545", "77583"]</v>
      </c>
      <c r="V267" s="52" t="s">
        <v>1533</v>
      </c>
      <c r="W267" s="52" t="s">
        <v>1534</v>
      </c>
      <c r="X267" s="43"/>
      <c r="Y267" s="44" t="str">
        <f>vlookup(G267,zip_codes!$B$6:$J988,3,false)</f>
        <v>Stafford</v>
      </c>
      <c r="Z267" s="45" t="str">
        <f>vlookup(G267,zip_codes!$B$6:$J988,9,false)</f>
        <v>Clark Plaza One, Corporate Bus Park, Greenbriar Southwest, Stafford, The Fountains</v>
      </c>
      <c r="AA267" s="44" t="str">
        <f>vlookup(B267,organizations!$B$1:$C988,2,false)</f>
        <v>East Ft Bend Human Needs</v>
      </c>
      <c r="AB267" s="46" t="s">
        <v>1535</v>
      </c>
      <c r="AC267" s="47" t="s">
        <v>1536</v>
      </c>
      <c r="AD267" s="48" t="s">
        <v>1537</v>
      </c>
      <c r="AE267" s="48" t="str">
        <f t="shared" si="42"/>
        <v>East Ft Bend Human Needs435 Stafford Run Road11</v>
      </c>
      <c r="AF267" s="48" t="str">
        <f t="shared" si="43"/>
        <v/>
      </c>
    </row>
    <row r="268" ht="66.75" customHeight="1">
      <c r="A268" s="49" t="s">
        <v>1526</v>
      </c>
      <c r="B268" s="35" t="s">
        <v>1527</v>
      </c>
      <c r="C268" s="36" t="s">
        <v>1528</v>
      </c>
      <c r="D268" s="36"/>
      <c r="E268" s="36" t="s">
        <v>200</v>
      </c>
      <c r="F268" s="36" t="s">
        <v>37</v>
      </c>
      <c r="G268" s="35" t="s">
        <v>201</v>
      </c>
      <c r="H268" s="35" t="s">
        <v>1529</v>
      </c>
      <c r="I268" s="35" t="s">
        <v>1530</v>
      </c>
      <c r="J268" s="35"/>
      <c r="K268" s="37">
        <f>IFERROR(__xludf.DUMMYFUNCTION("query(assistance!$A$2:$E988,""Select C Where D = '""&amp;L268&amp;""'"")"),12.0)</f>
        <v>12</v>
      </c>
      <c r="L268" s="36" t="s">
        <v>330</v>
      </c>
      <c r="M268" s="38">
        <f t="shared" si="40"/>
        <v>1</v>
      </c>
      <c r="N268" s="39" t="s">
        <v>42</v>
      </c>
      <c r="O268" s="40">
        <v>45772.0</v>
      </c>
      <c r="P268" s="35" t="s">
        <v>1531</v>
      </c>
      <c r="Q268" s="35"/>
      <c r="R268" s="35" t="s">
        <v>1532</v>
      </c>
      <c r="S268" s="35" t="b">
        <v>0</v>
      </c>
      <c r="T268" s="35" t="b">
        <v>0</v>
      </c>
      <c r="U268" s="41" t="str">
        <f>IFERROR(__xludf.DUMMYFUNCTION("""["" &amp; JOIN("", "", ARRAYFORMULA("""""""" &amp; TRIM(SPLIT(A268, "","")) &amp; """""""")) &amp; ""]"""),"[""77053"", ""77083"", ""77085"", ""77099"", ""77301"", ""777407"", ""7477"", ""77478"", ""77479"", ""77483"", ""77459"", ""77469"", ""77489"", ""77498"", ""77545"", ""77583""]")</f>
        <v>["77053", "77083", "77085", "77099", "77301", "777407", "7477", "77478", "77479", "77483", "77459", "77469", "77489", "77498", "77545", "77583"]</v>
      </c>
      <c r="V268" s="52" t="s">
        <v>1533</v>
      </c>
      <c r="W268" s="52" t="s">
        <v>1534</v>
      </c>
      <c r="X268" s="43"/>
      <c r="Y268" s="44" t="str">
        <f>vlookup(G268,zip_codes!$B$6:$J988,3,false)</f>
        <v>Stafford</v>
      </c>
      <c r="Z268" s="45" t="str">
        <f>vlookup(G268,zip_codes!$B$6:$J988,9,false)</f>
        <v>Clark Plaza One, Corporate Bus Park, Greenbriar Southwest, Stafford, The Fountains</v>
      </c>
      <c r="AA268" s="44" t="str">
        <f>vlookup(B268,organizations!$B$1:$C988,2,false)</f>
        <v>East Ft Bend Human Needs</v>
      </c>
      <c r="AB268" s="46" t="s">
        <v>1535</v>
      </c>
      <c r="AC268" s="47" t="s">
        <v>1536</v>
      </c>
      <c r="AD268" s="48" t="s">
        <v>1537</v>
      </c>
      <c r="AE268" s="48" t="str">
        <f t="shared" si="42"/>
        <v>East Ft Bend Human Needs435 Stafford Run Road12</v>
      </c>
      <c r="AF268" s="48" t="str">
        <f t="shared" si="43"/>
        <v/>
      </c>
    </row>
    <row r="269" ht="66.75" customHeight="1">
      <c r="A269" s="49" t="s">
        <v>1526</v>
      </c>
      <c r="B269" s="35" t="s">
        <v>1527</v>
      </c>
      <c r="C269" s="36" t="s">
        <v>1528</v>
      </c>
      <c r="D269" s="36"/>
      <c r="E269" s="36" t="s">
        <v>200</v>
      </c>
      <c r="F269" s="36" t="s">
        <v>37</v>
      </c>
      <c r="G269" s="35" t="s">
        <v>201</v>
      </c>
      <c r="H269" s="35" t="s">
        <v>1538</v>
      </c>
      <c r="I269" s="35" t="s">
        <v>1539</v>
      </c>
      <c r="J269" s="35" t="s">
        <v>1540</v>
      </c>
      <c r="K269" s="37">
        <f>IFERROR(__xludf.DUMMYFUNCTION("query(assistance!$A$2:$E988,""Select C Where D = '""&amp;L269&amp;""'"")"),13.0)</f>
        <v>13</v>
      </c>
      <c r="L269" s="36" t="s">
        <v>240</v>
      </c>
      <c r="M269" s="38">
        <f t="shared" si="40"/>
        <v>1</v>
      </c>
      <c r="N269" s="39" t="s">
        <v>42</v>
      </c>
      <c r="O269" s="40">
        <v>45772.0</v>
      </c>
      <c r="P269" s="35" t="s">
        <v>1531</v>
      </c>
      <c r="Q269" s="50"/>
      <c r="R269" s="50"/>
      <c r="S269" s="35" t="b">
        <v>0</v>
      </c>
      <c r="T269" s="35" t="b">
        <v>0</v>
      </c>
      <c r="U269" s="41" t="str">
        <f>IFERROR(__xludf.DUMMYFUNCTION("""["" &amp; JOIN("", "", ARRAYFORMULA("""""""" &amp; TRIM(SPLIT(A269, "","")) &amp; """""""")) &amp; ""]"""),"[""77053"", ""77083"", ""77085"", ""77099"", ""77301"", ""777407"", ""7477"", ""77478"", ""77479"", ""77483"", ""77459"", ""77469"", ""77489"", ""77498"", ""77545"", ""77583""]")</f>
        <v>["77053", "77083", "77085", "77099", "77301", "777407", "7477", "77478", "77479", "77483", "77459", "77469", "77489", "77498", "77545", "77583"]</v>
      </c>
      <c r="V269" s="52" t="s">
        <v>1533</v>
      </c>
      <c r="W269" s="52" t="s">
        <v>1534</v>
      </c>
      <c r="X269" s="43"/>
      <c r="Y269" s="44" t="str">
        <f>vlookup(G269,zip_codes!$B$6:$J988,3,false)</f>
        <v>Stafford</v>
      </c>
      <c r="Z269" s="45" t="str">
        <f>vlookup(G269,zip_codes!$B$6:$J988,9,false)</f>
        <v>Clark Plaza One, Corporate Bus Park, Greenbriar Southwest, Stafford, The Fountains</v>
      </c>
      <c r="AA269" s="44" t="str">
        <f>vlookup(B269,organizations!$B$1:$C988,2,false)</f>
        <v>East Ft Bend Human Needs</v>
      </c>
      <c r="AB269" s="46" t="s">
        <v>1535</v>
      </c>
      <c r="AC269" s="47" t="s">
        <v>1541</v>
      </c>
      <c r="AD269" s="48" t="s">
        <v>1537</v>
      </c>
      <c r="AE269" s="48" t="str">
        <f t="shared" si="42"/>
        <v>East Ft Bend Human Needs435 Stafford Run Road13</v>
      </c>
      <c r="AF269" s="48" t="str">
        <f t="shared" si="43"/>
        <v/>
      </c>
    </row>
    <row r="270" ht="66.75" customHeight="1">
      <c r="A270" s="49" t="s">
        <v>1542</v>
      </c>
      <c r="B270" s="35" t="s">
        <v>1527</v>
      </c>
      <c r="C270" s="36" t="s">
        <v>1528</v>
      </c>
      <c r="D270" s="36"/>
      <c r="E270" s="36" t="s">
        <v>200</v>
      </c>
      <c r="F270" s="36" t="s">
        <v>37</v>
      </c>
      <c r="G270" s="35" t="s">
        <v>201</v>
      </c>
      <c r="H270" s="35" t="s">
        <v>1538</v>
      </c>
      <c r="I270" s="35" t="s">
        <v>1530</v>
      </c>
      <c r="J270" s="35"/>
      <c r="K270" s="37">
        <f>IFERROR(__xludf.DUMMYFUNCTION("query(assistance!$A$2:$E988,""Select C Where D = '""&amp;L270&amp;""'"")"),64.0)</f>
        <v>64</v>
      </c>
      <c r="L270" s="36" t="s">
        <v>817</v>
      </c>
      <c r="M270" s="38">
        <f t="shared" si="40"/>
        <v>1</v>
      </c>
      <c r="N270" s="39" t="s">
        <v>42</v>
      </c>
      <c r="O270" s="65"/>
      <c r="P270" s="50"/>
      <c r="Q270" s="35"/>
      <c r="R270" s="35" t="s">
        <v>948</v>
      </c>
      <c r="S270" s="35" t="b">
        <v>0</v>
      </c>
      <c r="T270" s="35" t="b">
        <v>0</v>
      </c>
      <c r="U270" s="41" t="str">
        <f>IFERROR(__xludf.DUMMYFUNCTION("""["" &amp; JOIN("", "", ARRAYFORMULA("""""""" &amp; TRIM(SPLIT(A270, "","")) &amp; """""""")) &amp; ""]"""),"[""77099"", ""77301"", ""77477"", ""77479"", ""77483""]")</f>
        <v>["77099", "77301", "77477", "77479", "77483"]</v>
      </c>
      <c r="V270" s="52" t="s">
        <v>1533</v>
      </c>
      <c r="W270" s="52" t="s">
        <v>1534</v>
      </c>
      <c r="X270" s="43"/>
      <c r="Y270" s="44" t="str">
        <f>vlookup(G270,zip_codes!$B$6:$J988,3,false)</f>
        <v>Stafford</v>
      </c>
      <c r="Z270" s="45" t="str">
        <f>vlookup(G270,zip_codes!$B$6:$J988,9,false)</f>
        <v>Clark Plaza One, Corporate Bus Park, Greenbriar Southwest, Stafford, The Fountains</v>
      </c>
      <c r="AA270" s="44" t="str">
        <f>vlookup(B270,organizations!$B$1:$C988,2,false)</f>
        <v>East Ft Bend Human Needs</v>
      </c>
      <c r="AB270" s="46" t="s">
        <v>1535</v>
      </c>
      <c r="AC270" s="47" t="s">
        <v>1536</v>
      </c>
      <c r="AD270" s="48" t="s">
        <v>1537</v>
      </c>
      <c r="AE270" s="48" t="str">
        <f t="shared" si="42"/>
        <v>East Ft Bend Human Needs435 Stafford Run Road64</v>
      </c>
      <c r="AF270" s="48" t="str">
        <f t="shared" si="43"/>
        <v/>
      </c>
    </row>
    <row r="271" ht="66.75" customHeight="1">
      <c r="A271" s="49" t="s">
        <v>1543</v>
      </c>
      <c r="B271" s="35" t="s">
        <v>1544</v>
      </c>
      <c r="C271" s="36" t="s">
        <v>1545</v>
      </c>
      <c r="D271" s="36"/>
      <c r="E271" s="36" t="s">
        <v>36</v>
      </c>
      <c r="F271" s="36" t="s">
        <v>37</v>
      </c>
      <c r="G271" s="35" t="s">
        <v>711</v>
      </c>
      <c r="H271" s="35" t="s">
        <v>1546</v>
      </c>
      <c r="I271" s="35" t="s">
        <v>1547</v>
      </c>
      <c r="J271" s="35"/>
      <c r="K271" s="37">
        <f>IFERROR(__xludf.DUMMYFUNCTION("query(assistance!$A$2:$E988,""Select C Where D = '""&amp;L271&amp;""'"")"),13.0)</f>
        <v>13</v>
      </c>
      <c r="L271" s="36" t="s">
        <v>240</v>
      </c>
      <c r="M271" s="38">
        <f t="shared" si="40"/>
        <v>1</v>
      </c>
      <c r="N271" s="39" t="s">
        <v>42</v>
      </c>
      <c r="O271" s="65"/>
      <c r="P271" s="50"/>
      <c r="Q271" s="50"/>
      <c r="R271" s="50"/>
      <c r="S271" s="35" t="b">
        <v>0</v>
      </c>
      <c r="T271" s="35" t="b">
        <v>0</v>
      </c>
      <c r="U271" s="41" t="str">
        <f>IFERROR(__xludf.DUMMYFUNCTION("""["" &amp; JOIN("", "", ARRAYFORMULA("""""""" &amp; TRIM(SPLIT(A271, "","")) &amp; """""""")) &amp; ""]"""),"[""77024"", ""77041"", ""77043"", ""77055"", ""77080"", ""77092""]")</f>
        <v>["77024", "77041", "77043", "77055", "77080", "77092"]</v>
      </c>
      <c r="V271" s="52" t="s">
        <v>1548</v>
      </c>
      <c r="W271" s="52" t="s">
        <v>1549</v>
      </c>
      <c r="X271" s="43"/>
      <c r="Y271" s="44" t="str">
        <f>vlookup(G271,zip_codes!$B$6:$J988,3,false)</f>
        <v>Houston</v>
      </c>
      <c r="Z271" s="45" t="str">
        <f>vlookup(G271,zip_codes!$B$6:$J988,9,false)</f>
        <v>Hilshire Village, Montrose, Northwest Houston, Spring Branch East, Washington Avenue Coalition / Memorial Park</v>
      </c>
      <c r="AA271" s="44" t="str">
        <f>vlookup(B271,organizations!$B$1:$C988,2,false)</f>
        <v>East Spring Branch Food Pantry</v>
      </c>
      <c r="AB271" s="46" t="s">
        <v>1550</v>
      </c>
      <c r="AC271" s="47" t="s">
        <v>1551</v>
      </c>
      <c r="AD271" s="48" t="s">
        <v>715</v>
      </c>
      <c r="AE271" s="48" t="str">
        <f t="shared" si="42"/>
        <v>East Spring Branch Food Pantry7901 Westview Drive13</v>
      </c>
      <c r="AF271" s="48" t="str">
        <f t="shared" si="43"/>
        <v/>
      </c>
    </row>
    <row r="272" ht="66.75" customHeight="1">
      <c r="A272" s="49" t="s">
        <v>50</v>
      </c>
      <c r="B272" s="35" t="s">
        <v>1552</v>
      </c>
      <c r="C272" s="36" t="s">
        <v>1553</v>
      </c>
      <c r="D272" s="36" t="s">
        <v>1554</v>
      </c>
      <c r="E272" s="36" t="s">
        <v>36</v>
      </c>
      <c r="F272" s="36" t="s">
        <v>37</v>
      </c>
      <c r="G272" s="35" t="s">
        <v>1555</v>
      </c>
      <c r="H272" s="35" t="s">
        <v>1556</v>
      </c>
      <c r="I272" s="35" t="s">
        <v>1557</v>
      </c>
      <c r="J272" s="35"/>
      <c r="K272" s="37">
        <f>IFERROR(__xludf.DUMMYFUNCTION("query(assistance!$A$2:$E988,""Select C Where D = '""&amp;L272&amp;""'"")"),11.0)</f>
        <v>11</v>
      </c>
      <c r="L272" s="36" t="s">
        <v>322</v>
      </c>
      <c r="M272" s="38">
        <f t="shared" si="40"/>
        <v>2</v>
      </c>
      <c r="N272" s="51" t="s">
        <v>385</v>
      </c>
      <c r="O272" s="40">
        <v>45859.0</v>
      </c>
      <c r="P272" s="35" t="s">
        <v>1558</v>
      </c>
      <c r="Q272" s="35"/>
      <c r="R272" s="35" t="s">
        <v>1559</v>
      </c>
      <c r="S272" s="35" t="b">
        <v>0</v>
      </c>
      <c r="T272" s="35" t="b">
        <v>0</v>
      </c>
      <c r="U272" s="41" t="str">
        <f>IFERROR(__xludf.DUMMYFUNCTION("""["" &amp; JOIN("", "", ARRAYFORMULA("""""""" &amp; TRIM(SPLIT(A272, "","")) &amp; """""""")) &amp; ""]"""),"[""99999""]")</f>
        <v>["99999"]</v>
      </c>
      <c r="V272" s="42" t="s">
        <v>1560</v>
      </c>
      <c r="W272" s="42" t="s">
        <v>1561</v>
      </c>
      <c r="X272" s="43"/>
      <c r="Y272" s="44" t="str">
        <f>vlookup(G272,zip_codes!$B$6:$J988,3,false)</f>
        <v>Houston</v>
      </c>
      <c r="Z272" s="45" t="str">
        <f>vlookup(G272,zip_codes!$B$6:$J988,9,false)</f>
        <v>Royal Oaks, Westchase, Westside</v>
      </c>
      <c r="AA272" s="44" t="str">
        <f>vlookup(B272,organizations!$B$1:$C988,2,false)</f>
        <v>ECDC Houston Multicultural Center</v>
      </c>
      <c r="AB272" s="55" t="s">
        <v>1562</v>
      </c>
      <c r="AC272" s="47" t="s">
        <v>1563</v>
      </c>
      <c r="AD272" s="48" t="s">
        <v>1059</v>
      </c>
      <c r="AE272" s="48" t="str">
        <f t="shared" si="42"/>
        <v>ECDC Houston Multicultural Center11011 Richmond Avenue11</v>
      </c>
      <c r="AF272" s="48" t="str">
        <f t="shared" si="43"/>
        <v/>
      </c>
    </row>
    <row r="273" ht="66.75" customHeight="1">
      <c r="A273" s="49" t="s">
        <v>50</v>
      </c>
      <c r="B273" s="35" t="s">
        <v>1552</v>
      </c>
      <c r="C273" s="36" t="s">
        <v>1553</v>
      </c>
      <c r="D273" s="36" t="s">
        <v>1554</v>
      </c>
      <c r="E273" s="36" t="s">
        <v>36</v>
      </c>
      <c r="F273" s="36" t="s">
        <v>37</v>
      </c>
      <c r="G273" s="35" t="s">
        <v>1555</v>
      </c>
      <c r="H273" s="35" t="s">
        <v>1556</v>
      </c>
      <c r="I273" s="35" t="s">
        <v>1557</v>
      </c>
      <c r="J273" s="35"/>
      <c r="K273" s="37">
        <f>IFERROR(__xludf.DUMMYFUNCTION("query(assistance!$A$2:$E988,""Select C Where D = '""&amp;L273&amp;""'"")"),51.0)</f>
        <v>51</v>
      </c>
      <c r="L273" s="36" t="s">
        <v>468</v>
      </c>
      <c r="M273" s="38">
        <f t="shared" si="40"/>
        <v>1</v>
      </c>
      <c r="N273" s="51" t="s">
        <v>42</v>
      </c>
      <c r="O273" s="40">
        <v>45854.0</v>
      </c>
      <c r="P273" s="35" t="s">
        <v>1564</v>
      </c>
      <c r="Q273" s="35"/>
      <c r="R273" s="35" t="s">
        <v>1565</v>
      </c>
      <c r="S273" s="35" t="b">
        <v>0</v>
      </c>
      <c r="T273" s="35" t="b">
        <v>0</v>
      </c>
      <c r="U273" s="41" t="str">
        <f>IFERROR(__xludf.DUMMYFUNCTION("""["" &amp; JOIN("", "", ARRAYFORMULA("""""""" &amp; TRIM(SPLIT(A273, "","")) &amp; """""""")) &amp; ""]"""),"[""99999""]")</f>
        <v>["99999"]</v>
      </c>
      <c r="V273" s="54" t="s">
        <v>1560</v>
      </c>
      <c r="W273" s="54" t="s">
        <v>1561</v>
      </c>
      <c r="X273" s="43"/>
      <c r="Y273" s="44" t="str">
        <f>vlookup(G273,zip_codes!$B$6:$J988,3,false)</f>
        <v>Houston</v>
      </c>
      <c r="Z273" s="45" t="str">
        <f>vlookup(G273,zip_codes!$B$6:$J988,9,false)</f>
        <v>Royal Oaks, Westchase, Westside</v>
      </c>
      <c r="AA273" s="44" t="str">
        <f>vlookup(B273,organizations!$B$1:$C988,2,false)</f>
        <v>ECDC Houston Multicultural Center</v>
      </c>
      <c r="AB273" s="55" t="s">
        <v>1562</v>
      </c>
      <c r="AC273" s="47" t="s">
        <v>1563</v>
      </c>
      <c r="AD273" s="48" t="s">
        <v>1059</v>
      </c>
      <c r="AE273" s="48" t="str">
        <f t="shared" si="42"/>
        <v>ECDC Houston Multicultural Center11011 Richmond Avenue51</v>
      </c>
      <c r="AF273" s="48" t="str">
        <f t="shared" si="43"/>
        <v/>
      </c>
    </row>
    <row r="274" ht="66.75" customHeight="1">
      <c r="A274" s="49" t="s">
        <v>50</v>
      </c>
      <c r="B274" s="35" t="s">
        <v>1552</v>
      </c>
      <c r="C274" s="36" t="s">
        <v>1553</v>
      </c>
      <c r="D274" s="36" t="s">
        <v>1554</v>
      </c>
      <c r="E274" s="36" t="s">
        <v>36</v>
      </c>
      <c r="F274" s="36" t="s">
        <v>37</v>
      </c>
      <c r="G274" s="35" t="s">
        <v>1555</v>
      </c>
      <c r="H274" s="35" t="s">
        <v>1556</v>
      </c>
      <c r="I274" s="35" t="s">
        <v>1557</v>
      </c>
      <c r="J274" s="35"/>
      <c r="K274" s="37">
        <f>IFERROR(__xludf.DUMMYFUNCTION("query(assistance!$A$2:$E988,""Select C Where D = '""&amp;L274&amp;""'"")"),55.0)</f>
        <v>55</v>
      </c>
      <c r="L274" s="36" t="s">
        <v>436</v>
      </c>
      <c r="M274" s="38">
        <f t="shared" si="40"/>
        <v>1</v>
      </c>
      <c r="N274" s="51" t="s">
        <v>42</v>
      </c>
      <c r="O274" s="40">
        <v>45854.0</v>
      </c>
      <c r="P274" s="35" t="s">
        <v>1564</v>
      </c>
      <c r="Q274" s="35"/>
      <c r="R274" s="35" t="s">
        <v>1566</v>
      </c>
      <c r="S274" s="35" t="b">
        <v>0</v>
      </c>
      <c r="T274" s="35" t="b">
        <v>0</v>
      </c>
      <c r="U274" s="41" t="str">
        <f>IFERROR(__xludf.DUMMYFUNCTION("""["" &amp; JOIN("", "", ARRAYFORMULA("""""""" &amp; TRIM(SPLIT(A274, "","")) &amp; """""""")) &amp; ""]"""),"[""99999""]")</f>
        <v>["99999"]</v>
      </c>
      <c r="V274" s="54" t="s">
        <v>1560</v>
      </c>
      <c r="W274" s="54" t="s">
        <v>1561</v>
      </c>
      <c r="X274" s="43"/>
      <c r="Y274" s="44" t="str">
        <f>vlookup(G274,zip_codes!$B$6:$J988,3,false)</f>
        <v>Houston</v>
      </c>
      <c r="Z274" s="45" t="str">
        <f>vlookup(G274,zip_codes!$B$6:$J988,9,false)</f>
        <v>Royal Oaks, Westchase, Westside</v>
      </c>
      <c r="AA274" s="44" t="str">
        <f>vlookup(B274,organizations!$B$1:$C988,2,false)</f>
        <v>ECDC Houston Multicultural Center</v>
      </c>
      <c r="AB274" s="55" t="s">
        <v>1562</v>
      </c>
      <c r="AC274" s="47" t="s">
        <v>1563</v>
      </c>
      <c r="AD274" s="48" t="s">
        <v>1059</v>
      </c>
      <c r="AE274" s="48" t="str">
        <f t="shared" si="42"/>
        <v>ECDC Houston Multicultural Center11011 Richmond Avenue55</v>
      </c>
      <c r="AF274" s="48" t="str">
        <f t="shared" si="43"/>
        <v/>
      </c>
    </row>
    <row r="275" ht="66.75" customHeight="1">
      <c r="A275" s="49" t="s">
        <v>50</v>
      </c>
      <c r="B275" s="35" t="s">
        <v>1567</v>
      </c>
      <c r="C275" s="36" t="s">
        <v>1568</v>
      </c>
      <c r="D275" s="36"/>
      <c r="E275" s="36" t="s">
        <v>36</v>
      </c>
      <c r="F275" s="36" t="s">
        <v>37</v>
      </c>
      <c r="G275" s="35" t="s">
        <v>77</v>
      </c>
      <c r="H275" s="35" t="s">
        <v>1569</v>
      </c>
      <c r="I275" s="35" t="s">
        <v>67</v>
      </c>
      <c r="J275" s="66"/>
      <c r="K275" s="37">
        <f>IFERROR(__xludf.DUMMYFUNCTION("query(assistance!$A$2:$E988,""Select C Where D = '""&amp;L275&amp;""'"")"),31.0)</f>
        <v>31</v>
      </c>
      <c r="L275" s="36" t="s">
        <v>90</v>
      </c>
      <c r="M275" s="39">
        <f t="shared" ref="M275:M277" si="44">if(N275="Inactive",3,if(N275="Limited", 2, if(N275="Closed", 4, 1)))</f>
        <v>3</v>
      </c>
      <c r="N275" s="39" t="s">
        <v>973</v>
      </c>
      <c r="O275" s="57">
        <v>46049.0</v>
      </c>
      <c r="P275" s="35" t="s">
        <v>1570</v>
      </c>
      <c r="Q275" s="35"/>
      <c r="R275" s="35" t="s">
        <v>1571</v>
      </c>
      <c r="S275" s="35" t="b">
        <v>0</v>
      </c>
      <c r="T275" s="35" t="b">
        <v>0</v>
      </c>
      <c r="U275" s="41" t="str">
        <f>IFERROR(__xludf.DUMMYFUNCTION("""["" &amp; JOIN("", "", ARRAYFORMULA("""""""" &amp; TRIM(SPLIT(A275, "","")) &amp; """""""")) &amp; ""]"""),"[""99999""]")</f>
        <v>["99999"]</v>
      </c>
      <c r="V275" s="52" t="s">
        <v>1572</v>
      </c>
      <c r="W275" s="90" t="s">
        <v>1573</v>
      </c>
      <c r="X275" s="43"/>
      <c r="Y275" s="44" t="str">
        <f>vlookup(G275,zip_codes!$B$6:$J988,3,false)</f>
        <v>Houston</v>
      </c>
      <c r="Z275" s="45" t="str">
        <f>vlookup(G275,zip_codes!$B$6:$J988,9,false)</f>
        <v>Eastwood, Gulfgate Riverview / Pine Valley, Idylwood, Lawndale / Wayside, Magnolia Park, South Central Houston</v>
      </c>
      <c r="AA275" s="44" t="str">
        <f>vlookup(B275,organizations!$B$1:$C988,2,false)</f>
        <v>El Centro de Corazón</v>
      </c>
      <c r="AB275" s="46" t="s">
        <v>1574</v>
      </c>
      <c r="AC275" s="47" t="s">
        <v>73</v>
      </c>
      <c r="AD275" s="48" t="s">
        <v>314</v>
      </c>
      <c r="AE275" s="48" t="str">
        <f t="shared" si="42"/>
        <v>El Centro de Corazón - Eastwood412 Telephone Road31</v>
      </c>
      <c r="AF275" s="48" t="str">
        <f t="shared" si="43"/>
        <v/>
      </c>
    </row>
    <row r="276" ht="66.75" customHeight="1">
      <c r="A276" s="49" t="s">
        <v>50</v>
      </c>
      <c r="B276" s="35" t="s">
        <v>1567</v>
      </c>
      <c r="C276" s="36" t="s">
        <v>1568</v>
      </c>
      <c r="D276" s="36"/>
      <c r="E276" s="36" t="s">
        <v>36</v>
      </c>
      <c r="F276" s="36" t="s">
        <v>37</v>
      </c>
      <c r="G276" s="35" t="s">
        <v>77</v>
      </c>
      <c r="H276" s="35" t="s">
        <v>1569</v>
      </c>
      <c r="I276" s="35" t="s">
        <v>67</v>
      </c>
      <c r="J276" s="66"/>
      <c r="K276" s="37">
        <f>IFERROR(__xludf.DUMMYFUNCTION("query(assistance!$A$2:$E988,""Select C Where D = '""&amp;L276&amp;""'"")"),32.0)</f>
        <v>32</v>
      </c>
      <c r="L276" s="36" t="s">
        <v>208</v>
      </c>
      <c r="M276" s="39">
        <f t="shared" si="44"/>
        <v>3</v>
      </c>
      <c r="N276" s="39" t="s">
        <v>973</v>
      </c>
      <c r="O276" s="57">
        <v>46049.0</v>
      </c>
      <c r="P276" s="35" t="s">
        <v>1570</v>
      </c>
      <c r="Q276" s="35"/>
      <c r="R276" s="35" t="s">
        <v>1575</v>
      </c>
      <c r="S276" s="35" t="b">
        <v>1</v>
      </c>
      <c r="T276" s="35" t="b">
        <v>0</v>
      </c>
      <c r="U276" s="41" t="str">
        <f>IFERROR(__xludf.DUMMYFUNCTION("""["" &amp; JOIN("", "", ARRAYFORMULA("""""""" &amp; TRIM(SPLIT(A276, "","")) &amp; """""""")) &amp; ""]"""),"[""99999""]")</f>
        <v>["99999"]</v>
      </c>
      <c r="V276" s="52" t="s">
        <v>1572</v>
      </c>
      <c r="W276" s="90" t="s">
        <v>1573</v>
      </c>
      <c r="X276" s="43"/>
      <c r="Y276" s="44" t="str">
        <f>vlookup(G276,zip_codes!$B$6:$J988,3,false)</f>
        <v>Houston</v>
      </c>
      <c r="Z276" s="45" t="str">
        <f>vlookup(G276,zip_codes!$B$6:$J988,9,false)</f>
        <v>Eastwood, Gulfgate Riverview / Pine Valley, Idylwood, Lawndale / Wayside, Magnolia Park, South Central Houston</v>
      </c>
      <c r="AA276" s="44" t="str">
        <f>vlookup(B276,organizations!$B$1:$C988,2,false)</f>
        <v>El Centro de Corazón</v>
      </c>
      <c r="AB276" s="46" t="s">
        <v>1574</v>
      </c>
      <c r="AC276" s="47" t="s">
        <v>73</v>
      </c>
      <c r="AD276" s="48" t="s">
        <v>314</v>
      </c>
      <c r="AE276" s="48" t="str">
        <f t="shared" si="42"/>
        <v>El Centro de Corazón - Eastwood412 Telephone Road32</v>
      </c>
      <c r="AF276" s="48" t="str">
        <f t="shared" si="43"/>
        <v/>
      </c>
    </row>
    <row r="277" ht="66.75" customHeight="1">
      <c r="A277" s="49" t="s">
        <v>50</v>
      </c>
      <c r="B277" s="35" t="s">
        <v>1567</v>
      </c>
      <c r="C277" s="36" t="s">
        <v>1568</v>
      </c>
      <c r="D277" s="36"/>
      <c r="E277" s="36" t="s">
        <v>36</v>
      </c>
      <c r="F277" s="36" t="s">
        <v>37</v>
      </c>
      <c r="G277" s="35" t="s">
        <v>77</v>
      </c>
      <c r="H277" s="35" t="s">
        <v>1569</v>
      </c>
      <c r="I277" s="35" t="s">
        <v>67</v>
      </c>
      <c r="J277" s="66"/>
      <c r="K277" s="37">
        <f>IFERROR(__xludf.DUMMYFUNCTION("query(assistance!$A$2:$E988,""Select C Where D = '""&amp;L277&amp;""'"")"),33.0)</f>
        <v>33</v>
      </c>
      <c r="L277" s="36" t="s">
        <v>333</v>
      </c>
      <c r="M277" s="39">
        <f t="shared" si="44"/>
        <v>3</v>
      </c>
      <c r="N277" s="39" t="s">
        <v>973</v>
      </c>
      <c r="O277" s="57">
        <v>46049.0</v>
      </c>
      <c r="P277" s="35" t="s">
        <v>1570</v>
      </c>
      <c r="Q277" s="35"/>
      <c r="R277" s="35" t="s">
        <v>1576</v>
      </c>
      <c r="S277" s="35" t="b">
        <v>0</v>
      </c>
      <c r="T277" s="35" t="b">
        <v>0</v>
      </c>
      <c r="U277" s="41" t="str">
        <f>IFERROR(__xludf.DUMMYFUNCTION("""["" &amp; JOIN("", "", ARRAYFORMULA("""""""" &amp; TRIM(SPLIT(A277, "","")) &amp; """""""")) &amp; ""]"""),"[""99999""]")</f>
        <v>["99999"]</v>
      </c>
      <c r="V277" s="52" t="s">
        <v>1572</v>
      </c>
      <c r="W277" s="90" t="s">
        <v>1573</v>
      </c>
      <c r="X277" s="43"/>
      <c r="Y277" s="44" t="str">
        <f>vlookup(G277,zip_codes!$B$6:$J988,3,false)</f>
        <v>Houston</v>
      </c>
      <c r="Z277" s="45" t="str">
        <f>vlookup(G277,zip_codes!$B$6:$J988,9,false)</f>
        <v>Eastwood, Gulfgate Riverview / Pine Valley, Idylwood, Lawndale / Wayside, Magnolia Park, South Central Houston</v>
      </c>
      <c r="AA277" s="44" t="str">
        <f>vlookup(B277,organizations!$B$1:$C988,2,false)</f>
        <v>El Centro de Corazón</v>
      </c>
      <c r="AB277" s="46" t="s">
        <v>1574</v>
      </c>
      <c r="AC277" s="47" t="s">
        <v>73</v>
      </c>
      <c r="AD277" s="48" t="s">
        <v>314</v>
      </c>
      <c r="AE277" s="48" t="str">
        <f t="shared" si="42"/>
        <v>El Centro de Corazón - Eastwood412 Telephone Road33</v>
      </c>
      <c r="AF277" s="48" t="str">
        <f t="shared" si="43"/>
        <v/>
      </c>
    </row>
    <row r="278" ht="66.75" customHeight="1">
      <c r="A278" s="49" t="s">
        <v>50</v>
      </c>
      <c r="B278" s="35" t="s">
        <v>1577</v>
      </c>
      <c r="C278" s="36" t="s">
        <v>1578</v>
      </c>
      <c r="D278" s="36"/>
      <c r="E278" s="36" t="s">
        <v>36</v>
      </c>
      <c r="F278" s="36" t="s">
        <v>37</v>
      </c>
      <c r="G278" s="35" t="s">
        <v>857</v>
      </c>
      <c r="H278" s="35" t="s">
        <v>1569</v>
      </c>
      <c r="I278" s="35" t="s">
        <v>1579</v>
      </c>
      <c r="J278" s="35" t="s">
        <v>298</v>
      </c>
      <c r="K278" s="37">
        <f>IFERROR(__xludf.DUMMYFUNCTION("query(assistance!$A$2:$E988,""Select C Where D = '""&amp;L278&amp;""'"")"),31.0)</f>
        <v>31</v>
      </c>
      <c r="L278" s="36" t="s">
        <v>90</v>
      </c>
      <c r="M278" s="38">
        <f t="shared" ref="M278:M288" si="45">if(N278="Inactive",3,if(N278="Limited", 2, 1))</f>
        <v>1</v>
      </c>
      <c r="N278" s="39" t="s">
        <v>42</v>
      </c>
      <c r="O278" s="57">
        <v>46049.0</v>
      </c>
      <c r="P278" s="35" t="s">
        <v>43</v>
      </c>
      <c r="Q278" s="35"/>
      <c r="R278" s="35" t="s">
        <v>1571</v>
      </c>
      <c r="S278" s="35" t="b">
        <v>0</v>
      </c>
      <c r="T278" s="35" t="b">
        <v>0</v>
      </c>
      <c r="U278" s="41" t="str">
        <f>IFERROR(__xludf.DUMMYFUNCTION("""["" &amp; JOIN("", "", ARRAYFORMULA("""""""" &amp; TRIM(SPLIT(A278, "","")) &amp; """""""")) &amp; ""]"""),"[""99999""]")</f>
        <v>["99999"]</v>
      </c>
      <c r="V278" s="52" t="s">
        <v>1572</v>
      </c>
      <c r="W278" s="90" t="s">
        <v>1580</v>
      </c>
      <c r="X278" s="43"/>
      <c r="Y278" s="44" t="str">
        <f>vlookup(G278,zip_codes!$B$6:$J988,3,false)</f>
        <v>Houston</v>
      </c>
      <c r="Z278" s="45" t="str">
        <f>vlookup(G278,zip_codes!$B$6:$J988,9,false)</f>
        <v>Greater East End, Harrisburg, Magnolia Park</v>
      </c>
      <c r="AA278" s="44" t="str">
        <f>vlookup(B278,organizations!$B$1:$C988,2,false)</f>
        <v>El Centro de Corazón</v>
      </c>
      <c r="AB278" s="46" t="s">
        <v>1581</v>
      </c>
      <c r="AC278" s="47" t="s">
        <v>1582</v>
      </c>
      <c r="AD278" s="48" t="s">
        <v>863</v>
      </c>
      <c r="AE278" s="48" t="str">
        <f t="shared" si="42"/>
        <v>El Centro de Corazón - John S Dunn7635 Canal Street31</v>
      </c>
      <c r="AF278" s="48" t="str">
        <f t="shared" si="43"/>
        <v/>
      </c>
    </row>
    <row r="279" ht="66.75" customHeight="1">
      <c r="A279" s="49" t="s">
        <v>50</v>
      </c>
      <c r="B279" s="35" t="s">
        <v>1577</v>
      </c>
      <c r="C279" s="36" t="s">
        <v>1578</v>
      </c>
      <c r="D279" s="36"/>
      <c r="E279" s="36" t="s">
        <v>36</v>
      </c>
      <c r="F279" s="36" t="s">
        <v>37</v>
      </c>
      <c r="G279" s="35" t="s">
        <v>857</v>
      </c>
      <c r="H279" s="35" t="s">
        <v>1569</v>
      </c>
      <c r="I279" s="35" t="s">
        <v>1579</v>
      </c>
      <c r="J279" s="35" t="s">
        <v>298</v>
      </c>
      <c r="K279" s="37">
        <f>IFERROR(__xludf.DUMMYFUNCTION("query(assistance!$A$2:$E988,""Select C Where D = '""&amp;L279&amp;""'"")"),32.0)</f>
        <v>32</v>
      </c>
      <c r="L279" s="36" t="s">
        <v>208</v>
      </c>
      <c r="M279" s="38">
        <f t="shared" si="45"/>
        <v>1</v>
      </c>
      <c r="N279" s="39" t="s">
        <v>42</v>
      </c>
      <c r="O279" s="57">
        <v>46049.0</v>
      </c>
      <c r="P279" s="35" t="s">
        <v>43</v>
      </c>
      <c r="Q279" s="35"/>
      <c r="R279" s="35" t="s">
        <v>1575</v>
      </c>
      <c r="S279" s="35" t="b">
        <v>1</v>
      </c>
      <c r="T279" s="35" t="b">
        <v>0</v>
      </c>
      <c r="U279" s="41" t="str">
        <f>IFERROR(__xludf.DUMMYFUNCTION("""["" &amp; JOIN("", "", ARRAYFORMULA("""""""" &amp; TRIM(SPLIT(A279, "","")) &amp; """""""")) &amp; ""]"""),"[""99999""]")</f>
        <v>["99999"]</v>
      </c>
      <c r="V279" s="52" t="s">
        <v>1572</v>
      </c>
      <c r="W279" s="90" t="s">
        <v>1580</v>
      </c>
      <c r="X279" s="43"/>
      <c r="Y279" s="44" t="str">
        <f>vlookup(G279,zip_codes!$B$6:$J988,3,false)</f>
        <v>Houston</v>
      </c>
      <c r="Z279" s="45" t="str">
        <f>vlookup(G279,zip_codes!$B$6:$J988,9,false)</f>
        <v>Greater East End, Harrisburg, Magnolia Park</v>
      </c>
      <c r="AA279" s="44" t="str">
        <f>vlookup(B279,organizations!$B$1:$C988,2,false)</f>
        <v>El Centro de Corazón</v>
      </c>
      <c r="AB279" s="46" t="s">
        <v>1581</v>
      </c>
      <c r="AC279" s="47" t="s">
        <v>1582</v>
      </c>
      <c r="AD279" s="48" t="s">
        <v>863</v>
      </c>
      <c r="AE279" s="48" t="str">
        <f t="shared" si="42"/>
        <v>El Centro de Corazón - John S Dunn7635 Canal Street32</v>
      </c>
      <c r="AF279" s="48" t="str">
        <f t="shared" si="43"/>
        <v/>
      </c>
    </row>
    <row r="280" ht="66.75" customHeight="1">
      <c r="A280" s="49" t="s">
        <v>50</v>
      </c>
      <c r="B280" s="35" t="s">
        <v>1577</v>
      </c>
      <c r="C280" s="36" t="s">
        <v>1578</v>
      </c>
      <c r="D280" s="36"/>
      <c r="E280" s="36" t="s">
        <v>36</v>
      </c>
      <c r="F280" s="36" t="s">
        <v>37</v>
      </c>
      <c r="G280" s="35" t="s">
        <v>857</v>
      </c>
      <c r="H280" s="35" t="s">
        <v>1569</v>
      </c>
      <c r="I280" s="35" t="s">
        <v>1579</v>
      </c>
      <c r="J280" s="35" t="s">
        <v>298</v>
      </c>
      <c r="K280" s="37">
        <f>IFERROR(__xludf.DUMMYFUNCTION("query(assistance!$A$2:$E988,""Select C Where D = '""&amp;L280&amp;""'"")"),33.0)</f>
        <v>33</v>
      </c>
      <c r="L280" s="36" t="s">
        <v>333</v>
      </c>
      <c r="M280" s="38">
        <f t="shared" si="45"/>
        <v>1</v>
      </c>
      <c r="N280" s="39" t="s">
        <v>42</v>
      </c>
      <c r="O280" s="57">
        <v>46049.0</v>
      </c>
      <c r="P280" s="35" t="s">
        <v>43</v>
      </c>
      <c r="Q280" s="35"/>
      <c r="R280" s="35" t="s">
        <v>1576</v>
      </c>
      <c r="S280" s="35" t="b">
        <v>0</v>
      </c>
      <c r="T280" s="35" t="b">
        <v>0</v>
      </c>
      <c r="U280" s="41" t="str">
        <f>IFERROR(__xludf.DUMMYFUNCTION("""["" &amp; JOIN("", "", ARRAYFORMULA("""""""" &amp; TRIM(SPLIT(A280, "","")) &amp; """""""")) &amp; ""]"""),"[""99999""]")</f>
        <v>["99999"]</v>
      </c>
      <c r="V280" s="52" t="s">
        <v>1572</v>
      </c>
      <c r="W280" s="90" t="s">
        <v>1580</v>
      </c>
      <c r="X280" s="43"/>
      <c r="Y280" s="44" t="str">
        <f>vlookup(G280,zip_codes!$B$6:$J988,3,false)</f>
        <v>Houston</v>
      </c>
      <c r="Z280" s="45" t="str">
        <f>vlookup(G280,zip_codes!$B$6:$J988,9,false)</f>
        <v>Greater East End, Harrisburg, Magnolia Park</v>
      </c>
      <c r="AA280" s="44" t="str">
        <f>vlookup(B280,organizations!$B$1:$C988,2,false)</f>
        <v>El Centro de Corazón</v>
      </c>
      <c r="AB280" s="46" t="s">
        <v>1581</v>
      </c>
      <c r="AC280" s="47" t="s">
        <v>1582</v>
      </c>
      <c r="AD280" s="48" t="s">
        <v>863</v>
      </c>
      <c r="AE280" s="48" t="str">
        <f t="shared" si="42"/>
        <v>El Centro de Corazón - John S Dunn7635 Canal Street33</v>
      </c>
      <c r="AF280" s="48" t="str">
        <f t="shared" si="43"/>
        <v/>
      </c>
    </row>
    <row r="281" ht="66.75" customHeight="1">
      <c r="A281" s="49" t="s">
        <v>50</v>
      </c>
      <c r="B281" s="35" t="s">
        <v>1583</v>
      </c>
      <c r="C281" s="36" t="s">
        <v>1584</v>
      </c>
      <c r="D281" s="36" t="s">
        <v>1585</v>
      </c>
      <c r="E281" s="36" t="s">
        <v>36</v>
      </c>
      <c r="F281" s="36" t="s">
        <v>37</v>
      </c>
      <c r="G281" s="35" t="s">
        <v>542</v>
      </c>
      <c r="H281" s="35" t="s">
        <v>1569</v>
      </c>
      <c r="I281" s="35" t="s">
        <v>1586</v>
      </c>
      <c r="J281" s="35" t="s">
        <v>298</v>
      </c>
      <c r="K281" s="37">
        <f>IFERROR(__xludf.DUMMYFUNCTION("query(assistance!$A$2:$E988,""Select C Where D = '""&amp;L281&amp;""'"")"),31.0)</f>
        <v>31</v>
      </c>
      <c r="L281" s="36" t="s">
        <v>90</v>
      </c>
      <c r="M281" s="38">
        <f t="shared" si="45"/>
        <v>1</v>
      </c>
      <c r="N281" s="39" t="s">
        <v>42</v>
      </c>
      <c r="O281" s="57">
        <v>46049.0</v>
      </c>
      <c r="P281" s="35" t="s">
        <v>43</v>
      </c>
      <c r="Q281" s="35"/>
      <c r="R281" s="35" t="s">
        <v>1571</v>
      </c>
      <c r="S281" s="35" t="b">
        <v>0</v>
      </c>
      <c r="T281" s="35" t="b">
        <v>0</v>
      </c>
      <c r="U281" s="41" t="str">
        <f>IFERROR(__xludf.DUMMYFUNCTION("""["" &amp; JOIN("", "", ARRAYFORMULA("""""""" &amp; TRIM(SPLIT(A281, "","")) &amp; """""""")) &amp; ""]"""),"[""99999""]")</f>
        <v>["99999"]</v>
      </c>
      <c r="V281" s="52" t="s">
        <v>1572</v>
      </c>
      <c r="W281" s="42" t="s">
        <v>1587</v>
      </c>
      <c r="X281" s="43"/>
      <c r="Y281" s="44" t="str">
        <f>vlookup(G281,zip_codes!$B$6:$J988,3,false)</f>
        <v>Houston</v>
      </c>
      <c r="Z281" s="45" t="str">
        <f>vlookup(G281,zip_codes!$B$6:$J988,9,false)</f>
        <v>Eastwood, Magnolia Park, Second Ward, South Central Houston</v>
      </c>
      <c r="AA281" s="44" t="str">
        <f>vlookup(B281,organizations!$B$1:$C988,2,false)</f>
        <v>El Centro de Corazón</v>
      </c>
      <c r="AB281" s="46" t="s">
        <v>1588</v>
      </c>
      <c r="AC281" s="47" t="s">
        <v>1589</v>
      </c>
      <c r="AD281" s="48" t="s">
        <v>863</v>
      </c>
      <c r="AE281" s="48" t="str">
        <f t="shared" si="42"/>
        <v>El Centro de Corazón - Magnolia7037 Capitol Street31</v>
      </c>
      <c r="AF281" s="48" t="str">
        <f>if(AE281=AE255,"XXX","")</f>
        <v/>
      </c>
    </row>
    <row r="282" ht="66.75" customHeight="1">
      <c r="A282" s="49" t="s">
        <v>50</v>
      </c>
      <c r="B282" s="35" t="s">
        <v>1583</v>
      </c>
      <c r="C282" s="36" t="s">
        <v>1584</v>
      </c>
      <c r="D282" s="36" t="s">
        <v>1585</v>
      </c>
      <c r="E282" s="36" t="s">
        <v>36</v>
      </c>
      <c r="F282" s="36" t="s">
        <v>37</v>
      </c>
      <c r="G282" s="35" t="s">
        <v>542</v>
      </c>
      <c r="H282" s="35" t="s">
        <v>1569</v>
      </c>
      <c r="I282" s="35" t="s">
        <v>1586</v>
      </c>
      <c r="J282" s="35" t="s">
        <v>298</v>
      </c>
      <c r="K282" s="37">
        <f>IFERROR(__xludf.DUMMYFUNCTION("query(assistance!$A$2:$E988,""Select C Where D = '""&amp;L282&amp;""'"")"),32.0)</f>
        <v>32</v>
      </c>
      <c r="L282" s="36" t="s">
        <v>208</v>
      </c>
      <c r="M282" s="38">
        <f t="shared" si="45"/>
        <v>1</v>
      </c>
      <c r="N282" s="39" t="s">
        <v>42</v>
      </c>
      <c r="O282" s="57">
        <v>46049.0</v>
      </c>
      <c r="P282" s="35" t="s">
        <v>43</v>
      </c>
      <c r="Q282" s="35"/>
      <c r="R282" s="35" t="s">
        <v>1575</v>
      </c>
      <c r="S282" s="35" t="b">
        <v>1</v>
      </c>
      <c r="T282" s="35" t="b">
        <v>0</v>
      </c>
      <c r="U282" s="41" t="str">
        <f>IFERROR(__xludf.DUMMYFUNCTION("""["" &amp; JOIN("", "", ARRAYFORMULA("""""""" &amp; TRIM(SPLIT(A282, "","")) &amp; """""""")) &amp; ""]"""),"[""99999""]")</f>
        <v>["99999"]</v>
      </c>
      <c r="V282" s="52" t="s">
        <v>1572</v>
      </c>
      <c r="W282" s="42" t="s">
        <v>1587</v>
      </c>
      <c r="X282" s="43"/>
      <c r="Y282" s="44" t="str">
        <f>vlookup(G282,zip_codes!$B$6:$J988,3,false)</f>
        <v>Houston</v>
      </c>
      <c r="Z282" s="45" t="str">
        <f>vlookup(G282,zip_codes!$B$6:$J988,9,false)</f>
        <v>Eastwood, Magnolia Park, Second Ward, South Central Houston</v>
      </c>
      <c r="AA282" s="44" t="str">
        <f>vlookup(B282,organizations!$B$1:$C988,2,false)</f>
        <v>El Centro de Corazón</v>
      </c>
      <c r="AB282" s="46" t="s">
        <v>1588</v>
      </c>
      <c r="AC282" s="47" t="s">
        <v>1589</v>
      </c>
      <c r="AD282" s="48" t="s">
        <v>863</v>
      </c>
      <c r="AE282" s="48" t="str">
        <f t="shared" si="42"/>
        <v>El Centro de Corazón - Magnolia7037 Capitol Street32</v>
      </c>
      <c r="AF282" s="48" t="str">
        <f t="shared" ref="AF282:AF308" si="46">if(AE282=AE281,"XXX","")</f>
        <v/>
      </c>
    </row>
    <row r="283" ht="66.75" customHeight="1">
      <c r="A283" s="49" t="s">
        <v>50</v>
      </c>
      <c r="B283" s="35" t="s">
        <v>1583</v>
      </c>
      <c r="C283" s="36" t="s">
        <v>1584</v>
      </c>
      <c r="D283" s="36" t="s">
        <v>1585</v>
      </c>
      <c r="E283" s="36" t="s">
        <v>36</v>
      </c>
      <c r="F283" s="36" t="s">
        <v>37</v>
      </c>
      <c r="G283" s="35" t="s">
        <v>542</v>
      </c>
      <c r="H283" s="35" t="s">
        <v>1569</v>
      </c>
      <c r="I283" s="35" t="s">
        <v>1586</v>
      </c>
      <c r="J283" s="35" t="s">
        <v>298</v>
      </c>
      <c r="K283" s="37">
        <f>IFERROR(__xludf.DUMMYFUNCTION("query(assistance!$A$2:$E988,""Select C Where D = '""&amp;L283&amp;""'"")"),33.0)</f>
        <v>33</v>
      </c>
      <c r="L283" s="36" t="s">
        <v>333</v>
      </c>
      <c r="M283" s="38">
        <f t="shared" si="45"/>
        <v>1</v>
      </c>
      <c r="N283" s="39" t="s">
        <v>42</v>
      </c>
      <c r="O283" s="57">
        <v>46049.0</v>
      </c>
      <c r="P283" s="35" t="s">
        <v>43</v>
      </c>
      <c r="Q283" s="35"/>
      <c r="R283" s="35" t="s">
        <v>1576</v>
      </c>
      <c r="S283" s="35" t="b">
        <v>0</v>
      </c>
      <c r="T283" s="35" t="b">
        <v>0</v>
      </c>
      <c r="U283" s="41" t="str">
        <f>IFERROR(__xludf.DUMMYFUNCTION("""["" &amp; JOIN("", "", ARRAYFORMULA("""""""" &amp; TRIM(SPLIT(A283, "","")) &amp; """""""")) &amp; ""]"""),"[""99999""]")</f>
        <v>["99999"]</v>
      </c>
      <c r="V283" s="52" t="s">
        <v>1572</v>
      </c>
      <c r="W283" s="42" t="s">
        <v>1587</v>
      </c>
      <c r="X283" s="43"/>
      <c r="Y283" s="44" t="str">
        <f>vlookup(G283,zip_codes!$B$6:$J988,3,false)</f>
        <v>Houston</v>
      </c>
      <c r="Z283" s="45" t="str">
        <f>vlookup(G283,zip_codes!$B$6:$J988,9,false)</f>
        <v>Eastwood, Magnolia Park, Second Ward, South Central Houston</v>
      </c>
      <c r="AA283" s="44" t="str">
        <f>vlookup(B283,organizations!$B$1:$C988,2,false)</f>
        <v>El Centro de Corazón</v>
      </c>
      <c r="AB283" s="46" t="s">
        <v>1588</v>
      </c>
      <c r="AC283" s="47" t="s">
        <v>1589</v>
      </c>
      <c r="AD283" s="48" t="s">
        <v>863</v>
      </c>
      <c r="AE283" s="48" t="str">
        <f t="shared" si="42"/>
        <v>El Centro de Corazón - Magnolia7037 Capitol Street33</v>
      </c>
      <c r="AF283" s="48" t="str">
        <f t="shared" si="46"/>
        <v/>
      </c>
    </row>
    <row r="284" ht="66.75" customHeight="1">
      <c r="A284" s="49" t="s">
        <v>50</v>
      </c>
      <c r="B284" s="35" t="s">
        <v>1590</v>
      </c>
      <c r="C284" s="36" t="s">
        <v>1591</v>
      </c>
      <c r="D284" s="36"/>
      <c r="E284" s="36" t="s">
        <v>36</v>
      </c>
      <c r="F284" s="36" t="s">
        <v>37</v>
      </c>
      <c r="G284" s="35" t="s">
        <v>1414</v>
      </c>
      <c r="H284" s="35" t="s">
        <v>1592</v>
      </c>
      <c r="I284" s="35" t="s">
        <v>1593</v>
      </c>
      <c r="J284" s="35"/>
      <c r="K284" s="37">
        <f>IFERROR(__xludf.DUMMYFUNCTION("query(assistance!$A$2:$E988,""Select C Where D = '""&amp;L284&amp;""'"")"),63.0)</f>
        <v>63</v>
      </c>
      <c r="L284" s="36" t="s">
        <v>765</v>
      </c>
      <c r="M284" s="38">
        <f t="shared" si="45"/>
        <v>1</v>
      </c>
      <c r="N284" s="51" t="s">
        <v>42</v>
      </c>
      <c r="O284" s="40">
        <v>45925.0</v>
      </c>
      <c r="P284" s="40"/>
      <c r="Q284" s="35"/>
      <c r="R284" s="35" t="s">
        <v>1594</v>
      </c>
      <c r="S284" s="35" t="b">
        <v>0</v>
      </c>
      <c r="T284" s="35" t="b">
        <v>0</v>
      </c>
      <c r="U284" s="41" t="str">
        <f>IFERROR(__xludf.DUMMYFUNCTION("""["" &amp; JOIN("", "", ARRAYFORMULA("""""""" &amp; TRIM(SPLIT(A284, "","")) &amp; """""""")) &amp; ""]"""),"[""99999""]")</f>
        <v>["99999"]</v>
      </c>
      <c r="V284" s="91" t="s">
        <v>1595</v>
      </c>
      <c r="W284" s="91" t="s">
        <v>1596</v>
      </c>
      <c r="X284" s="69"/>
      <c r="Y284" s="44" t="str">
        <f>vlookup(G284,zip_codes!$B$6:$J988,3,false)</f>
        <v>Houston</v>
      </c>
      <c r="Z284" s="45" t="str">
        <f>vlookup(G284,zip_codes!$B$6:$J988,9,false)</f>
        <v>Fairbanks / Northwest Crossing, Jersey Village, Northside, Oak Hollow</v>
      </c>
      <c r="AA284" s="44" t="str">
        <f>vlookup(B284,organizations!$B$1:$C988,2,false)</f>
        <v>Emancipet Clinics</v>
      </c>
      <c r="AB284" s="55" t="s">
        <v>1597</v>
      </c>
      <c r="AC284" s="47" t="s">
        <v>1598</v>
      </c>
      <c r="AD284" s="48" t="s">
        <v>1270</v>
      </c>
      <c r="AE284" s="48" t="str">
        <f t="shared" si="42"/>
        <v>Emancipet Clinics13830 NW Fwy63</v>
      </c>
      <c r="AF284" s="48" t="str">
        <f t="shared" si="46"/>
        <v/>
      </c>
    </row>
    <row r="285" ht="66.75" customHeight="1">
      <c r="A285" s="49" t="s">
        <v>50</v>
      </c>
      <c r="B285" s="35" t="s">
        <v>1590</v>
      </c>
      <c r="C285" s="36" t="s">
        <v>1599</v>
      </c>
      <c r="D285" s="36"/>
      <c r="E285" s="36" t="s">
        <v>36</v>
      </c>
      <c r="F285" s="36" t="s">
        <v>37</v>
      </c>
      <c r="G285" s="35" t="s">
        <v>1236</v>
      </c>
      <c r="H285" s="35" t="s">
        <v>1592</v>
      </c>
      <c r="I285" s="35" t="s">
        <v>1600</v>
      </c>
      <c r="J285" s="35"/>
      <c r="K285" s="37">
        <f>IFERROR(__xludf.DUMMYFUNCTION("query(assistance!$A$2:$E988,""Select C Where D = '""&amp;L285&amp;""'"")"),63.0)</f>
        <v>63</v>
      </c>
      <c r="L285" s="36" t="s">
        <v>765</v>
      </c>
      <c r="M285" s="38">
        <f t="shared" si="45"/>
        <v>1</v>
      </c>
      <c r="N285" s="51" t="s">
        <v>42</v>
      </c>
      <c r="O285" s="40">
        <v>45925.0</v>
      </c>
      <c r="P285" s="40"/>
      <c r="Q285" s="35"/>
      <c r="R285" s="35" t="s">
        <v>1594</v>
      </c>
      <c r="S285" s="35" t="b">
        <v>0</v>
      </c>
      <c r="T285" s="35" t="b">
        <v>0</v>
      </c>
      <c r="U285" s="41" t="str">
        <f>IFERROR(__xludf.DUMMYFUNCTION("""["" &amp; JOIN("", "", ARRAYFORMULA("""""""" &amp; TRIM(SPLIT(A285, "","")) &amp; """""""")) &amp; ""]"""),"[""99999""]")</f>
        <v>["99999"]</v>
      </c>
      <c r="V285" s="91" t="s">
        <v>1595</v>
      </c>
      <c r="W285" s="91" t="s">
        <v>1601</v>
      </c>
      <c r="X285" s="69"/>
      <c r="Y285" s="44" t="str">
        <f>vlookup(G285,zip_codes!$B$6:$J988,3,false)</f>
        <v>Houston</v>
      </c>
      <c r="Z285" s="45" t="str">
        <f>vlookup(G285,zip_codes!$B$6:$J988,9,false)</f>
        <v>Meadowbrook / Allendale, Meadowcreek Village, Park Place</v>
      </c>
      <c r="AA285" s="44" t="str">
        <f>vlookup(B285,organizations!$B$1:$C988,2,false)</f>
        <v>Emancipet Clinics</v>
      </c>
      <c r="AB285" s="55" t="s">
        <v>1602</v>
      </c>
      <c r="AC285" s="47" t="s">
        <v>1603</v>
      </c>
      <c r="AD285" s="48" t="s">
        <v>1604</v>
      </c>
      <c r="AE285" s="48" t="str">
        <f t="shared" si="42"/>
        <v>Emancipet Clinics8533 Gulf Fwy63</v>
      </c>
      <c r="AF285" s="48" t="str">
        <f t="shared" si="46"/>
        <v/>
      </c>
    </row>
    <row r="286" ht="66.75" customHeight="1">
      <c r="A286" s="49" t="s">
        <v>50</v>
      </c>
      <c r="B286" s="35" t="s">
        <v>1590</v>
      </c>
      <c r="C286" s="36" t="s">
        <v>1605</v>
      </c>
      <c r="D286" s="36" t="s">
        <v>157</v>
      </c>
      <c r="E286" s="36" t="s">
        <v>36</v>
      </c>
      <c r="F286" s="36" t="s">
        <v>37</v>
      </c>
      <c r="G286" s="35" t="s">
        <v>77</v>
      </c>
      <c r="H286" s="35" t="s">
        <v>1592</v>
      </c>
      <c r="I286" s="35" t="s">
        <v>1606</v>
      </c>
      <c r="J286" s="35"/>
      <c r="K286" s="37">
        <f>IFERROR(__xludf.DUMMYFUNCTION("query(assistance!$A$2:$E988,""Select C Where D = '""&amp;L286&amp;""'"")"),63.0)</f>
        <v>63</v>
      </c>
      <c r="L286" s="36" t="s">
        <v>765</v>
      </c>
      <c r="M286" s="38">
        <f t="shared" si="45"/>
        <v>1</v>
      </c>
      <c r="N286" s="51" t="s">
        <v>42</v>
      </c>
      <c r="O286" s="40">
        <v>45925.0</v>
      </c>
      <c r="P286" s="40"/>
      <c r="Q286" s="35"/>
      <c r="R286" s="35" t="s">
        <v>1594</v>
      </c>
      <c r="S286" s="35" t="b">
        <v>0</v>
      </c>
      <c r="T286" s="35" t="b">
        <v>0</v>
      </c>
      <c r="U286" s="41" t="str">
        <f>IFERROR(__xludf.DUMMYFUNCTION("""["" &amp; JOIN("", "", ARRAYFORMULA("""""""" &amp; TRIM(SPLIT(A286, "","")) &amp; """""""")) &amp; ""]"""),"[""99999""]")</f>
        <v>["99999"]</v>
      </c>
      <c r="V286" s="91" t="s">
        <v>1595</v>
      </c>
      <c r="W286" s="91" t="s">
        <v>1607</v>
      </c>
      <c r="X286" s="69"/>
      <c r="Y286" s="44" t="str">
        <f>vlookup(G286,zip_codes!$B$6:$J988,3,false)</f>
        <v>Houston</v>
      </c>
      <c r="Z286" s="45" t="str">
        <f>vlookup(G286,zip_codes!$B$6:$J988,9,false)</f>
        <v>Eastwood, Gulfgate Riverview / Pine Valley, Idylwood, Lawndale / Wayside, Magnolia Park, South Central Houston</v>
      </c>
      <c r="AA286" s="44" t="str">
        <f>vlookup(B286,organizations!$B$1:$C988,2,false)</f>
        <v>Emancipet Clinics</v>
      </c>
      <c r="AB286" s="55" t="s">
        <v>1608</v>
      </c>
      <c r="AC286" s="47" t="s">
        <v>1609</v>
      </c>
      <c r="AD286" s="48" t="s">
        <v>863</v>
      </c>
      <c r="AE286" s="48" t="str">
        <f t="shared" si="42"/>
        <v>Emancipet Clinics910 South Wayside Drive63</v>
      </c>
      <c r="AF286" s="48" t="str">
        <f t="shared" si="46"/>
        <v/>
      </c>
    </row>
    <row r="287" ht="66.75" customHeight="1">
      <c r="A287" s="49" t="s">
        <v>50</v>
      </c>
      <c r="B287" s="35" t="s">
        <v>1610</v>
      </c>
      <c r="C287" s="36" t="s">
        <v>1611</v>
      </c>
      <c r="D287" s="36"/>
      <c r="E287" s="36" t="s">
        <v>36</v>
      </c>
      <c r="F287" s="36" t="s">
        <v>37</v>
      </c>
      <c r="G287" s="35" t="s">
        <v>749</v>
      </c>
      <c r="H287" s="35" t="s">
        <v>1612</v>
      </c>
      <c r="I287" s="35" t="s">
        <v>1613</v>
      </c>
      <c r="J287" s="35" t="s">
        <v>298</v>
      </c>
      <c r="K287" s="37">
        <f>IFERROR(__xludf.DUMMYFUNCTION("query(assistance!$A$2:$E988,""Select C Where D = '""&amp;L287&amp;""'"")"),13.0)</f>
        <v>13</v>
      </c>
      <c r="L287" s="36" t="s">
        <v>240</v>
      </c>
      <c r="M287" s="38">
        <f t="shared" si="45"/>
        <v>1</v>
      </c>
      <c r="N287" s="39" t="s">
        <v>42</v>
      </c>
      <c r="O287" s="40">
        <v>45546.0</v>
      </c>
      <c r="P287" s="50"/>
      <c r="Q287" s="35"/>
      <c r="R287" s="35" t="s">
        <v>1614</v>
      </c>
      <c r="S287" s="35" t="b">
        <v>0</v>
      </c>
      <c r="T287" s="35" t="b">
        <v>0</v>
      </c>
      <c r="U287" s="41" t="str">
        <f>IFERROR(__xludf.DUMMYFUNCTION("""["" &amp; JOIN("", "", ARRAYFORMULA("""""""" &amp; TRIM(SPLIT(A287, "","")) &amp; """""""")) &amp; ""]"""),"[""99999""]")</f>
        <v>["99999"]</v>
      </c>
      <c r="V287" s="52" t="s">
        <v>1615</v>
      </c>
      <c r="W287" s="52" t="s">
        <v>1616</v>
      </c>
      <c r="X287" s="43"/>
      <c r="Y287" s="44" t="str">
        <f>vlookup(G287,zip_codes!$B$6:$J988,3,false)</f>
        <v>Houston</v>
      </c>
      <c r="Z287" s="45" t="str">
        <f>vlookup(G287,zip_codes!$B$6:$J988,9,false)</f>
        <v>East Downtown, Downtown Houston, Houston Museum District, Midtown, Museum District, South Central Houston, South Side, Third Ward, University Place</v>
      </c>
      <c r="AA287" s="63" t="str">
        <f>vlookup(B287,organizations!$B$1:$C988,2,false)</f>
        <v>Emergency Aid Coalition</v>
      </c>
      <c r="AB287" s="46" t="s">
        <v>1617</v>
      </c>
      <c r="AC287" s="47" t="s">
        <v>1618</v>
      </c>
      <c r="AD287" s="48" t="s">
        <v>1456</v>
      </c>
      <c r="AE287" s="48" t="str">
        <f t="shared" si="42"/>
        <v>Emergency Aid Coalition5401 Fannin Street13</v>
      </c>
      <c r="AF287" s="48" t="str">
        <f t="shared" si="46"/>
        <v/>
      </c>
    </row>
    <row r="288" ht="66.75" customHeight="1">
      <c r="A288" s="49" t="s">
        <v>50</v>
      </c>
      <c r="B288" s="35" t="s">
        <v>1610</v>
      </c>
      <c r="C288" s="36" t="s">
        <v>1611</v>
      </c>
      <c r="D288" s="36"/>
      <c r="E288" s="36" t="s">
        <v>36</v>
      </c>
      <c r="F288" s="36" t="s">
        <v>37</v>
      </c>
      <c r="G288" s="35" t="s">
        <v>749</v>
      </c>
      <c r="H288" s="35" t="s">
        <v>1612</v>
      </c>
      <c r="I288" s="35" t="s">
        <v>1613</v>
      </c>
      <c r="J288" s="35" t="s">
        <v>298</v>
      </c>
      <c r="K288" s="37">
        <f>IFERROR(__xludf.DUMMYFUNCTION("query(assistance!$A$2:$E988,""Select C Where D = '""&amp;L288&amp;""'"")"),14.0)</f>
        <v>14</v>
      </c>
      <c r="L288" s="36" t="s">
        <v>391</v>
      </c>
      <c r="M288" s="38">
        <f t="shared" si="45"/>
        <v>1</v>
      </c>
      <c r="N288" s="39" t="s">
        <v>42</v>
      </c>
      <c r="O288" s="40">
        <v>45546.0</v>
      </c>
      <c r="P288" s="50"/>
      <c r="Q288" s="35"/>
      <c r="R288" s="35" t="s">
        <v>1619</v>
      </c>
      <c r="S288" s="35" t="b">
        <v>0</v>
      </c>
      <c r="T288" s="35" t="b">
        <v>0</v>
      </c>
      <c r="U288" s="41" t="str">
        <f>IFERROR(__xludf.DUMMYFUNCTION("""["" &amp; JOIN("", "", ARRAYFORMULA("""""""" &amp; TRIM(SPLIT(A288, "","")) &amp; """""""")) &amp; ""]"""),"[""99999""]")</f>
        <v>["99999"]</v>
      </c>
      <c r="V288" s="52" t="s">
        <v>1615</v>
      </c>
      <c r="W288" s="52" t="s">
        <v>1616</v>
      </c>
      <c r="X288" s="43"/>
      <c r="Y288" s="44" t="str">
        <f>vlookup(G288,zip_codes!$B$6:$J988,3,false)</f>
        <v>Houston</v>
      </c>
      <c r="Z288" s="45" t="str">
        <f>vlookup(G288,zip_codes!$B$6:$J988,9,false)</f>
        <v>East Downtown, Downtown Houston, Houston Museum District, Midtown, Museum District, South Central Houston, South Side, Third Ward, University Place</v>
      </c>
      <c r="AA288" s="63" t="str">
        <f>vlookup(B288,organizations!$B$1:$C988,2,false)</f>
        <v>Emergency Aid Coalition</v>
      </c>
      <c r="AB288" s="46" t="s">
        <v>1617</v>
      </c>
      <c r="AC288" s="47" t="s">
        <v>1618</v>
      </c>
      <c r="AD288" s="48" t="s">
        <v>1456</v>
      </c>
      <c r="AE288" s="48" t="str">
        <f t="shared" si="42"/>
        <v>Emergency Aid Coalition5401 Fannin Street14</v>
      </c>
      <c r="AF288" s="48" t="str">
        <f t="shared" si="46"/>
        <v/>
      </c>
    </row>
    <row r="289" ht="66.75" customHeight="1">
      <c r="A289" s="49" t="s">
        <v>1620</v>
      </c>
      <c r="B289" s="35" t="s">
        <v>1621</v>
      </c>
      <c r="C289" s="36" t="s">
        <v>1622</v>
      </c>
      <c r="D289" s="36" t="s">
        <v>1623</v>
      </c>
      <c r="E289" s="36" t="s">
        <v>36</v>
      </c>
      <c r="F289" s="36" t="s">
        <v>37</v>
      </c>
      <c r="G289" s="35" t="s">
        <v>599</v>
      </c>
      <c r="H289" s="35" t="s">
        <v>1624</v>
      </c>
      <c r="I289" s="35" t="s">
        <v>1625</v>
      </c>
      <c r="J289" s="35"/>
      <c r="K289" s="37">
        <f>IFERROR(__xludf.DUMMYFUNCTION("query(assistance!$A$2:$E988,""Select C Where D = '""&amp;L289&amp;""'"")"),11.0)</f>
        <v>11</v>
      </c>
      <c r="L289" s="36" t="s">
        <v>322</v>
      </c>
      <c r="M289" s="39">
        <f t="shared" ref="M289:M291" si="47">if(N289="Inactive",3,if(N289="Limited", 2, if(N289="Closed", 4, 1)))</f>
        <v>3</v>
      </c>
      <c r="N289" s="39" t="s">
        <v>973</v>
      </c>
      <c r="O289" s="40">
        <v>46064.0</v>
      </c>
      <c r="P289" s="35" t="s">
        <v>1626</v>
      </c>
      <c r="Q289" s="35"/>
      <c r="R289" s="35" t="s">
        <v>1627</v>
      </c>
      <c r="S289" s="35" t="b">
        <v>0</v>
      </c>
      <c r="T289" s="35" t="b">
        <v>0</v>
      </c>
      <c r="U289" s="41" t="str">
        <f>IFERROR(__xludf.DUMMYFUNCTION("""["" &amp; JOIN("", "", ARRAYFORMULA("""""""" &amp; TRIM(SPLIT(A289, "","")) &amp; """""""")) &amp; ""]"""),"[""77031"", ""77035"", ""77036"", ""77071"", ""77072"", ""77074"", ""77081"", ""77096"", ""77099""]")</f>
        <v>["77031", "77035", "77036", "77071", "77072", "77074", "77081", "77096", "77099"]</v>
      </c>
      <c r="V289" s="42" t="s">
        <v>1628</v>
      </c>
      <c r="W289" s="52" t="s">
        <v>1629</v>
      </c>
      <c r="X289" s="43"/>
      <c r="Y289" s="44" t="str">
        <f>vlookup(G289,zip_codes!$B$6:$J988,3,false)</f>
        <v>Houston</v>
      </c>
      <c r="Z289" s="45" t="str">
        <f>vlookup(G289,zip_codes!$B$6:$J988,9,false)</f>
        <v>Chinatown, Sharpstown, Westside</v>
      </c>
      <c r="AA289" s="44" t="str">
        <f>vlookup(B289,organizations!$B$1:$C988,2,false)</f>
        <v>Epiphany Community Health Outreach Services ECHOS (SW Harris County)</v>
      </c>
      <c r="AB289" s="46" t="s">
        <v>1630</v>
      </c>
      <c r="AC289" s="47" t="s">
        <v>1631</v>
      </c>
      <c r="AD289" s="48" t="s">
        <v>1059</v>
      </c>
      <c r="AE289" s="48" t="str">
        <f t="shared" si="42"/>
        <v>Epiphany Community Health Outreach Services ECHOS (SW Harris County)9894 Bissonnet Street11</v>
      </c>
      <c r="AF289" s="48" t="str">
        <f t="shared" si="46"/>
        <v/>
      </c>
    </row>
    <row r="290" ht="66.75" customHeight="1">
      <c r="A290" s="49" t="s">
        <v>1620</v>
      </c>
      <c r="B290" s="35" t="s">
        <v>1621</v>
      </c>
      <c r="C290" s="36" t="s">
        <v>1622</v>
      </c>
      <c r="D290" s="36" t="s">
        <v>1623</v>
      </c>
      <c r="E290" s="36" t="s">
        <v>36</v>
      </c>
      <c r="F290" s="36" t="s">
        <v>37</v>
      </c>
      <c r="G290" s="35" t="s">
        <v>599</v>
      </c>
      <c r="H290" s="35" t="s">
        <v>1624</v>
      </c>
      <c r="I290" s="35" t="s">
        <v>1625</v>
      </c>
      <c r="J290" s="35"/>
      <c r="K290" s="37">
        <f>IFERROR(__xludf.DUMMYFUNCTION("query(assistance!$A$2:$E988,""Select C Where D = '""&amp;L290&amp;""'"")"),12.0)</f>
        <v>12</v>
      </c>
      <c r="L290" s="36" t="s">
        <v>330</v>
      </c>
      <c r="M290" s="39">
        <f t="shared" si="47"/>
        <v>3</v>
      </c>
      <c r="N290" s="39" t="s">
        <v>973</v>
      </c>
      <c r="O290" s="40">
        <v>46064.0</v>
      </c>
      <c r="P290" s="35" t="s">
        <v>1626</v>
      </c>
      <c r="Q290" s="35"/>
      <c r="R290" s="35" t="s">
        <v>1632</v>
      </c>
      <c r="S290" s="35" t="b">
        <v>0</v>
      </c>
      <c r="T290" s="35" t="b">
        <v>0</v>
      </c>
      <c r="U290" s="41" t="str">
        <f>IFERROR(__xludf.DUMMYFUNCTION("""["" &amp; JOIN("", "", ARRAYFORMULA("""""""" &amp; TRIM(SPLIT(A290, "","")) &amp; """""""")) &amp; ""]"""),"[""77031"", ""77035"", ""77036"", ""77071"", ""77072"", ""77074"", ""77081"", ""77096"", ""77099""]")</f>
        <v>["77031", "77035", "77036", "77071", "77072", "77074", "77081", "77096", "77099"]</v>
      </c>
      <c r="V290" s="42" t="s">
        <v>1628</v>
      </c>
      <c r="W290" s="52" t="s">
        <v>1629</v>
      </c>
      <c r="X290" s="43"/>
      <c r="Y290" s="44" t="str">
        <f>vlookup(G290,zip_codes!$B$6:$J988,3,false)</f>
        <v>Houston</v>
      </c>
      <c r="Z290" s="45" t="str">
        <f>vlookup(G290,zip_codes!$B$6:$J988,9,false)</f>
        <v>Chinatown, Sharpstown, Westside</v>
      </c>
      <c r="AA290" s="44" t="str">
        <f>vlookup(B290,organizations!$B$1:$C988,2,false)</f>
        <v>Epiphany Community Health Outreach Services ECHOS (SW Harris County)</v>
      </c>
      <c r="AB290" s="46" t="s">
        <v>1630</v>
      </c>
      <c r="AC290" s="47" t="s">
        <v>1631</v>
      </c>
      <c r="AD290" s="48" t="s">
        <v>1059</v>
      </c>
      <c r="AE290" s="48" t="str">
        <f t="shared" si="42"/>
        <v>Epiphany Community Health Outreach Services ECHOS (SW Harris County)9894 Bissonnet Street12</v>
      </c>
      <c r="AF290" s="48" t="str">
        <f t="shared" si="46"/>
        <v/>
      </c>
    </row>
    <row r="291" ht="66.75" customHeight="1">
      <c r="A291" s="49" t="s">
        <v>1620</v>
      </c>
      <c r="B291" s="35" t="s">
        <v>1621</v>
      </c>
      <c r="C291" s="36" t="s">
        <v>1622</v>
      </c>
      <c r="D291" s="36" t="s">
        <v>1623</v>
      </c>
      <c r="E291" s="36" t="s">
        <v>36</v>
      </c>
      <c r="F291" s="36" t="s">
        <v>37</v>
      </c>
      <c r="G291" s="35" t="s">
        <v>599</v>
      </c>
      <c r="H291" s="35" t="s">
        <v>1624</v>
      </c>
      <c r="I291" s="35" t="s">
        <v>1625</v>
      </c>
      <c r="J291" s="35"/>
      <c r="K291" s="37">
        <f>IFERROR(__xludf.DUMMYFUNCTION("query(assistance!$A$2:$E988,""Select C Where D = '""&amp;L291&amp;""'"")"),13.0)</f>
        <v>13</v>
      </c>
      <c r="L291" s="36" t="s">
        <v>240</v>
      </c>
      <c r="M291" s="39">
        <f t="shared" si="47"/>
        <v>3</v>
      </c>
      <c r="N291" s="39" t="s">
        <v>973</v>
      </c>
      <c r="O291" s="40">
        <v>46064.0</v>
      </c>
      <c r="P291" s="35" t="s">
        <v>43</v>
      </c>
      <c r="Q291" s="35"/>
      <c r="R291" s="35" t="s">
        <v>1633</v>
      </c>
      <c r="S291" s="35" t="b">
        <v>0</v>
      </c>
      <c r="T291" s="35" t="b">
        <v>0</v>
      </c>
      <c r="U291" s="41" t="str">
        <f>IFERROR(__xludf.DUMMYFUNCTION("""["" &amp; JOIN("", "", ARRAYFORMULA("""""""" &amp; TRIM(SPLIT(A291, "","")) &amp; """""""")) &amp; ""]"""),"[""77031"", ""77035"", ""77036"", ""77071"", ""77072"", ""77074"", ""77081"", ""77096"", ""77099""]")</f>
        <v>["77031", "77035", "77036", "77071", "77072", "77074", "77081", "77096", "77099"]</v>
      </c>
      <c r="V291" s="52" t="s">
        <v>1634</v>
      </c>
      <c r="W291" s="52" t="s">
        <v>1629</v>
      </c>
      <c r="X291" s="43"/>
      <c r="Y291" s="44" t="str">
        <f>vlookup(G291,zip_codes!$B$6:$J988,3,false)</f>
        <v>Houston</v>
      </c>
      <c r="Z291" s="45" t="str">
        <f>vlookup(G291,zip_codes!$B$6:$J988,9,false)</f>
        <v>Chinatown, Sharpstown, Westside</v>
      </c>
      <c r="AA291" s="44" t="str">
        <f>vlookup(B291,organizations!$B$1:$C988,2,false)</f>
        <v>Epiphany Community Health Outreach Services ECHOS (SW Harris County)</v>
      </c>
      <c r="AB291" s="46" t="s">
        <v>1630</v>
      </c>
      <c r="AC291" s="47" t="s">
        <v>1631</v>
      </c>
      <c r="AD291" s="48" t="s">
        <v>1059</v>
      </c>
      <c r="AE291" s="48" t="str">
        <f t="shared" si="42"/>
        <v>Epiphany Community Health Outreach Services ECHOS (SW Harris County)9894 Bissonnet Street13</v>
      </c>
      <c r="AF291" s="48" t="str">
        <f t="shared" si="46"/>
        <v/>
      </c>
    </row>
    <row r="292" ht="66.75" customHeight="1">
      <c r="A292" s="49" t="s">
        <v>1620</v>
      </c>
      <c r="B292" s="35" t="s">
        <v>1621</v>
      </c>
      <c r="C292" s="36" t="s">
        <v>1622</v>
      </c>
      <c r="D292" s="36" t="s">
        <v>1623</v>
      </c>
      <c r="E292" s="36" t="s">
        <v>36</v>
      </c>
      <c r="F292" s="36" t="s">
        <v>37</v>
      </c>
      <c r="G292" s="35" t="s">
        <v>599</v>
      </c>
      <c r="H292" s="35" t="s">
        <v>1624</v>
      </c>
      <c r="I292" s="35" t="s">
        <v>1625</v>
      </c>
      <c r="J292" s="35"/>
      <c r="K292" s="37">
        <f>IFERROR(__xludf.DUMMYFUNCTION("query(assistance!$A$2:$E988,""Select C Where D = '""&amp;L292&amp;""'"")"),35.0)</f>
        <v>35</v>
      </c>
      <c r="L292" s="36" t="s">
        <v>731</v>
      </c>
      <c r="M292" s="38">
        <f t="shared" ref="M292:M309" si="48">if(N292="Inactive",3,if(N292="Limited", 2, 1))</f>
        <v>1</v>
      </c>
      <c r="N292" s="39" t="s">
        <v>42</v>
      </c>
      <c r="O292" s="40">
        <v>46064.0</v>
      </c>
      <c r="P292" s="35" t="s">
        <v>43</v>
      </c>
      <c r="Q292" s="35"/>
      <c r="R292" s="35" t="s">
        <v>1635</v>
      </c>
      <c r="S292" s="35" t="b">
        <v>0</v>
      </c>
      <c r="T292" s="35" t="b">
        <v>0</v>
      </c>
      <c r="U292" s="41" t="str">
        <f>IFERROR(__xludf.DUMMYFUNCTION("""["" &amp; JOIN("", "", ARRAYFORMULA("""""""" &amp; TRIM(SPLIT(A292, "","")) &amp; """""""")) &amp; ""]"""),"[""77031"", ""77035"", ""77036"", ""77071"", ""77072"", ""77074"", ""77081"", ""77096"", ""77099""]")</f>
        <v>["77031", "77035", "77036", "77071", "77072", "77074", "77081", "77096", "77099"]</v>
      </c>
      <c r="V292" s="42" t="s">
        <v>1636</v>
      </c>
      <c r="W292" s="52" t="s">
        <v>1629</v>
      </c>
      <c r="X292" s="43"/>
      <c r="Y292" s="44" t="str">
        <f>vlookup(G292,zip_codes!$B$6:$J988,3,false)</f>
        <v>Houston</v>
      </c>
      <c r="Z292" s="45" t="str">
        <f>vlookup(G292,zip_codes!$B$6:$J988,9,false)</f>
        <v>Chinatown, Sharpstown, Westside</v>
      </c>
      <c r="AA292" s="44" t="str">
        <f>vlookup(B292,organizations!$B$1:$C988,2,false)</f>
        <v>Epiphany Community Health Outreach Services ECHOS (SW Harris County)</v>
      </c>
      <c r="AB292" s="46" t="s">
        <v>1630</v>
      </c>
      <c r="AC292" s="47" t="s">
        <v>1631</v>
      </c>
      <c r="AD292" s="48" t="s">
        <v>1059</v>
      </c>
      <c r="AE292" s="48" t="str">
        <f t="shared" si="42"/>
        <v>Epiphany Community Health Outreach Services ECHOS (SW Harris County)9894 Bissonnet Street35</v>
      </c>
      <c r="AF292" s="48" t="str">
        <f t="shared" si="46"/>
        <v/>
      </c>
    </row>
    <row r="293" ht="66.75" customHeight="1">
      <c r="A293" s="49" t="s">
        <v>1637</v>
      </c>
      <c r="B293" s="35" t="s">
        <v>1638</v>
      </c>
      <c r="C293" s="36" t="s">
        <v>1639</v>
      </c>
      <c r="D293" s="36"/>
      <c r="E293" s="36" t="s">
        <v>148</v>
      </c>
      <c r="F293" s="36" t="s">
        <v>37</v>
      </c>
      <c r="G293" s="35" t="s">
        <v>1640</v>
      </c>
      <c r="H293" s="35" t="s">
        <v>1641</v>
      </c>
      <c r="I293" s="35"/>
      <c r="J293" s="35" t="s">
        <v>298</v>
      </c>
      <c r="K293" s="37">
        <f>IFERROR(__xludf.DUMMYFUNCTION("query(assistance!$A$2:$E988,""Select C Where D = '""&amp;L293&amp;""'"")"),11.0)</f>
        <v>11</v>
      </c>
      <c r="L293" s="36" t="s">
        <v>322</v>
      </c>
      <c r="M293" s="38">
        <f t="shared" si="48"/>
        <v>1</v>
      </c>
      <c r="N293" s="39" t="s">
        <v>42</v>
      </c>
      <c r="O293" s="40">
        <v>45758.0</v>
      </c>
      <c r="P293" s="50"/>
      <c r="Q293" s="35"/>
      <c r="R293" s="35" t="s">
        <v>1642</v>
      </c>
      <c r="S293" s="35" t="b">
        <v>0</v>
      </c>
      <c r="T293" s="35" t="b">
        <v>0</v>
      </c>
      <c r="U293" s="41" t="str">
        <f>IFERROR(__xludf.DUMMYFUNCTION("""["" &amp; JOIN("", "", ARRAYFORMULA("""""""" &amp; TRIM(SPLIT(A293, "","")) &amp; """""""")) &amp; ""]"""),"[""77094"", ""77449"", ""77450"", ""77493"", ""77494""]")</f>
        <v>["77094", "77449", "77450", "77493", "77494"]</v>
      </c>
      <c r="V293" s="52" t="s">
        <v>1643</v>
      </c>
      <c r="W293" s="52" t="s">
        <v>1644</v>
      </c>
      <c r="X293" s="43"/>
      <c r="Y293" s="44" t="str">
        <f>vlookup(G293,zip_codes!$B$6:$J988,3,false)</f>
        <v>Katy</v>
      </c>
      <c r="Z293" s="45" t="str">
        <f>vlookup(G293,zip_codes!$B$6:$J988,9,false)</f>
        <v>Cinco Ranch East, Katy (South), Nottingham Country</v>
      </c>
      <c r="AA293" s="44" t="str">
        <f>vlookup(B293,organizations!$B$1:$C988,2,false)</f>
        <v>Society of St Vincent de Paul</v>
      </c>
      <c r="AB293" s="46" t="s">
        <v>1645</v>
      </c>
      <c r="AC293" s="53"/>
      <c r="AD293" s="48" t="s">
        <v>1646</v>
      </c>
      <c r="AE293" s="48" t="str">
        <f t="shared" si="42"/>
        <v>Epiphany of the Lord (SVdP D4) Katy1530 Norwalk Drive11</v>
      </c>
      <c r="AF293" s="48" t="str">
        <f t="shared" si="46"/>
        <v/>
      </c>
    </row>
    <row r="294" ht="66.75" customHeight="1">
      <c r="A294" s="49" t="s">
        <v>1637</v>
      </c>
      <c r="B294" s="35" t="s">
        <v>1638</v>
      </c>
      <c r="C294" s="36" t="s">
        <v>1639</v>
      </c>
      <c r="D294" s="36"/>
      <c r="E294" s="36" t="s">
        <v>148</v>
      </c>
      <c r="F294" s="36" t="s">
        <v>37</v>
      </c>
      <c r="G294" s="35" t="s">
        <v>1640</v>
      </c>
      <c r="H294" s="35" t="s">
        <v>1641</v>
      </c>
      <c r="I294" s="35"/>
      <c r="J294" s="35" t="s">
        <v>298</v>
      </c>
      <c r="K294" s="37">
        <f>IFERROR(__xludf.DUMMYFUNCTION("query(assistance!$A$2:$E988,""Select C Where D = '""&amp;L294&amp;""'"")"),12.0)</f>
        <v>12</v>
      </c>
      <c r="L294" s="36" t="s">
        <v>330</v>
      </c>
      <c r="M294" s="38">
        <f t="shared" si="48"/>
        <v>1</v>
      </c>
      <c r="N294" s="39" t="s">
        <v>42</v>
      </c>
      <c r="O294" s="40">
        <v>45758.0</v>
      </c>
      <c r="P294" s="50"/>
      <c r="Q294" s="35"/>
      <c r="R294" s="35" t="s">
        <v>1642</v>
      </c>
      <c r="S294" s="35" t="b">
        <v>0</v>
      </c>
      <c r="T294" s="35" t="b">
        <v>0</v>
      </c>
      <c r="U294" s="41" t="str">
        <f>IFERROR(__xludf.DUMMYFUNCTION("""["" &amp; JOIN("", "", ARRAYFORMULA("""""""" &amp; TRIM(SPLIT(A294, "","")) &amp; """""""")) &amp; ""]"""),"[""77094"", ""77449"", ""77450"", ""77493"", ""77494""]")</f>
        <v>["77094", "77449", "77450", "77493", "77494"]</v>
      </c>
      <c r="V294" s="52" t="s">
        <v>1643</v>
      </c>
      <c r="W294" s="52" t="s">
        <v>1644</v>
      </c>
      <c r="X294" s="43"/>
      <c r="Y294" s="44" t="str">
        <f>vlookup(G294,zip_codes!$B$6:$J988,3,false)</f>
        <v>Katy</v>
      </c>
      <c r="Z294" s="45" t="str">
        <f>vlookup(G294,zip_codes!$B$6:$J988,9,false)</f>
        <v>Cinco Ranch East, Katy (South), Nottingham Country</v>
      </c>
      <c r="AA294" s="44" t="str">
        <f>vlookup(B294,organizations!$B$1:$C988,2,false)</f>
        <v>Society of St Vincent de Paul</v>
      </c>
      <c r="AB294" s="46" t="s">
        <v>1645</v>
      </c>
      <c r="AC294" s="53"/>
      <c r="AD294" s="48" t="s">
        <v>1646</v>
      </c>
      <c r="AE294" s="48" t="str">
        <f t="shared" si="42"/>
        <v>Epiphany of the Lord (SVdP D4) Katy1530 Norwalk Drive12</v>
      </c>
      <c r="AF294" s="48" t="str">
        <f t="shared" si="46"/>
        <v/>
      </c>
    </row>
    <row r="295" ht="66.75" customHeight="1">
      <c r="A295" s="49" t="s">
        <v>1637</v>
      </c>
      <c r="B295" s="35" t="s">
        <v>1638</v>
      </c>
      <c r="C295" s="36" t="s">
        <v>1639</v>
      </c>
      <c r="D295" s="36"/>
      <c r="E295" s="36" t="s">
        <v>148</v>
      </c>
      <c r="F295" s="36" t="s">
        <v>37</v>
      </c>
      <c r="G295" s="35" t="s">
        <v>1640</v>
      </c>
      <c r="H295" s="35" t="s">
        <v>1641</v>
      </c>
      <c r="I295" s="35" t="s">
        <v>1647</v>
      </c>
      <c r="J295" s="35"/>
      <c r="K295" s="37">
        <f>IFERROR(__xludf.DUMMYFUNCTION("query(assistance!$A$2:$E988,""Select C Where D = '""&amp;L295&amp;""'"")"),13.0)</f>
        <v>13</v>
      </c>
      <c r="L295" s="36" t="s">
        <v>240</v>
      </c>
      <c r="M295" s="38">
        <f t="shared" si="48"/>
        <v>1</v>
      </c>
      <c r="N295" s="39" t="s">
        <v>42</v>
      </c>
      <c r="O295" s="40">
        <v>45758.0</v>
      </c>
      <c r="P295" s="50"/>
      <c r="Q295" s="35"/>
      <c r="R295" s="35" t="s">
        <v>1648</v>
      </c>
      <c r="S295" s="35" t="b">
        <v>0</v>
      </c>
      <c r="T295" s="35" t="b">
        <v>0</v>
      </c>
      <c r="U295" s="41" t="str">
        <f>IFERROR(__xludf.DUMMYFUNCTION("""["" &amp; JOIN("", "", ARRAYFORMULA("""""""" &amp; TRIM(SPLIT(A295, "","")) &amp; """""""")) &amp; ""]"""),"[""77094"", ""77449"", ""77450"", ""77493"", ""77494""]")</f>
        <v>["77094", "77449", "77450", "77493", "77494"]</v>
      </c>
      <c r="V295" s="52" t="s">
        <v>1643</v>
      </c>
      <c r="W295" s="52" t="s">
        <v>1644</v>
      </c>
      <c r="X295" s="43"/>
      <c r="Y295" s="44" t="str">
        <f>vlookup(G295,zip_codes!$B$6:$J988,3,false)</f>
        <v>Katy</v>
      </c>
      <c r="Z295" s="45" t="str">
        <f>vlookup(G295,zip_codes!$B$6:$J988,9,false)</f>
        <v>Cinco Ranch East, Katy (South), Nottingham Country</v>
      </c>
      <c r="AA295" s="44" t="str">
        <f>vlookup(B295,organizations!$B$1:$C988,2,false)</f>
        <v>Society of St Vincent de Paul</v>
      </c>
      <c r="AB295" s="46" t="s">
        <v>1645</v>
      </c>
      <c r="AC295" s="47" t="s">
        <v>1649</v>
      </c>
      <c r="AD295" s="48" t="s">
        <v>1646</v>
      </c>
      <c r="AE295" s="48" t="str">
        <f t="shared" si="42"/>
        <v>Epiphany of the Lord (SVdP D4) Katy1530 Norwalk Drive13</v>
      </c>
      <c r="AF295" s="48" t="str">
        <f t="shared" si="46"/>
        <v/>
      </c>
    </row>
    <row r="296" ht="66.75" customHeight="1">
      <c r="A296" s="49" t="s">
        <v>1650</v>
      </c>
      <c r="B296" s="35" t="s">
        <v>1651</v>
      </c>
      <c r="C296" s="36" t="s">
        <v>1652</v>
      </c>
      <c r="D296" s="36"/>
      <c r="E296" s="36" t="s">
        <v>36</v>
      </c>
      <c r="F296" s="36" t="s">
        <v>37</v>
      </c>
      <c r="G296" s="35" t="s">
        <v>711</v>
      </c>
      <c r="H296" s="35" t="s">
        <v>1653</v>
      </c>
      <c r="I296" s="35" t="s">
        <v>1654</v>
      </c>
      <c r="J296" s="35" t="s">
        <v>1655</v>
      </c>
      <c r="K296" s="37">
        <f>IFERROR(__xludf.DUMMYFUNCTION("query(assistance!$A$2:$E988,""Select C Where D = '""&amp;L296&amp;""'"")"),13.0)</f>
        <v>13</v>
      </c>
      <c r="L296" s="36" t="s">
        <v>240</v>
      </c>
      <c r="M296" s="38">
        <f t="shared" si="48"/>
        <v>1</v>
      </c>
      <c r="N296" s="39" t="s">
        <v>42</v>
      </c>
      <c r="O296" s="65"/>
      <c r="P296" s="50"/>
      <c r="Q296" s="35"/>
      <c r="R296" s="35" t="s">
        <v>1656</v>
      </c>
      <c r="S296" s="35" t="b">
        <v>0</v>
      </c>
      <c r="T296" s="35" t="b">
        <v>0</v>
      </c>
      <c r="U296" s="41" t="str">
        <f>IFERROR(__xludf.DUMMYFUNCTION("""["" &amp; JOIN("", "", ARRAYFORMULA("""""""" &amp; TRIM(SPLIT(A296, "","")) &amp; """""""")) &amp; ""]"""),"[""77024"", ""77027"", ""77041"", ""77043"", ""77055"", ""77056"", ""77079"", ""77080""]")</f>
        <v>["77024", "77027", "77041", "77043", "77055", "77056", "77079", "77080"]</v>
      </c>
      <c r="V296" s="52" t="s">
        <v>1657</v>
      </c>
      <c r="W296" s="52" t="s">
        <v>1658</v>
      </c>
      <c r="X296" s="43"/>
      <c r="Y296" s="44" t="str">
        <f>vlookup(G296,zip_codes!$B$6:$J988,3,false)</f>
        <v>Houston</v>
      </c>
      <c r="Z296" s="45" t="str">
        <f>vlookup(G296,zip_codes!$B$6:$J988,9,false)</f>
        <v>Hilshire Village, Montrose, Northwest Houston, Spring Branch East, Washington Avenue Coalition / Memorial Park</v>
      </c>
      <c r="AA296" s="44" t="str">
        <f>vlookup(B296,organizations!$B$1:$C988,2,false)</f>
        <v>Fair Haven Methodist Church</v>
      </c>
      <c r="AB296" s="46" t="s">
        <v>1659</v>
      </c>
      <c r="AC296" s="47" t="s">
        <v>1660</v>
      </c>
      <c r="AD296" s="48" t="s">
        <v>715</v>
      </c>
      <c r="AE296" s="48" t="str">
        <f t="shared" si="42"/>
        <v>Fair Haven Methodist Church1330 Gessner Road13</v>
      </c>
      <c r="AF296" s="48" t="str">
        <f t="shared" si="46"/>
        <v/>
      </c>
    </row>
    <row r="297" ht="66.75" customHeight="1">
      <c r="A297" s="34" t="s">
        <v>1661</v>
      </c>
      <c r="B297" s="35" t="s">
        <v>1662</v>
      </c>
      <c r="C297" s="36" t="s">
        <v>1663</v>
      </c>
      <c r="D297" s="36"/>
      <c r="E297" s="36" t="s">
        <v>785</v>
      </c>
      <c r="F297" s="36" t="s">
        <v>37</v>
      </c>
      <c r="G297" s="35" t="s">
        <v>786</v>
      </c>
      <c r="H297" s="35" t="s">
        <v>1664</v>
      </c>
      <c r="I297" s="35" t="s">
        <v>40</v>
      </c>
      <c r="J297" s="35" t="s">
        <v>1665</v>
      </c>
      <c r="K297" s="37">
        <f>IFERROR(__xludf.DUMMYFUNCTION("query(assistance!$A$2:$E988,""Select C Where D = '""&amp;L297&amp;""'"")"),11.0)</f>
        <v>11</v>
      </c>
      <c r="L297" s="36" t="s">
        <v>322</v>
      </c>
      <c r="M297" s="38">
        <f t="shared" si="48"/>
        <v>1</v>
      </c>
      <c r="N297" s="51" t="s">
        <v>42</v>
      </c>
      <c r="O297" s="40">
        <v>46016.0</v>
      </c>
      <c r="P297" s="35" t="s">
        <v>43</v>
      </c>
      <c r="Q297" s="35"/>
      <c r="R297" s="35" t="s">
        <v>1666</v>
      </c>
      <c r="S297" s="35" t="b">
        <v>0</v>
      </c>
      <c r="T297" s="35" t="b">
        <v>0</v>
      </c>
      <c r="U297" s="41" t="str">
        <f>IFERROR(__xludf.DUMMYFUNCTION("""["" &amp; JOIN("", "", ARRAYFORMULA("""""""" &amp; TRIM(SPLIT(A297, "","")) &amp; """""""")) &amp; ""]"""),"[""77048"",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V297" s="68" t="s">
        <v>1667</v>
      </c>
      <c r="W297" s="42" t="s">
        <v>1668</v>
      </c>
      <c r="X297" s="43"/>
      <c r="Y297" s="44" t="str">
        <f>vlookup(G297,zip_codes!$B$6:$J988,3,false)</f>
        <v>Webster</v>
      </c>
      <c r="Z297" s="45" t="str">
        <f>vlookup(G297,zip_codes!$B$6:$J988,9,false)</f>
        <v>Clear Lake, Webster</v>
      </c>
      <c r="AA297" s="44" t="str">
        <f>vlookup(B297,organizations!$B$1:$C988,2,false)</f>
        <v>Family Promise</v>
      </c>
      <c r="AB297" s="55" t="s">
        <v>1669</v>
      </c>
      <c r="AC297" s="47" t="s">
        <v>48</v>
      </c>
      <c r="AD297" s="48" t="s">
        <v>1670</v>
      </c>
      <c r="AE297" s="48" t="str">
        <f t="shared" si="42"/>
        <v>Family Promise of Clear Creek14550 State Hwy 311</v>
      </c>
      <c r="AF297" s="48" t="str">
        <f t="shared" si="46"/>
        <v/>
      </c>
    </row>
    <row r="298" ht="66.75" customHeight="1">
      <c r="A298" s="34" t="s">
        <v>1661</v>
      </c>
      <c r="B298" s="35" t="s">
        <v>1662</v>
      </c>
      <c r="C298" s="36" t="s">
        <v>1663</v>
      </c>
      <c r="D298" s="36"/>
      <c r="E298" s="36" t="s">
        <v>785</v>
      </c>
      <c r="F298" s="36" t="s">
        <v>37</v>
      </c>
      <c r="G298" s="35" t="s">
        <v>786</v>
      </c>
      <c r="H298" s="35" t="s">
        <v>1664</v>
      </c>
      <c r="I298" s="35" t="s">
        <v>40</v>
      </c>
      <c r="J298" s="35" t="s">
        <v>1665</v>
      </c>
      <c r="K298" s="37">
        <f>IFERROR(__xludf.DUMMYFUNCTION("query(assistance!$A$2:$E988,""Select C Where D = '""&amp;L298&amp;""'"")"),21.0)</f>
        <v>21</v>
      </c>
      <c r="L298" s="36" t="s">
        <v>777</v>
      </c>
      <c r="M298" s="38">
        <f t="shared" si="48"/>
        <v>1</v>
      </c>
      <c r="N298" s="51" t="s">
        <v>42</v>
      </c>
      <c r="O298" s="40">
        <v>46016.0</v>
      </c>
      <c r="P298" s="35" t="s">
        <v>43</v>
      </c>
      <c r="Q298" s="35"/>
      <c r="R298" s="35" t="s">
        <v>1671</v>
      </c>
      <c r="S298" s="35" t="b">
        <v>0</v>
      </c>
      <c r="T298" s="35" t="b">
        <v>0</v>
      </c>
      <c r="U298" s="41" t="str">
        <f>IFERROR(__xludf.DUMMYFUNCTION("""["" &amp; JOIN("", "", ARRAYFORMULA("""""""" &amp; TRIM(SPLIT(A298, "","")) &amp; """""""")) &amp; ""]"""),"[""77048"",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V298" s="68" t="s">
        <v>1667</v>
      </c>
      <c r="W298" s="42" t="s">
        <v>1668</v>
      </c>
      <c r="X298" s="43"/>
      <c r="Y298" s="44" t="str">
        <f>vlookup(G298,zip_codes!$B$6:$J988,3,false)</f>
        <v>Webster</v>
      </c>
      <c r="Z298" s="45" t="str">
        <f>vlookup(G298,zip_codes!$B$6:$J988,9,false)</f>
        <v>Clear Lake, Webster</v>
      </c>
      <c r="AA298" s="44" t="str">
        <f>vlookup(B298,organizations!$B$1:$C988,2,false)</f>
        <v>Family Promise</v>
      </c>
      <c r="AB298" s="55" t="s">
        <v>1669</v>
      </c>
      <c r="AC298" s="47" t="s">
        <v>48</v>
      </c>
      <c r="AD298" s="48" t="s">
        <v>1670</v>
      </c>
      <c r="AE298" s="48" t="str">
        <f t="shared" si="42"/>
        <v>Family Promise of Clear Creek14550 State Hwy 321</v>
      </c>
      <c r="AF298" s="48" t="str">
        <f t="shared" si="46"/>
        <v/>
      </c>
    </row>
    <row r="299" ht="66.75" customHeight="1">
      <c r="A299" s="34" t="s">
        <v>1661</v>
      </c>
      <c r="B299" s="35" t="s">
        <v>1662</v>
      </c>
      <c r="C299" s="36" t="s">
        <v>1663</v>
      </c>
      <c r="D299" s="36"/>
      <c r="E299" s="36" t="s">
        <v>785</v>
      </c>
      <c r="F299" s="36" t="s">
        <v>37</v>
      </c>
      <c r="G299" s="35" t="s">
        <v>786</v>
      </c>
      <c r="H299" s="35" t="s">
        <v>1664</v>
      </c>
      <c r="I299" s="35" t="s">
        <v>40</v>
      </c>
      <c r="J299" s="35" t="s">
        <v>1665</v>
      </c>
      <c r="K299" s="37">
        <f>IFERROR(__xludf.DUMMYFUNCTION("query(assistance!$A$2:$E988,""Select C Where D = '""&amp;L299&amp;""'"")"),22.0)</f>
        <v>22</v>
      </c>
      <c r="L299" s="36" t="s">
        <v>1178</v>
      </c>
      <c r="M299" s="38">
        <f t="shared" si="48"/>
        <v>1</v>
      </c>
      <c r="N299" s="51" t="s">
        <v>42</v>
      </c>
      <c r="O299" s="40">
        <v>46016.0</v>
      </c>
      <c r="P299" s="35" t="s">
        <v>43</v>
      </c>
      <c r="Q299" s="35"/>
      <c r="R299" s="35" t="s">
        <v>1672</v>
      </c>
      <c r="S299" s="35" t="b">
        <v>0</v>
      </c>
      <c r="T299" s="35" t="b">
        <v>0</v>
      </c>
      <c r="U299" s="41" t="str">
        <f>IFERROR(__xludf.DUMMYFUNCTION("""["" &amp; JOIN("", "", ARRAYFORMULA("""""""" &amp; TRIM(SPLIT(A299, "","")) &amp; """""""")) &amp; ""]"""),"[""77048"",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V299" s="68" t="s">
        <v>1667</v>
      </c>
      <c r="W299" s="42" t="s">
        <v>1668</v>
      </c>
      <c r="X299" s="43"/>
      <c r="Y299" s="44" t="str">
        <f>vlookup(G299,zip_codes!$B$6:$J988,3,false)</f>
        <v>Webster</v>
      </c>
      <c r="Z299" s="45" t="str">
        <f>vlookup(G299,zip_codes!$B$6:$J988,9,false)</f>
        <v>Clear Lake, Webster</v>
      </c>
      <c r="AA299" s="44" t="str">
        <f>vlookup(B299,organizations!$B$1:$C988,2,false)</f>
        <v>Family Promise</v>
      </c>
      <c r="AB299" s="55" t="s">
        <v>1669</v>
      </c>
      <c r="AC299" s="47" t="s">
        <v>48</v>
      </c>
      <c r="AD299" s="48" t="s">
        <v>1670</v>
      </c>
      <c r="AE299" s="48" t="str">
        <f t="shared" si="42"/>
        <v>Family Promise of Clear Creek14550 State Hwy 322</v>
      </c>
      <c r="AF299" s="48" t="str">
        <f t="shared" si="46"/>
        <v/>
      </c>
    </row>
    <row r="300" ht="66.75" customHeight="1">
      <c r="A300" s="34" t="s">
        <v>1661</v>
      </c>
      <c r="B300" s="35" t="s">
        <v>1662</v>
      </c>
      <c r="C300" s="36" t="s">
        <v>1663</v>
      </c>
      <c r="D300" s="36"/>
      <c r="E300" s="36" t="s">
        <v>785</v>
      </c>
      <c r="F300" s="36" t="s">
        <v>37</v>
      </c>
      <c r="G300" s="35" t="s">
        <v>786</v>
      </c>
      <c r="H300" s="35" t="s">
        <v>1664</v>
      </c>
      <c r="I300" s="35" t="s">
        <v>40</v>
      </c>
      <c r="J300" s="35" t="s">
        <v>1665</v>
      </c>
      <c r="K300" s="37">
        <f>IFERROR(__xludf.DUMMYFUNCTION("query(assistance!$A$2:$E988,""Select C Where D = '""&amp;L300&amp;""'"")"),65.0)</f>
        <v>65</v>
      </c>
      <c r="L300" s="36" t="s">
        <v>41</v>
      </c>
      <c r="M300" s="38">
        <f t="shared" si="48"/>
        <v>1</v>
      </c>
      <c r="N300" s="51" t="s">
        <v>42</v>
      </c>
      <c r="O300" s="40">
        <v>46016.0</v>
      </c>
      <c r="P300" s="35" t="s">
        <v>43</v>
      </c>
      <c r="Q300" s="35"/>
      <c r="R300" s="35" t="s">
        <v>1673</v>
      </c>
      <c r="S300" s="35" t="b">
        <v>0</v>
      </c>
      <c r="T300" s="35" t="b">
        <v>0</v>
      </c>
      <c r="U300" s="41" t="str">
        <f>IFERROR(__xludf.DUMMYFUNCTION("""["" &amp; JOIN("", "", ARRAYFORMULA("""""""" &amp; TRIM(SPLIT(A300, "","")) &amp; """""""")) &amp; ""]"""),"[""77048"", ""77058"", ""77059"", ""77062"", ""77075"", ""77089"", ""77507"", ""77510"", ""77511"", ""77517"", ""77518"", ""77534"", ""77539"", ""77545"", ""77546"", ""77565"", ""77571"", ""77573"", ""77577"", ""77578"", ""77581"", ""77583"", ""77584"", "&amp;"""77586"", ""77598""]")</f>
        <v>["77048", "77058", "77059", "77062", "77075", "77089", "77507", "77510", "77511", "77517", "77518", "77534", "77539", "77545", "77546", "77565", "77571", "77573", "77577", "77578", "77581", "77583", "77584", "77586", "77598"]</v>
      </c>
      <c r="V300" s="68" t="s">
        <v>1667</v>
      </c>
      <c r="W300" s="42" t="s">
        <v>1668</v>
      </c>
      <c r="X300" s="43"/>
      <c r="Y300" s="44" t="str">
        <f>vlookup(G300,zip_codes!$B$6:$J988,3,false)</f>
        <v>Webster</v>
      </c>
      <c r="Z300" s="45" t="str">
        <f>vlookup(G300,zip_codes!$B$6:$J988,9,false)</f>
        <v>Clear Lake, Webster</v>
      </c>
      <c r="AA300" s="44" t="str">
        <f>vlookup(B300,organizations!$B$1:$C988,2,false)</f>
        <v>Family Promise</v>
      </c>
      <c r="AB300" s="55" t="s">
        <v>1669</v>
      </c>
      <c r="AC300" s="47" t="s">
        <v>48</v>
      </c>
      <c r="AD300" s="48" t="s">
        <v>1670</v>
      </c>
      <c r="AE300" s="48" t="str">
        <f t="shared" si="42"/>
        <v>Family Promise of Clear Creek14550 State Hwy 365</v>
      </c>
      <c r="AF300" s="48" t="str">
        <f t="shared" si="46"/>
        <v/>
      </c>
    </row>
    <row r="301" ht="66.75" customHeight="1">
      <c r="A301" s="34" t="s">
        <v>1674</v>
      </c>
      <c r="B301" s="35" t="s">
        <v>1675</v>
      </c>
      <c r="C301" s="36" t="s">
        <v>1676</v>
      </c>
      <c r="D301" s="36"/>
      <c r="E301" s="36" t="s">
        <v>488</v>
      </c>
      <c r="F301" s="36" t="s">
        <v>37</v>
      </c>
      <c r="G301" s="35" t="s">
        <v>489</v>
      </c>
      <c r="H301" s="35" t="s">
        <v>1677</v>
      </c>
      <c r="I301" s="35" t="s">
        <v>88</v>
      </c>
      <c r="J301" s="35" t="s">
        <v>1678</v>
      </c>
      <c r="K301" s="37">
        <f>IFERROR(__xludf.DUMMYFUNCTION("query(assistance!$A$2:$E988,""Select C Where D = '""&amp;L301&amp;""'"")"),21.0)</f>
        <v>21</v>
      </c>
      <c r="L301" s="36" t="s">
        <v>777</v>
      </c>
      <c r="M301" s="38">
        <f t="shared" si="48"/>
        <v>1</v>
      </c>
      <c r="N301" s="51" t="s">
        <v>42</v>
      </c>
      <c r="O301" s="40">
        <v>46016.0</v>
      </c>
      <c r="P301" s="35" t="s">
        <v>43</v>
      </c>
      <c r="Q301" s="35"/>
      <c r="R301" s="35" t="s">
        <v>1679</v>
      </c>
      <c r="S301" s="35" t="b">
        <v>0</v>
      </c>
      <c r="T301" s="35" t="b">
        <v>0</v>
      </c>
      <c r="U301" s="41" t="str">
        <f>IFERROR(__xludf.DUMMYFUNCTION("""["" &amp; JOIN("", "", ARRAYFORMULA("""""""" &amp; TRIM(SPLIT(A301, "","")) &amp; """""""")) &amp; ""]"""),"[""77336"", ""77338"", ""77339"", ""77345"", ""77346"", ""77347"", ""77365"", ""77396""]")</f>
        <v>["77336", "77338", "77339", "77345", "77346", "77347", "77365", "77396"]</v>
      </c>
      <c r="V301" s="68" t="s">
        <v>1680</v>
      </c>
      <c r="W301" s="42" t="s">
        <v>1681</v>
      </c>
      <c r="X301" s="43"/>
      <c r="Y301" s="44" t="str">
        <f>vlookup(G301,zip_codes!$B$6:$J988,3,false)</f>
        <v>Humble</v>
      </c>
      <c r="Z301" s="45" t="str">
        <f>vlookup(G301,zip_codes!$B$6:$J988,9,false)</f>
        <v>Humble, Humble (Old Town), Northshire</v>
      </c>
      <c r="AA301" s="44" t="str">
        <f>vlookup(B301,organizations!$B$1:$C988,2,false)</f>
        <v>Family Promise</v>
      </c>
      <c r="AB301" s="55" t="s">
        <v>1682</v>
      </c>
      <c r="AC301" s="47" t="s">
        <v>1516</v>
      </c>
      <c r="AD301" s="48" t="s">
        <v>488</v>
      </c>
      <c r="AE301" s="48" t="str">
        <f t="shared" si="42"/>
        <v>Family Promise of Lake Houston1590 FM 1960 Bypass Road E21</v>
      </c>
      <c r="AF301" s="48" t="str">
        <f t="shared" si="46"/>
        <v/>
      </c>
    </row>
    <row r="302" ht="66.75" customHeight="1">
      <c r="A302" s="34" t="s">
        <v>1674</v>
      </c>
      <c r="B302" s="35" t="s">
        <v>1675</v>
      </c>
      <c r="C302" s="36" t="s">
        <v>1676</v>
      </c>
      <c r="D302" s="36"/>
      <c r="E302" s="36" t="s">
        <v>488</v>
      </c>
      <c r="F302" s="36" t="s">
        <v>37</v>
      </c>
      <c r="G302" s="35" t="s">
        <v>489</v>
      </c>
      <c r="H302" s="35" t="s">
        <v>1677</v>
      </c>
      <c r="I302" s="35" t="s">
        <v>88</v>
      </c>
      <c r="J302" s="35" t="s">
        <v>1678</v>
      </c>
      <c r="K302" s="37">
        <f>IFERROR(__xludf.DUMMYFUNCTION("query(assistance!$A$2:$E988,""Select C Where D = '""&amp;L302&amp;""'"")"),22.0)</f>
        <v>22</v>
      </c>
      <c r="L302" s="36" t="s">
        <v>1178</v>
      </c>
      <c r="M302" s="38">
        <f t="shared" si="48"/>
        <v>1</v>
      </c>
      <c r="N302" s="51" t="s">
        <v>42</v>
      </c>
      <c r="O302" s="40">
        <v>46016.0</v>
      </c>
      <c r="P302" s="35" t="s">
        <v>43</v>
      </c>
      <c r="Q302" s="35"/>
      <c r="R302" s="35" t="s">
        <v>1683</v>
      </c>
      <c r="S302" s="35" t="b">
        <v>0</v>
      </c>
      <c r="T302" s="35" t="b">
        <v>0</v>
      </c>
      <c r="U302" s="41" t="str">
        <f>IFERROR(__xludf.DUMMYFUNCTION("""["" &amp; JOIN("", "", ARRAYFORMULA("""""""" &amp; TRIM(SPLIT(A302, "","")) &amp; """""""")) &amp; ""]"""),"[""77336"", ""77338"", ""77339"", ""77345"", ""77346"", ""77347"", ""77365"", ""77396""]")</f>
        <v>["77336", "77338", "77339", "77345", "77346", "77347", "77365", "77396"]</v>
      </c>
      <c r="V302" s="68" t="s">
        <v>1680</v>
      </c>
      <c r="W302" s="42" t="s">
        <v>1681</v>
      </c>
      <c r="X302" s="43"/>
      <c r="Y302" s="44" t="str">
        <f>vlookup(G302,zip_codes!$B$6:$J988,3,false)</f>
        <v>Humble</v>
      </c>
      <c r="Z302" s="45" t="str">
        <f>vlookup(G302,zip_codes!$B$6:$J988,9,false)</f>
        <v>Humble, Humble (Old Town), Northshire</v>
      </c>
      <c r="AA302" s="44" t="str">
        <f>vlookup(B302,organizations!$B$1:$C988,2,false)</f>
        <v>Family Promise</v>
      </c>
      <c r="AB302" s="55" t="s">
        <v>1682</v>
      </c>
      <c r="AC302" s="47" t="s">
        <v>1516</v>
      </c>
      <c r="AD302" s="48" t="s">
        <v>488</v>
      </c>
      <c r="AE302" s="48" t="str">
        <f t="shared" si="42"/>
        <v>Family Promise of Lake Houston1590 FM 1960 Bypass Road E22</v>
      </c>
      <c r="AF302" s="48" t="str">
        <f t="shared" si="46"/>
        <v/>
      </c>
    </row>
    <row r="303" ht="66.75" customHeight="1">
      <c r="A303" s="34" t="s">
        <v>1333</v>
      </c>
      <c r="B303" s="35" t="s">
        <v>1684</v>
      </c>
      <c r="C303" s="36" t="s">
        <v>1685</v>
      </c>
      <c r="D303" s="36"/>
      <c r="E303" s="36" t="s">
        <v>989</v>
      </c>
      <c r="F303" s="36" t="s">
        <v>37</v>
      </c>
      <c r="G303" s="35" t="s">
        <v>1686</v>
      </c>
      <c r="H303" s="35" t="s">
        <v>1687</v>
      </c>
      <c r="I303" s="35" t="s">
        <v>40</v>
      </c>
      <c r="J303" s="35"/>
      <c r="K303" s="37">
        <f>IFERROR(__xludf.DUMMYFUNCTION("query(assistance!$A$2:$E988,""Select C Where D = '""&amp;L303&amp;""'"")"),21.0)</f>
        <v>21</v>
      </c>
      <c r="L303" s="36" t="s">
        <v>777</v>
      </c>
      <c r="M303" s="38">
        <f t="shared" si="48"/>
        <v>1</v>
      </c>
      <c r="N303" s="51" t="s">
        <v>42</v>
      </c>
      <c r="O303" s="40">
        <v>46016.0</v>
      </c>
      <c r="P303" s="35" t="s">
        <v>43</v>
      </c>
      <c r="Q303" s="35"/>
      <c r="R303" s="35" t="s">
        <v>1688</v>
      </c>
      <c r="S303" s="35" t="b">
        <v>0</v>
      </c>
      <c r="T303" s="35" t="b">
        <v>0</v>
      </c>
      <c r="U303" s="41" t="str">
        <f>IFERROR(__xludf.DUMMYFUNCTION("""["" &amp; JOIN("", "", ARRAYFORMULA("""""""" &amp; TRIM(SPLIT(A303,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303" s="91" t="s">
        <v>1689</v>
      </c>
      <c r="W303" s="42" t="s">
        <v>1690</v>
      </c>
      <c r="X303" s="43"/>
      <c r="Y303" s="44" t="str">
        <f>vlookup(G303,zip_codes!$B$6:$J988,3,false)</f>
        <v>Conroe</v>
      </c>
      <c r="Z303" s="45" t="str">
        <f>vlookup(G303,zip_codes!$B$6:$J988,9,false)</f>
        <v>April Sound, Conroe, Walden on Lake Conroe, West Fork</v>
      </c>
      <c r="AA303" s="44" t="str">
        <f>vlookup(B303,organizations!$B$1:$C988,2,false)</f>
        <v>Family Promise</v>
      </c>
      <c r="AB303" s="55" t="s">
        <v>1691</v>
      </c>
      <c r="AC303" s="47" t="s">
        <v>48</v>
      </c>
      <c r="AD303" s="48" t="s">
        <v>989</v>
      </c>
      <c r="AE303" s="48" t="str">
        <f t="shared" si="42"/>
        <v>Family Promise of Montgomery County109 Commercial Circle21</v>
      </c>
      <c r="AF303" s="48" t="str">
        <f t="shared" si="46"/>
        <v/>
      </c>
    </row>
    <row r="304" ht="66.75" customHeight="1">
      <c r="A304" s="34" t="s">
        <v>1333</v>
      </c>
      <c r="B304" s="35" t="s">
        <v>1684</v>
      </c>
      <c r="C304" s="36" t="s">
        <v>1685</v>
      </c>
      <c r="D304" s="36"/>
      <c r="E304" s="36" t="s">
        <v>989</v>
      </c>
      <c r="F304" s="36" t="s">
        <v>37</v>
      </c>
      <c r="G304" s="35" t="s">
        <v>1686</v>
      </c>
      <c r="H304" s="35" t="s">
        <v>1687</v>
      </c>
      <c r="I304" s="35" t="s">
        <v>40</v>
      </c>
      <c r="J304" s="35"/>
      <c r="K304" s="37">
        <f>IFERROR(__xludf.DUMMYFUNCTION("query(assistance!$A$2:$E988,""Select C Where D = '""&amp;L304&amp;""'"")"),51.0)</f>
        <v>51</v>
      </c>
      <c r="L304" s="36" t="s">
        <v>468</v>
      </c>
      <c r="M304" s="38">
        <f t="shared" si="48"/>
        <v>1</v>
      </c>
      <c r="N304" s="51" t="s">
        <v>42</v>
      </c>
      <c r="O304" s="40">
        <v>46016.0</v>
      </c>
      <c r="P304" s="35" t="s">
        <v>43</v>
      </c>
      <c r="Q304" s="35"/>
      <c r="R304" s="35" t="s">
        <v>1692</v>
      </c>
      <c r="S304" s="35" t="b">
        <v>0</v>
      </c>
      <c r="T304" s="35" t="b">
        <v>0</v>
      </c>
      <c r="U304" s="41" t="str">
        <f>IFERROR(__xludf.DUMMYFUNCTION("""["" &amp; JOIN("", "", ARRAYFORMULA("""""""" &amp; TRIM(SPLIT(A304,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304" s="91" t="s">
        <v>1689</v>
      </c>
      <c r="W304" s="42" t="s">
        <v>1690</v>
      </c>
      <c r="X304" s="43"/>
      <c r="Y304" s="44" t="str">
        <f>vlookup(G304,zip_codes!$B$6:$J988,3,false)</f>
        <v>Conroe</v>
      </c>
      <c r="Z304" s="45" t="str">
        <f>vlookup(G304,zip_codes!$B$6:$J988,9,false)</f>
        <v>April Sound, Conroe, Walden on Lake Conroe, West Fork</v>
      </c>
      <c r="AA304" s="44" t="str">
        <f>vlookup(B304,organizations!$B$1:$C988,2,false)</f>
        <v>Family Promise</v>
      </c>
      <c r="AB304" s="55" t="s">
        <v>1691</v>
      </c>
      <c r="AC304" s="47" t="s">
        <v>48</v>
      </c>
      <c r="AD304" s="48" t="s">
        <v>989</v>
      </c>
      <c r="AE304" s="48" t="str">
        <f t="shared" si="42"/>
        <v>Family Promise of Montgomery County109 Commercial Circle51</v>
      </c>
      <c r="AF304" s="48" t="str">
        <f t="shared" si="46"/>
        <v/>
      </c>
    </row>
    <row r="305" ht="66.75" customHeight="1">
      <c r="A305" s="34" t="s">
        <v>1333</v>
      </c>
      <c r="B305" s="35" t="s">
        <v>1684</v>
      </c>
      <c r="C305" s="36" t="s">
        <v>1685</v>
      </c>
      <c r="D305" s="36"/>
      <c r="E305" s="36" t="s">
        <v>989</v>
      </c>
      <c r="F305" s="36" t="s">
        <v>37</v>
      </c>
      <c r="G305" s="35" t="s">
        <v>1686</v>
      </c>
      <c r="H305" s="35" t="s">
        <v>1687</v>
      </c>
      <c r="I305" s="35" t="s">
        <v>40</v>
      </c>
      <c r="J305" s="35"/>
      <c r="K305" s="37">
        <f>IFERROR(__xludf.DUMMYFUNCTION("query(assistance!$A$2:$E988,""Select C Where D = '""&amp;L305&amp;""'"")"),53.0)</f>
        <v>53</v>
      </c>
      <c r="L305" s="36" t="s">
        <v>1109</v>
      </c>
      <c r="M305" s="38">
        <f t="shared" si="48"/>
        <v>1</v>
      </c>
      <c r="N305" s="51" t="s">
        <v>42</v>
      </c>
      <c r="O305" s="40">
        <v>46016.0</v>
      </c>
      <c r="P305" s="35" t="s">
        <v>43</v>
      </c>
      <c r="Q305" s="35"/>
      <c r="R305" s="35" t="s">
        <v>1693</v>
      </c>
      <c r="S305" s="35" t="b">
        <v>0</v>
      </c>
      <c r="T305" s="35" t="b">
        <v>0</v>
      </c>
      <c r="U305" s="41" t="str">
        <f>IFERROR(__xludf.DUMMYFUNCTION("""["" &amp; JOIN("", "", ARRAYFORMULA("""""""" &amp; TRIM(SPLIT(A305, "","")) &amp; """""""")) &amp; ""]"""),"[""77301"", ""77302"", ""77303"", ""77304"", ""77305"", ""77306"", ""77316"", ""77318"", ""77328"", ""77333"", ""77353"", ""77354"", ""77355"", ""77356"", ""77362"", ""77372"", ""77378"", ""77380"", ""77381"", ""77382"", ""77384"", ""77385"", ""77386""]")</f>
        <v>["77301", "77302", "77303", "77304", "77305", "77306", "77316", "77318", "77328", "77333", "77353", "77354", "77355", "77356", "77362", "77372", "77378", "77380", "77381", "77382", "77384", "77385", "77386"]</v>
      </c>
      <c r="V305" s="91" t="s">
        <v>1689</v>
      </c>
      <c r="W305" s="42" t="s">
        <v>1690</v>
      </c>
      <c r="X305" s="43"/>
      <c r="Y305" s="44" t="str">
        <f>vlookup(G305,zip_codes!$B$6:$J988,3,false)</f>
        <v>Conroe</v>
      </c>
      <c r="Z305" s="45" t="str">
        <f>vlookup(G305,zip_codes!$B$6:$J988,9,false)</f>
        <v>April Sound, Conroe, Walden on Lake Conroe, West Fork</v>
      </c>
      <c r="AA305" s="44" t="str">
        <f>vlookup(B305,organizations!$B$1:$C988,2,false)</f>
        <v>Family Promise</v>
      </c>
      <c r="AB305" s="55" t="s">
        <v>1691</v>
      </c>
      <c r="AC305" s="47" t="s">
        <v>48</v>
      </c>
      <c r="AD305" s="48" t="s">
        <v>989</v>
      </c>
      <c r="AE305" s="48" t="str">
        <f t="shared" si="42"/>
        <v>Family Promise of Montgomery County109 Commercial Circle53</v>
      </c>
      <c r="AF305" s="48" t="str">
        <f t="shared" si="46"/>
        <v/>
      </c>
    </row>
    <row r="306" ht="66.75" customHeight="1">
      <c r="A306" s="49" t="s">
        <v>50</v>
      </c>
      <c r="B306" s="35" t="s">
        <v>1694</v>
      </c>
      <c r="C306" s="36" t="s">
        <v>1695</v>
      </c>
      <c r="D306" s="36" t="s">
        <v>1696</v>
      </c>
      <c r="E306" s="36" t="s">
        <v>1697</v>
      </c>
      <c r="F306" s="36" t="s">
        <v>1698</v>
      </c>
      <c r="G306" s="56" t="s">
        <v>1699</v>
      </c>
      <c r="H306" s="35" t="s">
        <v>1700</v>
      </c>
      <c r="I306" s="35" t="s">
        <v>40</v>
      </c>
      <c r="J306" s="35" t="s">
        <v>89</v>
      </c>
      <c r="K306" s="37">
        <f>IFERROR(__xludf.DUMMYFUNCTION("query(assistance!$A$2:$E988,""Select C Where D = '""&amp;L306&amp;""'"")"),36.0)</f>
        <v>36</v>
      </c>
      <c r="L306" s="36" t="s">
        <v>227</v>
      </c>
      <c r="M306" s="38">
        <f t="shared" si="48"/>
        <v>1</v>
      </c>
      <c r="N306" s="39" t="s">
        <v>42</v>
      </c>
      <c r="O306" s="40">
        <v>6693457.0</v>
      </c>
      <c r="P306" s="35" t="s">
        <v>43</v>
      </c>
      <c r="Q306" s="35"/>
      <c r="R306" s="35" t="s">
        <v>1701</v>
      </c>
      <c r="S306" s="35" t="b">
        <v>0</v>
      </c>
      <c r="T306" s="35" t="b">
        <v>0</v>
      </c>
      <c r="U306" s="41" t="str">
        <f>IFERROR(__xludf.DUMMYFUNCTION("""["" &amp; JOIN("", "", ARRAYFORMULA("""""""" &amp; TRIM(SPLIT(A306, "","")) &amp; """""""")) &amp; ""]"""),"[""99999""]")</f>
        <v>["99999"]</v>
      </c>
      <c r="V306" s="42" t="s">
        <v>1702</v>
      </c>
      <c r="W306" s="42" t="s">
        <v>1703</v>
      </c>
      <c r="X306" s="43"/>
      <c r="Y306" s="44" t="str">
        <f>vlookup(G306,zip_codes!$B$2:$J988,3,false)</f>
        <v>Boston</v>
      </c>
      <c r="Z306" s="45" t="str">
        <f>vlookup(G306,zip_codes!$B$6:$J988,9,false)</f>
        <v>#N/A</v>
      </c>
      <c r="AA306" s="44" t="str">
        <f>vlookup(B306,organizations!$B$1:$C988,2,false)</f>
        <v>Family Reach</v>
      </c>
      <c r="AB306" s="55" t="s">
        <v>1704</v>
      </c>
      <c r="AC306" s="61" t="s">
        <v>48</v>
      </c>
      <c r="AD306" s="58" t="s">
        <v>1705</v>
      </c>
      <c r="AE306" s="48" t="str">
        <f t="shared" si="42"/>
        <v>Family Reach142 Berkeley Street36</v>
      </c>
      <c r="AF306" s="48" t="str">
        <f t="shared" si="46"/>
        <v/>
      </c>
    </row>
    <row r="307" ht="66.75" customHeight="1">
      <c r="A307" s="49" t="s">
        <v>50</v>
      </c>
      <c r="B307" s="35" t="s">
        <v>1706</v>
      </c>
      <c r="C307" s="36" t="s">
        <v>1707</v>
      </c>
      <c r="D307" s="36"/>
      <c r="E307" s="36" t="s">
        <v>488</v>
      </c>
      <c r="F307" s="36" t="s">
        <v>37</v>
      </c>
      <c r="G307" s="35" t="s">
        <v>489</v>
      </c>
      <c r="H307" s="35" t="s">
        <v>1708</v>
      </c>
      <c r="I307" s="35" t="s">
        <v>516</v>
      </c>
      <c r="J307" s="35"/>
      <c r="K307" s="37">
        <f>IFERROR(__xludf.DUMMYFUNCTION("query(assistance!$A$2:$E988,""Select C Where D = '""&amp;L307&amp;""'"")"),41.0)</f>
        <v>41</v>
      </c>
      <c r="L307" s="36" t="s">
        <v>788</v>
      </c>
      <c r="M307" s="38">
        <f t="shared" si="48"/>
        <v>1</v>
      </c>
      <c r="N307" s="39" t="s">
        <v>42</v>
      </c>
      <c r="O307" s="65"/>
      <c r="P307" s="50"/>
      <c r="Q307" s="35"/>
      <c r="R307" s="35" t="s">
        <v>1709</v>
      </c>
      <c r="S307" s="35" t="b">
        <v>0</v>
      </c>
      <c r="T307" s="35" t="b">
        <v>0</v>
      </c>
      <c r="U307" s="41" t="str">
        <f>IFERROR(__xludf.DUMMYFUNCTION("""["" &amp; JOIN("", "", ARRAYFORMULA("""""""" &amp; TRIM(SPLIT(A307, "","")) &amp; """""""")) &amp; ""]"""),"[""99999""]")</f>
        <v>["99999"]</v>
      </c>
      <c r="V307" s="52" t="s">
        <v>1710</v>
      </c>
      <c r="W307" s="43"/>
      <c r="X307" s="43"/>
      <c r="Y307" s="44" t="str">
        <f>vlookup(G307,zip_codes!$B$6:$J988,3,false)</f>
        <v>Humble</v>
      </c>
      <c r="Z307" s="45" t="str">
        <f>vlookup(G307,zip_codes!$B$6:$J988,9,false)</f>
        <v>Humble, Humble (Old Town), Northshire</v>
      </c>
      <c r="AA307" s="44" t="str">
        <f>vlookup(B307,organizations!$B$1:$C988,2,false)</f>
        <v>Family Time Crisis &amp; Counseling Center</v>
      </c>
      <c r="AB307" s="46" t="s">
        <v>1711</v>
      </c>
      <c r="AC307" s="47" t="s">
        <v>520</v>
      </c>
      <c r="AD307" s="48" t="s">
        <v>488</v>
      </c>
      <c r="AE307" s="48" t="str">
        <f t="shared" si="42"/>
        <v>Family Time Crisis &amp; Counseling Center1203 South Houston Avenue41</v>
      </c>
      <c r="AF307" s="48" t="str">
        <f t="shared" si="46"/>
        <v/>
      </c>
    </row>
    <row r="308" ht="66.75" customHeight="1">
      <c r="A308" s="49" t="s">
        <v>50</v>
      </c>
      <c r="B308" s="35" t="s">
        <v>1712</v>
      </c>
      <c r="C308" s="36" t="s">
        <v>1713</v>
      </c>
      <c r="D308" s="36" t="s">
        <v>1714</v>
      </c>
      <c r="E308" s="36" t="s">
        <v>36</v>
      </c>
      <c r="F308" s="36" t="s">
        <v>37</v>
      </c>
      <c r="G308" s="35" t="s">
        <v>1116</v>
      </c>
      <c r="H308" s="35" t="s">
        <v>1715</v>
      </c>
      <c r="I308" s="35" t="s">
        <v>67</v>
      </c>
      <c r="J308" s="35"/>
      <c r="K308" s="37">
        <f>IFERROR(__xludf.DUMMYFUNCTION("query(assistance!$A$2:$E988,""Select C Where D = '""&amp;L308&amp;""'"")"),55.0)</f>
        <v>55</v>
      </c>
      <c r="L308" s="36" t="s">
        <v>436</v>
      </c>
      <c r="M308" s="38">
        <f t="shared" si="48"/>
        <v>1</v>
      </c>
      <c r="N308" s="51" t="s">
        <v>42</v>
      </c>
      <c r="O308" s="40">
        <v>45757.0</v>
      </c>
      <c r="P308" s="50"/>
      <c r="Q308" s="50"/>
      <c r="R308" s="50"/>
      <c r="S308" s="35" t="b">
        <v>0</v>
      </c>
      <c r="T308" s="35" t="b">
        <v>0</v>
      </c>
      <c r="U308" s="41" t="str">
        <f>IFERROR(__xludf.DUMMYFUNCTION("""["" &amp; JOIN("", "", ARRAYFORMULA("""""""" &amp; TRIM(SPLIT(A308, "","")) &amp; """""""")) &amp; ""]"""),"[""99999""]")</f>
        <v>["99999"]</v>
      </c>
      <c r="V308" s="52" t="s">
        <v>1716</v>
      </c>
      <c r="W308" s="43"/>
      <c r="X308" s="43"/>
      <c r="Y308" s="44" t="str">
        <f>vlookup(G308,zip_codes!$B$6:$J988,3,false)</f>
        <v>Houston</v>
      </c>
      <c r="Z308" s="45" t="str">
        <f>vlookup(G308,zip_codes!$B$6:$J988,9,false)</f>
        <v>Afton Oaks, Greenway / Upper Kirby Area, Highland Village, River Oaks District, Westside</v>
      </c>
      <c r="AA308" s="44" t="str">
        <f>vlookup(B308,organizations!$B$1:$C988,2,false)</f>
        <v>FIEL For Families and Their Education</v>
      </c>
      <c r="AB308" s="46" t="s">
        <v>1717</v>
      </c>
      <c r="AC308" s="47" t="s">
        <v>73</v>
      </c>
      <c r="AD308" s="48" t="s">
        <v>390</v>
      </c>
      <c r="AE308" s="48" t="str">
        <f t="shared" si="42"/>
        <v>FIEL For Families and Their Education4635 Southwest Fwy55</v>
      </c>
      <c r="AF308" s="48" t="str">
        <f t="shared" si="46"/>
        <v/>
      </c>
    </row>
    <row r="309" ht="66.75" customHeight="1">
      <c r="A309" s="34" t="s">
        <v>234</v>
      </c>
      <c r="B309" s="35" t="s">
        <v>1718</v>
      </c>
      <c r="C309" s="36" t="s">
        <v>1719</v>
      </c>
      <c r="D309" s="36"/>
      <c r="E309" s="36" t="s">
        <v>36</v>
      </c>
      <c r="F309" s="36" t="s">
        <v>37</v>
      </c>
      <c r="G309" s="56" t="s">
        <v>846</v>
      </c>
      <c r="H309" s="35" t="s">
        <v>1720</v>
      </c>
      <c r="I309" s="35" t="s">
        <v>1721</v>
      </c>
      <c r="J309" s="35"/>
      <c r="K309" s="37">
        <f>IFERROR(__xludf.DUMMYFUNCTION("query(assistance!$A$2:$E988,""Select C Where D = '""&amp;L309&amp;""'"")"),13.0)</f>
        <v>13</v>
      </c>
      <c r="L309" s="36" t="s">
        <v>240</v>
      </c>
      <c r="M309" s="38">
        <f t="shared" si="48"/>
        <v>1</v>
      </c>
      <c r="N309" s="39" t="s">
        <v>42</v>
      </c>
      <c r="O309" s="57">
        <v>46057.0</v>
      </c>
      <c r="P309" s="35" t="s">
        <v>43</v>
      </c>
      <c r="Q309" s="35"/>
      <c r="R309" s="35" t="s">
        <v>241</v>
      </c>
      <c r="S309" s="35" t="b">
        <v>0</v>
      </c>
      <c r="T309" s="35" t="b">
        <v>0</v>
      </c>
      <c r="U309" s="41" t="str">
        <f>IFERROR(__xludf.DUMMYFUNCTION("""["" &amp; JOIN("", "", ARRAYFORMULA("""""""" &amp; TRIM(SPLIT(A309,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309" s="42" t="s">
        <v>1722</v>
      </c>
      <c r="W309" s="42" t="s">
        <v>1723</v>
      </c>
      <c r="X309" s="43"/>
      <c r="Y309" s="44" t="str">
        <f>vlookup(G309,zip_codes!$B$6:$J988,3,false)</f>
        <v>Houston</v>
      </c>
      <c r="Z309" s="45" t="str">
        <f>vlookup(G309,zip_codes!$B$6:$J988,9,false)</f>
        <v>Denver Harbor / Port Houston, Fifth Ward, Northside</v>
      </c>
      <c r="AA309" s="44" t="str">
        <f>vlookup(B309,organizations!$B$1:$C988,2,false)</f>
        <v>City of Houston</v>
      </c>
      <c r="AB309" s="55" t="s">
        <v>1724</v>
      </c>
      <c r="AC309" s="47" t="str">
        <f t="shared" ref="AC309:AC310" si="49">PARSE_HOURS(I309)</f>
        <v>{"special":[{"pattern":"3rd We","open":"08:00","close":"11:00"}]}</v>
      </c>
      <c r="AD309" s="58" t="s">
        <v>1725</v>
      </c>
      <c r="AE309" s="48"/>
      <c r="AF309" s="48"/>
    </row>
    <row r="310" ht="66.75" customHeight="1">
      <c r="A310" s="34" t="s">
        <v>234</v>
      </c>
      <c r="B310" s="35" t="s">
        <v>1718</v>
      </c>
      <c r="C310" s="36" t="s">
        <v>1719</v>
      </c>
      <c r="D310" s="36"/>
      <c r="E310" s="36" t="s">
        <v>36</v>
      </c>
      <c r="F310" s="36" t="s">
        <v>37</v>
      </c>
      <c r="G310" s="56" t="s">
        <v>846</v>
      </c>
      <c r="H310" s="35" t="s">
        <v>1726</v>
      </c>
      <c r="I310" s="35" t="s">
        <v>1727</v>
      </c>
      <c r="J310" s="35"/>
      <c r="K310" s="37">
        <v>44.0</v>
      </c>
      <c r="L310" s="36" t="s">
        <v>102</v>
      </c>
      <c r="M310" s="38">
        <v>1.0</v>
      </c>
      <c r="N310" s="39" t="s">
        <v>42</v>
      </c>
      <c r="O310" s="57">
        <v>46057.0</v>
      </c>
      <c r="P310" s="35" t="s">
        <v>43</v>
      </c>
      <c r="Q310" s="35"/>
      <c r="R310" s="35" t="s">
        <v>1728</v>
      </c>
      <c r="S310" s="35" t="b">
        <v>0</v>
      </c>
      <c r="T310" s="35" t="b">
        <v>0</v>
      </c>
      <c r="U310" s="41" t="str">
        <f>IFERROR(__xludf.DUMMYFUNCTION("""["" &amp; JOIN("", "", ARRAYFORMULA("""""""" &amp; TRIM(SPLIT(A310,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310" s="42" t="s">
        <v>1722</v>
      </c>
      <c r="W310" s="42" t="s">
        <v>1723</v>
      </c>
      <c r="X310" s="43"/>
      <c r="Y310" s="44" t="str">
        <f>vlookup(G310,zip_codes!$B$6:$J988,3,false)</f>
        <v>Houston</v>
      </c>
      <c r="Z310" s="45" t="str">
        <f>vlookup(G310,zip_codes!$B$6:$J988,9,false)</f>
        <v>Denver Harbor / Port Houston, Fifth Ward, Northside</v>
      </c>
      <c r="AA310" s="44" t="str">
        <f>vlookup(B310,organizations!$B$1:$C988,2,false)</f>
        <v>City of Houston</v>
      </c>
      <c r="AB310" s="55" t="s">
        <v>1724</v>
      </c>
      <c r="AC310" s="47" t="str">
        <f t="shared" si="49"/>
        <v>{"regular":[{"days":["Mo","Tu","We","Th","Fr"],"open":"07:00","close":"17:00"}]}</v>
      </c>
      <c r="AD310" s="58" t="s">
        <v>1725</v>
      </c>
      <c r="AE310" s="48"/>
      <c r="AF310" s="48"/>
    </row>
    <row r="311" ht="66.75" customHeight="1">
      <c r="A311" s="49" t="s">
        <v>1729</v>
      </c>
      <c r="B311" s="35" t="s">
        <v>1730</v>
      </c>
      <c r="C311" s="36" t="s">
        <v>1731</v>
      </c>
      <c r="D311" s="36"/>
      <c r="E311" s="36" t="s">
        <v>1732</v>
      </c>
      <c r="F311" s="36" t="s">
        <v>37</v>
      </c>
      <c r="G311" s="35" t="s">
        <v>1729</v>
      </c>
      <c r="H311" s="35" t="s">
        <v>1733</v>
      </c>
      <c r="I311" s="35" t="s">
        <v>67</v>
      </c>
      <c r="J311" s="35"/>
      <c r="K311" s="37">
        <f>IFERROR(__xludf.DUMMYFUNCTION("query(assistance!$A$2:$E988,""Select C Where D = '""&amp;L311&amp;""'"")"),13.0)</f>
        <v>13</v>
      </c>
      <c r="L311" s="36" t="s">
        <v>240</v>
      </c>
      <c r="M311" s="38">
        <f t="shared" ref="M311:M312" si="50">if(N311="Inactive",3,if(N311="Limited", 2, 1))</f>
        <v>1</v>
      </c>
      <c r="N311" s="39" t="s">
        <v>42</v>
      </c>
      <c r="O311" s="65"/>
      <c r="P311" s="50"/>
      <c r="Q311" s="50"/>
      <c r="R311" s="50"/>
      <c r="S311" s="35" t="b">
        <v>0</v>
      </c>
      <c r="T311" s="35" t="b">
        <v>0</v>
      </c>
      <c r="U311" s="41" t="str">
        <f>IFERROR(__xludf.DUMMYFUNCTION("""["" &amp; JOIN("", "", ARRAYFORMULA("""""""" &amp; TRIM(SPLIT(A311, "","")) &amp; """""""")) &amp; ""]"""),"[""77562""]")</f>
        <v>["77562"]</v>
      </c>
      <c r="V311" s="52" t="s">
        <v>1734</v>
      </c>
      <c r="W311" s="52" t="s">
        <v>1735</v>
      </c>
      <c r="X311" s="43"/>
      <c r="Y311" s="44" t="str">
        <f>vlookup(G311,zip_codes!$B$6:$J988,3,false)</f>
        <v>Highlands</v>
      </c>
      <c r="Z311" s="45" t="str">
        <f>vlookup(G311,zip_codes!$B$6:$J988,9,false)</f>
        <v>Highlands</v>
      </c>
      <c r="AA311" s="44" t="str">
        <f>vlookup(B311,organizations!$B$1:$C988,2,false)</f>
        <v>First Baptist Highlands Magnolia</v>
      </c>
      <c r="AB311" s="46" t="s">
        <v>1736</v>
      </c>
      <c r="AC311" s="47" t="s">
        <v>73</v>
      </c>
      <c r="AD311" s="58" t="s">
        <v>1732</v>
      </c>
      <c r="AE311" s="48" t="str">
        <f t="shared" ref="AE311:AE345" si="51">B311&amp;C311&amp;K311</f>
        <v>First Baptist Highlands Magnolia210 N Magnolia Street13</v>
      </c>
      <c r="AF311" s="48" t="str">
        <f t="shared" ref="AF311:AF345" si="52">if(AE311=AE310,"XXX","")</f>
        <v/>
      </c>
    </row>
    <row r="312" ht="66.75" customHeight="1">
      <c r="A312" s="49" t="s">
        <v>1737</v>
      </c>
      <c r="B312" s="35" t="s">
        <v>1738</v>
      </c>
      <c r="C312" s="36" t="s">
        <v>1739</v>
      </c>
      <c r="D312" s="36"/>
      <c r="E312" s="36" t="s">
        <v>36</v>
      </c>
      <c r="F312" s="36" t="s">
        <v>37</v>
      </c>
      <c r="G312" s="35" t="s">
        <v>580</v>
      </c>
      <c r="H312" s="35" t="s">
        <v>1740</v>
      </c>
      <c r="I312" s="35" t="s">
        <v>1741</v>
      </c>
      <c r="J312" s="35"/>
      <c r="K312" s="37">
        <f>IFERROR(__xludf.DUMMYFUNCTION("query(assistance!$A$2:$E988,""Select C Where D = '""&amp;L312&amp;""'"")"),13.0)</f>
        <v>13</v>
      </c>
      <c r="L312" s="36" t="s">
        <v>240</v>
      </c>
      <c r="M312" s="38">
        <f t="shared" si="50"/>
        <v>1</v>
      </c>
      <c r="N312" s="39" t="s">
        <v>42</v>
      </c>
      <c r="O312" s="65"/>
      <c r="P312" s="50"/>
      <c r="Q312" s="50"/>
      <c r="R312" s="50"/>
      <c r="S312" s="35" t="b">
        <v>0</v>
      </c>
      <c r="T312" s="35" t="b">
        <v>0</v>
      </c>
      <c r="U312" s="41" t="str">
        <f>IFERROR(__xludf.DUMMYFUNCTION("""["" &amp; JOIN("", "", ARRAYFORMULA("""""""" &amp; TRIM(SPLIT(A312, "","")) &amp; """""""")) &amp; ""]"""),"[""77093""]")</f>
        <v>["77093"]</v>
      </c>
      <c r="V312" s="43"/>
      <c r="W312" s="52" t="s">
        <v>1742</v>
      </c>
      <c r="X312" s="43"/>
      <c r="Y312" s="44" t="str">
        <f>vlookup(G312,zip_codes!$B$6:$J988,3,false)</f>
        <v>Houston</v>
      </c>
      <c r="Z312" s="45" t="str">
        <f>vlookup(G312,zip_codes!$B$6:$J988,9,false)</f>
        <v>Airline, Aldine, Fairgreen, High Meadows</v>
      </c>
      <c r="AA312" s="44" t="str">
        <f>vlookup(B312,organizations!$B$1:$C988,2,false)</f>
        <v>First Baptist North Houston</v>
      </c>
      <c r="AB312" s="46" t="s">
        <v>1743</v>
      </c>
      <c r="AC312" s="47" t="s">
        <v>1744</v>
      </c>
      <c r="AD312" s="48" t="s">
        <v>1745</v>
      </c>
      <c r="AE312" s="48" t="str">
        <f t="shared" si="51"/>
        <v>First Baptist North Houston4422 Lauder Road13</v>
      </c>
      <c r="AF312" s="48" t="str">
        <f t="shared" si="52"/>
        <v/>
      </c>
    </row>
    <row r="313" ht="66.75" customHeight="1">
      <c r="A313" s="49" t="s">
        <v>514</v>
      </c>
      <c r="B313" s="35" t="s">
        <v>1746</v>
      </c>
      <c r="C313" s="36" t="s">
        <v>1747</v>
      </c>
      <c r="D313" s="36"/>
      <c r="E313" s="36" t="s">
        <v>36</v>
      </c>
      <c r="F313" s="36" t="s">
        <v>37</v>
      </c>
      <c r="G313" s="35" t="s">
        <v>749</v>
      </c>
      <c r="H313" s="35" t="s">
        <v>1748</v>
      </c>
      <c r="I313" s="35" t="s">
        <v>1749</v>
      </c>
      <c r="J313" s="35"/>
      <c r="K313" s="37">
        <f>IFERROR(__xludf.DUMMYFUNCTION("query(assistance!$A$2:$E988,""Select C Where D = '""&amp;L313&amp;""'"")"),11.0)</f>
        <v>11</v>
      </c>
      <c r="L313" s="36" t="s">
        <v>322</v>
      </c>
      <c r="M313" s="39">
        <f t="shared" ref="M313:M314" si="53">if(N313="Inactive",3,if(N313="Limited", 2, if(N313="Closed", 4, 1)))</f>
        <v>4</v>
      </c>
      <c r="N313" s="51" t="s">
        <v>57</v>
      </c>
      <c r="O313" s="40">
        <v>45637.0</v>
      </c>
      <c r="P313" s="35" t="s">
        <v>1750</v>
      </c>
      <c r="Q313" s="50"/>
      <c r="R313" s="50"/>
      <c r="S313" s="35" t="b">
        <v>0</v>
      </c>
      <c r="T313" s="35" t="b">
        <v>0</v>
      </c>
      <c r="U313" s="41" t="str">
        <f>IFERROR(__xludf.DUMMYFUNCTION("""["" &amp; JOIN("", "", ARRAYFORMULA("""""""" &amp; TRIM(SPLIT(A313, "","")) &amp; """""""")) &amp; ""]"""),"[""77006""]")</f>
        <v>["77006"]</v>
      </c>
      <c r="V313" s="43"/>
      <c r="W313" s="52" t="s">
        <v>1751</v>
      </c>
      <c r="X313" s="43"/>
      <c r="Y313" s="44" t="str">
        <f>vlookup(G313,zip_codes!$B$6:$J988,3,false)</f>
        <v>Houston</v>
      </c>
      <c r="Z313" s="45" t="str">
        <f>vlookup(G313,zip_codes!$B$6:$J988,9,false)</f>
        <v>East Downtown, Downtown Houston, Houston Museum District, Midtown, Museum District, South Central Houston, South Side, Third Ward, University Place</v>
      </c>
      <c r="AA313" s="44" t="str">
        <f>vlookup(B313,organizations!$B$1:$C988,2,false)</f>
        <v>First Presbyterian Church</v>
      </c>
      <c r="AB313" s="46" t="s">
        <v>1752</v>
      </c>
      <c r="AC313" s="47" t="s">
        <v>1753</v>
      </c>
      <c r="AD313" s="48" t="s">
        <v>1754</v>
      </c>
      <c r="AE313" s="48" t="str">
        <f t="shared" si="51"/>
        <v>First Presbyterian Church5300 Main Street11</v>
      </c>
      <c r="AF313" s="48" t="str">
        <f t="shared" si="52"/>
        <v/>
      </c>
    </row>
    <row r="314" ht="66.75" customHeight="1">
      <c r="A314" s="49" t="s">
        <v>514</v>
      </c>
      <c r="B314" s="35" t="s">
        <v>1746</v>
      </c>
      <c r="C314" s="36" t="s">
        <v>1747</v>
      </c>
      <c r="D314" s="36"/>
      <c r="E314" s="36" t="s">
        <v>36</v>
      </c>
      <c r="F314" s="36" t="s">
        <v>37</v>
      </c>
      <c r="G314" s="35" t="s">
        <v>749</v>
      </c>
      <c r="H314" s="35" t="s">
        <v>1748</v>
      </c>
      <c r="I314" s="35" t="s">
        <v>1749</v>
      </c>
      <c r="J314" s="35"/>
      <c r="K314" s="37">
        <f>IFERROR(__xludf.DUMMYFUNCTION("query(assistance!$A$2:$E988,""Select C Where D = '""&amp;L314&amp;""'"")"),12.0)</f>
        <v>12</v>
      </c>
      <c r="L314" s="36" t="s">
        <v>330</v>
      </c>
      <c r="M314" s="39">
        <f t="shared" si="53"/>
        <v>4</v>
      </c>
      <c r="N314" s="51" t="s">
        <v>57</v>
      </c>
      <c r="O314" s="40">
        <v>45637.0</v>
      </c>
      <c r="P314" s="35" t="s">
        <v>1750</v>
      </c>
      <c r="Q314" s="50"/>
      <c r="R314" s="50"/>
      <c r="S314" s="35" t="b">
        <v>0</v>
      </c>
      <c r="T314" s="35" t="b">
        <v>0</v>
      </c>
      <c r="U314" s="41" t="str">
        <f>IFERROR(__xludf.DUMMYFUNCTION("""["" &amp; JOIN("", "", ARRAYFORMULA("""""""" &amp; TRIM(SPLIT(A314, "","")) &amp; """""""")) &amp; ""]"""),"[""77006""]")</f>
        <v>["77006"]</v>
      </c>
      <c r="V314" s="43"/>
      <c r="W314" s="52" t="s">
        <v>1751</v>
      </c>
      <c r="X314" s="43"/>
      <c r="Y314" s="44" t="str">
        <f>vlookup(G314,zip_codes!$B$6:$J988,3,false)</f>
        <v>Houston</v>
      </c>
      <c r="Z314" s="45" t="str">
        <f>vlookup(G314,zip_codes!$B$6:$J988,9,false)</f>
        <v>East Downtown, Downtown Houston, Houston Museum District, Midtown, Museum District, South Central Houston, South Side, Third Ward, University Place</v>
      </c>
      <c r="AA314" s="44" t="str">
        <f>vlookup(B314,organizations!$B$1:$C988,2,false)</f>
        <v>First Presbyterian Church</v>
      </c>
      <c r="AB314" s="46" t="s">
        <v>1752</v>
      </c>
      <c r="AC314" s="47" t="s">
        <v>1753</v>
      </c>
      <c r="AD314" s="48" t="s">
        <v>1754</v>
      </c>
      <c r="AE314" s="48" t="str">
        <f t="shared" si="51"/>
        <v>First Presbyterian Church5300 Main Street12</v>
      </c>
      <c r="AF314" s="48" t="str">
        <f t="shared" si="52"/>
        <v/>
      </c>
    </row>
    <row r="315" ht="66.75" customHeight="1">
      <c r="A315" s="34" t="s">
        <v>1755</v>
      </c>
      <c r="B315" s="35" t="s">
        <v>1756</v>
      </c>
      <c r="C315" s="36" t="s">
        <v>1757</v>
      </c>
      <c r="D315" s="36"/>
      <c r="E315" s="36" t="s">
        <v>1758</v>
      </c>
      <c r="F315" s="36" t="s">
        <v>37</v>
      </c>
      <c r="G315" s="35" t="s">
        <v>1759</v>
      </c>
      <c r="H315" s="35" t="s">
        <v>1760</v>
      </c>
      <c r="I315" s="35" t="s">
        <v>272</v>
      </c>
      <c r="J315" s="35"/>
      <c r="K315" s="37">
        <f>IFERROR(__xludf.DUMMYFUNCTION("query(assistance!$A$2:$E988,""Select C Where D = '""&amp;L315&amp;""'"")"),41.0)</f>
        <v>41</v>
      </c>
      <c r="L315" s="36" t="s">
        <v>788</v>
      </c>
      <c r="M315" s="38">
        <f t="shared" ref="M315:M337" si="54">if(N315="Inactive",3,if(N315="Limited", 2, 1))</f>
        <v>1</v>
      </c>
      <c r="N315" s="39" t="s">
        <v>42</v>
      </c>
      <c r="O315" s="57">
        <v>45875.0</v>
      </c>
      <c r="P315" s="35" t="s">
        <v>43</v>
      </c>
      <c r="Q315" s="35"/>
      <c r="R315" s="35" t="s">
        <v>1761</v>
      </c>
      <c r="S315" s="35" t="b">
        <v>0</v>
      </c>
      <c r="T315" s="35" t="b">
        <v>0</v>
      </c>
      <c r="U315" s="41" t="str">
        <f>IFERROR(__xludf.DUMMYFUNCTION("""["" &amp; JOIN("", "", ARRAYFORMULA("""""""" &amp; TRIM(SPLIT(A315, "","")) &amp; """""""")) &amp; ""]"""),"[""77064"", ""77065"", ""77069"", ""77070"", ""77073"", ""77080"", ""77082"", ""77084"", ""77095"", ""77375"", ""77377"", ""77379"", ""77388"", ""77429"", ""77433"", ""77363"", ""77418"", ""77423"", ""77426"", ""77445"", ""77446"", ""77452"", ""77466"", "&amp;"""77474"", ""77484"", ""77492""]")</f>
        <v>["77064", "77065", "77069", "77070", "77073", "77080", "77082", "77084", "77095", "77375", "77377", "77379", "77388", "77429", "77433", "77363", "77418", "77423", "77426", "77445", "77446", "77452", "77466", "77474", "77484", "77492"]</v>
      </c>
      <c r="V315" s="42" t="s">
        <v>1762</v>
      </c>
      <c r="W315" s="42" t="s">
        <v>1763</v>
      </c>
      <c r="X315" s="43"/>
      <c r="Y315" s="44" t="str">
        <f>vlookup(G315,zip_codes!$B$6:$J988,3,false)</f>
        <v>Brenham</v>
      </c>
      <c r="Z315" s="45" t="str">
        <f>vlookup(G315,zip_codes!$B$6:$J988,9,false)</f>
        <v>Brenham</v>
      </c>
      <c r="AA315" s="44" t="str">
        <f>vlookup(B315,organizations!$B$1:$C988,2,false)</f>
        <v>Focusing Families</v>
      </c>
      <c r="AB315" s="55" t="s">
        <v>1764</v>
      </c>
      <c r="AC315" s="47" t="s">
        <v>278</v>
      </c>
      <c r="AD315" s="48" t="s">
        <v>1758</v>
      </c>
      <c r="AE315" s="48" t="str">
        <f t="shared" si="51"/>
        <v>Focusing Families124 West Commerce Street41</v>
      </c>
      <c r="AF315" s="48" t="str">
        <f t="shared" si="52"/>
        <v/>
      </c>
    </row>
    <row r="316" ht="66.75" customHeight="1">
      <c r="A316" s="34" t="s">
        <v>1755</v>
      </c>
      <c r="B316" s="35" t="s">
        <v>1756</v>
      </c>
      <c r="C316" s="36" t="s">
        <v>1765</v>
      </c>
      <c r="D316" s="36"/>
      <c r="E316" s="36" t="s">
        <v>1766</v>
      </c>
      <c r="F316" s="36" t="s">
        <v>37</v>
      </c>
      <c r="G316" s="35" t="s">
        <v>139</v>
      </c>
      <c r="H316" s="35" t="s">
        <v>1760</v>
      </c>
      <c r="I316" s="35" t="s">
        <v>272</v>
      </c>
      <c r="J316" s="35"/>
      <c r="K316" s="37">
        <f>IFERROR(__xludf.DUMMYFUNCTION("query(assistance!$A$2:$E988,""Select C Where D = '""&amp;L316&amp;""'"")"),41.0)</f>
        <v>41</v>
      </c>
      <c r="L316" s="36" t="s">
        <v>788</v>
      </c>
      <c r="M316" s="38">
        <f t="shared" si="54"/>
        <v>1</v>
      </c>
      <c r="N316" s="39" t="s">
        <v>42</v>
      </c>
      <c r="O316" s="57">
        <v>45875.0</v>
      </c>
      <c r="P316" s="35" t="s">
        <v>43</v>
      </c>
      <c r="Q316" s="35"/>
      <c r="R316" s="35" t="s">
        <v>1761</v>
      </c>
      <c r="S316" s="35" t="b">
        <v>0</v>
      </c>
      <c r="T316" s="35" t="b">
        <v>0</v>
      </c>
      <c r="U316" s="41" t="str">
        <f>IFERROR(__xludf.DUMMYFUNCTION("""["" &amp; JOIN("", "", ARRAYFORMULA("""""""" &amp; TRIM(SPLIT(A316, "","")) &amp; """""""")) &amp; ""]"""),"[""77064"", ""77065"", ""77069"", ""77070"", ""77073"", ""77080"", ""77082"", ""77084"", ""77095"", ""77375"", ""77377"", ""77379"", ""77388"", ""77429"", ""77433"", ""77363"", ""77418"", ""77423"", ""77426"", ""77445"", ""77446"", ""77452"", ""77466"", "&amp;"""77474"", ""77484"", ""77492""]")</f>
        <v>["77064", "77065", "77069", "77070", "77073", "77080", "77082", "77084", "77095", "77375", "77377", "77379", "77388", "77429", "77433", "77363", "77418", "77423", "77426", "77445", "77446", "77452", "77466", "77474", "77484", "77492"]</v>
      </c>
      <c r="V316" s="42" t="s">
        <v>1762</v>
      </c>
      <c r="W316" s="42" t="s">
        <v>1763</v>
      </c>
      <c r="X316" s="43"/>
      <c r="Y316" s="44" t="str">
        <f>vlookup(G316,zip_codes!$B$6:$J988,3,false)</f>
        <v>Hempstead</v>
      </c>
      <c r="Z316" s="45" t="str">
        <f>vlookup(G316,zip_codes!$B$6:$J988,9,false)</f>
        <v>Hempstead, Northside</v>
      </c>
      <c r="AA316" s="44" t="str">
        <f>vlookup(B316,organizations!$B$1:$C988,2,false)</f>
        <v>Focusing Families</v>
      </c>
      <c r="AB316" s="55" t="s">
        <v>1767</v>
      </c>
      <c r="AC316" s="47" t="s">
        <v>278</v>
      </c>
      <c r="AD316" s="48" t="s">
        <v>356</v>
      </c>
      <c r="AE316" s="48" t="str">
        <f t="shared" si="51"/>
        <v>Focusing Families910 9th Street41</v>
      </c>
      <c r="AF316" s="48" t="str">
        <f t="shared" si="52"/>
        <v/>
      </c>
    </row>
    <row r="317" ht="66.75" customHeight="1">
      <c r="A317" s="49" t="s">
        <v>1768</v>
      </c>
      <c r="B317" s="35" t="s">
        <v>1769</v>
      </c>
      <c r="C317" s="36" t="s">
        <v>156</v>
      </c>
      <c r="D317" s="36" t="s">
        <v>1770</v>
      </c>
      <c r="E317" s="36" t="s">
        <v>129</v>
      </c>
      <c r="F317" s="36" t="s">
        <v>37</v>
      </c>
      <c r="G317" s="35" t="s">
        <v>158</v>
      </c>
      <c r="H317" s="35" t="s">
        <v>1771</v>
      </c>
      <c r="I317" s="35" t="s">
        <v>272</v>
      </c>
      <c r="J317" s="35" t="s">
        <v>1772</v>
      </c>
      <c r="K317" s="37">
        <f>IFERROR(__xludf.DUMMYFUNCTION("query(assistance!$A$2:$E988,""Select C Where D = '""&amp;L317&amp;""'"")"),11.0)</f>
        <v>11</v>
      </c>
      <c r="L317" s="36" t="s">
        <v>322</v>
      </c>
      <c r="M317" s="38">
        <f t="shared" si="54"/>
        <v>1</v>
      </c>
      <c r="N317" s="39" t="s">
        <v>42</v>
      </c>
      <c r="O317" s="57">
        <v>45870.0</v>
      </c>
      <c r="P317" s="35" t="s">
        <v>43</v>
      </c>
      <c r="Q317" s="35"/>
      <c r="R317" s="35" t="s">
        <v>1773</v>
      </c>
      <c r="S317" s="35" t="b">
        <v>0</v>
      </c>
      <c r="T317" s="35" t="b">
        <v>0</v>
      </c>
      <c r="U317" s="41" t="str">
        <f>IFERROR(__xludf.DUMMYFUNCTION("""["" &amp; JOIN("", "", ARRAYFORMULA("""""""" &amp; TRIM(SPLIT(A317,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17" s="42" t="s">
        <v>1774</v>
      </c>
      <c r="W317" s="42" t="s">
        <v>1775</v>
      </c>
      <c r="X317" s="43"/>
      <c r="Y317" s="44" t="str">
        <f>vlookup(G317,zip_codes!$B$6:$J988,3,false)</f>
        <v>Missouri City</v>
      </c>
      <c r="Z317" s="45" t="str">
        <f>vlookup(G317,zip_codes!$B$6:$J988,9,false)</f>
        <v>Missouri City, Olde Missouri City Market Place, Quail Green South, Quail Valley, Sta-mo Annex</v>
      </c>
      <c r="AA317" s="44" t="str">
        <f>vlookup(B317,organizations!$B$1:$C988,2,false)</f>
        <v>Fort Bend County Social Services</v>
      </c>
      <c r="AB317" s="55" t="s">
        <v>1776</v>
      </c>
      <c r="AC317" s="47" t="s">
        <v>278</v>
      </c>
      <c r="AD317" s="48" t="s">
        <v>129</v>
      </c>
      <c r="AE317" s="48" t="str">
        <f t="shared" si="51"/>
        <v>Fort Bend County Social Services307 Texas Parkway11</v>
      </c>
      <c r="AF317" s="48" t="str">
        <f t="shared" si="52"/>
        <v/>
      </c>
    </row>
    <row r="318" ht="66.75" customHeight="1">
      <c r="A318" s="49" t="s">
        <v>1768</v>
      </c>
      <c r="B318" s="35" t="s">
        <v>1769</v>
      </c>
      <c r="C318" s="36" t="s">
        <v>1777</v>
      </c>
      <c r="D318" s="36" t="s">
        <v>1778</v>
      </c>
      <c r="E318" s="36" t="s">
        <v>175</v>
      </c>
      <c r="F318" s="36" t="s">
        <v>37</v>
      </c>
      <c r="G318" s="35" t="s">
        <v>176</v>
      </c>
      <c r="H318" s="35" t="s">
        <v>1779</v>
      </c>
      <c r="I318" s="35" t="s">
        <v>272</v>
      </c>
      <c r="J318" s="35" t="s">
        <v>1772</v>
      </c>
      <c r="K318" s="37">
        <f>IFERROR(__xludf.DUMMYFUNCTION("query(assistance!$A$2:$E988,""Select C Where D = '""&amp;L318&amp;""'"")"),11.0)</f>
        <v>11</v>
      </c>
      <c r="L318" s="36" t="s">
        <v>322</v>
      </c>
      <c r="M318" s="38">
        <f t="shared" si="54"/>
        <v>1</v>
      </c>
      <c r="N318" s="39" t="s">
        <v>42</v>
      </c>
      <c r="O318" s="57">
        <v>45870.0</v>
      </c>
      <c r="P318" s="35" t="s">
        <v>43</v>
      </c>
      <c r="Q318" s="35"/>
      <c r="R318" s="35" t="s">
        <v>1773</v>
      </c>
      <c r="S318" s="35" t="b">
        <v>0</v>
      </c>
      <c r="T318" s="35" t="b">
        <v>0</v>
      </c>
      <c r="U318" s="41" t="str">
        <f>IFERROR(__xludf.DUMMYFUNCTION("""["" &amp; JOIN("", "", ARRAYFORMULA("""""""" &amp; TRIM(SPLIT(A318,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18" s="42" t="s">
        <v>1774</v>
      </c>
      <c r="W318" s="42" t="s">
        <v>1780</v>
      </c>
      <c r="X318" s="43"/>
      <c r="Y318" s="44" t="str">
        <f>vlookup(G318,zip_codes!$B$6:$J988,3,false)</f>
        <v>Rosenberg</v>
      </c>
      <c r="Z318" s="45" t="str">
        <f>vlookup(G318,zip_codes!$B$6:$J988,9,false)</f>
        <v>Allendale Manor, Rosenberg, Timberlane Addition</v>
      </c>
      <c r="AA318" s="44" t="str">
        <f>vlookup(B318,organizations!$B$1:$C988,2,false)</f>
        <v>Fort Bend County Social Services</v>
      </c>
      <c r="AB318" s="55" t="s">
        <v>1781</v>
      </c>
      <c r="AC318" s="47" t="s">
        <v>278</v>
      </c>
      <c r="AD318" s="48" t="s">
        <v>175</v>
      </c>
      <c r="AE318" s="48" t="str">
        <f t="shared" si="51"/>
        <v>Fort Bend County Social Services4520 Reading Avenue11</v>
      </c>
      <c r="AF318" s="48" t="str">
        <f t="shared" si="52"/>
        <v/>
      </c>
    </row>
    <row r="319" ht="66.75" customHeight="1">
      <c r="A319" s="49" t="s">
        <v>1768</v>
      </c>
      <c r="B319" s="35" t="s">
        <v>1769</v>
      </c>
      <c r="C319" s="36" t="s">
        <v>156</v>
      </c>
      <c r="D319" s="36" t="s">
        <v>1770</v>
      </c>
      <c r="E319" s="36" t="s">
        <v>129</v>
      </c>
      <c r="F319" s="36" t="s">
        <v>37</v>
      </c>
      <c r="G319" s="35" t="s">
        <v>158</v>
      </c>
      <c r="H319" s="35" t="s">
        <v>1771</v>
      </c>
      <c r="I319" s="35" t="s">
        <v>272</v>
      </c>
      <c r="J319" s="35" t="s">
        <v>1772</v>
      </c>
      <c r="K319" s="37">
        <f>IFERROR(__xludf.DUMMYFUNCTION("query(assistance!$A$2:$E988,""Select C Where D = '""&amp;L319&amp;""'"")"),12.0)</f>
        <v>12</v>
      </c>
      <c r="L319" s="36" t="s">
        <v>330</v>
      </c>
      <c r="M319" s="38">
        <f t="shared" si="54"/>
        <v>1</v>
      </c>
      <c r="N319" s="39" t="s">
        <v>42</v>
      </c>
      <c r="O319" s="57">
        <v>45870.0</v>
      </c>
      <c r="P319" s="35" t="s">
        <v>43</v>
      </c>
      <c r="Q319" s="35"/>
      <c r="R319" s="35" t="s">
        <v>1782</v>
      </c>
      <c r="S319" s="35" t="b">
        <v>0</v>
      </c>
      <c r="T319" s="35" t="b">
        <v>0</v>
      </c>
      <c r="U319" s="41" t="str">
        <f>IFERROR(__xludf.DUMMYFUNCTION("""["" &amp; JOIN("", "", ARRAYFORMULA("""""""" &amp; TRIM(SPLIT(A319,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19" s="42" t="s">
        <v>1783</v>
      </c>
      <c r="W319" s="42" t="s">
        <v>1775</v>
      </c>
      <c r="X319" s="43"/>
      <c r="Y319" s="44" t="str">
        <f>vlookup(G319,zip_codes!$B$6:$J988,3,false)</f>
        <v>Missouri City</v>
      </c>
      <c r="Z319" s="45" t="str">
        <f>vlookup(G319,zip_codes!$B$6:$J988,9,false)</f>
        <v>Missouri City, Olde Missouri City Market Place, Quail Green South, Quail Valley, Sta-mo Annex</v>
      </c>
      <c r="AA319" s="44" t="str">
        <f>vlookup(B319,organizations!$B$1:$C988,2,false)</f>
        <v>Fort Bend County Social Services</v>
      </c>
      <c r="AB319" s="55" t="s">
        <v>1776</v>
      </c>
      <c r="AC319" s="47" t="s">
        <v>278</v>
      </c>
      <c r="AD319" s="48" t="s">
        <v>129</v>
      </c>
      <c r="AE319" s="48" t="str">
        <f t="shared" si="51"/>
        <v>Fort Bend County Social Services307 Texas Parkway12</v>
      </c>
      <c r="AF319" s="48" t="str">
        <f t="shared" si="52"/>
        <v/>
      </c>
    </row>
    <row r="320" ht="66.75" customHeight="1">
      <c r="A320" s="49" t="s">
        <v>1768</v>
      </c>
      <c r="B320" s="35" t="s">
        <v>1769</v>
      </c>
      <c r="C320" s="36" t="s">
        <v>1777</v>
      </c>
      <c r="D320" s="36" t="s">
        <v>1778</v>
      </c>
      <c r="E320" s="36" t="s">
        <v>175</v>
      </c>
      <c r="F320" s="36" t="s">
        <v>37</v>
      </c>
      <c r="G320" s="35" t="s">
        <v>176</v>
      </c>
      <c r="H320" s="35" t="s">
        <v>1779</v>
      </c>
      <c r="I320" s="35" t="s">
        <v>272</v>
      </c>
      <c r="J320" s="35" t="s">
        <v>1772</v>
      </c>
      <c r="K320" s="37">
        <f>IFERROR(__xludf.DUMMYFUNCTION("query(assistance!$A$2:$E988,""Select C Where D = '""&amp;L320&amp;""'"")"),12.0)</f>
        <v>12</v>
      </c>
      <c r="L320" s="36" t="s">
        <v>330</v>
      </c>
      <c r="M320" s="38">
        <f t="shared" si="54"/>
        <v>1</v>
      </c>
      <c r="N320" s="39" t="s">
        <v>42</v>
      </c>
      <c r="O320" s="57">
        <v>45870.0</v>
      </c>
      <c r="P320" s="35" t="s">
        <v>43</v>
      </c>
      <c r="Q320" s="35"/>
      <c r="R320" s="35" t="s">
        <v>1782</v>
      </c>
      <c r="S320" s="35" t="b">
        <v>0</v>
      </c>
      <c r="T320" s="35" t="b">
        <v>0</v>
      </c>
      <c r="U320" s="41" t="str">
        <f>IFERROR(__xludf.DUMMYFUNCTION("""["" &amp; JOIN("", "", ARRAYFORMULA("""""""" &amp; TRIM(SPLIT(A320,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20" s="42" t="s">
        <v>1783</v>
      </c>
      <c r="W320" s="42" t="s">
        <v>1780</v>
      </c>
      <c r="X320" s="43"/>
      <c r="Y320" s="44" t="str">
        <f>vlookup(G320,zip_codes!$B$6:$J988,3,false)</f>
        <v>Rosenberg</v>
      </c>
      <c r="Z320" s="45" t="str">
        <f>vlookup(G320,zip_codes!$B$6:$J988,9,false)</f>
        <v>Allendale Manor, Rosenberg, Timberlane Addition</v>
      </c>
      <c r="AA320" s="44" t="str">
        <f>vlookup(B320,organizations!$B$1:$C988,2,false)</f>
        <v>Fort Bend County Social Services</v>
      </c>
      <c r="AB320" s="55" t="s">
        <v>1781</v>
      </c>
      <c r="AC320" s="47" t="s">
        <v>278</v>
      </c>
      <c r="AD320" s="48" t="s">
        <v>175</v>
      </c>
      <c r="AE320" s="48" t="str">
        <f t="shared" si="51"/>
        <v>Fort Bend County Social Services4520 Reading Avenue12</v>
      </c>
      <c r="AF320" s="48" t="str">
        <f t="shared" si="52"/>
        <v/>
      </c>
    </row>
    <row r="321" ht="66.75" customHeight="1">
      <c r="A321" s="49" t="s">
        <v>1768</v>
      </c>
      <c r="B321" s="35" t="s">
        <v>1769</v>
      </c>
      <c r="C321" s="36" t="s">
        <v>156</v>
      </c>
      <c r="D321" s="36" t="s">
        <v>1770</v>
      </c>
      <c r="E321" s="36" t="s">
        <v>129</v>
      </c>
      <c r="F321" s="36" t="s">
        <v>37</v>
      </c>
      <c r="G321" s="35" t="s">
        <v>158</v>
      </c>
      <c r="H321" s="35" t="s">
        <v>1771</v>
      </c>
      <c r="I321" s="35" t="s">
        <v>272</v>
      </c>
      <c r="J321" s="35" t="s">
        <v>1772</v>
      </c>
      <c r="K321" s="37">
        <f>IFERROR(__xludf.DUMMYFUNCTION("query(assistance!$A$2:$E988,""Select C Where D = '""&amp;L321&amp;""'"")"),13.0)</f>
        <v>13</v>
      </c>
      <c r="L321" s="36" t="s">
        <v>240</v>
      </c>
      <c r="M321" s="38">
        <f t="shared" si="54"/>
        <v>1</v>
      </c>
      <c r="N321" s="39" t="s">
        <v>42</v>
      </c>
      <c r="O321" s="57">
        <v>45870.0</v>
      </c>
      <c r="P321" s="35" t="s">
        <v>43</v>
      </c>
      <c r="Q321" s="35"/>
      <c r="R321" s="35" t="s">
        <v>1784</v>
      </c>
      <c r="S321" s="35" t="b">
        <v>0</v>
      </c>
      <c r="T321" s="35" t="b">
        <v>0</v>
      </c>
      <c r="U321" s="41" t="str">
        <f>IFERROR(__xludf.DUMMYFUNCTION("""["" &amp; JOIN("", "", ARRAYFORMULA("""""""" &amp; TRIM(SPLIT(A321,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21" s="42" t="s">
        <v>1785</v>
      </c>
      <c r="W321" s="42" t="s">
        <v>1775</v>
      </c>
      <c r="X321" s="43"/>
      <c r="Y321" s="44" t="str">
        <f>vlookup(G321,zip_codes!$B$6:$J988,3,false)</f>
        <v>Missouri City</v>
      </c>
      <c r="Z321" s="45" t="str">
        <f>vlookup(G321,zip_codes!$B$6:$J988,9,false)</f>
        <v>Missouri City, Olde Missouri City Market Place, Quail Green South, Quail Valley, Sta-mo Annex</v>
      </c>
      <c r="AA321" s="44" t="str">
        <f>vlookup(B321,organizations!$B$1:$C988,2,false)</f>
        <v>Fort Bend County Social Services</v>
      </c>
      <c r="AB321" s="55" t="s">
        <v>1776</v>
      </c>
      <c r="AC321" s="47" t="s">
        <v>278</v>
      </c>
      <c r="AD321" s="48" t="s">
        <v>129</v>
      </c>
      <c r="AE321" s="48" t="str">
        <f t="shared" si="51"/>
        <v>Fort Bend County Social Services307 Texas Parkway13</v>
      </c>
      <c r="AF321" s="48" t="str">
        <f t="shared" si="52"/>
        <v/>
      </c>
    </row>
    <row r="322" ht="66.75" customHeight="1">
      <c r="A322" s="49" t="s">
        <v>1768</v>
      </c>
      <c r="B322" s="35" t="s">
        <v>1769</v>
      </c>
      <c r="C322" s="36" t="s">
        <v>1777</v>
      </c>
      <c r="D322" s="36" t="s">
        <v>1778</v>
      </c>
      <c r="E322" s="36" t="s">
        <v>175</v>
      </c>
      <c r="F322" s="36" t="s">
        <v>37</v>
      </c>
      <c r="G322" s="35" t="s">
        <v>176</v>
      </c>
      <c r="H322" s="35" t="s">
        <v>1779</v>
      </c>
      <c r="I322" s="35" t="s">
        <v>272</v>
      </c>
      <c r="J322" s="35" t="s">
        <v>298</v>
      </c>
      <c r="K322" s="37">
        <f>IFERROR(__xludf.DUMMYFUNCTION("query(assistance!$A$2:$E988,""Select C Where D = '""&amp;L322&amp;""'"")"),13.0)</f>
        <v>13</v>
      </c>
      <c r="L322" s="36" t="s">
        <v>240</v>
      </c>
      <c r="M322" s="38">
        <f t="shared" si="54"/>
        <v>1</v>
      </c>
      <c r="N322" s="39" t="s">
        <v>42</v>
      </c>
      <c r="O322" s="57">
        <v>45870.0</v>
      </c>
      <c r="P322" s="35" t="s">
        <v>43</v>
      </c>
      <c r="Q322" s="35"/>
      <c r="R322" s="35" t="s">
        <v>1784</v>
      </c>
      <c r="S322" s="35" t="b">
        <v>0</v>
      </c>
      <c r="T322" s="35" t="b">
        <v>0</v>
      </c>
      <c r="U322" s="41" t="str">
        <f>IFERROR(__xludf.DUMMYFUNCTION("""["" &amp; JOIN("", "", ARRAYFORMULA("""""""" &amp; TRIM(SPLIT(A322,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22" s="42" t="s">
        <v>1785</v>
      </c>
      <c r="W322" s="42" t="s">
        <v>1780</v>
      </c>
      <c r="X322" s="43"/>
      <c r="Y322" s="44" t="str">
        <f>vlookup(G322,zip_codes!$B$6:$J988,3,false)</f>
        <v>Rosenberg</v>
      </c>
      <c r="Z322" s="45" t="str">
        <f>vlookup(G322,zip_codes!$B$6:$J988,9,false)</f>
        <v>Allendale Manor, Rosenberg, Timberlane Addition</v>
      </c>
      <c r="AA322" s="44" t="str">
        <f>vlookup(B322,organizations!$B$1:$C988,2,false)</f>
        <v>Fort Bend County Social Services</v>
      </c>
      <c r="AB322" s="55" t="s">
        <v>1781</v>
      </c>
      <c r="AC322" s="47" t="s">
        <v>278</v>
      </c>
      <c r="AD322" s="48" t="s">
        <v>175</v>
      </c>
      <c r="AE322" s="48" t="str">
        <f t="shared" si="51"/>
        <v>Fort Bend County Social Services4520 Reading Avenue13</v>
      </c>
      <c r="AF322" s="48" t="str">
        <f t="shared" si="52"/>
        <v/>
      </c>
    </row>
    <row r="323" ht="66.75" customHeight="1">
      <c r="A323" s="49" t="s">
        <v>1768</v>
      </c>
      <c r="B323" s="35" t="s">
        <v>1769</v>
      </c>
      <c r="C323" s="36" t="s">
        <v>156</v>
      </c>
      <c r="D323" s="36" t="s">
        <v>1770</v>
      </c>
      <c r="E323" s="36" t="s">
        <v>129</v>
      </c>
      <c r="F323" s="36" t="s">
        <v>37</v>
      </c>
      <c r="G323" s="35" t="s">
        <v>158</v>
      </c>
      <c r="H323" s="35" t="s">
        <v>1771</v>
      </c>
      <c r="I323" s="35" t="s">
        <v>272</v>
      </c>
      <c r="J323" s="35" t="s">
        <v>1772</v>
      </c>
      <c r="K323" s="37">
        <f>IFERROR(__xludf.DUMMYFUNCTION("query(assistance!$A$2:$E988,""Select C Where D = '""&amp;L323&amp;""'"")"),36.0)</f>
        <v>36</v>
      </c>
      <c r="L323" s="36" t="s">
        <v>227</v>
      </c>
      <c r="M323" s="38">
        <f t="shared" si="54"/>
        <v>1</v>
      </c>
      <c r="N323" s="39" t="s">
        <v>42</v>
      </c>
      <c r="O323" s="57">
        <v>45870.0</v>
      </c>
      <c r="P323" s="35" t="s">
        <v>43</v>
      </c>
      <c r="Q323" s="35"/>
      <c r="R323" s="35" t="s">
        <v>1786</v>
      </c>
      <c r="S323" s="35" t="b">
        <v>0</v>
      </c>
      <c r="T323" s="35" t="b">
        <v>0</v>
      </c>
      <c r="U323" s="41" t="str">
        <f>IFERROR(__xludf.DUMMYFUNCTION("""["" &amp; JOIN("", "", ARRAYFORMULA("""""""" &amp; TRIM(SPLIT(A323,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23" s="42" t="s">
        <v>1787</v>
      </c>
      <c r="W323" s="42" t="s">
        <v>1775</v>
      </c>
      <c r="X323" s="43"/>
      <c r="Y323" s="44" t="str">
        <f>vlookup(G323,zip_codes!$B$6:$J988,3,false)</f>
        <v>Missouri City</v>
      </c>
      <c r="Z323" s="45" t="str">
        <f>vlookup(G323,zip_codes!$B$6:$J988,9,false)</f>
        <v>Missouri City, Olde Missouri City Market Place, Quail Green South, Quail Valley, Sta-mo Annex</v>
      </c>
      <c r="AA323" s="44" t="str">
        <f>vlookup(B323,organizations!$B$1:$C988,2,false)</f>
        <v>Fort Bend County Social Services</v>
      </c>
      <c r="AB323" s="55" t="s">
        <v>1776</v>
      </c>
      <c r="AC323" s="47" t="s">
        <v>278</v>
      </c>
      <c r="AD323" s="48" t="s">
        <v>129</v>
      </c>
      <c r="AE323" s="48" t="str">
        <f t="shared" si="51"/>
        <v>Fort Bend County Social Services307 Texas Parkway36</v>
      </c>
      <c r="AF323" s="48" t="str">
        <f t="shared" si="52"/>
        <v/>
      </c>
    </row>
    <row r="324" ht="66.75" customHeight="1">
      <c r="A324" s="49" t="s">
        <v>1768</v>
      </c>
      <c r="B324" s="35" t="s">
        <v>1769</v>
      </c>
      <c r="C324" s="36" t="s">
        <v>1777</v>
      </c>
      <c r="D324" s="36" t="s">
        <v>1778</v>
      </c>
      <c r="E324" s="36" t="s">
        <v>175</v>
      </c>
      <c r="F324" s="36" t="s">
        <v>37</v>
      </c>
      <c r="G324" s="35" t="s">
        <v>176</v>
      </c>
      <c r="H324" s="35" t="s">
        <v>1779</v>
      </c>
      <c r="I324" s="35" t="s">
        <v>272</v>
      </c>
      <c r="J324" s="35" t="s">
        <v>1772</v>
      </c>
      <c r="K324" s="37">
        <f>IFERROR(__xludf.DUMMYFUNCTION("query(assistance!$A$2:$E988,""Select C Where D = '""&amp;L324&amp;""'"")"),36.0)</f>
        <v>36</v>
      </c>
      <c r="L324" s="36" t="s">
        <v>227</v>
      </c>
      <c r="M324" s="38">
        <f t="shared" si="54"/>
        <v>1</v>
      </c>
      <c r="N324" s="39" t="s">
        <v>42</v>
      </c>
      <c r="O324" s="57">
        <v>45870.0</v>
      </c>
      <c r="P324" s="35" t="s">
        <v>43</v>
      </c>
      <c r="Q324" s="35"/>
      <c r="R324" s="35" t="s">
        <v>1786</v>
      </c>
      <c r="S324" s="35" t="b">
        <v>0</v>
      </c>
      <c r="T324" s="35" t="b">
        <v>0</v>
      </c>
      <c r="U324" s="41" t="str">
        <f>IFERROR(__xludf.DUMMYFUNCTION("""["" &amp; JOIN("", "", ARRAYFORMULA("""""""" &amp; TRIM(SPLIT(A324,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24" s="42" t="s">
        <v>1787</v>
      </c>
      <c r="W324" s="42" t="s">
        <v>1780</v>
      </c>
      <c r="X324" s="43"/>
      <c r="Y324" s="44" t="str">
        <f>vlookup(G324,zip_codes!$B$6:$J988,3,false)</f>
        <v>Rosenberg</v>
      </c>
      <c r="Z324" s="45" t="str">
        <f>vlookup(G324,zip_codes!$B$6:$J988,9,false)</f>
        <v>Allendale Manor, Rosenberg, Timberlane Addition</v>
      </c>
      <c r="AA324" s="44" t="str">
        <f>vlookup(B324,organizations!$B$1:$C988,2,false)</f>
        <v>Fort Bend County Social Services</v>
      </c>
      <c r="AB324" s="55" t="s">
        <v>1781</v>
      </c>
      <c r="AC324" s="47" t="s">
        <v>278</v>
      </c>
      <c r="AD324" s="48" t="s">
        <v>175</v>
      </c>
      <c r="AE324" s="48" t="str">
        <f t="shared" si="51"/>
        <v>Fort Bend County Social Services4520 Reading Avenue36</v>
      </c>
      <c r="AF324" s="48" t="str">
        <f t="shared" si="52"/>
        <v/>
      </c>
    </row>
    <row r="325" ht="66.75" customHeight="1">
      <c r="A325" s="49" t="s">
        <v>1768</v>
      </c>
      <c r="B325" s="35" t="s">
        <v>1769</v>
      </c>
      <c r="C325" s="36" t="s">
        <v>1777</v>
      </c>
      <c r="D325" s="36" t="s">
        <v>1778</v>
      </c>
      <c r="E325" s="36" t="s">
        <v>175</v>
      </c>
      <c r="F325" s="36" t="s">
        <v>37</v>
      </c>
      <c r="G325" s="35" t="s">
        <v>176</v>
      </c>
      <c r="H325" s="35" t="s">
        <v>1788</v>
      </c>
      <c r="I325" s="35" t="s">
        <v>272</v>
      </c>
      <c r="J325" s="35" t="s">
        <v>816</v>
      </c>
      <c r="K325" s="37">
        <f>IFERROR(__xludf.DUMMYFUNCTION("query(assistance!$A$2:$E988,""Select C Where D = '""&amp;L325&amp;""'"")"),65.0)</f>
        <v>65</v>
      </c>
      <c r="L325" s="36" t="s">
        <v>41</v>
      </c>
      <c r="M325" s="38">
        <f t="shared" si="54"/>
        <v>1</v>
      </c>
      <c r="N325" s="39" t="s">
        <v>42</v>
      </c>
      <c r="O325" s="57">
        <v>45870.0</v>
      </c>
      <c r="P325" s="35" t="s">
        <v>43</v>
      </c>
      <c r="Q325" s="35"/>
      <c r="R325" s="35" t="s">
        <v>1789</v>
      </c>
      <c r="S325" s="35" t="b">
        <v>0</v>
      </c>
      <c r="T325" s="35" t="b">
        <v>0</v>
      </c>
      <c r="U325" s="41" t="str">
        <f>IFERROR(__xludf.DUMMYFUNCTION("""["" &amp; JOIN("", "", ARRAYFORMULA("""""""" &amp; TRIM(SPLIT(A325, "","")) &amp; """""""")) &amp; ""]"""),"[""77053"", ""77083"", ""77085"", ""77099"", ""77406"", ""77407"", ""77417"", ""77423"", ""77430"", ""77435"", ""77441"", ""77444"", ""77450"", ""77451"", ""77454"", ""77459"", ""77461"", ""77469"", ""77471"", ""77476"", ""77477"", ""77478"", ""77479"", "&amp;"""77481"", ""77485"", ""77487"", ""77489"", ""77492"", ""77494"", ""77498"", ""77496"", ""77545"", ""77583"", ""77584""]")</f>
        <v>["77053", "77083", "77085", "77099", "77406", "77407", "77417", "77423", "77430", "77435", "77441", "77444", "77450", "77451", "77454", "77459", "77461", "77469", "77471", "77476", "77477", "77478", "77479", "77481", "77485", "77487", "77489", "77492", "77494", "77498", "77496", "77545", "77583", "77584"]</v>
      </c>
      <c r="V325" s="42" t="s">
        <v>1790</v>
      </c>
      <c r="W325" s="42" t="s">
        <v>1780</v>
      </c>
      <c r="X325" s="43"/>
      <c r="Y325" s="44" t="str">
        <f>vlookup(G325,zip_codes!$B$6:$J988,3,false)</f>
        <v>Rosenberg</v>
      </c>
      <c r="Z325" s="45" t="str">
        <f>vlookup(G325,zip_codes!$B$6:$J988,9,false)</f>
        <v>Allendale Manor, Rosenberg, Timberlane Addition</v>
      </c>
      <c r="AA325" s="44" t="str">
        <f>vlookup(B325,organizations!$B$1:$C988,2,false)</f>
        <v>Fort Bend County Social Services</v>
      </c>
      <c r="AB325" s="55" t="s">
        <v>1781</v>
      </c>
      <c r="AC325" s="47" t="s">
        <v>278</v>
      </c>
      <c r="AD325" s="48" t="s">
        <v>175</v>
      </c>
      <c r="AE325" s="48" t="str">
        <f t="shared" si="51"/>
        <v>Fort Bend County Social Services4520 Reading Avenue65</v>
      </c>
      <c r="AF325" s="48" t="str">
        <f t="shared" si="52"/>
        <v/>
      </c>
    </row>
    <row r="326" ht="66.75" customHeight="1">
      <c r="A326" s="34" t="s">
        <v>280</v>
      </c>
      <c r="B326" s="35" t="s">
        <v>1791</v>
      </c>
      <c r="C326" s="36" t="s">
        <v>1792</v>
      </c>
      <c r="D326" s="36" t="s">
        <v>1793</v>
      </c>
      <c r="E326" s="36" t="s">
        <v>175</v>
      </c>
      <c r="F326" s="36" t="s">
        <v>37</v>
      </c>
      <c r="G326" s="35" t="s">
        <v>176</v>
      </c>
      <c r="H326" s="35" t="s">
        <v>1794</v>
      </c>
      <c r="I326" s="35" t="s">
        <v>1795</v>
      </c>
      <c r="J326" s="35"/>
      <c r="K326" s="37">
        <f>IFERROR(__xludf.DUMMYFUNCTION("query(assistance!$A$2:$E988,""Select C Where D = '""&amp;L326&amp;""'"")"),11.0)</f>
        <v>11</v>
      </c>
      <c r="L326" s="36" t="s">
        <v>322</v>
      </c>
      <c r="M326" s="38">
        <f t="shared" si="54"/>
        <v>1</v>
      </c>
      <c r="N326" s="51" t="s">
        <v>42</v>
      </c>
      <c r="O326" s="40">
        <v>46016.0</v>
      </c>
      <c r="P326" s="35" t="s">
        <v>1796</v>
      </c>
      <c r="Q326" s="35"/>
      <c r="R326" s="35" t="s">
        <v>1797</v>
      </c>
      <c r="S326" s="35" t="b">
        <v>0</v>
      </c>
      <c r="T326" s="35" t="b">
        <v>0</v>
      </c>
      <c r="U326" s="41" t="str">
        <f>IFERROR(__xludf.DUMMYFUNCTION("""["" &amp; JOIN("", "", ARRAYFORMULA("""""""" &amp; TRIM(SPLIT(A326,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26" s="68" t="s">
        <v>1798</v>
      </c>
      <c r="W326" s="42" t="s">
        <v>1799</v>
      </c>
      <c r="X326" s="43"/>
      <c r="Y326" s="44" t="str">
        <f>vlookup(G326,zip_codes!$B$6:$J988,3,false)</f>
        <v>Rosenberg</v>
      </c>
      <c r="Z326" s="45" t="str">
        <f>vlookup(G326,zip_codes!$B$6:$J988,9,false)</f>
        <v>Allendale Manor, Rosenberg, Timberlane Addition</v>
      </c>
      <c r="AA326" s="44" t="str">
        <f>vlookup(B326,organizations!$B$1:$C988,2,false)</f>
        <v>Family Promise</v>
      </c>
      <c r="AB326" s="55" t="s">
        <v>1800</v>
      </c>
      <c r="AC326" s="47" t="s">
        <v>1801</v>
      </c>
      <c r="AD326" s="48" t="s">
        <v>1802</v>
      </c>
      <c r="AE326" s="48" t="str">
        <f t="shared" si="51"/>
        <v>Fort Bend Family Promise1002 Wilson Road11</v>
      </c>
      <c r="AF326" s="48" t="str">
        <f t="shared" si="52"/>
        <v/>
      </c>
    </row>
    <row r="327" ht="66.75" customHeight="1">
      <c r="A327" s="34" t="s">
        <v>280</v>
      </c>
      <c r="B327" s="35" t="s">
        <v>1791</v>
      </c>
      <c r="C327" s="36" t="s">
        <v>1803</v>
      </c>
      <c r="D327" s="36" t="s">
        <v>1804</v>
      </c>
      <c r="E327" s="36" t="s">
        <v>129</v>
      </c>
      <c r="F327" s="36" t="s">
        <v>37</v>
      </c>
      <c r="G327" s="35" t="s">
        <v>130</v>
      </c>
      <c r="H327" s="35" t="s">
        <v>1805</v>
      </c>
      <c r="I327" s="35" t="s">
        <v>1806</v>
      </c>
      <c r="J327" s="35"/>
      <c r="K327" s="37">
        <f>IFERROR(__xludf.DUMMYFUNCTION("query(assistance!$A$2:$E988,""Select C Where D = '""&amp;L327&amp;""'"")"),11.0)</f>
        <v>11</v>
      </c>
      <c r="L327" s="36" t="s">
        <v>322</v>
      </c>
      <c r="M327" s="38">
        <f t="shared" si="54"/>
        <v>1</v>
      </c>
      <c r="N327" s="51" t="s">
        <v>42</v>
      </c>
      <c r="O327" s="40">
        <v>46016.0</v>
      </c>
      <c r="P327" s="35" t="s">
        <v>1796</v>
      </c>
      <c r="Q327" s="35"/>
      <c r="R327" s="35" t="s">
        <v>1797</v>
      </c>
      <c r="S327" s="35" t="b">
        <v>0</v>
      </c>
      <c r="T327" s="35" t="b">
        <v>0</v>
      </c>
      <c r="U327" s="41" t="str">
        <f>IFERROR(__xludf.DUMMYFUNCTION("""["" &amp; JOIN("", "", ARRAYFORMULA("""""""" &amp; TRIM(SPLIT(A327,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27" s="68" t="s">
        <v>1798</v>
      </c>
      <c r="W327" s="42" t="s">
        <v>1807</v>
      </c>
      <c r="X327" s="43"/>
      <c r="Y327" s="44" t="str">
        <f>vlookup(G327,zip_codes!$B$6:$J988,3,false)</f>
        <v>Missouri City</v>
      </c>
      <c r="Z327" s="45" t="str">
        <f>vlookup(G327,zip_codes!$B$6:$J988,9,false)</f>
        <v>Missouri City, Plantation Park, Sienna</v>
      </c>
      <c r="AA327" s="44" t="str">
        <f>vlookup(B327,organizations!$B$1:$C988,2,false)</f>
        <v>Family Promise</v>
      </c>
      <c r="AB327" s="55" t="s">
        <v>1808</v>
      </c>
      <c r="AC327" s="47" t="s">
        <v>1809</v>
      </c>
      <c r="AD327" s="48" t="s">
        <v>1810</v>
      </c>
      <c r="AE327" s="48" t="str">
        <f t="shared" si="51"/>
        <v>Fort Bend Family Promise4646 Cartwright Road11</v>
      </c>
      <c r="AF327" s="48" t="str">
        <f t="shared" si="52"/>
        <v/>
      </c>
    </row>
    <row r="328" ht="66.75" customHeight="1">
      <c r="A328" s="34" t="s">
        <v>280</v>
      </c>
      <c r="B328" s="35" t="s">
        <v>1791</v>
      </c>
      <c r="C328" s="36" t="s">
        <v>1792</v>
      </c>
      <c r="D328" s="36" t="s">
        <v>1793</v>
      </c>
      <c r="E328" s="36" t="s">
        <v>175</v>
      </c>
      <c r="F328" s="36" t="s">
        <v>37</v>
      </c>
      <c r="G328" s="35" t="s">
        <v>176</v>
      </c>
      <c r="H328" s="35" t="s">
        <v>1794</v>
      </c>
      <c r="I328" s="35" t="s">
        <v>1795</v>
      </c>
      <c r="J328" s="35"/>
      <c r="K328" s="37">
        <f>IFERROR(__xludf.DUMMYFUNCTION("query(assistance!$A$2:$E988,""Select C Where D = '""&amp;L328&amp;""'"")"),13.0)</f>
        <v>13</v>
      </c>
      <c r="L328" s="36" t="s">
        <v>240</v>
      </c>
      <c r="M328" s="38">
        <f t="shared" si="54"/>
        <v>1</v>
      </c>
      <c r="N328" s="51" t="s">
        <v>42</v>
      </c>
      <c r="O328" s="40">
        <v>46016.0</v>
      </c>
      <c r="P328" s="35" t="s">
        <v>1796</v>
      </c>
      <c r="Q328" s="35"/>
      <c r="R328" s="35"/>
      <c r="S328" s="35" t="b">
        <v>0</v>
      </c>
      <c r="T328" s="35" t="b">
        <v>0</v>
      </c>
      <c r="U328" s="41" t="str">
        <f>IFERROR(__xludf.DUMMYFUNCTION("""["" &amp; JOIN("", "", ARRAYFORMULA("""""""" &amp; TRIM(SPLIT(A328,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28" s="68" t="s">
        <v>1798</v>
      </c>
      <c r="W328" s="42" t="s">
        <v>1799</v>
      </c>
      <c r="X328" s="43"/>
      <c r="Y328" s="44" t="str">
        <f>vlookup(G328,zip_codes!$B$6:$J988,3,false)</f>
        <v>Rosenberg</v>
      </c>
      <c r="Z328" s="45" t="str">
        <f>vlookup(G328,zip_codes!$B$6:$J988,9,false)</f>
        <v>Allendale Manor, Rosenberg, Timberlane Addition</v>
      </c>
      <c r="AA328" s="44" t="str">
        <f>vlookup(B328,organizations!$B$1:$C988,2,false)</f>
        <v>Family Promise</v>
      </c>
      <c r="AB328" s="55" t="s">
        <v>1800</v>
      </c>
      <c r="AC328" s="47" t="s">
        <v>1801</v>
      </c>
      <c r="AD328" s="48" t="s">
        <v>1802</v>
      </c>
      <c r="AE328" s="48" t="str">
        <f t="shared" si="51"/>
        <v>Fort Bend Family Promise1002 Wilson Road13</v>
      </c>
      <c r="AF328" s="48" t="str">
        <f t="shared" si="52"/>
        <v/>
      </c>
    </row>
    <row r="329" ht="66.75" customHeight="1">
      <c r="A329" s="34" t="s">
        <v>280</v>
      </c>
      <c r="B329" s="35" t="s">
        <v>1791</v>
      </c>
      <c r="C329" s="36" t="s">
        <v>1803</v>
      </c>
      <c r="D329" s="36" t="s">
        <v>1804</v>
      </c>
      <c r="E329" s="36" t="s">
        <v>129</v>
      </c>
      <c r="F329" s="36" t="s">
        <v>37</v>
      </c>
      <c r="G329" s="35" t="s">
        <v>130</v>
      </c>
      <c r="H329" s="35" t="s">
        <v>1805</v>
      </c>
      <c r="I329" s="35" t="s">
        <v>1806</v>
      </c>
      <c r="J329" s="35"/>
      <c r="K329" s="37">
        <f>IFERROR(__xludf.DUMMYFUNCTION("query(assistance!$A$2:$E988,""Select C Where D = '""&amp;L329&amp;""'"")"),13.0)</f>
        <v>13</v>
      </c>
      <c r="L329" s="36" t="s">
        <v>240</v>
      </c>
      <c r="M329" s="38">
        <f t="shared" si="54"/>
        <v>1</v>
      </c>
      <c r="N329" s="51" t="s">
        <v>42</v>
      </c>
      <c r="O329" s="40">
        <v>46016.0</v>
      </c>
      <c r="P329" s="35" t="s">
        <v>1796</v>
      </c>
      <c r="Q329" s="35"/>
      <c r="R329" s="35"/>
      <c r="S329" s="35" t="b">
        <v>0</v>
      </c>
      <c r="T329" s="35" t="b">
        <v>0</v>
      </c>
      <c r="U329" s="41" t="str">
        <f>IFERROR(__xludf.DUMMYFUNCTION("""["" &amp; JOIN("", "", ARRAYFORMULA("""""""" &amp; TRIM(SPLIT(A329,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29" s="68" t="s">
        <v>1798</v>
      </c>
      <c r="W329" s="42" t="s">
        <v>1807</v>
      </c>
      <c r="X329" s="43"/>
      <c r="Y329" s="44" t="str">
        <f>vlookup(G329,zip_codes!$B$6:$J988,3,false)</f>
        <v>Missouri City</v>
      </c>
      <c r="Z329" s="45" t="str">
        <f>vlookup(G329,zip_codes!$B$6:$J988,9,false)</f>
        <v>Missouri City, Plantation Park, Sienna</v>
      </c>
      <c r="AA329" s="44" t="str">
        <f>vlookup(B329,organizations!$B$1:$C988,2,false)</f>
        <v>Family Promise</v>
      </c>
      <c r="AB329" s="55" t="s">
        <v>1808</v>
      </c>
      <c r="AC329" s="47" t="s">
        <v>1809</v>
      </c>
      <c r="AD329" s="48" t="s">
        <v>1810</v>
      </c>
      <c r="AE329" s="48" t="str">
        <f t="shared" si="51"/>
        <v>Fort Bend Family Promise4646 Cartwright Road13</v>
      </c>
      <c r="AF329" s="48" t="str">
        <f t="shared" si="52"/>
        <v/>
      </c>
    </row>
    <row r="330" ht="66.75" customHeight="1">
      <c r="A330" s="34" t="s">
        <v>280</v>
      </c>
      <c r="B330" s="35" t="s">
        <v>1791</v>
      </c>
      <c r="C330" s="36" t="s">
        <v>1792</v>
      </c>
      <c r="D330" s="36" t="s">
        <v>1793</v>
      </c>
      <c r="E330" s="36" t="s">
        <v>175</v>
      </c>
      <c r="F330" s="36" t="s">
        <v>37</v>
      </c>
      <c r="G330" s="35" t="s">
        <v>176</v>
      </c>
      <c r="H330" s="35" t="s">
        <v>1794</v>
      </c>
      <c r="I330" s="35" t="s">
        <v>1795</v>
      </c>
      <c r="J330" s="35"/>
      <c r="K330" s="37">
        <f>IFERROR(__xludf.DUMMYFUNCTION("query(assistance!$A$2:$E988,""Select C Where D = '""&amp;L330&amp;""'"")"),14.0)</f>
        <v>14</v>
      </c>
      <c r="L330" s="36" t="s">
        <v>391</v>
      </c>
      <c r="M330" s="38">
        <f t="shared" si="54"/>
        <v>1</v>
      </c>
      <c r="N330" s="51" t="s">
        <v>42</v>
      </c>
      <c r="O330" s="40">
        <v>46016.0</v>
      </c>
      <c r="P330" s="35" t="s">
        <v>1796</v>
      </c>
      <c r="Q330" s="35"/>
      <c r="R330" s="35" t="s">
        <v>1811</v>
      </c>
      <c r="S330" s="35" t="b">
        <v>0</v>
      </c>
      <c r="T330" s="35" t="b">
        <v>0</v>
      </c>
      <c r="U330" s="41" t="str">
        <f>IFERROR(__xludf.DUMMYFUNCTION("""["" &amp; JOIN("", "", ARRAYFORMULA("""""""" &amp; TRIM(SPLIT(A330,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30" s="68" t="s">
        <v>1798</v>
      </c>
      <c r="W330" s="42" t="s">
        <v>1799</v>
      </c>
      <c r="X330" s="43"/>
      <c r="Y330" s="44" t="str">
        <f>vlookup(G330,zip_codes!$B$6:$J988,3,false)</f>
        <v>Rosenberg</v>
      </c>
      <c r="Z330" s="45" t="str">
        <f>vlookup(G330,zip_codes!$B$6:$J988,9,false)</f>
        <v>Allendale Manor, Rosenberg, Timberlane Addition</v>
      </c>
      <c r="AA330" s="44" t="str">
        <f>vlookup(B330,organizations!$B$1:$C988,2,false)</f>
        <v>Family Promise</v>
      </c>
      <c r="AB330" s="55" t="s">
        <v>1800</v>
      </c>
      <c r="AC330" s="47" t="s">
        <v>1801</v>
      </c>
      <c r="AD330" s="48" t="s">
        <v>1802</v>
      </c>
      <c r="AE330" s="48" t="str">
        <f t="shared" si="51"/>
        <v>Fort Bend Family Promise1002 Wilson Road14</v>
      </c>
      <c r="AF330" s="48" t="str">
        <f t="shared" si="52"/>
        <v/>
      </c>
    </row>
    <row r="331" ht="66.75" customHeight="1">
      <c r="A331" s="34" t="s">
        <v>280</v>
      </c>
      <c r="B331" s="35" t="s">
        <v>1791</v>
      </c>
      <c r="C331" s="36" t="s">
        <v>1803</v>
      </c>
      <c r="D331" s="36" t="s">
        <v>1804</v>
      </c>
      <c r="E331" s="36" t="s">
        <v>129</v>
      </c>
      <c r="F331" s="36" t="s">
        <v>37</v>
      </c>
      <c r="G331" s="35" t="s">
        <v>130</v>
      </c>
      <c r="H331" s="35" t="s">
        <v>1805</v>
      </c>
      <c r="I331" s="35" t="s">
        <v>1806</v>
      </c>
      <c r="J331" s="35"/>
      <c r="K331" s="37">
        <f>IFERROR(__xludf.DUMMYFUNCTION("query(assistance!$A$2:$E988,""Select C Where D = '""&amp;L331&amp;""'"")"),14.0)</f>
        <v>14</v>
      </c>
      <c r="L331" s="36" t="s">
        <v>391</v>
      </c>
      <c r="M331" s="38">
        <f t="shared" si="54"/>
        <v>1</v>
      </c>
      <c r="N331" s="51" t="s">
        <v>42</v>
      </c>
      <c r="O331" s="40">
        <v>46016.0</v>
      </c>
      <c r="P331" s="35" t="s">
        <v>1796</v>
      </c>
      <c r="Q331" s="35"/>
      <c r="R331" s="35" t="s">
        <v>1811</v>
      </c>
      <c r="S331" s="35" t="b">
        <v>0</v>
      </c>
      <c r="T331" s="35" t="b">
        <v>0</v>
      </c>
      <c r="U331" s="41" t="str">
        <f>IFERROR(__xludf.DUMMYFUNCTION("""["" &amp; JOIN("", "", ARRAYFORMULA("""""""" &amp; TRIM(SPLIT(A331,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31" s="68" t="s">
        <v>1798</v>
      </c>
      <c r="W331" s="42" t="s">
        <v>1807</v>
      </c>
      <c r="X331" s="43"/>
      <c r="Y331" s="44" t="str">
        <f>vlookup(G331,zip_codes!$B$6:$J988,3,false)</f>
        <v>Missouri City</v>
      </c>
      <c r="Z331" s="45" t="str">
        <f>vlookup(G331,zip_codes!$B$6:$J988,9,false)</f>
        <v>Missouri City, Plantation Park, Sienna</v>
      </c>
      <c r="AA331" s="44" t="str">
        <f>vlookup(B331,organizations!$B$1:$C988,2,false)</f>
        <v>Family Promise</v>
      </c>
      <c r="AB331" s="55" t="s">
        <v>1808</v>
      </c>
      <c r="AC331" s="47" t="s">
        <v>1809</v>
      </c>
      <c r="AD331" s="48" t="s">
        <v>1810</v>
      </c>
      <c r="AE331" s="48" t="str">
        <f t="shared" si="51"/>
        <v>Fort Bend Family Promise4646 Cartwright Road14</v>
      </c>
      <c r="AF331" s="48" t="str">
        <f t="shared" si="52"/>
        <v/>
      </c>
    </row>
    <row r="332" ht="66.75" customHeight="1">
      <c r="A332" s="34" t="s">
        <v>280</v>
      </c>
      <c r="B332" s="35" t="s">
        <v>1791</v>
      </c>
      <c r="C332" s="36" t="s">
        <v>1792</v>
      </c>
      <c r="D332" s="36" t="s">
        <v>1793</v>
      </c>
      <c r="E332" s="36" t="s">
        <v>175</v>
      </c>
      <c r="F332" s="36" t="s">
        <v>37</v>
      </c>
      <c r="G332" s="35" t="s">
        <v>176</v>
      </c>
      <c r="H332" s="35" t="s">
        <v>1794</v>
      </c>
      <c r="I332" s="35" t="s">
        <v>1795</v>
      </c>
      <c r="J332" s="35"/>
      <c r="K332" s="37">
        <f>IFERROR(__xludf.DUMMYFUNCTION("query(assistance!$A$2:$E988,""Select C Where D = '""&amp;L332&amp;""'"")"),22.0)</f>
        <v>22</v>
      </c>
      <c r="L332" s="36" t="s">
        <v>1178</v>
      </c>
      <c r="M332" s="38">
        <f t="shared" si="54"/>
        <v>1</v>
      </c>
      <c r="N332" s="51" t="s">
        <v>42</v>
      </c>
      <c r="O332" s="40">
        <v>46016.0</v>
      </c>
      <c r="P332" s="35" t="s">
        <v>1796</v>
      </c>
      <c r="Q332" s="35"/>
      <c r="R332" s="35" t="s">
        <v>1812</v>
      </c>
      <c r="S332" s="35" t="b">
        <v>0</v>
      </c>
      <c r="T332" s="35" t="b">
        <v>0</v>
      </c>
      <c r="U332" s="41" t="str">
        <f>IFERROR(__xludf.DUMMYFUNCTION("""["" &amp; JOIN("", "", ARRAYFORMULA("""""""" &amp; TRIM(SPLIT(A332,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32" s="68" t="s">
        <v>1798</v>
      </c>
      <c r="W332" s="42" t="s">
        <v>1799</v>
      </c>
      <c r="X332" s="43"/>
      <c r="Y332" s="44" t="str">
        <f>vlookup(G332,zip_codes!$B$6:$J988,3,false)</f>
        <v>Rosenberg</v>
      </c>
      <c r="Z332" s="45" t="str">
        <f>vlookup(G332,zip_codes!$B$6:$J988,9,false)</f>
        <v>Allendale Manor, Rosenberg, Timberlane Addition</v>
      </c>
      <c r="AA332" s="44" t="str">
        <f>vlookup(B332,organizations!$B$1:$C988,2,false)</f>
        <v>Family Promise</v>
      </c>
      <c r="AB332" s="55" t="s">
        <v>1800</v>
      </c>
      <c r="AC332" s="47" t="s">
        <v>1801</v>
      </c>
      <c r="AD332" s="48" t="s">
        <v>1802</v>
      </c>
      <c r="AE332" s="48" t="str">
        <f t="shared" si="51"/>
        <v>Fort Bend Family Promise1002 Wilson Road22</v>
      </c>
      <c r="AF332" s="48" t="str">
        <f t="shared" si="52"/>
        <v/>
      </c>
    </row>
    <row r="333" ht="66.75" customHeight="1">
      <c r="A333" s="34" t="s">
        <v>280</v>
      </c>
      <c r="B333" s="35" t="s">
        <v>1791</v>
      </c>
      <c r="C333" s="36" t="s">
        <v>1803</v>
      </c>
      <c r="D333" s="36" t="s">
        <v>1804</v>
      </c>
      <c r="E333" s="36" t="s">
        <v>129</v>
      </c>
      <c r="F333" s="36" t="s">
        <v>37</v>
      </c>
      <c r="G333" s="35" t="s">
        <v>130</v>
      </c>
      <c r="H333" s="35" t="s">
        <v>1805</v>
      </c>
      <c r="I333" s="35" t="s">
        <v>1806</v>
      </c>
      <c r="J333" s="35"/>
      <c r="K333" s="37">
        <f>IFERROR(__xludf.DUMMYFUNCTION("query(assistance!$A$2:$E988,""Select C Where D = '""&amp;L333&amp;""'"")"),22.0)</f>
        <v>22</v>
      </c>
      <c r="L333" s="36" t="s">
        <v>1178</v>
      </c>
      <c r="M333" s="38">
        <f t="shared" si="54"/>
        <v>1</v>
      </c>
      <c r="N333" s="51" t="s">
        <v>42</v>
      </c>
      <c r="O333" s="40">
        <v>46016.0</v>
      </c>
      <c r="P333" s="35" t="s">
        <v>1796</v>
      </c>
      <c r="Q333" s="35"/>
      <c r="R333" s="35" t="s">
        <v>1812</v>
      </c>
      <c r="S333" s="35" t="b">
        <v>0</v>
      </c>
      <c r="T333" s="35" t="b">
        <v>0</v>
      </c>
      <c r="U333" s="41" t="str">
        <f>IFERROR(__xludf.DUMMYFUNCTION("""["" &amp; JOIN("", "", ARRAYFORMULA("""""""" &amp; TRIM(SPLIT(A333,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33" s="68" t="s">
        <v>1798</v>
      </c>
      <c r="W333" s="42" t="s">
        <v>1807</v>
      </c>
      <c r="X333" s="43"/>
      <c r="Y333" s="44" t="str">
        <f>vlookup(G333,zip_codes!$B$6:$J988,3,false)</f>
        <v>Missouri City</v>
      </c>
      <c r="Z333" s="45" t="str">
        <f>vlookup(G333,zip_codes!$B$6:$J988,9,false)</f>
        <v>Missouri City, Plantation Park, Sienna</v>
      </c>
      <c r="AA333" s="44" t="str">
        <f>vlookup(B333,organizations!$B$1:$C988,2,false)</f>
        <v>Family Promise</v>
      </c>
      <c r="AB333" s="55" t="s">
        <v>1808</v>
      </c>
      <c r="AC333" s="47" t="s">
        <v>1809</v>
      </c>
      <c r="AD333" s="48" t="s">
        <v>1810</v>
      </c>
      <c r="AE333" s="48" t="str">
        <f t="shared" si="51"/>
        <v>Fort Bend Family Promise4646 Cartwright Road22</v>
      </c>
      <c r="AF333" s="48" t="str">
        <f t="shared" si="52"/>
        <v/>
      </c>
    </row>
    <row r="334" ht="66.75" customHeight="1">
      <c r="A334" s="34" t="s">
        <v>280</v>
      </c>
      <c r="B334" s="35" t="s">
        <v>1791</v>
      </c>
      <c r="C334" s="36" t="s">
        <v>1792</v>
      </c>
      <c r="D334" s="36" t="s">
        <v>1793</v>
      </c>
      <c r="E334" s="36" t="s">
        <v>175</v>
      </c>
      <c r="F334" s="36" t="s">
        <v>37</v>
      </c>
      <c r="G334" s="35" t="s">
        <v>176</v>
      </c>
      <c r="H334" s="35" t="s">
        <v>1794</v>
      </c>
      <c r="I334" s="35" t="s">
        <v>1795</v>
      </c>
      <c r="J334" s="35"/>
      <c r="K334" s="37">
        <f>IFERROR(__xludf.DUMMYFUNCTION("query(assistance!$A$2:$E988,""Select C Where D = '""&amp;L334&amp;""'"")"),53.0)</f>
        <v>53</v>
      </c>
      <c r="L334" s="36" t="s">
        <v>1109</v>
      </c>
      <c r="M334" s="38">
        <f t="shared" si="54"/>
        <v>1</v>
      </c>
      <c r="N334" s="51" t="s">
        <v>42</v>
      </c>
      <c r="O334" s="40">
        <v>46016.0</v>
      </c>
      <c r="P334" s="35" t="s">
        <v>1796</v>
      </c>
      <c r="Q334" s="35"/>
      <c r="R334" s="35" t="s">
        <v>1813</v>
      </c>
      <c r="S334" s="35" t="b">
        <v>0</v>
      </c>
      <c r="T334" s="35" t="b">
        <v>0</v>
      </c>
      <c r="U334" s="41" t="str">
        <f>IFERROR(__xludf.DUMMYFUNCTION("""["" &amp; JOIN("", "", ARRAYFORMULA("""""""" &amp; TRIM(SPLIT(A334,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34" s="68" t="s">
        <v>1798</v>
      </c>
      <c r="W334" s="42" t="s">
        <v>1799</v>
      </c>
      <c r="X334" s="43"/>
      <c r="Y334" s="44" t="str">
        <f>vlookup(G334,zip_codes!$B$6:$J988,3,false)</f>
        <v>Rosenberg</v>
      </c>
      <c r="Z334" s="45" t="str">
        <f>vlookup(G334,zip_codes!$B$6:$J988,9,false)</f>
        <v>Allendale Manor, Rosenberg, Timberlane Addition</v>
      </c>
      <c r="AA334" s="44" t="str">
        <f>vlookup(B334,organizations!$B$1:$C988,2,false)</f>
        <v>Family Promise</v>
      </c>
      <c r="AB334" s="55" t="s">
        <v>1800</v>
      </c>
      <c r="AC334" s="47" t="s">
        <v>1801</v>
      </c>
      <c r="AD334" s="48" t="s">
        <v>1802</v>
      </c>
      <c r="AE334" s="48" t="str">
        <f t="shared" si="51"/>
        <v>Fort Bend Family Promise1002 Wilson Road53</v>
      </c>
      <c r="AF334" s="48" t="str">
        <f t="shared" si="52"/>
        <v/>
      </c>
    </row>
    <row r="335" ht="66.75" customHeight="1">
      <c r="A335" s="34" t="s">
        <v>280</v>
      </c>
      <c r="B335" s="35" t="s">
        <v>1791</v>
      </c>
      <c r="C335" s="36" t="s">
        <v>1803</v>
      </c>
      <c r="D335" s="36" t="s">
        <v>1804</v>
      </c>
      <c r="E335" s="36" t="s">
        <v>129</v>
      </c>
      <c r="F335" s="36" t="s">
        <v>37</v>
      </c>
      <c r="G335" s="35" t="s">
        <v>130</v>
      </c>
      <c r="H335" s="35" t="s">
        <v>1805</v>
      </c>
      <c r="I335" s="35" t="s">
        <v>1806</v>
      </c>
      <c r="J335" s="35"/>
      <c r="K335" s="37">
        <f>IFERROR(__xludf.DUMMYFUNCTION("query(assistance!$A$2:$E988,""Select C Where D = '""&amp;L335&amp;""'"")"),53.0)</f>
        <v>53</v>
      </c>
      <c r="L335" s="36" t="s">
        <v>1109</v>
      </c>
      <c r="M335" s="38">
        <f t="shared" si="54"/>
        <v>1</v>
      </c>
      <c r="N335" s="51" t="s">
        <v>42</v>
      </c>
      <c r="O335" s="40">
        <v>46016.0</v>
      </c>
      <c r="P335" s="35" t="s">
        <v>1796</v>
      </c>
      <c r="Q335" s="35"/>
      <c r="R335" s="35" t="s">
        <v>1813</v>
      </c>
      <c r="S335" s="35" t="b">
        <v>0</v>
      </c>
      <c r="T335" s="35" t="b">
        <v>0</v>
      </c>
      <c r="U335" s="41" t="str">
        <f>IFERROR(__xludf.DUMMYFUNCTION("""["" &amp; JOIN("", "", ARRAYFORMULA("""""""" &amp; TRIM(SPLIT(A335, "","")) &amp; """""""")) &amp; ""]"""),"[""77053"", ""77406"", ""77407"", ""77417"", ""77430"", ""77441"", ""77444"", ""77451"", ""77459"", ""77461"", ""77464"", ""77469"", ""77471"", ""77476"", ""77477"", ""77478"", ""77479"", ""77481"", ""77485"", ""77487"", ""77489"", ""77494"", ""77496"", "&amp;"""77498"", ""77545"", ""77583"", ""77584""]")</f>
        <v>["77053", "77406", "77407", "77417", "77430", "77441", "77444", "77451", "77459", "77461", "77464", "77469", "77471", "77476", "77477", "77478", "77479", "77481", "77485", "77487", "77489", "77494", "77496", "77498", "77545", "77583", "77584"]</v>
      </c>
      <c r="V335" s="68" t="s">
        <v>1798</v>
      </c>
      <c r="W335" s="42" t="s">
        <v>1807</v>
      </c>
      <c r="X335" s="43"/>
      <c r="Y335" s="44" t="str">
        <f>vlookup(G335,zip_codes!$B$6:$J988,3,false)</f>
        <v>Missouri City</v>
      </c>
      <c r="Z335" s="45" t="str">
        <f>vlookup(G335,zip_codes!$B$6:$J988,9,false)</f>
        <v>Missouri City, Plantation Park, Sienna</v>
      </c>
      <c r="AA335" s="44" t="str">
        <f>vlookup(B335,organizations!$B$1:$C988,2,false)</f>
        <v>Family Promise</v>
      </c>
      <c r="AB335" s="55" t="s">
        <v>1808</v>
      </c>
      <c r="AC335" s="47" t="s">
        <v>1809</v>
      </c>
      <c r="AD335" s="48" t="s">
        <v>1810</v>
      </c>
      <c r="AE335" s="48" t="str">
        <f t="shared" si="51"/>
        <v>Fort Bend Family Promise4646 Cartwright Road53</v>
      </c>
      <c r="AF335" s="48" t="str">
        <f t="shared" si="52"/>
        <v/>
      </c>
    </row>
    <row r="336" ht="66.75" customHeight="1">
      <c r="A336" s="49" t="s">
        <v>50</v>
      </c>
      <c r="B336" s="35" t="s">
        <v>1814</v>
      </c>
      <c r="C336" s="36" t="s">
        <v>1815</v>
      </c>
      <c r="D336" s="36"/>
      <c r="E336" s="36" t="s">
        <v>166</v>
      </c>
      <c r="F336" s="36" t="s">
        <v>37</v>
      </c>
      <c r="G336" s="35" t="s">
        <v>1816</v>
      </c>
      <c r="H336" s="35" t="s">
        <v>1817</v>
      </c>
      <c r="I336" s="35" t="s">
        <v>516</v>
      </c>
      <c r="J336" s="35"/>
      <c r="K336" s="37">
        <f>IFERROR(__xludf.DUMMYFUNCTION("query(assistance!$A$2:$E988,""Select C Where D = '""&amp;L336&amp;""'"")"),41.0)</f>
        <v>41</v>
      </c>
      <c r="L336" s="36" t="s">
        <v>788</v>
      </c>
      <c r="M336" s="38">
        <f t="shared" si="54"/>
        <v>1</v>
      </c>
      <c r="N336" s="39" t="s">
        <v>42</v>
      </c>
      <c r="O336" s="65"/>
      <c r="P336" s="50"/>
      <c r="Q336" s="35"/>
      <c r="R336" s="35" t="s">
        <v>1818</v>
      </c>
      <c r="S336" s="35" t="b">
        <v>0</v>
      </c>
      <c r="T336" s="35" t="b">
        <v>0</v>
      </c>
      <c r="U336" s="41" t="str">
        <f>IFERROR(__xludf.DUMMYFUNCTION("""["" &amp; JOIN("", "", ARRAYFORMULA("""""""" &amp; TRIM(SPLIT(A336, "","")) &amp; """""""")) &amp; ""]"""),"[""99999""]")</f>
        <v>["99999"]</v>
      </c>
      <c r="V336" s="52" t="s">
        <v>1819</v>
      </c>
      <c r="W336" s="43"/>
      <c r="X336" s="43"/>
      <c r="Y336" s="44" t="str">
        <f>vlookup(G336,zip_codes!$B$6:$J988,3,false)</f>
        <v>Richmond</v>
      </c>
      <c r="Z336" s="45" t="str">
        <f>vlookup(G336,zip_codes!$B$6:$J988,9,false)</f>
        <v>Pecan Grove, Richmond, Richmond Landing</v>
      </c>
      <c r="AA336" s="44" t="str">
        <f>vlookup(B336,organizations!$B$1:$C988,2,false)</f>
        <v>Fort Bend Women's Center</v>
      </c>
      <c r="AB336" s="46" t="s">
        <v>1820</v>
      </c>
      <c r="AC336" s="47" t="s">
        <v>520</v>
      </c>
      <c r="AD336" s="48" t="s">
        <v>1821</v>
      </c>
      <c r="AE336" s="48" t="str">
        <f t="shared" si="51"/>
        <v>Fort Bend Women's Center501 East Hwy 90A41</v>
      </c>
      <c r="AF336" s="48" t="str">
        <f t="shared" si="52"/>
        <v/>
      </c>
    </row>
    <row r="337" ht="66.75" customHeight="1">
      <c r="A337" s="49" t="s">
        <v>50</v>
      </c>
      <c r="B337" s="35" t="s">
        <v>1822</v>
      </c>
      <c r="C337" s="36" t="s">
        <v>1823</v>
      </c>
      <c r="D337" s="36" t="s">
        <v>1824</v>
      </c>
      <c r="E337" s="36" t="s">
        <v>36</v>
      </c>
      <c r="F337" s="36" t="s">
        <v>37</v>
      </c>
      <c r="G337" s="35" t="s">
        <v>676</v>
      </c>
      <c r="H337" s="35" t="s">
        <v>1825</v>
      </c>
      <c r="I337" s="35" t="s">
        <v>1826</v>
      </c>
      <c r="J337" s="35"/>
      <c r="K337" s="37">
        <f>IFERROR(__xludf.DUMMYFUNCTION("query(assistance!$A$2:$E988,""Select C Where D = '""&amp;L337&amp;""'"")"),65.0)</f>
        <v>65</v>
      </c>
      <c r="L337" s="36" t="s">
        <v>41</v>
      </c>
      <c r="M337" s="38">
        <f t="shared" si="54"/>
        <v>1</v>
      </c>
      <c r="N337" s="39" t="s">
        <v>42</v>
      </c>
      <c r="O337" s="40">
        <v>45908.0</v>
      </c>
      <c r="P337" s="35" t="s">
        <v>43</v>
      </c>
      <c r="Q337" s="35"/>
      <c r="R337" s="35" t="s">
        <v>1827</v>
      </c>
      <c r="S337" s="35" t="b">
        <v>0</v>
      </c>
      <c r="T337" s="35" t="b">
        <v>0</v>
      </c>
      <c r="U337" s="41" t="str">
        <f>IFERROR(__xludf.DUMMYFUNCTION("""["" &amp; JOIN("", "", ARRAYFORMULA("""""""" &amp; TRIM(SPLIT(A337, "","")) &amp; """""""")) &amp; ""]"""),"[""99999""]")</f>
        <v>["99999"]</v>
      </c>
      <c r="V337" s="42" t="s">
        <v>1828</v>
      </c>
      <c r="W337" s="42" t="s">
        <v>1829</v>
      </c>
      <c r="X337" s="43"/>
      <c r="Y337" s="44" t="str">
        <f>vlookup(G337,zip_codes!$B$6:$J988,3,false)</f>
        <v>Houston</v>
      </c>
      <c r="Z337" s="45" t="str">
        <f>vlookup(G337,zip_codes!$B$6:$J988,9,false)</f>
        <v>Gulfton</v>
      </c>
      <c r="AA337" s="44" t="str">
        <f>vlookup(B337,organizations!$B$1:$C988,2,false)</f>
        <v>Freewheels Houston</v>
      </c>
      <c r="AB337" s="55" t="s">
        <v>1830</v>
      </c>
      <c r="AC337" s="47" t="s">
        <v>1831</v>
      </c>
      <c r="AD337" s="48" t="s">
        <v>680</v>
      </c>
      <c r="AE337" s="48" t="str">
        <f t="shared" si="51"/>
        <v>Freewheels Houston6020 Jessamine Street65</v>
      </c>
      <c r="AF337" s="48" t="str">
        <f t="shared" si="52"/>
        <v/>
      </c>
    </row>
    <row r="338" ht="66.75" customHeight="1">
      <c r="A338" s="49" t="s">
        <v>50</v>
      </c>
      <c r="B338" s="35" t="s">
        <v>1832</v>
      </c>
      <c r="C338" s="36" t="s">
        <v>1833</v>
      </c>
      <c r="D338" s="36"/>
      <c r="E338" s="36" t="s">
        <v>989</v>
      </c>
      <c r="F338" s="36" t="s">
        <v>37</v>
      </c>
      <c r="G338" s="35" t="s">
        <v>1336</v>
      </c>
      <c r="H338" s="35" t="s">
        <v>1834</v>
      </c>
      <c r="I338" s="35" t="s">
        <v>516</v>
      </c>
      <c r="J338" s="35" t="s">
        <v>89</v>
      </c>
      <c r="K338" s="37">
        <f>IFERROR(__xludf.DUMMYFUNCTION("query(assistance!$A$2:$E988,""Select C Where D = '""&amp;L338&amp;""'"")"),65.0)</f>
        <v>65</v>
      </c>
      <c r="L338" s="36" t="s">
        <v>41</v>
      </c>
      <c r="M338" s="39">
        <f>if(N338="Inactive",3,if(N338="Limited", 2, if(N338="Closed", 4, 1)))</f>
        <v>3</v>
      </c>
      <c r="N338" s="39" t="s">
        <v>973</v>
      </c>
      <c r="O338" s="57">
        <v>45810.0</v>
      </c>
      <c r="P338" s="35" t="s">
        <v>1835</v>
      </c>
      <c r="Q338" s="35"/>
      <c r="R338" s="35" t="s">
        <v>1836</v>
      </c>
      <c r="S338" s="35" t="b">
        <v>0</v>
      </c>
      <c r="T338" s="35" t="b">
        <v>0</v>
      </c>
      <c r="U338" s="41" t="str">
        <f>IFERROR(__xludf.DUMMYFUNCTION("""["" &amp; JOIN("", "", ARRAYFORMULA("""""""" &amp; TRIM(SPLIT(A338, "","")) &amp; """""""")) &amp; ""]"""),"[""99999""]")</f>
        <v>["99999"]</v>
      </c>
      <c r="V338" s="52" t="s">
        <v>262</v>
      </c>
      <c r="W338" s="42" t="s">
        <v>263</v>
      </c>
      <c r="X338" s="43"/>
      <c r="Y338" s="44" t="str">
        <f>vlookup(G338,zip_codes!$B$6:$J988,3,false)</f>
        <v>Conroe</v>
      </c>
      <c r="Z338" s="45" t="str">
        <f>vlookup(G338,zip_codes!$B$6:$J988,9,false)</f>
        <v>Conroe (Central/Downtown), Panorama Village</v>
      </c>
      <c r="AA338" s="44" t="str">
        <f>vlookup(B338,organizations!$B$1:$C988,2,false)</f>
        <v>God's Garage</v>
      </c>
      <c r="AB338" s="46" t="s">
        <v>1837</v>
      </c>
      <c r="AC338" s="47" t="s">
        <v>520</v>
      </c>
      <c r="AD338" s="48" t="s">
        <v>989</v>
      </c>
      <c r="AE338" s="48" t="str">
        <f t="shared" si="51"/>
        <v>God's Garage2100 E Davis Street65</v>
      </c>
      <c r="AF338" s="48" t="str">
        <f t="shared" si="52"/>
        <v/>
      </c>
    </row>
    <row r="339" ht="66.75" customHeight="1">
      <c r="A339" s="49" t="s">
        <v>50</v>
      </c>
      <c r="B339" s="35" t="s">
        <v>1838</v>
      </c>
      <c r="C339" s="36" t="s">
        <v>1839</v>
      </c>
      <c r="D339" s="36" t="s">
        <v>1840</v>
      </c>
      <c r="E339" s="36" t="s">
        <v>36</v>
      </c>
      <c r="F339" s="36" t="s">
        <v>37</v>
      </c>
      <c r="G339" s="35" t="s">
        <v>919</v>
      </c>
      <c r="H339" s="35"/>
      <c r="I339" s="35" t="s">
        <v>272</v>
      </c>
      <c r="J339" s="35"/>
      <c r="K339" s="37">
        <f>IFERROR(__xludf.DUMMYFUNCTION("query(assistance!$A$2:$E988,""Select C Where D = '""&amp;L339&amp;""'"")"),44.0)</f>
        <v>44</v>
      </c>
      <c r="L339" s="36" t="s">
        <v>102</v>
      </c>
      <c r="M339" s="38">
        <f t="shared" ref="M339:M353" si="55">if(N339="Inactive",3,if(N339="Limited", 2, 1))</f>
        <v>1</v>
      </c>
      <c r="N339" s="51" t="s">
        <v>42</v>
      </c>
      <c r="O339" s="57">
        <v>45788.0</v>
      </c>
      <c r="P339" s="35" t="s">
        <v>43</v>
      </c>
      <c r="Q339" s="35"/>
      <c r="R339" s="35" t="s">
        <v>1841</v>
      </c>
      <c r="S339" s="35" t="b">
        <v>0</v>
      </c>
      <c r="T339" s="35" t="b">
        <v>0</v>
      </c>
      <c r="U339" s="41" t="str">
        <f>IFERROR(__xludf.DUMMYFUNCTION("""["" &amp; JOIN("", "", ARRAYFORMULA("""""""" &amp; TRIM(SPLIT(A339, "","")) &amp; """""""")) &amp; ""]"""),"[""99999""]")</f>
        <v>["99999"]</v>
      </c>
      <c r="V339" s="42" t="s">
        <v>1842</v>
      </c>
      <c r="W339" s="42" t="s">
        <v>1843</v>
      </c>
      <c r="X339" s="43"/>
      <c r="Y339" s="44" t="str">
        <f>vlookup(G339,zip_codes!$B$6:$J988,3,false)</f>
        <v>Houston</v>
      </c>
      <c r="Z339" s="45" t="str">
        <f>vlookup(G339,zip_codes!$B$6:$J988,9,false)</f>
        <v>Astrodome Area, Medical Center South, NRG Park area, South Main</v>
      </c>
      <c r="AA339" s="44" t="str">
        <f>vlookup(B339,organizations!$B$1:$C988,2,false)</f>
        <v>God's Lovely Butterflies Maternity Home</v>
      </c>
      <c r="AB339" s="46" t="s">
        <v>1844</v>
      </c>
      <c r="AC339" s="47" t="s">
        <v>278</v>
      </c>
      <c r="AD339" s="48" t="s">
        <v>927</v>
      </c>
      <c r="AE339" s="48" t="str">
        <f t="shared" si="51"/>
        <v>God's Lovely Butterflies Maternity Home2626 S Loop West44</v>
      </c>
      <c r="AF339" s="48" t="str">
        <f t="shared" si="52"/>
        <v/>
      </c>
    </row>
    <row r="340" ht="66.75" customHeight="1">
      <c r="A340" s="49" t="s">
        <v>50</v>
      </c>
      <c r="B340" s="35" t="s">
        <v>1845</v>
      </c>
      <c r="C340" s="36" t="s">
        <v>1846</v>
      </c>
      <c r="D340" s="36" t="s">
        <v>1847</v>
      </c>
      <c r="E340" s="36" t="s">
        <v>1848</v>
      </c>
      <c r="F340" s="36" t="s">
        <v>37</v>
      </c>
      <c r="G340" s="56" t="s">
        <v>1849</v>
      </c>
      <c r="H340" s="35"/>
      <c r="I340" s="35" t="s">
        <v>516</v>
      </c>
      <c r="J340" s="35" t="s">
        <v>89</v>
      </c>
      <c r="K340" s="37">
        <f>IFERROR(__xludf.DUMMYFUNCTION("query(assistance!$A$2:$E988,""Select C Where D = '""&amp;L340&amp;""'"")"),36.0)</f>
        <v>36</v>
      </c>
      <c r="L340" s="36" t="s">
        <v>227</v>
      </c>
      <c r="M340" s="38">
        <f t="shared" si="55"/>
        <v>1</v>
      </c>
      <c r="N340" s="39" t="s">
        <v>42</v>
      </c>
      <c r="O340" s="40">
        <v>6693457.0</v>
      </c>
      <c r="P340" s="35" t="s">
        <v>43</v>
      </c>
      <c r="Q340" s="35"/>
      <c r="R340" s="35" t="s">
        <v>1850</v>
      </c>
      <c r="S340" s="35" t="b">
        <v>0</v>
      </c>
      <c r="T340" s="35" t="b">
        <v>0</v>
      </c>
      <c r="U340" s="41" t="str">
        <f>IFERROR(__xludf.DUMMYFUNCTION("""["" &amp; JOIN("", "", ARRAYFORMULA("""""""" &amp; TRIM(SPLIT(A340, "","")) &amp; """""""")) &amp; ""]"""),"[""99999""]")</f>
        <v>["99999"]</v>
      </c>
      <c r="V340" s="42" t="s">
        <v>1851</v>
      </c>
      <c r="W340" s="42" t="s">
        <v>1852</v>
      </c>
      <c r="X340" s="43"/>
      <c r="Y340" s="44" t="str">
        <f>vlookup(G340,zip_codes!$B$6:$J988,3,false)</f>
        <v>Frisco</v>
      </c>
      <c r="Z340" s="45" t="str">
        <f>vlookup(G340,zip_codes!$B$6:$J988,9,false)</f>
        <v>Frisco</v>
      </c>
      <c r="AA340" s="44" t="str">
        <f>vlookup(B340,organizations!$B$1:$C988,2,false)</f>
        <v>Good Days</v>
      </c>
      <c r="AB340" s="55" t="s">
        <v>1853</v>
      </c>
      <c r="AC340" s="61" t="s">
        <v>520</v>
      </c>
      <c r="AD340" s="58" t="s">
        <v>1848</v>
      </c>
      <c r="AE340" s="48" t="str">
        <f t="shared" si="51"/>
        <v>Good Days2611 Internet Blvd36</v>
      </c>
      <c r="AF340" s="48" t="str">
        <f t="shared" si="52"/>
        <v/>
      </c>
    </row>
    <row r="341" ht="66.75" customHeight="1">
      <c r="A341" s="49" t="s">
        <v>1854</v>
      </c>
      <c r="B341" s="35" t="s">
        <v>1855</v>
      </c>
      <c r="C341" s="36" t="s">
        <v>1856</v>
      </c>
      <c r="D341" s="36"/>
      <c r="E341" s="36" t="s">
        <v>1857</v>
      </c>
      <c r="F341" s="36" t="s">
        <v>37</v>
      </c>
      <c r="G341" s="35" t="s">
        <v>1858</v>
      </c>
      <c r="H341" s="35" t="s">
        <v>1859</v>
      </c>
      <c r="I341" s="35" t="s">
        <v>1860</v>
      </c>
      <c r="J341" s="35"/>
      <c r="K341" s="37">
        <f>IFERROR(__xludf.DUMMYFUNCTION("query(assistance!$A$2:$E988,""Select C Where D = '""&amp;L341&amp;""'"")"),13.0)</f>
        <v>13</v>
      </c>
      <c r="L341" s="36" t="s">
        <v>240</v>
      </c>
      <c r="M341" s="38">
        <f t="shared" si="55"/>
        <v>1</v>
      </c>
      <c r="N341" s="51" t="s">
        <v>42</v>
      </c>
      <c r="O341" s="40">
        <v>45788.0</v>
      </c>
      <c r="P341" s="35" t="s">
        <v>43</v>
      </c>
      <c r="Q341" s="35"/>
      <c r="R341" s="35" t="s">
        <v>1861</v>
      </c>
      <c r="S341" s="35" t="b">
        <v>0</v>
      </c>
      <c r="T341" s="35" t="b">
        <v>0</v>
      </c>
      <c r="U341" s="41" t="str">
        <f>IFERROR(__xludf.DUMMYFUNCTION("""["" &amp; JOIN("", "", ARRAYFORMULA("""""""" &amp; TRIM(SPLIT(A341, "","")) &amp; """""""")) &amp; ""]"""),"[""77320"", ""77334"", ""77340"", ""77341"", ""77342"", ""77358"", ""77367""]")</f>
        <v>["77320", "77334", "77340", "77341", "77342", "77358", "77367"]</v>
      </c>
      <c r="V341" s="42" t="s">
        <v>1862</v>
      </c>
      <c r="W341" s="42" t="s">
        <v>1863</v>
      </c>
      <c r="X341" s="43"/>
      <c r="Y341" s="44" t="str">
        <f>vlookup(G341,zip_codes!$B$6:$J988,3,false)</f>
        <v>Huntsville</v>
      </c>
      <c r="Z341" s="45" t="str">
        <f>vlookup(G341,zip_codes!$B$6:$J988,9,false)</f>
        <v>Hunstville, Huntsville</v>
      </c>
      <c r="AA341" s="44" t="str">
        <f>vlookup(B341,organizations!$B$1:$C988,2,false)</f>
        <v>Good Shepherd Mission</v>
      </c>
      <c r="AB341" s="46" t="s">
        <v>1864</v>
      </c>
      <c r="AC341" s="47" t="s">
        <v>1865</v>
      </c>
      <c r="AD341" s="48" t="s">
        <v>1857</v>
      </c>
      <c r="AE341" s="48" t="str">
        <f t="shared" si="51"/>
        <v>Good Shepherd Mission1005 Martin Luther King Drive13</v>
      </c>
      <c r="AF341" s="48" t="str">
        <f t="shared" si="52"/>
        <v/>
      </c>
    </row>
    <row r="342" ht="66.75" customHeight="1">
      <c r="A342" s="49" t="s">
        <v>1854</v>
      </c>
      <c r="B342" s="35" t="s">
        <v>1855</v>
      </c>
      <c r="C342" s="36" t="s">
        <v>1856</v>
      </c>
      <c r="D342" s="36"/>
      <c r="E342" s="36" t="s">
        <v>1857</v>
      </c>
      <c r="F342" s="36" t="s">
        <v>37</v>
      </c>
      <c r="G342" s="35" t="s">
        <v>1858</v>
      </c>
      <c r="H342" s="35" t="s">
        <v>1866</v>
      </c>
      <c r="I342" s="35" t="s">
        <v>1102</v>
      </c>
      <c r="J342" s="35"/>
      <c r="K342" s="37">
        <f>IFERROR(__xludf.DUMMYFUNCTION("query(assistance!$A$2:$E988,""Select C Where D = '""&amp;L342&amp;""'"")"),14.0)</f>
        <v>14</v>
      </c>
      <c r="L342" s="36" t="s">
        <v>391</v>
      </c>
      <c r="M342" s="38">
        <f t="shared" si="55"/>
        <v>1</v>
      </c>
      <c r="N342" s="51" t="s">
        <v>42</v>
      </c>
      <c r="O342" s="40">
        <v>45788.0</v>
      </c>
      <c r="P342" s="35" t="s">
        <v>43</v>
      </c>
      <c r="Q342" s="35"/>
      <c r="R342" s="35" t="s">
        <v>1867</v>
      </c>
      <c r="S342" s="35" t="b">
        <v>0</v>
      </c>
      <c r="T342" s="35" t="b">
        <v>0</v>
      </c>
      <c r="U342" s="41" t="str">
        <f>IFERROR(__xludf.DUMMYFUNCTION("""["" &amp; JOIN("", "", ARRAYFORMULA("""""""" &amp; TRIM(SPLIT(A342, "","")) &amp; """""""")) &amp; ""]"""),"[""77320"", ""77334"", ""77340"", ""77341"", ""77342"", ""77358"", ""77367""]")</f>
        <v>["77320", "77334", "77340", "77341", "77342", "77358", "77367"]</v>
      </c>
      <c r="V342" s="42" t="s">
        <v>1862</v>
      </c>
      <c r="W342" s="42" t="s">
        <v>1863</v>
      </c>
      <c r="X342" s="43"/>
      <c r="Y342" s="44" t="str">
        <f>vlookup(G342,zip_codes!$B$6:$J988,3,false)</f>
        <v>Huntsville</v>
      </c>
      <c r="Z342" s="45" t="str">
        <f>vlookup(G342,zip_codes!$B$6:$J988,9,false)</f>
        <v>Hunstville, Huntsville</v>
      </c>
      <c r="AA342" s="44" t="str">
        <f>vlookup(B342,organizations!$B$1:$C988,2,false)</f>
        <v>Good Shepherd Mission</v>
      </c>
      <c r="AB342" s="46" t="s">
        <v>1864</v>
      </c>
      <c r="AC342" s="47" t="s">
        <v>1107</v>
      </c>
      <c r="AD342" s="48" t="s">
        <v>1857</v>
      </c>
      <c r="AE342" s="48" t="str">
        <f t="shared" si="51"/>
        <v>Good Shepherd Mission1005 Martin Luther King Drive14</v>
      </c>
      <c r="AF342" s="48" t="str">
        <f t="shared" si="52"/>
        <v/>
      </c>
    </row>
    <row r="343" ht="66.75" customHeight="1">
      <c r="A343" s="49" t="s">
        <v>1854</v>
      </c>
      <c r="B343" s="35" t="s">
        <v>1855</v>
      </c>
      <c r="C343" s="36" t="s">
        <v>1856</v>
      </c>
      <c r="D343" s="36"/>
      <c r="E343" s="36" t="s">
        <v>1857</v>
      </c>
      <c r="F343" s="36" t="s">
        <v>37</v>
      </c>
      <c r="G343" s="35" t="s">
        <v>1858</v>
      </c>
      <c r="H343" s="35" t="s">
        <v>1859</v>
      </c>
      <c r="I343" s="35" t="s">
        <v>1868</v>
      </c>
      <c r="J343" s="35"/>
      <c r="K343" s="37">
        <f>IFERROR(__xludf.DUMMYFUNCTION("query(assistance!$A$2:$E988,""Select C Where D = '""&amp;L343&amp;""'"")"),22.0)</f>
        <v>22</v>
      </c>
      <c r="L343" s="36" t="s">
        <v>1178</v>
      </c>
      <c r="M343" s="38">
        <f t="shared" si="55"/>
        <v>1</v>
      </c>
      <c r="N343" s="51" t="s">
        <v>42</v>
      </c>
      <c r="O343" s="40">
        <v>45788.0</v>
      </c>
      <c r="P343" s="35" t="s">
        <v>43</v>
      </c>
      <c r="Q343" s="35"/>
      <c r="R343" s="35" t="s">
        <v>1869</v>
      </c>
      <c r="S343" s="35" t="b">
        <v>0</v>
      </c>
      <c r="T343" s="35" t="b">
        <v>0</v>
      </c>
      <c r="U343" s="41" t="str">
        <f>IFERROR(__xludf.DUMMYFUNCTION("""["" &amp; JOIN("", "", ARRAYFORMULA("""""""" &amp; TRIM(SPLIT(A343, "","")) &amp; """""""")) &amp; ""]"""),"[""77320"", ""77334"", ""77340"", ""77341"", ""77342"", ""77358"", ""77367""]")</f>
        <v>["77320", "77334", "77340", "77341", "77342", "77358", "77367"]</v>
      </c>
      <c r="V343" s="42" t="s">
        <v>1862</v>
      </c>
      <c r="W343" s="42" t="s">
        <v>1863</v>
      </c>
      <c r="X343" s="43"/>
      <c r="Y343" s="44" t="str">
        <f>vlookup(G343,zip_codes!$B$6:$J988,3,false)</f>
        <v>Huntsville</v>
      </c>
      <c r="Z343" s="45" t="str">
        <f>vlookup(G343,zip_codes!$B$6:$J988,9,false)</f>
        <v>Hunstville, Huntsville</v>
      </c>
      <c r="AA343" s="44" t="str">
        <f>vlookup(B343,organizations!$B$1:$C988,2,false)</f>
        <v>Good Shepherd Mission</v>
      </c>
      <c r="AB343" s="46" t="s">
        <v>1864</v>
      </c>
      <c r="AC343" s="47" t="s">
        <v>1870</v>
      </c>
      <c r="AD343" s="48" t="s">
        <v>1857</v>
      </c>
      <c r="AE343" s="48" t="str">
        <f t="shared" si="51"/>
        <v>Good Shepherd Mission1005 Martin Luther King Drive22</v>
      </c>
      <c r="AF343" s="48" t="str">
        <f t="shared" si="52"/>
        <v/>
      </c>
    </row>
    <row r="344" ht="66.75" customHeight="1">
      <c r="A344" s="49" t="s">
        <v>1854</v>
      </c>
      <c r="B344" s="35" t="s">
        <v>1855</v>
      </c>
      <c r="C344" s="36" t="s">
        <v>1856</v>
      </c>
      <c r="D344" s="36"/>
      <c r="E344" s="36" t="s">
        <v>1857</v>
      </c>
      <c r="F344" s="36" t="s">
        <v>37</v>
      </c>
      <c r="G344" s="35" t="s">
        <v>1858</v>
      </c>
      <c r="H344" s="35" t="s">
        <v>1859</v>
      </c>
      <c r="I344" s="35" t="s">
        <v>1378</v>
      </c>
      <c r="J344" s="35"/>
      <c r="K344" s="37">
        <f>IFERROR(__xludf.DUMMYFUNCTION("query(assistance!$A$2:$E988,""Select C Where D = '""&amp;L344&amp;""'"")"),24.0)</f>
        <v>24</v>
      </c>
      <c r="L344" s="36" t="s">
        <v>405</v>
      </c>
      <c r="M344" s="38">
        <f t="shared" si="55"/>
        <v>1</v>
      </c>
      <c r="N344" s="51" t="s">
        <v>42</v>
      </c>
      <c r="O344" s="40">
        <v>45788.0</v>
      </c>
      <c r="P344" s="35" t="s">
        <v>43</v>
      </c>
      <c r="Q344" s="35"/>
      <c r="R344" s="35" t="s">
        <v>1871</v>
      </c>
      <c r="S344" s="35" t="b">
        <v>0</v>
      </c>
      <c r="T344" s="35" t="b">
        <v>0</v>
      </c>
      <c r="U344" s="41" t="str">
        <f>IFERROR(__xludf.DUMMYFUNCTION("""["" &amp; JOIN("", "", ARRAYFORMULA("""""""" &amp; TRIM(SPLIT(A344, "","")) &amp; """""""")) &amp; ""]"""),"[""77320"", ""77334"", ""77340"", ""77341"", ""77342"", ""77358"", ""77367""]")</f>
        <v>["77320", "77334", "77340", "77341", "77342", "77358", "77367"]</v>
      </c>
      <c r="V344" s="42" t="s">
        <v>1872</v>
      </c>
      <c r="W344" s="42" t="s">
        <v>1863</v>
      </c>
      <c r="X344" s="43"/>
      <c r="Y344" s="44" t="str">
        <f>vlookup(G344,zip_codes!$B$6:$J988,3,false)</f>
        <v>Huntsville</v>
      </c>
      <c r="Z344" s="45" t="str">
        <f>vlookup(G344,zip_codes!$B$6:$J988,9,false)</f>
        <v>Hunstville, Huntsville</v>
      </c>
      <c r="AA344" s="44" t="str">
        <f>vlookup(B344,organizations!$B$1:$C988,2,false)</f>
        <v>Good Shepherd Mission</v>
      </c>
      <c r="AB344" s="46" t="s">
        <v>1864</v>
      </c>
      <c r="AC344" s="47" t="s">
        <v>1385</v>
      </c>
      <c r="AD344" s="48" t="s">
        <v>1857</v>
      </c>
      <c r="AE344" s="48" t="str">
        <f t="shared" si="51"/>
        <v>Good Shepherd Mission1005 Martin Luther King Drive24</v>
      </c>
      <c r="AF344" s="48" t="str">
        <f t="shared" si="52"/>
        <v/>
      </c>
    </row>
    <row r="345" ht="66.75" customHeight="1">
      <c r="A345" s="49" t="s">
        <v>50</v>
      </c>
      <c r="B345" s="35" t="s">
        <v>1873</v>
      </c>
      <c r="C345" s="36" t="s">
        <v>1874</v>
      </c>
      <c r="D345" s="36"/>
      <c r="E345" s="36" t="s">
        <v>36</v>
      </c>
      <c r="F345" s="36" t="s">
        <v>37</v>
      </c>
      <c r="G345" s="35" t="s">
        <v>711</v>
      </c>
      <c r="H345" s="92" t="s">
        <v>1875</v>
      </c>
      <c r="I345" s="35" t="s">
        <v>272</v>
      </c>
      <c r="J345" s="35"/>
      <c r="K345" s="37">
        <f>IFERROR(__xludf.DUMMYFUNCTION("query(assistance!$A$2:$E988,""Select C Where D = '""&amp;L345&amp;""'"")"),52.0)</f>
        <v>52</v>
      </c>
      <c r="L345" s="36" t="s">
        <v>336</v>
      </c>
      <c r="M345" s="38">
        <f t="shared" si="55"/>
        <v>1</v>
      </c>
      <c r="N345" s="39" t="s">
        <v>42</v>
      </c>
      <c r="O345" s="57">
        <v>45849.0</v>
      </c>
      <c r="P345" s="35" t="s">
        <v>43</v>
      </c>
      <c r="Q345" s="35"/>
      <c r="R345" s="35" t="s">
        <v>1876</v>
      </c>
      <c r="S345" s="35" t="b">
        <v>0</v>
      </c>
      <c r="T345" s="35" t="b">
        <v>0</v>
      </c>
      <c r="U345" s="41" t="str">
        <f>IFERROR(__xludf.DUMMYFUNCTION("""["" &amp; JOIN("", "", ARRAYFORMULA("""""""" &amp; TRIM(SPLIT(A345, "","")) &amp; """""""")) &amp; ""]"""),"[""99999""]")</f>
        <v>["99999"]</v>
      </c>
      <c r="V345" s="42" t="s">
        <v>1877</v>
      </c>
      <c r="W345" s="42" t="s">
        <v>1878</v>
      </c>
      <c r="X345" s="43"/>
      <c r="Y345" s="44" t="str">
        <f>vlookup(G345,zip_codes!$B$6:$J988,3,false)</f>
        <v>Houston</v>
      </c>
      <c r="Z345" s="45" t="str">
        <f>vlookup(G345,zip_codes!$B$6:$J988,9,false)</f>
        <v>Hilshire Village, Montrose, Northwest Houston, Spring Branch East, Washington Avenue Coalition / Memorial Park</v>
      </c>
      <c r="AA345" s="44" t="str">
        <f>vlookup(B345,organizations!$B$1:$C988,2,false)</f>
        <v>Goodwill Industries</v>
      </c>
      <c r="AB345" s="46" t="s">
        <v>1879</v>
      </c>
      <c r="AC345" s="47" t="s">
        <v>278</v>
      </c>
      <c r="AD345" s="48" t="s">
        <v>1296</v>
      </c>
      <c r="AE345" s="48" t="str">
        <f t="shared" si="51"/>
        <v>Goodwill Industries1140 West Loop North52</v>
      </c>
      <c r="AF345" s="48" t="str">
        <f t="shared" si="52"/>
        <v/>
      </c>
    </row>
    <row r="346" ht="66.75" customHeight="1">
      <c r="A346" s="49" t="s">
        <v>50</v>
      </c>
      <c r="B346" s="35" t="s">
        <v>1880</v>
      </c>
      <c r="C346" s="36" t="s">
        <v>979</v>
      </c>
      <c r="D346" s="36"/>
      <c r="E346" s="36" t="s">
        <v>36</v>
      </c>
      <c r="F346" s="36" t="s">
        <v>37</v>
      </c>
      <c r="G346" s="56" t="s">
        <v>557</v>
      </c>
      <c r="H346" s="35" t="s">
        <v>1881</v>
      </c>
      <c r="I346" s="35" t="s">
        <v>40</v>
      </c>
      <c r="J346" s="35" t="s">
        <v>1882</v>
      </c>
      <c r="K346" s="37">
        <f>IFERROR(__xludf.DUMMYFUNCTION("query(assistance!$A$2:$E988,""Select C Where D = '""&amp;L346&amp;""'"")"),56.0)</f>
        <v>56</v>
      </c>
      <c r="L346" s="36" t="s">
        <v>56</v>
      </c>
      <c r="M346" s="38">
        <f t="shared" si="55"/>
        <v>1</v>
      </c>
      <c r="N346" s="39" t="s">
        <v>42</v>
      </c>
      <c r="O346" s="57">
        <v>46070.0</v>
      </c>
      <c r="P346" s="35" t="s">
        <v>43</v>
      </c>
      <c r="Q346" s="35"/>
      <c r="R346" s="35" t="s">
        <v>1883</v>
      </c>
      <c r="S346" s="35" t="b">
        <v>0</v>
      </c>
      <c r="T346" s="35" t="b">
        <v>0</v>
      </c>
      <c r="U346" s="35" t="str">
        <f>IFERROR(__xludf.DUMMYFUNCTION("""["" &amp; JOIN("", "", ARRAYFORMULA("""""""" &amp; TRIM(SPLIT(A346, "","")) &amp; """""""")) &amp; ""]"""),"[""99999""]")</f>
        <v>["99999"]</v>
      </c>
      <c r="V346" s="42" t="s">
        <v>1884</v>
      </c>
      <c r="W346" s="42" t="s">
        <v>1885</v>
      </c>
      <c r="X346" s="43"/>
      <c r="Y346" s="44" t="str">
        <f>vlookup(G346,zip_codes!$B$6:$J988,3,false)</f>
        <v>Houston</v>
      </c>
      <c r="Z346" s="45" t="str">
        <f>vlookup(G346,zip_codes!$B$6:$J988,9,false)</f>
        <v>East Downtown, Downtown Houston, Second Ward, South Central Houston, South Side</v>
      </c>
      <c r="AA346" s="44" t="str">
        <f>vlookup(B346,organizations!$B$1:$C988,2,false)</f>
        <v>Grace After Fire</v>
      </c>
      <c r="AB346" s="55" t="s">
        <v>1886</v>
      </c>
      <c r="AC346" s="53" t="str">
        <f>PARSE_HOURS(I346)</f>
        <v>{"regular":[{"days":["Mo","Tu","We","Th","Fr"],"open":"09:00","close":"17:00"}]}</v>
      </c>
      <c r="AD346" s="48" t="s">
        <v>279</v>
      </c>
      <c r="AE346" s="48"/>
      <c r="AF346" s="48"/>
    </row>
    <row r="347" ht="66.75" customHeight="1">
      <c r="A347" s="49" t="s">
        <v>50</v>
      </c>
      <c r="B347" s="35" t="s">
        <v>1887</v>
      </c>
      <c r="C347" s="36" t="s">
        <v>1888</v>
      </c>
      <c r="D347" s="36" t="s">
        <v>1889</v>
      </c>
      <c r="E347" s="36" t="s">
        <v>200</v>
      </c>
      <c r="F347" s="36" t="s">
        <v>37</v>
      </c>
      <c r="G347" s="35" t="s">
        <v>201</v>
      </c>
      <c r="H347" s="35" t="s">
        <v>1890</v>
      </c>
      <c r="I347" s="35" t="s">
        <v>67</v>
      </c>
      <c r="J347" s="35"/>
      <c r="K347" s="37">
        <f>IFERROR(__xludf.DUMMYFUNCTION("query(assistance!$A$2:$E988,""Select C Where D = '""&amp;L347&amp;""'"")"),33.0)</f>
        <v>33</v>
      </c>
      <c r="L347" s="36" t="s">
        <v>333</v>
      </c>
      <c r="M347" s="38">
        <f t="shared" si="55"/>
        <v>1</v>
      </c>
      <c r="N347" s="39" t="s">
        <v>42</v>
      </c>
      <c r="O347" s="40">
        <v>45761.0</v>
      </c>
      <c r="P347" s="35" t="s">
        <v>406</v>
      </c>
      <c r="Q347" s="35"/>
      <c r="R347" s="35" t="s">
        <v>1891</v>
      </c>
      <c r="S347" s="35" t="b">
        <v>0</v>
      </c>
      <c r="T347" s="35" t="b">
        <v>0</v>
      </c>
      <c r="U347" s="41" t="str">
        <f>IFERROR(__xludf.DUMMYFUNCTION("""["" &amp; JOIN("", "", ARRAYFORMULA("""""""" &amp; TRIM(SPLIT(A347, "","")) &amp; """""""")) &amp; ""]"""),"[""99999""]")</f>
        <v>["99999"]</v>
      </c>
      <c r="V347" s="52" t="s">
        <v>1892</v>
      </c>
      <c r="W347" s="52" t="s">
        <v>1893</v>
      </c>
      <c r="X347" s="43"/>
      <c r="Y347" s="44" t="str">
        <f>vlookup(G347,zip_codes!$B$6:$J988,3,false)</f>
        <v>Stafford</v>
      </c>
      <c r="Z347" s="45" t="str">
        <f>vlookup(G347,zip_codes!$B$6:$J988,9,false)</f>
        <v>Clark Plaza One, Corporate Bus Park, Greenbriar Southwest, Stafford, The Fountains</v>
      </c>
      <c r="AA347" s="44" t="str">
        <f>vlookup(B347,organizations!$B$1:$C988,2,false)</f>
        <v>Gratia Plena</v>
      </c>
      <c r="AB347" s="46" t="s">
        <v>1894</v>
      </c>
      <c r="AC347" s="47" t="s">
        <v>73</v>
      </c>
      <c r="AD347" s="48" t="s">
        <v>1895</v>
      </c>
      <c r="AE347" s="48" t="str">
        <f t="shared" ref="AE347:AE422" si="56">B347&amp;C347&amp;K347</f>
        <v>Gratia Plena10707 Corporate Drive33</v>
      </c>
      <c r="AF347" s="48" t="str">
        <f t="shared" ref="AF347:AF377" si="57">if(AE347=AE346,"XXX","")</f>
        <v/>
      </c>
    </row>
    <row r="348" ht="66.75" customHeight="1">
      <c r="A348" s="49" t="s">
        <v>50</v>
      </c>
      <c r="B348" s="35" t="s">
        <v>1896</v>
      </c>
      <c r="C348" s="36" t="s">
        <v>1897</v>
      </c>
      <c r="D348" s="36"/>
      <c r="E348" s="36" t="s">
        <v>36</v>
      </c>
      <c r="F348" s="36" t="s">
        <v>37</v>
      </c>
      <c r="G348" s="35" t="s">
        <v>1898</v>
      </c>
      <c r="H348" s="35" t="s">
        <v>1899</v>
      </c>
      <c r="I348" s="35" t="s">
        <v>1900</v>
      </c>
      <c r="J348" s="35" t="s">
        <v>1901</v>
      </c>
      <c r="K348" s="37">
        <f>IFERROR(__xludf.DUMMYFUNCTION("query(assistance!$A$2:$E988,""Select C Where D = '""&amp;L348&amp;""'"")"),13.0)</f>
        <v>13</v>
      </c>
      <c r="L348" s="36" t="s">
        <v>240</v>
      </c>
      <c r="M348" s="38">
        <f t="shared" si="55"/>
        <v>1</v>
      </c>
      <c r="N348" s="51" t="s">
        <v>42</v>
      </c>
      <c r="O348" s="40">
        <v>45813.0</v>
      </c>
      <c r="P348" s="35" t="s">
        <v>43</v>
      </c>
      <c r="Q348" s="35"/>
      <c r="R348" s="35" t="s">
        <v>1902</v>
      </c>
      <c r="S348" s="35" t="b">
        <v>0</v>
      </c>
      <c r="T348" s="35" t="b">
        <v>0</v>
      </c>
      <c r="U348" s="41" t="str">
        <f>IFERROR(__xludf.DUMMYFUNCTION("""["" &amp; JOIN("", "", ARRAYFORMULA("""""""" &amp; TRIM(SPLIT(A348, "","")) &amp; """""""")) &amp; ""]"""),"[""99999""]")</f>
        <v>["99999"]</v>
      </c>
      <c r="V348" s="42" t="s">
        <v>1903</v>
      </c>
      <c r="W348" s="42" t="s">
        <v>1904</v>
      </c>
      <c r="X348" s="43"/>
      <c r="Y348" s="44" t="str">
        <f>vlookup(G348,zip_codes!$B$6:$J988,3,false)</f>
        <v>Houston</v>
      </c>
      <c r="Z348" s="45" t="str">
        <f>vlookup(G348,zip_codes!$B$6:$J988,9,false)</f>
        <v>Acres Home, Inwood, Northside</v>
      </c>
      <c r="AA348" s="44" t="str">
        <f>vlookup(B348,organizations!$B$1:$C988,2,false)</f>
        <v>Greater Mt Zion Missionary Baptist Church</v>
      </c>
      <c r="AB348" s="46" t="s">
        <v>1905</v>
      </c>
      <c r="AC348" s="47" t="s">
        <v>1906</v>
      </c>
      <c r="AD348" s="48" t="s">
        <v>356</v>
      </c>
      <c r="AE348" s="48" t="str">
        <f t="shared" si="56"/>
        <v>Greater Mt Zion Missionary Baptist Church8787 N Houston Rosslyn Road13</v>
      </c>
      <c r="AF348" s="48" t="str">
        <f t="shared" si="57"/>
        <v/>
      </c>
    </row>
    <row r="349" ht="66.75" customHeight="1">
      <c r="A349" s="82" t="s">
        <v>1072</v>
      </c>
      <c r="B349" s="35" t="s">
        <v>1907</v>
      </c>
      <c r="C349" s="36" t="s">
        <v>1908</v>
      </c>
      <c r="D349" s="36" t="s">
        <v>157</v>
      </c>
      <c r="E349" s="36" t="s">
        <v>36</v>
      </c>
      <c r="F349" s="36" t="s">
        <v>37</v>
      </c>
      <c r="G349" s="35" t="s">
        <v>919</v>
      </c>
      <c r="H349" s="35" t="s">
        <v>1909</v>
      </c>
      <c r="I349" s="35" t="s">
        <v>272</v>
      </c>
      <c r="J349" s="35" t="s">
        <v>1910</v>
      </c>
      <c r="K349" s="37">
        <f>IFERROR(__xludf.DUMMYFUNCTION("query(assistance!$A$2:$E988,""Select C Where D = '""&amp;L349&amp;""'"")"),11.0)</f>
        <v>11</v>
      </c>
      <c r="L349" s="36" t="s">
        <v>322</v>
      </c>
      <c r="M349" s="38">
        <f t="shared" si="55"/>
        <v>1</v>
      </c>
      <c r="N349" s="39" t="s">
        <v>42</v>
      </c>
      <c r="O349" s="57">
        <v>46064.0</v>
      </c>
      <c r="P349" s="35" t="s">
        <v>323</v>
      </c>
      <c r="Q349" s="72"/>
      <c r="R349" s="35" t="s">
        <v>1911</v>
      </c>
      <c r="S349" s="35" t="b">
        <v>0</v>
      </c>
      <c r="T349" s="35" t="b">
        <v>0</v>
      </c>
      <c r="U349" s="41" t="str">
        <f>IFERROR(__xludf.DUMMYFUNCTION("""["" &amp; JOIN("", "", ARRAYFORMULA("""""""" &amp; TRIM(SPLIT(A349,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V349" s="52" t="s">
        <v>1912</v>
      </c>
      <c r="W349" s="52" t="s">
        <v>1913</v>
      </c>
      <c r="X349" s="43"/>
      <c r="Y349" s="44" t="str">
        <f>vlookup(G349,zip_codes!$B$6:$J988,3,false)</f>
        <v>Houston</v>
      </c>
      <c r="Z349" s="45" t="str">
        <f>vlookup(G349,zip_codes!$B$6:$J988,9,false)</f>
        <v>Astrodome Area, Medical Center South, NRG Park area, South Main</v>
      </c>
      <c r="AA349" s="44" t="str">
        <f>vlookup(B349,organizations!$B$1:$C988,2,false)</f>
        <v>Gulf Coast Community Services</v>
      </c>
      <c r="AB349" s="46" t="s">
        <v>1914</v>
      </c>
      <c r="AC349" s="47" t="s">
        <v>278</v>
      </c>
      <c r="AD349" s="48" t="s">
        <v>927</v>
      </c>
      <c r="AE349" s="48" t="str">
        <f t="shared" si="56"/>
        <v>Gulf Coast Community Services9320 Kirby Drive11</v>
      </c>
      <c r="AF349" s="48" t="str">
        <f t="shared" si="57"/>
        <v/>
      </c>
    </row>
    <row r="350" ht="66.75" customHeight="1">
      <c r="A350" s="82" t="s">
        <v>1072</v>
      </c>
      <c r="B350" s="35" t="s">
        <v>1907</v>
      </c>
      <c r="C350" s="36" t="s">
        <v>1908</v>
      </c>
      <c r="D350" s="36" t="s">
        <v>157</v>
      </c>
      <c r="E350" s="36" t="s">
        <v>36</v>
      </c>
      <c r="F350" s="36" t="s">
        <v>37</v>
      </c>
      <c r="G350" s="35" t="s">
        <v>919</v>
      </c>
      <c r="H350" s="35" t="s">
        <v>1909</v>
      </c>
      <c r="I350" s="35" t="s">
        <v>272</v>
      </c>
      <c r="J350" s="35" t="s">
        <v>1910</v>
      </c>
      <c r="K350" s="37">
        <f>IFERROR(__xludf.DUMMYFUNCTION("query(assistance!$A$2:$E988,""Select C Where D = '""&amp;L350&amp;""'"")"),12.0)</f>
        <v>12</v>
      </c>
      <c r="L350" s="36" t="s">
        <v>330</v>
      </c>
      <c r="M350" s="38">
        <f t="shared" si="55"/>
        <v>1</v>
      </c>
      <c r="N350" s="39" t="s">
        <v>42</v>
      </c>
      <c r="O350" s="57">
        <v>46064.0</v>
      </c>
      <c r="P350" s="35" t="s">
        <v>323</v>
      </c>
      <c r="Q350" s="72"/>
      <c r="R350" s="35" t="s">
        <v>1911</v>
      </c>
      <c r="S350" s="35" t="b">
        <v>0</v>
      </c>
      <c r="T350" s="35" t="b">
        <v>0</v>
      </c>
      <c r="U350" s="41" t="str">
        <f>IFERROR(__xludf.DUMMYFUNCTION("""["" &amp; JOIN("", "", ARRAYFORMULA("""""""" &amp; TRIM(SPLIT(A350,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V350" s="52" t="s">
        <v>1912</v>
      </c>
      <c r="W350" s="52" t="s">
        <v>1913</v>
      </c>
      <c r="X350" s="43"/>
      <c r="Y350" s="44" t="str">
        <f>vlookup(G350,zip_codes!$B$6:$J988,3,false)</f>
        <v>Houston</v>
      </c>
      <c r="Z350" s="45" t="str">
        <f>vlookup(G350,zip_codes!$B$6:$J988,9,false)</f>
        <v>Astrodome Area, Medical Center South, NRG Park area, South Main</v>
      </c>
      <c r="AA350" s="44" t="str">
        <f>vlookup(B350,organizations!$B$1:$C988,2,false)</f>
        <v>Gulf Coast Community Services</v>
      </c>
      <c r="AB350" s="46" t="s">
        <v>1914</v>
      </c>
      <c r="AC350" s="47" t="s">
        <v>278</v>
      </c>
      <c r="AD350" s="48" t="s">
        <v>927</v>
      </c>
      <c r="AE350" s="48" t="str">
        <f t="shared" si="56"/>
        <v>Gulf Coast Community Services9320 Kirby Drive12</v>
      </c>
      <c r="AF350" s="48" t="str">
        <f t="shared" si="57"/>
        <v/>
      </c>
    </row>
    <row r="351" ht="66.75" customHeight="1">
      <c r="A351" s="82" t="s">
        <v>1072</v>
      </c>
      <c r="B351" s="35" t="s">
        <v>1907</v>
      </c>
      <c r="C351" s="36" t="s">
        <v>1908</v>
      </c>
      <c r="D351" s="36" t="s">
        <v>157</v>
      </c>
      <c r="E351" s="36" t="s">
        <v>36</v>
      </c>
      <c r="F351" s="36" t="s">
        <v>37</v>
      </c>
      <c r="G351" s="35" t="s">
        <v>919</v>
      </c>
      <c r="H351" s="35" t="s">
        <v>1915</v>
      </c>
      <c r="I351" s="35" t="s">
        <v>1916</v>
      </c>
      <c r="J351" s="36" t="s">
        <v>89</v>
      </c>
      <c r="K351" s="37">
        <f>IFERROR(__xludf.DUMMYFUNCTION("query(assistance!$A$2:$E988,""Select C Where D = '""&amp;L351&amp;""'"")"),13.0)</f>
        <v>13</v>
      </c>
      <c r="L351" s="36" t="s">
        <v>240</v>
      </c>
      <c r="M351" s="38">
        <f t="shared" si="55"/>
        <v>1</v>
      </c>
      <c r="N351" s="39" t="s">
        <v>42</v>
      </c>
      <c r="O351" s="57">
        <v>46064.0</v>
      </c>
      <c r="P351" s="35" t="s">
        <v>323</v>
      </c>
      <c r="Q351" s="72"/>
      <c r="R351" s="35" t="s">
        <v>1917</v>
      </c>
      <c r="S351" s="35" t="b">
        <v>0</v>
      </c>
      <c r="T351" s="35" t="b">
        <v>0</v>
      </c>
      <c r="U351" s="41" t="str">
        <f>IFERROR(__xludf.DUMMYFUNCTION("""["" &amp; JOIN("", "", ARRAYFORMULA("""""""" &amp; TRIM(SPLIT(A351,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V351" s="42" t="s">
        <v>1918</v>
      </c>
      <c r="W351" s="52" t="s">
        <v>1913</v>
      </c>
      <c r="X351" s="43"/>
      <c r="Y351" s="44" t="str">
        <f>vlookup(G351,zip_codes!$B$6:$J988,3,false)</f>
        <v>Houston</v>
      </c>
      <c r="Z351" s="45" t="str">
        <f>vlookup(G351,zip_codes!$B$6:$J988,9,false)</f>
        <v>Astrodome Area, Medical Center South, NRG Park area, South Main</v>
      </c>
      <c r="AA351" s="44" t="str">
        <f>vlookup(B351,organizations!$B$1:$C988,2,false)</f>
        <v>Gulf Coast Community Services</v>
      </c>
      <c r="AB351" s="46" t="s">
        <v>1914</v>
      </c>
      <c r="AC351" s="53" t="str">
        <f t="shared" ref="AC351:AC354" si="58">PARSE_HOURS(I351)</f>
        <v>{"regular":[{"days":["Mo","Tu","We","Fr"],"open":"08:00","close":"16:00"}]}</v>
      </c>
      <c r="AD351" s="48" t="s">
        <v>927</v>
      </c>
      <c r="AE351" s="48" t="str">
        <f t="shared" si="56"/>
        <v>Gulf Coast Community Services9320 Kirby Drive13</v>
      </c>
      <c r="AF351" s="48" t="str">
        <f t="shared" si="57"/>
        <v/>
      </c>
    </row>
    <row r="352" ht="66.75" customHeight="1">
      <c r="A352" s="82" t="s">
        <v>1072</v>
      </c>
      <c r="B352" s="35" t="s">
        <v>1907</v>
      </c>
      <c r="C352" s="36" t="s">
        <v>1908</v>
      </c>
      <c r="D352" s="36" t="s">
        <v>157</v>
      </c>
      <c r="E352" s="36" t="s">
        <v>36</v>
      </c>
      <c r="F352" s="36" t="s">
        <v>37</v>
      </c>
      <c r="G352" s="35" t="s">
        <v>919</v>
      </c>
      <c r="H352" s="35" t="s">
        <v>1909</v>
      </c>
      <c r="I352" s="35" t="s">
        <v>272</v>
      </c>
      <c r="J352" s="36" t="s">
        <v>89</v>
      </c>
      <c r="K352" s="37">
        <f>IFERROR(__xludf.DUMMYFUNCTION("query(assistance!$A$2:$E988,""Select C Where D = '""&amp;L352&amp;""'"")"),44.0)</f>
        <v>44</v>
      </c>
      <c r="L352" s="36" t="s">
        <v>102</v>
      </c>
      <c r="M352" s="38">
        <f t="shared" si="55"/>
        <v>1</v>
      </c>
      <c r="N352" s="39" t="s">
        <v>42</v>
      </c>
      <c r="O352" s="57">
        <v>46064.0</v>
      </c>
      <c r="P352" s="35" t="s">
        <v>323</v>
      </c>
      <c r="Q352" s="72"/>
      <c r="R352" s="35" t="s">
        <v>1919</v>
      </c>
      <c r="S352" s="35" t="b">
        <v>0</v>
      </c>
      <c r="T352" s="35" t="b">
        <v>0</v>
      </c>
      <c r="U352" s="41" t="str">
        <f>IFERROR(__xludf.DUMMYFUNCTION("""["" &amp; JOIN("", "", ARRAYFORMULA("""""""" &amp; TRIM(SPLIT(A352,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V352" s="42" t="s">
        <v>1920</v>
      </c>
      <c r="W352" s="52" t="s">
        <v>1913</v>
      </c>
      <c r="X352" s="43"/>
      <c r="Y352" s="44" t="str">
        <f>vlookup(G352,zip_codes!$B$6:$J988,3,false)</f>
        <v>Houston</v>
      </c>
      <c r="Z352" s="45" t="str">
        <f>vlookup(G352,zip_codes!$B$6:$J988,9,false)</f>
        <v>Astrodome Area, Medical Center South, NRG Park area, South Main</v>
      </c>
      <c r="AA352" s="44" t="str">
        <f>vlookup(B352,organizations!$B$1:$C988,2,false)</f>
        <v>Gulf Coast Community Services</v>
      </c>
      <c r="AB352" s="46" t="s">
        <v>1914</v>
      </c>
      <c r="AC352" s="53" t="str">
        <f t="shared" si="58"/>
        <v>{"regular":[{"days":["Mo","Tu","We","Th","Fr"],"open":"08:00","close":"17:00"}]}</v>
      </c>
      <c r="AD352" s="48" t="s">
        <v>927</v>
      </c>
      <c r="AE352" s="48" t="str">
        <f t="shared" si="56"/>
        <v>Gulf Coast Community Services9320 Kirby Drive44</v>
      </c>
      <c r="AF352" s="48" t="str">
        <f t="shared" si="57"/>
        <v/>
      </c>
    </row>
    <row r="353" ht="66.75" customHeight="1">
      <c r="A353" s="82" t="s">
        <v>1072</v>
      </c>
      <c r="B353" s="35" t="s">
        <v>1907</v>
      </c>
      <c r="C353" s="36" t="s">
        <v>1908</v>
      </c>
      <c r="D353" s="36" t="s">
        <v>157</v>
      </c>
      <c r="E353" s="36" t="s">
        <v>36</v>
      </c>
      <c r="F353" s="36" t="s">
        <v>37</v>
      </c>
      <c r="G353" s="35" t="s">
        <v>919</v>
      </c>
      <c r="H353" s="35" t="s">
        <v>1909</v>
      </c>
      <c r="I353" s="35" t="s">
        <v>272</v>
      </c>
      <c r="J353" s="64"/>
      <c r="K353" s="37">
        <f>IFERROR(__xludf.DUMMYFUNCTION("query(assistance!$A$2:$E988,""Select C Where D = '""&amp;L353&amp;""'"")"),51.0)</f>
        <v>51</v>
      </c>
      <c r="L353" s="36" t="s">
        <v>468</v>
      </c>
      <c r="M353" s="38">
        <f t="shared" si="55"/>
        <v>1</v>
      </c>
      <c r="N353" s="39" t="s">
        <v>42</v>
      </c>
      <c r="O353" s="57">
        <v>46064.0</v>
      </c>
      <c r="P353" s="35" t="s">
        <v>323</v>
      </c>
      <c r="Q353" s="72"/>
      <c r="R353" s="35" t="s">
        <v>1921</v>
      </c>
      <c r="S353" s="35" t="b">
        <v>0</v>
      </c>
      <c r="T353" s="35" t="b">
        <v>0</v>
      </c>
      <c r="U353" s="41" t="str">
        <f>IFERROR(__xludf.DUMMYFUNCTION("""["" &amp; JOIN("", "", ARRAYFORMULA("""""""" &amp; TRIM(SPLIT(A353,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""77422"", ""77480"", ""77486"", ""77511"", ""77515"", ""77516"", ""77531"", ""77534"", ""77539"", ""77541"", ""77566"", ""77578"", ""77510"", "&amp;"""77517"", ""77518"", ""77549"", ""77550"", ""77551"", ""77552"", ""77553"", ""77554"", ""77555"", ""77563"", ""77565"", ""77568"", ""77573"", ""77590"", ""77591""]")</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V353" s="52" t="s">
        <v>1912</v>
      </c>
      <c r="W353" s="52" t="s">
        <v>1913</v>
      </c>
      <c r="X353" s="43"/>
      <c r="Y353" s="44" t="str">
        <f>vlookup(G353,zip_codes!$B$6:$J988,3,false)</f>
        <v>Houston</v>
      </c>
      <c r="Z353" s="45" t="str">
        <f>vlookup(G353,zip_codes!$B$6:$J988,9,false)</f>
        <v>Astrodome Area, Medical Center South, NRG Park area, South Main</v>
      </c>
      <c r="AA353" s="44" t="str">
        <f>vlookup(B353,organizations!$B$1:$C988,2,false)</f>
        <v>Gulf Coast Community Services</v>
      </c>
      <c r="AB353" s="46" t="s">
        <v>1914</v>
      </c>
      <c r="AC353" s="53" t="str">
        <f t="shared" si="58"/>
        <v>{"regular":[{"days":["Mo","Tu","We","Th","Fr"],"open":"08:00","close":"17:00"}]}</v>
      </c>
      <c r="AD353" s="48" t="s">
        <v>927</v>
      </c>
      <c r="AE353" s="48" t="str">
        <f t="shared" si="56"/>
        <v>Gulf Coast Community Services9320 Kirby Drive51</v>
      </c>
      <c r="AF353" s="48" t="str">
        <f t="shared" si="57"/>
        <v/>
      </c>
    </row>
    <row r="354" ht="66.75" customHeight="1">
      <c r="A354" s="49" t="s">
        <v>50</v>
      </c>
      <c r="B354" s="35" t="s">
        <v>1907</v>
      </c>
      <c r="C354" s="36" t="s">
        <v>1908</v>
      </c>
      <c r="D354" s="36" t="s">
        <v>157</v>
      </c>
      <c r="E354" s="36" t="s">
        <v>36</v>
      </c>
      <c r="F354" s="36" t="s">
        <v>37</v>
      </c>
      <c r="G354" s="35" t="s">
        <v>919</v>
      </c>
      <c r="H354" s="35" t="s">
        <v>1909</v>
      </c>
      <c r="I354" s="66"/>
      <c r="J354" s="89"/>
      <c r="K354" s="37">
        <f>IFERROR(__xludf.DUMMYFUNCTION("query(assistance!$A$2:$E988,""Select C Where D = '""&amp;L354&amp;""'"")"),53.0)</f>
        <v>53</v>
      </c>
      <c r="L354" s="36" t="s">
        <v>1109</v>
      </c>
      <c r="M354" s="39">
        <f>if(N354="Inactive",3,if(N354="Limited", 2, if(N354="Closed", 4, 1)))</f>
        <v>4</v>
      </c>
      <c r="N354" s="39" t="s">
        <v>57</v>
      </c>
      <c r="O354" s="57">
        <v>45810.0</v>
      </c>
      <c r="P354" s="35" t="s">
        <v>1922</v>
      </c>
      <c r="Q354" s="35"/>
      <c r="R354" s="35" t="s">
        <v>1923</v>
      </c>
      <c r="S354" s="35" t="b">
        <v>0</v>
      </c>
      <c r="T354" s="35" t="b">
        <v>0</v>
      </c>
      <c r="U354" s="41" t="str">
        <f>IFERROR(__xludf.DUMMYFUNCTION("""["" &amp; JOIN("", "", ARRAYFORMULA("""""""" &amp; TRIM(SPLIT(A354, "","")) &amp; """""""")) &amp; ""]"""),"[""99999""]")</f>
        <v>["99999"]</v>
      </c>
      <c r="V354" s="52" t="s">
        <v>1912</v>
      </c>
      <c r="W354" s="52" t="s">
        <v>1913</v>
      </c>
      <c r="X354" s="43"/>
      <c r="Y354" s="44" t="str">
        <f>vlookup(G354,zip_codes!$B$6:$J988,3,false)</f>
        <v>Houston</v>
      </c>
      <c r="Z354" s="45" t="str">
        <f>vlookup(G354,zip_codes!$B$6:$J988,9,false)</f>
        <v>Astrodome Area, Medical Center South, NRG Park area, South Main</v>
      </c>
      <c r="AA354" s="44" t="str">
        <f>vlookup(B354,organizations!$B$1:$C988,2,false)</f>
        <v>Gulf Coast Community Services</v>
      </c>
      <c r="AB354" s="46" t="s">
        <v>1914</v>
      </c>
      <c r="AC354" s="53" t="str">
        <f t="shared" si="58"/>
        <v/>
      </c>
      <c r="AD354" s="48" t="s">
        <v>927</v>
      </c>
      <c r="AE354" s="48" t="str">
        <f t="shared" si="56"/>
        <v>Gulf Coast Community Services9320 Kirby Drive53</v>
      </c>
      <c r="AF354" s="48" t="str">
        <f t="shared" si="57"/>
        <v/>
      </c>
    </row>
    <row r="355" ht="66.75" customHeight="1">
      <c r="A355" s="49" t="s">
        <v>50</v>
      </c>
      <c r="B355" s="35" t="s">
        <v>1924</v>
      </c>
      <c r="C355" s="36" t="s">
        <v>1925</v>
      </c>
      <c r="D355" s="36"/>
      <c r="E355" s="36" t="s">
        <v>36</v>
      </c>
      <c r="F355" s="36" t="s">
        <v>37</v>
      </c>
      <c r="G355" s="35" t="s">
        <v>919</v>
      </c>
      <c r="H355" s="92" t="s">
        <v>1926</v>
      </c>
      <c r="I355" s="35" t="s">
        <v>332</v>
      </c>
      <c r="J355" s="35" t="s">
        <v>89</v>
      </c>
      <c r="K355" s="37">
        <f>IFERROR(__xludf.DUMMYFUNCTION("query(assistance!$A$2:$E988,""Select C Where D = '""&amp;L355&amp;""'"")"),37.0)</f>
        <v>37</v>
      </c>
      <c r="L355" s="36" t="s">
        <v>309</v>
      </c>
      <c r="M355" s="38">
        <f t="shared" ref="M355:M373" si="59">if(N355="Inactive",3,if(N355="Limited", 2, 1))</f>
        <v>1</v>
      </c>
      <c r="N355" s="51" t="s">
        <v>42</v>
      </c>
      <c r="O355" s="57">
        <v>45792.0</v>
      </c>
      <c r="P355" s="35" t="s">
        <v>43</v>
      </c>
      <c r="Q355" s="35"/>
      <c r="R355" s="35" t="s">
        <v>1927</v>
      </c>
      <c r="S355" s="35" t="b">
        <v>0</v>
      </c>
      <c r="T355" s="35" t="b">
        <v>0</v>
      </c>
      <c r="U355" s="41" t="str">
        <f>IFERROR(__xludf.DUMMYFUNCTION("""["" &amp; JOIN("", "", ARRAYFORMULA("""""""" &amp; TRIM(SPLIT(A355, "","")) &amp; """""""")) &amp; ""]"""),"[""99999""]")</f>
        <v>["99999"]</v>
      </c>
      <c r="V355" s="42" t="s">
        <v>1928</v>
      </c>
      <c r="W355" s="42" t="s">
        <v>1929</v>
      </c>
      <c r="X355" s="43"/>
      <c r="Y355" s="44" t="str">
        <f>vlookup(G355,zip_codes!$B$6:$J988,3,false)</f>
        <v>Houston</v>
      </c>
      <c r="Z355" s="45" t="str">
        <f>vlookup(G355,zip_codes!$B$6:$J988,9,false)</f>
        <v>Astrodome Area, Medical Center South, NRG Park area, South Main</v>
      </c>
      <c r="AA355" s="44" t="str">
        <f>vlookup(B355,organizations!$B$1:$C988,2,false)</f>
        <v>Halo House Foundation</v>
      </c>
      <c r="AB355" s="46" t="s">
        <v>1930</v>
      </c>
      <c r="AC355" s="53" t="s">
        <v>335</v>
      </c>
      <c r="AD355" s="58" t="s">
        <v>1931</v>
      </c>
      <c r="AE355" s="48" t="str">
        <f t="shared" si="56"/>
        <v>Halo House Foundation2940 Corder Street37</v>
      </c>
      <c r="AF355" s="48" t="str">
        <f t="shared" si="57"/>
        <v/>
      </c>
    </row>
    <row r="356" ht="66.75" customHeight="1">
      <c r="A356" s="49" t="s">
        <v>50</v>
      </c>
      <c r="B356" s="35" t="s">
        <v>1932</v>
      </c>
      <c r="C356" s="36" t="s">
        <v>1933</v>
      </c>
      <c r="D356" s="36"/>
      <c r="E356" s="36" t="s">
        <v>36</v>
      </c>
      <c r="F356" s="36" t="s">
        <v>37</v>
      </c>
      <c r="G356" s="35" t="s">
        <v>1023</v>
      </c>
      <c r="H356" s="35" t="s">
        <v>1934</v>
      </c>
      <c r="I356" s="35" t="s">
        <v>272</v>
      </c>
      <c r="J356" s="36"/>
      <c r="K356" s="37">
        <f>IFERROR(__xludf.DUMMYFUNCTION("query(assistance!$A$2:$E988,""Select C Where D = '""&amp;L356&amp;""'"")"),24.0)</f>
        <v>24</v>
      </c>
      <c r="L356" s="36" t="s">
        <v>405</v>
      </c>
      <c r="M356" s="38">
        <f t="shared" si="59"/>
        <v>1</v>
      </c>
      <c r="N356" s="39" t="s">
        <v>42</v>
      </c>
      <c r="O356" s="57">
        <v>45758.0</v>
      </c>
      <c r="P356" s="35" t="s">
        <v>43</v>
      </c>
      <c r="Q356" s="35"/>
      <c r="R356" s="35" t="s">
        <v>1935</v>
      </c>
      <c r="S356" s="35" t="b">
        <v>0</v>
      </c>
      <c r="T356" s="35" t="b">
        <v>0</v>
      </c>
      <c r="U356" s="41" t="str">
        <f>IFERROR(__xludf.DUMMYFUNCTION("""["" &amp; JOIN("", "", ARRAYFORMULA("""""""" &amp; TRIM(SPLIT(A356, "","")) &amp; """""""")) &amp; ""]"""),"[""99999""]")</f>
        <v>["99999"]</v>
      </c>
      <c r="V356" s="42" t="s">
        <v>1936</v>
      </c>
      <c r="W356" s="42" t="s">
        <v>1937</v>
      </c>
      <c r="X356" s="43"/>
      <c r="Y356" s="44" t="str">
        <f>vlookup(G356,zip_codes!$B$6:$J988,3,false)</f>
        <v>Houston</v>
      </c>
      <c r="Z356" s="45" t="str">
        <f>vlookup(G356,zip_codes!$B$6:$J988,9,false)</f>
        <v>Downtown Houston, Memorial Park, Rice Military, Sawyer Heights, Washington Avenue Coalition / Memorial Park, Washington Corridor</v>
      </c>
      <c r="AA356" s="44" t="str">
        <f>vlookup(B356,organizations!$B$1:$C988,2,false)</f>
        <v>Harmony House, Inc.</v>
      </c>
      <c r="AB356" s="46" t="s">
        <v>1938</v>
      </c>
      <c r="AC356" s="47" t="s">
        <v>278</v>
      </c>
      <c r="AD356" s="48" t="s">
        <v>279</v>
      </c>
      <c r="AE356" s="48" t="str">
        <f t="shared" si="56"/>
        <v>Harmony House, Inc.702 Girard Street24</v>
      </c>
      <c r="AF356" s="48" t="str">
        <f t="shared" si="57"/>
        <v/>
      </c>
    </row>
    <row r="357" ht="66.75" customHeight="1">
      <c r="A357" s="49" t="s">
        <v>50</v>
      </c>
      <c r="B357" s="35" t="s">
        <v>1939</v>
      </c>
      <c r="C357" s="36" t="s">
        <v>1940</v>
      </c>
      <c r="D357" s="36"/>
      <c r="E357" s="36" t="s">
        <v>36</v>
      </c>
      <c r="F357" s="36" t="s">
        <v>37</v>
      </c>
      <c r="G357" s="35" t="s">
        <v>307</v>
      </c>
      <c r="H357" s="35" t="s">
        <v>1941</v>
      </c>
      <c r="I357" s="35" t="s">
        <v>516</v>
      </c>
      <c r="J357" s="35"/>
      <c r="K357" s="37">
        <f>IFERROR(__xludf.DUMMYFUNCTION("query(assistance!$A$2:$E988,""Select C Where D = '""&amp;L357&amp;""'"")"),33.0)</f>
        <v>33</v>
      </c>
      <c r="L357" s="36" t="s">
        <v>333</v>
      </c>
      <c r="M357" s="38">
        <f t="shared" si="59"/>
        <v>1</v>
      </c>
      <c r="N357" s="39" t="s">
        <v>42</v>
      </c>
      <c r="O357" s="57">
        <v>45948.0</v>
      </c>
      <c r="P357" s="35" t="s">
        <v>43</v>
      </c>
      <c r="Q357" s="35"/>
      <c r="R357" s="35" t="s">
        <v>1942</v>
      </c>
      <c r="S357" s="35" t="b">
        <v>0</v>
      </c>
      <c r="T357" s="35" t="b">
        <v>0</v>
      </c>
      <c r="U357" s="41" t="str">
        <f>IFERROR(__xludf.DUMMYFUNCTION("""["" &amp; JOIN("", "", ARRAYFORMULA("""""""" &amp; TRIM(SPLIT(A357, "","")) &amp; """""""")) &amp; ""]"""),"[""99999""]")</f>
        <v>["99999"]</v>
      </c>
      <c r="V357" s="42" t="s">
        <v>1943</v>
      </c>
      <c r="W357" s="42" t="s">
        <v>1944</v>
      </c>
      <c r="X357" s="43"/>
      <c r="Y357" s="44" t="str">
        <f>vlookup(G357,zip_codes!$B$6:$J988,3,false)</f>
        <v>Houston</v>
      </c>
      <c r="Z357" s="45" t="str">
        <f>vlookup(G357,zip_codes!$B$6:$J988,9,false)</f>
        <v>Central Southwest, Houston Museum District, South Central Houston, Southgate, Texas Medical Center</v>
      </c>
      <c r="AA357" s="44" t="str">
        <f>vlookup(B357,organizations!$B$1:$C988,2,false)</f>
        <v>The Harris Center for Mental Health &amp; IDD</v>
      </c>
      <c r="AB357" s="55" t="s">
        <v>1945</v>
      </c>
      <c r="AC357" s="47" t="s">
        <v>520</v>
      </c>
      <c r="AD357" s="48" t="s">
        <v>1456</v>
      </c>
      <c r="AE357" s="48" t="str">
        <f t="shared" si="56"/>
        <v>Harris Center - NeuroPsychiatric Center1502 Ben Taub Loop33</v>
      </c>
      <c r="AF357" s="48" t="str">
        <f t="shared" si="57"/>
        <v/>
      </c>
    </row>
    <row r="358" ht="66.75" customHeight="1">
      <c r="A358" s="49" t="s">
        <v>50</v>
      </c>
      <c r="B358" s="35" t="s">
        <v>1939</v>
      </c>
      <c r="C358" s="36" t="s">
        <v>1940</v>
      </c>
      <c r="D358" s="36"/>
      <c r="E358" s="36" t="s">
        <v>36</v>
      </c>
      <c r="F358" s="36" t="s">
        <v>37</v>
      </c>
      <c r="G358" s="35" t="s">
        <v>307</v>
      </c>
      <c r="H358" s="35" t="s">
        <v>1941</v>
      </c>
      <c r="I358" s="35" t="s">
        <v>516</v>
      </c>
      <c r="J358" s="35"/>
      <c r="K358" s="37">
        <f>IFERROR(__xludf.DUMMYFUNCTION("query(assistance!$A$2:$E988,""Select C Where D = '""&amp;L358&amp;""'"")"),34.0)</f>
        <v>34</v>
      </c>
      <c r="L358" s="36" t="s">
        <v>260</v>
      </c>
      <c r="M358" s="38">
        <f t="shared" si="59"/>
        <v>1</v>
      </c>
      <c r="N358" s="39" t="s">
        <v>42</v>
      </c>
      <c r="O358" s="57">
        <v>45948.0</v>
      </c>
      <c r="P358" s="35" t="s">
        <v>43</v>
      </c>
      <c r="Q358" s="35"/>
      <c r="R358" s="35" t="s">
        <v>1946</v>
      </c>
      <c r="S358" s="35" t="b">
        <v>0</v>
      </c>
      <c r="T358" s="35" t="b">
        <v>0</v>
      </c>
      <c r="U358" s="41" t="str">
        <f>IFERROR(__xludf.DUMMYFUNCTION("""["" &amp; JOIN("", "", ARRAYFORMULA("""""""" &amp; TRIM(SPLIT(A358, "","")) &amp; """""""")) &amp; ""]"""),"[""99999""]")</f>
        <v>["99999"]</v>
      </c>
      <c r="V358" s="42" t="s">
        <v>1943</v>
      </c>
      <c r="W358" s="42" t="s">
        <v>1944</v>
      </c>
      <c r="X358" s="43"/>
      <c r="Y358" s="44" t="str">
        <f>vlookup(G358,zip_codes!$B$6:$J988,3,false)</f>
        <v>Houston</v>
      </c>
      <c r="Z358" s="45" t="str">
        <f>vlookup(G358,zip_codes!$B$6:$J988,9,false)</f>
        <v>Central Southwest, Houston Museum District, South Central Houston, Southgate, Texas Medical Center</v>
      </c>
      <c r="AA358" s="44" t="str">
        <f>vlookup(B358,organizations!$B$1:$C988,2,false)</f>
        <v>The Harris Center for Mental Health &amp; IDD</v>
      </c>
      <c r="AB358" s="55" t="s">
        <v>1945</v>
      </c>
      <c r="AC358" s="47" t="s">
        <v>520</v>
      </c>
      <c r="AD358" s="48" t="s">
        <v>1456</v>
      </c>
      <c r="AE358" s="48" t="str">
        <f t="shared" si="56"/>
        <v>Harris Center - NeuroPsychiatric Center1502 Ben Taub Loop34</v>
      </c>
      <c r="AF358" s="48" t="str">
        <f t="shared" si="57"/>
        <v/>
      </c>
    </row>
    <row r="359" ht="66.75" customHeight="1">
      <c r="A359" s="49" t="s">
        <v>50</v>
      </c>
      <c r="B359" s="35" t="s">
        <v>1947</v>
      </c>
      <c r="C359" s="36" t="s">
        <v>1948</v>
      </c>
      <c r="D359" s="36"/>
      <c r="E359" s="36" t="s">
        <v>36</v>
      </c>
      <c r="F359" s="36" t="s">
        <v>37</v>
      </c>
      <c r="G359" s="35" t="s">
        <v>1949</v>
      </c>
      <c r="H359" s="35" t="s">
        <v>1941</v>
      </c>
      <c r="I359" s="35" t="s">
        <v>1586</v>
      </c>
      <c r="J359" s="35"/>
      <c r="K359" s="37">
        <f>IFERROR(__xludf.DUMMYFUNCTION("query(assistance!$A$2:$E988,""Select C Where D = '""&amp;L359&amp;""'"")"),33.0)</f>
        <v>33</v>
      </c>
      <c r="L359" s="36" t="s">
        <v>333</v>
      </c>
      <c r="M359" s="38">
        <f t="shared" si="59"/>
        <v>1</v>
      </c>
      <c r="N359" s="39" t="s">
        <v>42</v>
      </c>
      <c r="O359" s="57">
        <v>45948.0</v>
      </c>
      <c r="P359" s="35" t="s">
        <v>43</v>
      </c>
      <c r="Q359" s="35"/>
      <c r="R359" s="35" t="s">
        <v>1950</v>
      </c>
      <c r="S359" s="35" t="b">
        <v>0</v>
      </c>
      <c r="T359" s="35" t="b">
        <v>0</v>
      </c>
      <c r="U359" s="41" t="str">
        <f>IFERROR(__xludf.DUMMYFUNCTION("""["" &amp; JOIN("", "", ARRAYFORMULA("""""""" &amp; TRIM(SPLIT(A359, "","")) &amp; """""""")) &amp; ""]"""),"[""99999""]")</f>
        <v>["99999"]</v>
      </c>
      <c r="V359" s="42" t="s">
        <v>1943</v>
      </c>
      <c r="W359" s="42" t="s">
        <v>1951</v>
      </c>
      <c r="X359" s="43"/>
      <c r="Y359" s="44" t="str">
        <f>vlookup(G359,zip_codes!$B$6:$J988,3,false)</f>
        <v>Houston</v>
      </c>
      <c r="Z359" s="45" t="str">
        <f>vlookup(G359,zip_codes!$B$6:$J988,9,false)</f>
        <v>East Houston, Northside, Settegast</v>
      </c>
      <c r="AA359" s="44" t="str">
        <f>vlookup(B359,organizations!$B$1:$C988,2,false)</f>
        <v>The Harris Center for Mental Health &amp; IDD</v>
      </c>
      <c r="AB359" s="55" t="s">
        <v>1952</v>
      </c>
      <c r="AC359" s="47" t="s">
        <v>1589</v>
      </c>
      <c r="AD359" s="48" t="s">
        <v>356</v>
      </c>
      <c r="AE359" s="48" t="str">
        <f t="shared" si="56"/>
        <v>Harris Center - Northeast Community Service Center7200 North Loop East Fwy33</v>
      </c>
      <c r="AF359" s="48" t="str">
        <f t="shared" si="57"/>
        <v/>
      </c>
    </row>
    <row r="360" ht="66.75" customHeight="1">
      <c r="A360" s="49" t="s">
        <v>50</v>
      </c>
      <c r="B360" s="35" t="s">
        <v>1947</v>
      </c>
      <c r="C360" s="36" t="s">
        <v>1948</v>
      </c>
      <c r="D360" s="36"/>
      <c r="E360" s="36" t="s">
        <v>36</v>
      </c>
      <c r="F360" s="36" t="s">
        <v>37</v>
      </c>
      <c r="G360" s="35" t="s">
        <v>1949</v>
      </c>
      <c r="H360" s="35" t="s">
        <v>1941</v>
      </c>
      <c r="I360" s="35" t="s">
        <v>1586</v>
      </c>
      <c r="J360" s="35"/>
      <c r="K360" s="37">
        <f>IFERROR(__xludf.DUMMYFUNCTION("query(assistance!$A$2:$E988,""Select C Where D = '""&amp;L360&amp;""'"")"),34.0)</f>
        <v>34</v>
      </c>
      <c r="L360" s="36" t="s">
        <v>260</v>
      </c>
      <c r="M360" s="38">
        <f t="shared" si="59"/>
        <v>1</v>
      </c>
      <c r="N360" s="39" t="s">
        <v>42</v>
      </c>
      <c r="O360" s="57">
        <v>45948.0</v>
      </c>
      <c r="P360" s="35" t="s">
        <v>43</v>
      </c>
      <c r="Q360" s="35"/>
      <c r="R360" s="35" t="s">
        <v>1953</v>
      </c>
      <c r="S360" s="35" t="b">
        <v>0</v>
      </c>
      <c r="T360" s="35" t="b">
        <v>0</v>
      </c>
      <c r="U360" s="41" t="str">
        <f>IFERROR(__xludf.DUMMYFUNCTION("""["" &amp; JOIN("", "", ARRAYFORMULA("""""""" &amp; TRIM(SPLIT(A360, "","")) &amp; """""""")) &amp; ""]"""),"[""99999""]")</f>
        <v>["99999"]</v>
      </c>
      <c r="V360" s="42" t="s">
        <v>1943</v>
      </c>
      <c r="W360" s="42" t="s">
        <v>1951</v>
      </c>
      <c r="X360" s="43"/>
      <c r="Y360" s="44" t="str">
        <f>vlookup(G360,zip_codes!$B$6:$J988,3,false)</f>
        <v>Houston</v>
      </c>
      <c r="Z360" s="45" t="str">
        <f>vlookup(G360,zip_codes!$B$6:$J988,9,false)</f>
        <v>East Houston, Northside, Settegast</v>
      </c>
      <c r="AA360" s="44" t="str">
        <f>vlookup(B360,organizations!$B$1:$C988,2,false)</f>
        <v>The Harris Center for Mental Health &amp; IDD</v>
      </c>
      <c r="AB360" s="55" t="s">
        <v>1952</v>
      </c>
      <c r="AC360" s="47" t="s">
        <v>1589</v>
      </c>
      <c r="AD360" s="48" t="s">
        <v>356</v>
      </c>
      <c r="AE360" s="48" t="str">
        <f t="shared" si="56"/>
        <v>Harris Center - Northeast Community Service Center7200 North Loop East Fwy34</v>
      </c>
      <c r="AF360" s="48" t="str">
        <f t="shared" si="57"/>
        <v/>
      </c>
    </row>
    <row r="361" ht="66.75" customHeight="1">
      <c r="A361" s="49" t="s">
        <v>50</v>
      </c>
      <c r="B361" s="35" t="s">
        <v>1954</v>
      </c>
      <c r="C361" s="36" t="s">
        <v>1955</v>
      </c>
      <c r="D361" s="36"/>
      <c r="E361" s="36" t="s">
        <v>36</v>
      </c>
      <c r="F361" s="36" t="s">
        <v>37</v>
      </c>
      <c r="G361" s="35" t="s">
        <v>1265</v>
      </c>
      <c r="H361" s="35" t="s">
        <v>1941</v>
      </c>
      <c r="I361" s="35" t="s">
        <v>1586</v>
      </c>
      <c r="J361" s="35"/>
      <c r="K361" s="37">
        <f>IFERROR(__xludf.DUMMYFUNCTION("query(assistance!$A$2:$E988,""Select C Where D = '""&amp;L361&amp;""'"")"),33.0)</f>
        <v>33</v>
      </c>
      <c r="L361" s="36" t="s">
        <v>333</v>
      </c>
      <c r="M361" s="38">
        <f t="shared" si="59"/>
        <v>1</v>
      </c>
      <c r="N361" s="39" t="s">
        <v>42</v>
      </c>
      <c r="O361" s="57">
        <v>45948.0</v>
      </c>
      <c r="P361" s="35" t="s">
        <v>43</v>
      </c>
      <c r="Q361" s="35"/>
      <c r="R361" s="35" t="s">
        <v>1950</v>
      </c>
      <c r="S361" s="35" t="b">
        <v>0</v>
      </c>
      <c r="T361" s="35" t="b">
        <v>0</v>
      </c>
      <c r="U361" s="41" t="str">
        <f>IFERROR(__xludf.DUMMYFUNCTION("""["" &amp; JOIN("", "", ARRAYFORMULA("""""""" &amp; TRIM(SPLIT(A361, "","")) &amp; """""""")) &amp; ""]"""),"[""99999""]")</f>
        <v>["99999"]</v>
      </c>
      <c r="V361" s="42" t="s">
        <v>1943</v>
      </c>
      <c r="W361" s="42" t="s">
        <v>1956</v>
      </c>
      <c r="X361" s="43"/>
      <c r="Y361" s="44" t="str">
        <f>vlookup(G361,zip_codes!$B$6:$J988,3,false)</f>
        <v>Houston</v>
      </c>
      <c r="Z361" s="45" t="str">
        <f>vlookup(G361,zip_codes!$B$6:$J988,9,false)</f>
        <v>Central Northwest, Fairbanks / Northwest Crossing, Lazybrook / Timbergrove, Oak Forest West, Westside</v>
      </c>
      <c r="AA361" s="44" t="str">
        <f>vlookup(B361,organizations!$B$1:$C988,2,false)</f>
        <v>The Harris Center for Mental Health &amp; IDD</v>
      </c>
      <c r="AB361" s="55" t="s">
        <v>1957</v>
      </c>
      <c r="AC361" s="47" t="s">
        <v>1589</v>
      </c>
      <c r="AD361" s="48" t="s">
        <v>483</v>
      </c>
      <c r="AE361" s="48" t="str">
        <f t="shared" si="56"/>
        <v>Harris Center - Northwest Community Service Center3737 Dacoma Street33</v>
      </c>
      <c r="AF361" s="48" t="str">
        <f t="shared" si="57"/>
        <v/>
      </c>
    </row>
    <row r="362" ht="66.75" customHeight="1">
      <c r="A362" s="49" t="s">
        <v>50</v>
      </c>
      <c r="B362" s="35" t="s">
        <v>1954</v>
      </c>
      <c r="C362" s="36" t="s">
        <v>1955</v>
      </c>
      <c r="D362" s="36"/>
      <c r="E362" s="36" t="s">
        <v>36</v>
      </c>
      <c r="F362" s="36" t="s">
        <v>37</v>
      </c>
      <c r="G362" s="35" t="s">
        <v>1265</v>
      </c>
      <c r="H362" s="35" t="s">
        <v>1941</v>
      </c>
      <c r="I362" s="35" t="s">
        <v>1586</v>
      </c>
      <c r="J362" s="35"/>
      <c r="K362" s="37">
        <f>IFERROR(__xludf.DUMMYFUNCTION("query(assistance!$A$2:$E988,""Select C Where D = '""&amp;L362&amp;""'"")"),34.0)</f>
        <v>34</v>
      </c>
      <c r="L362" s="36" t="s">
        <v>260</v>
      </c>
      <c r="M362" s="38">
        <f t="shared" si="59"/>
        <v>1</v>
      </c>
      <c r="N362" s="39" t="s">
        <v>42</v>
      </c>
      <c r="O362" s="57">
        <v>45948.0</v>
      </c>
      <c r="P362" s="35" t="s">
        <v>43</v>
      </c>
      <c r="Q362" s="35"/>
      <c r="R362" s="35" t="s">
        <v>1953</v>
      </c>
      <c r="S362" s="35" t="b">
        <v>0</v>
      </c>
      <c r="T362" s="35" t="b">
        <v>0</v>
      </c>
      <c r="U362" s="41" t="str">
        <f>IFERROR(__xludf.DUMMYFUNCTION("""["" &amp; JOIN("", "", ARRAYFORMULA("""""""" &amp; TRIM(SPLIT(A362, "","")) &amp; """""""")) &amp; ""]"""),"[""99999""]")</f>
        <v>["99999"]</v>
      </c>
      <c r="V362" s="42" t="s">
        <v>1943</v>
      </c>
      <c r="W362" s="42" t="s">
        <v>1956</v>
      </c>
      <c r="X362" s="43"/>
      <c r="Y362" s="44" t="str">
        <f>vlookup(G362,zip_codes!$B$6:$J988,3,false)</f>
        <v>Houston</v>
      </c>
      <c r="Z362" s="45" t="str">
        <f>vlookup(G362,zip_codes!$B$6:$J988,9,false)</f>
        <v>Central Northwest, Fairbanks / Northwest Crossing, Lazybrook / Timbergrove, Oak Forest West, Westside</v>
      </c>
      <c r="AA362" s="44" t="str">
        <f>vlookup(B362,organizations!$B$1:$C988,2,false)</f>
        <v>The Harris Center for Mental Health &amp; IDD</v>
      </c>
      <c r="AB362" s="55" t="s">
        <v>1957</v>
      </c>
      <c r="AC362" s="47" t="s">
        <v>1589</v>
      </c>
      <c r="AD362" s="48" t="s">
        <v>483</v>
      </c>
      <c r="AE362" s="48" t="str">
        <f t="shared" si="56"/>
        <v>Harris Center - Northwest Community Service Center3737 Dacoma Street34</v>
      </c>
      <c r="AF362" s="48" t="str">
        <f t="shared" si="57"/>
        <v/>
      </c>
    </row>
    <row r="363" ht="66.75" customHeight="1">
      <c r="A363" s="49" t="s">
        <v>50</v>
      </c>
      <c r="B363" s="35" t="s">
        <v>1958</v>
      </c>
      <c r="C363" s="36" t="s">
        <v>1959</v>
      </c>
      <c r="D363" s="36"/>
      <c r="E363" s="36" t="s">
        <v>36</v>
      </c>
      <c r="F363" s="36" t="s">
        <v>37</v>
      </c>
      <c r="G363" s="35" t="s">
        <v>403</v>
      </c>
      <c r="H363" s="35" t="s">
        <v>1941</v>
      </c>
      <c r="I363" s="35" t="s">
        <v>516</v>
      </c>
      <c r="J363" s="35" t="s">
        <v>1960</v>
      </c>
      <c r="K363" s="37">
        <f>IFERROR(__xludf.DUMMYFUNCTION("query(assistance!$A$2:$E988,""Select C Where D = '""&amp;L363&amp;""'"")"),33.0)</f>
        <v>33</v>
      </c>
      <c r="L363" s="36" t="s">
        <v>333</v>
      </c>
      <c r="M363" s="38">
        <f t="shared" si="59"/>
        <v>1</v>
      </c>
      <c r="N363" s="39" t="s">
        <v>42</v>
      </c>
      <c r="O363" s="57">
        <v>45948.0</v>
      </c>
      <c r="P363" s="35" t="s">
        <v>43</v>
      </c>
      <c r="Q363" s="35"/>
      <c r="R363" s="35" t="s">
        <v>1961</v>
      </c>
      <c r="S363" s="35" t="b">
        <v>0</v>
      </c>
      <c r="T363" s="35" t="b">
        <v>0</v>
      </c>
      <c r="U363" s="41" t="str">
        <f>IFERROR(__xludf.DUMMYFUNCTION("""["" &amp; JOIN("", "", ARRAYFORMULA("""""""" &amp; TRIM(SPLIT(A363, "","")) &amp; """""""")) &amp; ""]"""),"[""99999""]")</f>
        <v>["99999"]</v>
      </c>
      <c r="V363" s="42" t="s">
        <v>1943</v>
      </c>
      <c r="W363" s="42" t="s">
        <v>1962</v>
      </c>
      <c r="X363" s="43"/>
      <c r="Y363" s="44" t="str">
        <f>vlookup(G363,zip_codes!$B$6:$J988,3,false)</f>
        <v>Houston</v>
      </c>
      <c r="Z363" s="45" t="str">
        <f>vlookup(G363,zip_codes!$B$6:$J988,9,false)</f>
        <v>Gulfgate, Gulfgate Riverview / Pine Valley, Pine Valley, Southeast Houston</v>
      </c>
      <c r="AA363" s="44" t="str">
        <f>vlookup(B363,organizations!$B$1:$C988,2,false)</f>
        <v>The Harris Center for Mental Health &amp; IDD</v>
      </c>
      <c r="AB363" s="55" t="s">
        <v>1963</v>
      </c>
      <c r="AC363" s="47" t="s">
        <v>520</v>
      </c>
      <c r="AD363" s="48" t="s">
        <v>411</v>
      </c>
      <c r="AE363" s="48" t="str">
        <f t="shared" si="56"/>
        <v>Harris Center - Respite, Rehabilitation &amp; Re-Entry Center6160 South Loop East33</v>
      </c>
      <c r="AF363" s="48" t="str">
        <f t="shared" si="57"/>
        <v/>
      </c>
    </row>
    <row r="364" ht="66.75" customHeight="1">
      <c r="A364" s="49" t="s">
        <v>50</v>
      </c>
      <c r="B364" s="35" t="s">
        <v>1964</v>
      </c>
      <c r="C364" s="36" t="s">
        <v>1965</v>
      </c>
      <c r="D364" s="36"/>
      <c r="E364" s="36" t="s">
        <v>36</v>
      </c>
      <c r="F364" s="36" t="s">
        <v>37</v>
      </c>
      <c r="G364" s="35" t="s">
        <v>403</v>
      </c>
      <c r="H364" s="35" t="s">
        <v>1941</v>
      </c>
      <c r="I364" s="35" t="s">
        <v>1586</v>
      </c>
      <c r="J364" s="35"/>
      <c r="K364" s="37">
        <f>IFERROR(__xludf.DUMMYFUNCTION("query(assistance!$A$2:$E988,""Select C Where D = '""&amp;L364&amp;""'"")"),31.0)</f>
        <v>31</v>
      </c>
      <c r="L364" s="36" t="s">
        <v>90</v>
      </c>
      <c r="M364" s="38">
        <f t="shared" si="59"/>
        <v>1</v>
      </c>
      <c r="N364" s="39" t="s">
        <v>42</v>
      </c>
      <c r="O364" s="57">
        <v>45948.0</v>
      </c>
      <c r="P364" s="35" t="s">
        <v>43</v>
      </c>
      <c r="Q364" s="35"/>
      <c r="R364" s="35" t="s">
        <v>1966</v>
      </c>
      <c r="S364" s="35" t="b">
        <v>0</v>
      </c>
      <c r="T364" s="35" t="b">
        <v>0</v>
      </c>
      <c r="U364" s="41" t="str">
        <f>IFERROR(__xludf.DUMMYFUNCTION("""["" &amp; JOIN("", "", ARRAYFORMULA("""""""" &amp; TRIM(SPLIT(A364, "","")) &amp; """""""")) &amp; ""]"""),"[""99999""]")</f>
        <v>["99999"]</v>
      </c>
      <c r="V364" s="42" t="s">
        <v>1943</v>
      </c>
      <c r="W364" s="42" t="s">
        <v>1967</v>
      </c>
      <c r="X364" s="43"/>
      <c r="Y364" s="44" t="str">
        <f>vlookup(G364,zip_codes!$B$6:$J988,3,false)</f>
        <v>Houston</v>
      </c>
      <c r="Z364" s="45" t="str">
        <f>vlookup(G364,zip_codes!$B$6:$J988,9,false)</f>
        <v>Gulfgate, Gulfgate Riverview / Pine Valley, Pine Valley, Southeast Houston</v>
      </c>
      <c r="AA364" s="44" t="str">
        <f>vlookup(B364,organizations!$B$1:$C988,2,false)</f>
        <v>The Harris Center for Mental Health &amp; IDD</v>
      </c>
      <c r="AB364" s="55" t="s">
        <v>1968</v>
      </c>
      <c r="AC364" s="47" t="s">
        <v>1589</v>
      </c>
      <c r="AD364" s="48" t="s">
        <v>472</v>
      </c>
      <c r="AE364" s="48" t="str">
        <f t="shared" si="56"/>
        <v>Harris Center - Southeast Community Service Center5901 Long Drive31</v>
      </c>
      <c r="AF364" s="48" t="str">
        <f t="shared" si="57"/>
        <v/>
      </c>
    </row>
    <row r="365" ht="66.75" customHeight="1">
      <c r="A365" s="49" t="s">
        <v>50</v>
      </c>
      <c r="B365" s="35" t="s">
        <v>1964</v>
      </c>
      <c r="C365" s="36" t="s">
        <v>1965</v>
      </c>
      <c r="D365" s="36"/>
      <c r="E365" s="36" t="s">
        <v>36</v>
      </c>
      <c r="F365" s="36" t="s">
        <v>37</v>
      </c>
      <c r="G365" s="35" t="s">
        <v>403</v>
      </c>
      <c r="H365" s="35" t="s">
        <v>1941</v>
      </c>
      <c r="I365" s="35" t="s">
        <v>1586</v>
      </c>
      <c r="J365" s="35"/>
      <c r="K365" s="37">
        <f>IFERROR(__xludf.DUMMYFUNCTION("query(assistance!$A$2:$E988,""Select C Where D = '""&amp;L365&amp;""'"")"),33.0)</f>
        <v>33</v>
      </c>
      <c r="L365" s="36" t="s">
        <v>333</v>
      </c>
      <c r="M365" s="38">
        <f t="shared" si="59"/>
        <v>1</v>
      </c>
      <c r="N365" s="39" t="s">
        <v>42</v>
      </c>
      <c r="O365" s="57">
        <v>45948.0</v>
      </c>
      <c r="P365" s="35" t="s">
        <v>43</v>
      </c>
      <c r="Q365" s="35"/>
      <c r="R365" s="35" t="s">
        <v>1969</v>
      </c>
      <c r="S365" s="35" t="b">
        <v>0</v>
      </c>
      <c r="T365" s="35" t="b">
        <v>0</v>
      </c>
      <c r="U365" s="41" t="str">
        <f>IFERROR(__xludf.DUMMYFUNCTION("""["" &amp; JOIN("", "", ARRAYFORMULA("""""""" &amp; TRIM(SPLIT(A365, "","")) &amp; """""""")) &amp; ""]"""),"[""99999""]")</f>
        <v>["99999"]</v>
      </c>
      <c r="V365" s="42" t="s">
        <v>1943</v>
      </c>
      <c r="W365" s="42" t="s">
        <v>1967</v>
      </c>
      <c r="X365" s="43"/>
      <c r="Y365" s="44" t="str">
        <f>vlookup(G365,zip_codes!$B$6:$J988,3,false)</f>
        <v>Houston</v>
      </c>
      <c r="Z365" s="45" t="str">
        <f>vlookup(G365,zip_codes!$B$6:$J988,9,false)</f>
        <v>Gulfgate, Gulfgate Riverview / Pine Valley, Pine Valley, Southeast Houston</v>
      </c>
      <c r="AA365" s="44" t="str">
        <f>vlookup(B365,organizations!$B$1:$C988,2,false)</f>
        <v>The Harris Center for Mental Health &amp; IDD</v>
      </c>
      <c r="AB365" s="55" t="s">
        <v>1968</v>
      </c>
      <c r="AC365" s="47" t="s">
        <v>1589</v>
      </c>
      <c r="AD365" s="48" t="s">
        <v>472</v>
      </c>
      <c r="AE365" s="48" t="str">
        <f t="shared" si="56"/>
        <v>Harris Center - Southeast Community Service Center5901 Long Drive33</v>
      </c>
      <c r="AF365" s="48" t="str">
        <f t="shared" si="57"/>
        <v/>
      </c>
    </row>
    <row r="366" ht="66.75" customHeight="1">
      <c r="A366" s="49" t="s">
        <v>50</v>
      </c>
      <c r="B366" s="35" t="s">
        <v>1964</v>
      </c>
      <c r="C366" s="36" t="s">
        <v>1965</v>
      </c>
      <c r="D366" s="36"/>
      <c r="E366" s="36" t="s">
        <v>36</v>
      </c>
      <c r="F366" s="36" t="s">
        <v>37</v>
      </c>
      <c r="G366" s="35" t="s">
        <v>403</v>
      </c>
      <c r="H366" s="35" t="s">
        <v>1941</v>
      </c>
      <c r="I366" s="35" t="s">
        <v>1586</v>
      </c>
      <c r="J366" s="35"/>
      <c r="K366" s="37">
        <f>IFERROR(__xludf.DUMMYFUNCTION("query(assistance!$A$2:$E988,""Select C Where D = '""&amp;L366&amp;""'"")"),34.0)</f>
        <v>34</v>
      </c>
      <c r="L366" s="36" t="s">
        <v>260</v>
      </c>
      <c r="M366" s="38">
        <f t="shared" si="59"/>
        <v>1</v>
      </c>
      <c r="N366" s="39" t="s">
        <v>42</v>
      </c>
      <c r="O366" s="57">
        <v>45948.0</v>
      </c>
      <c r="P366" s="35" t="s">
        <v>43</v>
      </c>
      <c r="Q366" s="35"/>
      <c r="R366" s="35" t="s">
        <v>1970</v>
      </c>
      <c r="S366" s="35" t="b">
        <v>0</v>
      </c>
      <c r="T366" s="35" t="b">
        <v>0</v>
      </c>
      <c r="U366" s="41" t="str">
        <f>IFERROR(__xludf.DUMMYFUNCTION("""["" &amp; JOIN("", "", ARRAYFORMULA("""""""" &amp; TRIM(SPLIT(A366, "","")) &amp; """""""")) &amp; ""]"""),"[""99999""]")</f>
        <v>["99999"]</v>
      </c>
      <c r="V366" s="42" t="s">
        <v>1943</v>
      </c>
      <c r="W366" s="42" t="s">
        <v>1967</v>
      </c>
      <c r="X366" s="43"/>
      <c r="Y366" s="44" t="str">
        <f>vlookup(G366,zip_codes!$B$6:$J988,3,false)</f>
        <v>Houston</v>
      </c>
      <c r="Z366" s="45" t="str">
        <f>vlookup(G366,zip_codes!$B$6:$J988,9,false)</f>
        <v>Gulfgate, Gulfgate Riverview / Pine Valley, Pine Valley, Southeast Houston</v>
      </c>
      <c r="AA366" s="44" t="str">
        <f>vlookup(B366,organizations!$B$1:$C988,2,false)</f>
        <v>The Harris Center for Mental Health &amp; IDD</v>
      </c>
      <c r="AB366" s="55" t="s">
        <v>1968</v>
      </c>
      <c r="AC366" s="47" t="s">
        <v>1589</v>
      </c>
      <c r="AD366" s="48" t="s">
        <v>472</v>
      </c>
      <c r="AE366" s="48" t="str">
        <f t="shared" si="56"/>
        <v>Harris Center - Southeast Community Service Center5901 Long Drive34</v>
      </c>
      <c r="AF366" s="48" t="str">
        <f t="shared" si="57"/>
        <v/>
      </c>
    </row>
    <row r="367" ht="66.75" customHeight="1">
      <c r="A367" s="49" t="s">
        <v>50</v>
      </c>
      <c r="B367" s="35" t="s">
        <v>1971</v>
      </c>
      <c r="C367" s="36" t="s">
        <v>1972</v>
      </c>
      <c r="D367" s="36"/>
      <c r="E367" s="36" t="s">
        <v>36</v>
      </c>
      <c r="F367" s="36" t="s">
        <v>37</v>
      </c>
      <c r="G367" s="35" t="s">
        <v>567</v>
      </c>
      <c r="H367" s="35" t="s">
        <v>1941</v>
      </c>
      <c r="I367" s="35" t="s">
        <v>1586</v>
      </c>
      <c r="J367" s="35"/>
      <c r="K367" s="37">
        <f>IFERROR(__xludf.DUMMYFUNCTION("query(assistance!$A$2:$E988,""Select C Where D = '""&amp;L367&amp;""'"")"),31.0)</f>
        <v>31</v>
      </c>
      <c r="L367" s="36" t="s">
        <v>90</v>
      </c>
      <c r="M367" s="38">
        <f t="shared" si="59"/>
        <v>1</v>
      </c>
      <c r="N367" s="39" t="s">
        <v>42</v>
      </c>
      <c r="O367" s="57">
        <v>45948.0</v>
      </c>
      <c r="P367" s="35" t="s">
        <v>43</v>
      </c>
      <c r="Q367" s="35"/>
      <c r="R367" s="35" t="s">
        <v>1973</v>
      </c>
      <c r="S367" s="35" t="b">
        <v>0</v>
      </c>
      <c r="T367" s="35" t="b">
        <v>0</v>
      </c>
      <c r="U367" s="41" t="str">
        <f>IFERROR(__xludf.DUMMYFUNCTION("""["" &amp; JOIN("", "", ARRAYFORMULA("""""""" &amp; TRIM(SPLIT(A367, "","")) &amp; """""""")) &amp; ""]"""),"[""99999""]")</f>
        <v>["99999"]</v>
      </c>
      <c r="V367" s="42" t="s">
        <v>1943</v>
      </c>
      <c r="W367" s="42" t="s">
        <v>1974</v>
      </c>
      <c r="X367" s="43"/>
      <c r="Y367" s="44" t="str">
        <f>vlookup(G367,zip_codes!$B$6:$J988,3,false)</f>
        <v>Houston</v>
      </c>
      <c r="Z367" s="45" t="str">
        <f>vlookup(G367,zip_codes!$B$6:$J988,9,false)</f>
        <v>Braeburn, Robindell, Sharpstown</v>
      </c>
      <c r="AA367" s="44" t="str">
        <f>vlookup(B367,organizations!$B$1:$C988,2,false)</f>
        <v>The Harris Center for Mental Health &amp; IDD</v>
      </c>
      <c r="AB367" s="55" t="s">
        <v>1975</v>
      </c>
      <c r="AC367" s="47" t="s">
        <v>1589</v>
      </c>
      <c r="AD367" s="48" t="s">
        <v>1976</v>
      </c>
      <c r="AE367" s="48" t="str">
        <f t="shared" si="56"/>
        <v>Harris Center - Southwest Community Service Center9401 Southwest Fwy31</v>
      </c>
      <c r="AF367" s="48" t="str">
        <f t="shared" si="57"/>
        <v/>
      </c>
    </row>
    <row r="368" ht="66.75" customHeight="1">
      <c r="A368" s="49" t="s">
        <v>50</v>
      </c>
      <c r="B368" s="35" t="s">
        <v>1971</v>
      </c>
      <c r="C368" s="36" t="s">
        <v>1972</v>
      </c>
      <c r="D368" s="36"/>
      <c r="E368" s="36" t="s">
        <v>36</v>
      </c>
      <c r="F368" s="36" t="s">
        <v>37</v>
      </c>
      <c r="G368" s="35" t="s">
        <v>567</v>
      </c>
      <c r="H368" s="35" t="s">
        <v>1941</v>
      </c>
      <c r="I368" s="35" t="s">
        <v>1586</v>
      </c>
      <c r="J368" s="35"/>
      <c r="K368" s="37">
        <f>IFERROR(__xludf.DUMMYFUNCTION("query(assistance!$A$2:$E988,""Select C Where D = '""&amp;L368&amp;""'"")"),33.0)</f>
        <v>33</v>
      </c>
      <c r="L368" s="36" t="s">
        <v>333</v>
      </c>
      <c r="M368" s="38">
        <f t="shared" si="59"/>
        <v>1</v>
      </c>
      <c r="N368" s="39" t="s">
        <v>42</v>
      </c>
      <c r="O368" s="57">
        <v>45948.0</v>
      </c>
      <c r="P368" s="35" t="s">
        <v>43</v>
      </c>
      <c r="Q368" s="35"/>
      <c r="R368" s="35" t="s">
        <v>1977</v>
      </c>
      <c r="S368" s="35" t="b">
        <v>0</v>
      </c>
      <c r="T368" s="35" t="b">
        <v>0</v>
      </c>
      <c r="U368" s="41" t="str">
        <f>IFERROR(__xludf.DUMMYFUNCTION("""["" &amp; JOIN("", "", ARRAYFORMULA("""""""" &amp; TRIM(SPLIT(A368, "","")) &amp; """""""")) &amp; ""]"""),"[""99999""]")</f>
        <v>["99999"]</v>
      </c>
      <c r="V368" s="42" t="s">
        <v>1943</v>
      </c>
      <c r="W368" s="42" t="s">
        <v>1974</v>
      </c>
      <c r="X368" s="43"/>
      <c r="Y368" s="44" t="str">
        <f>vlookup(G368,zip_codes!$B$6:$J988,3,false)</f>
        <v>Houston</v>
      </c>
      <c r="Z368" s="45" t="str">
        <f>vlookup(G368,zip_codes!$B$6:$J988,9,false)</f>
        <v>Braeburn, Robindell, Sharpstown</v>
      </c>
      <c r="AA368" s="44" t="str">
        <f>vlookup(B368,organizations!$B$1:$C988,2,false)</f>
        <v>The Harris Center for Mental Health &amp; IDD</v>
      </c>
      <c r="AB368" s="55" t="s">
        <v>1975</v>
      </c>
      <c r="AC368" s="47" t="s">
        <v>1589</v>
      </c>
      <c r="AD368" s="48" t="s">
        <v>1976</v>
      </c>
      <c r="AE368" s="48" t="str">
        <f t="shared" si="56"/>
        <v>Harris Center - Southwest Community Service Center9401 Southwest Fwy33</v>
      </c>
      <c r="AF368" s="48" t="str">
        <f t="shared" si="57"/>
        <v/>
      </c>
    </row>
    <row r="369" ht="66.75" customHeight="1">
      <c r="A369" s="49" t="s">
        <v>50</v>
      </c>
      <c r="B369" s="35" t="s">
        <v>1971</v>
      </c>
      <c r="C369" s="36" t="s">
        <v>1972</v>
      </c>
      <c r="D369" s="36"/>
      <c r="E369" s="36" t="s">
        <v>36</v>
      </c>
      <c r="F369" s="36" t="s">
        <v>37</v>
      </c>
      <c r="G369" s="35" t="s">
        <v>567</v>
      </c>
      <c r="H369" s="35" t="s">
        <v>1941</v>
      </c>
      <c r="I369" s="35" t="s">
        <v>1586</v>
      </c>
      <c r="J369" s="35"/>
      <c r="K369" s="37">
        <f>IFERROR(__xludf.DUMMYFUNCTION("query(assistance!$A$2:$E988,""Select C Where D = '""&amp;L369&amp;""'"")"),34.0)</f>
        <v>34</v>
      </c>
      <c r="L369" s="36" t="s">
        <v>260</v>
      </c>
      <c r="M369" s="38">
        <f t="shared" si="59"/>
        <v>1</v>
      </c>
      <c r="N369" s="39" t="s">
        <v>42</v>
      </c>
      <c r="O369" s="57">
        <v>45948.0</v>
      </c>
      <c r="P369" s="35" t="s">
        <v>43</v>
      </c>
      <c r="Q369" s="35"/>
      <c r="R369" s="35" t="s">
        <v>1978</v>
      </c>
      <c r="S369" s="35" t="b">
        <v>0</v>
      </c>
      <c r="T369" s="35" t="b">
        <v>0</v>
      </c>
      <c r="U369" s="41" t="str">
        <f>IFERROR(__xludf.DUMMYFUNCTION("""["" &amp; JOIN("", "", ARRAYFORMULA("""""""" &amp; TRIM(SPLIT(A369, "","")) &amp; """""""")) &amp; ""]"""),"[""99999""]")</f>
        <v>["99999"]</v>
      </c>
      <c r="V369" s="42" t="s">
        <v>1943</v>
      </c>
      <c r="W369" s="42" t="s">
        <v>1974</v>
      </c>
      <c r="X369" s="43"/>
      <c r="Y369" s="44" t="str">
        <f>vlookup(G369,zip_codes!$B$6:$J988,3,false)</f>
        <v>Houston</v>
      </c>
      <c r="Z369" s="45" t="str">
        <f>vlookup(G369,zip_codes!$B$6:$J988,9,false)</f>
        <v>Braeburn, Robindell, Sharpstown</v>
      </c>
      <c r="AA369" s="44" t="str">
        <f>vlookup(B369,organizations!$B$1:$C988,2,false)</f>
        <v>The Harris Center for Mental Health &amp; IDD</v>
      </c>
      <c r="AB369" s="55" t="s">
        <v>1975</v>
      </c>
      <c r="AC369" s="47" t="s">
        <v>1589</v>
      </c>
      <c r="AD369" s="48" t="s">
        <v>1976</v>
      </c>
      <c r="AE369" s="48" t="str">
        <f t="shared" si="56"/>
        <v>Harris Center - Southwest Community Service Center9401 Southwest Fwy34</v>
      </c>
      <c r="AF369" s="48" t="str">
        <f t="shared" si="57"/>
        <v/>
      </c>
    </row>
    <row r="370" ht="66.75" customHeight="1">
      <c r="A370" s="49" t="s">
        <v>1979</v>
      </c>
      <c r="B370" s="35" t="s">
        <v>1980</v>
      </c>
      <c r="C370" s="36" t="s">
        <v>1981</v>
      </c>
      <c r="D370" s="36"/>
      <c r="E370" s="36" t="s">
        <v>36</v>
      </c>
      <c r="F370" s="36" t="s">
        <v>37</v>
      </c>
      <c r="G370" s="35" t="s">
        <v>919</v>
      </c>
      <c r="H370" s="35" t="s">
        <v>1982</v>
      </c>
      <c r="I370" s="66"/>
      <c r="J370" s="66"/>
      <c r="K370" s="37">
        <f>IFERROR(__xludf.DUMMYFUNCTION("query(assistance!$A$2:$E988,""Select C Where D = '""&amp;L370&amp;""'"")"),61.0)</f>
        <v>61</v>
      </c>
      <c r="L370" s="36" t="s">
        <v>842</v>
      </c>
      <c r="M370" s="38">
        <f t="shared" si="59"/>
        <v>1</v>
      </c>
      <c r="N370" s="39" t="s">
        <v>42</v>
      </c>
      <c r="O370" s="40">
        <v>45667.0</v>
      </c>
      <c r="P370" s="35" t="s">
        <v>1983</v>
      </c>
      <c r="Q370" s="35"/>
      <c r="R370" s="35" t="s">
        <v>1984</v>
      </c>
      <c r="S370" s="35" t="b">
        <v>0</v>
      </c>
      <c r="T370" s="35" t="b">
        <v>0</v>
      </c>
      <c r="U370" s="41" t="str">
        <f>IFERROR(__xludf.DUMMYFUNCTION("""["" &amp; JOIN("", "", ARRAYFORMULA("""""""" &amp; TRIM(SPLIT(A370,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0" s="52" t="s">
        <v>1985</v>
      </c>
      <c r="W370" s="43"/>
      <c r="X370" s="43"/>
      <c r="Y370" s="44" t="str">
        <f>vlookup(G370,zip_codes!$B$6:$J988,3,false)</f>
        <v>Houston</v>
      </c>
      <c r="Z370" s="45" t="str">
        <f>vlookup(G370,zip_codes!$B$6:$J988,9,false)</f>
        <v>Astrodome Area, Medical Center South, NRG Park area, South Main</v>
      </c>
      <c r="AA370" s="44" t="str">
        <f>vlookup(B370,organizations!$B$1:$C988,2,false)</f>
        <v>Harris County</v>
      </c>
      <c r="AB370" s="46" t="s">
        <v>1986</v>
      </c>
      <c r="AC370" s="53"/>
      <c r="AD370" s="48" t="s">
        <v>1987</v>
      </c>
      <c r="AE370" s="48" t="str">
        <f t="shared" si="56"/>
        <v>Harris County Area Agency on Aging8000 N Stadium Drive61</v>
      </c>
      <c r="AF370" s="48" t="str">
        <f t="shared" si="57"/>
        <v/>
      </c>
    </row>
    <row r="371" ht="66.75" customHeight="1">
      <c r="A371" s="49" t="s">
        <v>1979</v>
      </c>
      <c r="B371" s="35" t="s">
        <v>1988</v>
      </c>
      <c r="C371" s="36" t="s">
        <v>1989</v>
      </c>
      <c r="D371" s="36" t="s">
        <v>1990</v>
      </c>
      <c r="E371" s="36" t="s">
        <v>36</v>
      </c>
      <c r="F371" s="36" t="s">
        <v>37</v>
      </c>
      <c r="G371" s="35" t="s">
        <v>270</v>
      </c>
      <c r="H371" s="35" t="s">
        <v>1991</v>
      </c>
      <c r="I371" s="50"/>
      <c r="J371" s="64"/>
      <c r="K371" s="37">
        <f>IFERROR(__xludf.DUMMYFUNCTION("query(assistance!$A$2:$E988,""Select C Where D = '""&amp;L371&amp;""'"")"),42.0)</f>
        <v>42</v>
      </c>
      <c r="L371" s="36" t="s">
        <v>273</v>
      </c>
      <c r="M371" s="38">
        <f t="shared" si="59"/>
        <v>1</v>
      </c>
      <c r="N371" s="39" t="s">
        <v>42</v>
      </c>
      <c r="O371" s="65"/>
      <c r="P371" s="50"/>
      <c r="Q371" s="35"/>
      <c r="R371" s="35" t="s">
        <v>1992</v>
      </c>
      <c r="S371" s="35" t="b">
        <v>0</v>
      </c>
      <c r="T371" s="35" t="b">
        <v>0</v>
      </c>
      <c r="U371" s="41" t="str">
        <f>IFERROR(__xludf.DUMMYFUNCTION("""["" &amp; JOIN("", "", ARRAYFORMULA("""""""" &amp; TRIM(SPLIT(A371,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1" s="52" t="s">
        <v>1993</v>
      </c>
      <c r="W371" s="52" t="s">
        <v>1994</v>
      </c>
      <c r="X371" s="43"/>
      <c r="Y371" s="44" t="str">
        <f>vlookup(G371,zip_codes!$B$6:$J988,3,false)</f>
        <v>Houston</v>
      </c>
      <c r="Z371" s="45" t="str">
        <f>vlookup(G371,zip_codes!$B$6:$J988,9,false)</f>
        <v>Central Business District, Downtown Houston, East Downtown, South Central Houston, Theater District, University Place, Warehouse District</v>
      </c>
      <c r="AA371" s="44" t="str">
        <f>vlookup(B371,organizations!$B$1:$C988,2,false)</f>
        <v>Harris County</v>
      </c>
      <c r="AB371" s="46" t="s">
        <v>1995</v>
      </c>
      <c r="AC371" s="53"/>
      <c r="AD371" s="48" t="s">
        <v>279</v>
      </c>
      <c r="AE371" s="48" t="str">
        <f t="shared" si="56"/>
        <v>Harris County Domestic Relations Office1310 Prairie Street42</v>
      </c>
      <c r="AF371" s="48" t="str">
        <f t="shared" si="57"/>
        <v/>
      </c>
    </row>
    <row r="372" ht="66.75" customHeight="1">
      <c r="A372" s="49" t="s">
        <v>1979</v>
      </c>
      <c r="B372" s="35" t="s">
        <v>1996</v>
      </c>
      <c r="C372" s="36" t="s">
        <v>1997</v>
      </c>
      <c r="D372" s="36"/>
      <c r="E372" s="36" t="s">
        <v>1274</v>
      </c>
      <c r="F372" s="36" t="s">
        <v>37</v>
      </c>
      <c r="G372" s="35" t="s">
        <v>1275</v>
      </c>
      <c r="H372" s="35" t="s">
        <v>1998</v>
      </c>
      <c r="I372" s="35" t="s">
        <v>1999</v>
      </c>
      <c r="J372" s="35"/>
      <c r="K372" s="37">
        <f>IFERROR(__xludf.DUMMYFUNCTION("query(assistance!$A$2:$E988,""Select C Where D = '""&amp;L372&amp;""'"")"),65.0)</f>
        <v>65</v>
      </c>
      <c r="L372" s="36" t="s">
        <v>41</v>
      </c>
      <c r="M372" s="38">
        <f t="shared" si="59"/>
        <v>1</v>
      </c>
      <c r="N372" s="39" t="s">
        <v>42</v>
      </c>
      <c r="O372" s="57">
        <v>46006.0</v>
      </c>
      <c r="P372" s="35" t="s">
        <v>43</v>
      </c>
      <c r="Q372" s="35"/>
      <c r="R372" s="35" t="s">
        <v>2000</v>
      </c>
      <c r="S372" s="35" t="b">
        <v>0</v>
      </c>
      <c r="T372" s="35" t="b">
        <v>0</v>
      </c>
      <c r="U372" s="41" t="str">
        <f>IFERROR(__xludf.DUMMYFUNCTION("""["" &amp; JOIN("", "", ARRAYFORMULA("""""""" &amp; TRIM(SPLIT(A372,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2" s="42" t="s">
        <v>2001</v>
      </c>
      <c r="W372" s="42" t="s">
        <v>2002</v>
      </c>
      <c r="X372" s="43"/>
      <c r="Y372" s="44" t="str">
        <f>vlookup(G372,zip_codes!$B$6:$J988,3,false)</f>
        <v>Crosby</v>
      </c>
      <c r="Z372" s="45" t="str">
        <f>vlookup(G372,zip_codes!$B$6:$J988,9,false)</f>
        <v>Burris, Crosby</v>
      </c>
      <c r="AA372" s="44" t="str">
        <f>vlookup(B372,organizations!$B$1:$C988,2,false)</f>
        <v>Harris County</v>
      </c>
      <c r="AB372" s="46" t="s">
        <v>2003</v>
      </c>
      <c r="AC372" s="47" t="s">
        <v>2004</v>
      </c>
      <c r="AD372" s="48" t="s">
        <v>1274</v>
      </c>
      <c r="AE372" s="48" t="str">
        <f t="shared" si="56"/>
        <v>Harris County Eastgate Cemetery21122 Crosby Eastgate Road65</v>
      </c>
      <c r="AF372" s="48" t="str">
        <f t="shared" si="57"/>
        <v/>
      </c>
    </row>
    <row r="373" ht="66.75" customHeight="1">
      <c r="A373" s="49" t="s">
        <v>1979</v>
      </c>
      <c r="B373" s="35" t="s">
        <v>2005</v>
      </c>
      <c r="C373" s="36" t="s">
        <v>2006</v>
      </c>
      <c r="D373" s="36"/>
      <c r="E373" s="36" t="s">
        <v>36</v>
      </c>
      <c r="F373" s="36" t="s">
        <v>37</v>
      </c>
      <c r="G373" s="35" t="s">
        <v>919</v>
      </c>
      <c r="H373" s="35" t="s">
        <v>2007</v>
      </c>
      <c r="I373" s="35" t="s">
        <v>67</v>
      </c>
      <c r="J373" s="35"/>
      <c r="K373" s="37">
        <f>IFERROR(__xludf.DUMMYFUNCTION("query(assistance!$A$2:$E988,""Select C Where D = '""&amp;L373&amp;""'"")"),62.0)</f>
        <v>62</v>
      </c>
      <c r="L373" s="36" t="s">
        <v>1112</v>
      </c>
      <c r="M373" s="38">
        <f t="shared" si="59"/>
        <v>1</v>
      </c>
      <c r="N373" s="39" t="s">
        <v>42</v>
      </c>
      <c r="O373" s="57">
        <v>45792.0</v>
      </c>
      <c r="P373" s="35" t="s">
        <v>43</v>
      </c>
      <c r="Q373" s="35"/>
      <c r="R373" s="35" t="s">
        <v>2008</v>
      </c>
      <c r="S373" s="35" t="b">
        <v>0</v>
      </c>
      <c r="T373" s="35" t="b">
        <v>0</v>
      </c>
      <c r="U373" s="41" t="str">
        <f>IFERROR(__xludf.DUMMYFUNCTION("""["" &amp; JOIN("", "", ARRAYFORMULA("""""""" &amp; TRIM(SPLIT(A373,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3" s="42" t="s">
        <v>2009</v>
      </c>
      <c r="W373" s="42" t="s">
        <v>2010</v>
      </c>
      <c r="X373" s="43"/>
      <c r="Y373" s="44" t="str">
        <f>vlookup(G373,zip_codes!$B$6:$J988,3,false)</f>
        <v>Houston</v>
      </c>
      <c r="Z373" s="45" t="str">
        <f>vlookup(G373,zip_codes!$B$6:$J988,9,false)</f>
        <v>Astrodome Area, Medical Center South, NRG Park area, South Main</v>
      </c>
      <c r="AA373" s="44" t="str">
        <f>vlookup(B373,organizations!$B$1:$C988,2,false)</f>
        <v>Harris County</v>
      </c>
      <c r="AB373" s="46" t="s">
        <v>2011</v>
      </c>
      <c r="AC373" s="47" t="s">
        <v>73</v>
      </c>
      <c r="AD373" s="48" t="s">
        <v>927</v>
      </c>
      <c r="AE373" s="48" t="str">
        <f t="shared" si="56"/>
        <v>Harris County Housing &amp; Community Development8410 Lantern Point Drive62</v>
      </c>
      <c r="AF373" s="48" t="str">
        <f t="shared" si="57"/>
        <v/>
      </c>
    </row>
    <row r="374" ht="66.75" customHeight="1">
      <c r="A374" s="34" t="s">
        <v>2012</v>
      </c>
      <c r="B374" s="35" t="s">
        <v>2013</v>
      </c>
      <c r="C374" s="36" t="s">
        <v>2014</v>
      </c>
      <c r="D374" s="36"/>
      <c r="E374" s="36" t="s">
        <v>36</v>
      </c>
      <c r="F374" s="36" t="s">
        <v>37</v>
      </c>
      <c r="G374" s="35" t="s">
        <v>557</v>
      </c>
      <c r="H374" s="35" t="s">
        <v>2015</v>
      </c>
      <c r="I374" s="35" t="s">
        <v>40</v>
      </c>
      <c r="J374" s="35"/>
      <c r="K374" s="37">
        <f>IFERROR(__xludf.DUMMYFUNCTION("query(assistance!$A$2:$E988,""Select C Where D = '""&amp;L374&amp;""'"")"),24.0)</f>
        <v>24</v>
      </c>
      <c r="L374" s="36" t="s">
        <v>405</v>
      </c>
      <c r="M374" s="39">
        <f>if(N374="Inactive",3,if(N374="Limited", 2, if(N374="Closed", 4, 1)))</f>
        <v>3</v>
      </c>
      <c r="N374" s="39" t="s">
        <v>973</v>
      </c>
      <c r="O374" s="57">
        <v>45874.0</v>
      </c>
      <c r="P374" s="35" t="s">
        <v>2016</v>
      </c>
      <c r="Q374" s="35"/>
      <c r="R374" s="35" t="s">
        <v>2017</v>
      </c>
      <c r="S374" s="35" t="b">
        <v>0</v>
      </c>
      <c r="T374" s="35" t="b">
        <v>0</v>
      </c>
      <c r="U374" s="41" t="str">
        <f>IFERROR(__xludf.DUMMYFUNCTION("""["" &amp; JOIN("", "", ARRAYFORMULA("""""""" &amp; TRIM(SPLIT(A374, "","")) &amp; """""""")) &amp; ""]"""),"[""77005"", ""77014"", ""77015"", ""77016"", ""77029"", ""77032"", ""77037"", ""77038"", ""77039"", ""77040"", ""77041"", ""77044"", ""77047"", ""77049"", ""77050"", ""77053"", ""77058"", ""77060"", ""77064"", ""77065"", ""77066"", ""77067"", ""77069"", "&amp;"""77070"", ""77073"", ""77078"", ""77082"", ""77084"", ""77086"", ""77088"", ""77089"", ""77090"", ""77093"", ""77094"", ""77095"", ""77336"", ""77338"", ""77339"", ""77345"", ""77346"", ""77357"", ""77365"", ""77373"", ""77375"", ""77377"", ""77379"", """&amp;"77388"", ""77389"", ""77396"", ""77401"", ""77429"", ""77429"", ""77433"", ""77447"", ""77449"", ""77450"", ""77484"", ""77493"", ""77494"", ""77507"", ""77530"", ""77532"", ""77532"", ""77536"", ""77546"", ""77547"", ""77547"", ""77562"", ""77571"", ""77"&amp;"586"", ""77587"", ""77598""]")</f>
        <v>["77005", "77014", "77015", "77016", "77029", "77032", "77037", "77038", "77039", "77040", "77041", "77044", "77047", "77049", "77050", "77053", "77058", "77060", "77064", "77065", "77066", "77067", "77069", "77070", "77073", "77078", "77082", "77084", "77086", "77088", "77089", "77090", "77093", "77094", "77095", "77336", "77338", "77339", "77345", "77346", "77357", "77365", "77373", "77375", "77377", "77379", "77388", "77389", "77396", "77401", "77429", "77429", "77433", "77447", "77449", "77450", "77484", "77493", "77494", "77507", "77530", "77532", "77532", "77536", "77546", "77547", "77547", "77562", "77571", "77586", "77587", "77598"]</v>
      </c>
      <c r="V374" s="52" t="s">
        <v>2018</v>
      </c>
      <c r="W374" s="52" t="s">
        <v>2019</v>
      </c>
      <c r="X374" s="43"/>
      <c r="Y374" s="44" t="str">
        <f>vlookup(G374,zip_codes!$B$6:$J988,3,false)</f>
        <v>Houston</v>
      </c>
      <c r="Z374" s="45" t="str">
        <f>vlookup(G374,zip_codes!$B$6:$J988,9,false)</f>
        <v>East Downtown, Downtown Houston, Second Ward, South Central Houston, South Side</v>
      </c>
      <c r="AA374" s="44" t="str">
        <f>vlookup(B374,organizations!$B$1:$C988,2,false)</f>
        <v>Harris County</v>
      </c>
      <c r="AB374" s="46" t="s">
        <v>2020</v>
      </c>
      <c r="AC374" s="47" t="s">
        <v>48</v>
      </c>
      <c r="AD374" s="48" t="s">
        <v>314</v>
      </c>
      <c r="AE374" s="48" t="str">
        <f t="shared" si="56"/>
        <v>Harris County Housing Authority1933 Hussion Street24</v>
      </c>
      <c r="AF374" s="48" t="str">
        <f t="shared" si="57"/>
        <v/>
      </c>
    </row>
    <row r="375" ht="66.75" customHeight="1">
      <c r="A375" s="49" t="s">
        <v>1979</v>
      </c>
      <c r="B375" s="35" t="s">
        <v>2021</v>
      </c>
      <c r="C375" s="36" t="s">
        <v>2022</v>
      </c>
      <c r="D375" s="36"/>
      <c r="E375" s="36" t="s">
        <v>36</v>
      </c>
      <c r="F375" s="36" t="s">
        <v>37</v>
      </c>
      <c r="G375" s="35" t="s">
        <v>2023</v>
      </c>
      <c r="H375" s="35" t="s">
        <v>1998</v>
      </c>
      <c r="I375" s="35" t="s">
        <v>2024</v>
      </c>
      <c r="J375" s="35"/>
      <c r="K375" s="37">
        <f>IFERROR(__xludf.DUMMYFUNCTION("query(assistance!$A$2:$E988,""Select C Where D = '""&amp;L375&amp;""'"")"),65.0)</f>
        <v>65</v>
      </c>
      <c r="L375" s="36" t="s">
        <v>41</v>
      </c>
      <c r="M375" s="38">
        <f t="shared" ref="M375:M376" si="60">if(N375="Inactive",3,if(N375="Limited", 2, 1))</f>
        <v>1</v>
      </c>
      <c r="N375" s="39" t="s">
        <v>42</v>
      </c>
      <c r="O375" s="57">
        <v>46006.0</v>
      </c>
      <c r="P375" s="35" t="s">
        <v>43</v>
      </c>
      <c r="Q375" s="35"/>
      <c r="R375" s="35" t="s">
        <v>2000</v>
      </c>
      <c r="S375" s="35" t="b">
        <v>0</v>
      </c>
      <c r="T375" s="35" t="b">
        <v>0</v>
      </c>
      <c r="U375" s="41" t="str">
        <f>IFERROR(__xludf.DUMMYFUNCTION("""["" &amp; JOIN("", "", ARRAYFORMULA("""""""" &amp; TRIM(SPLIT(A375,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5" s="42" t="s">
        <v>2001</v>
      </c>
      <c r="W375" s="42" t="s">
        <v>2025</v>
      </c>
      <c r="X375" s="43"/>
      <c r="Y375" s="44" t="str">
        <f>vlookup(G375,zip_codes!$B$6:$J988,3,false)</f>
        <v>Houston</v>
      </c>
      <c r="Z375" s="45" t="str">
        <f>vlookup(G375,zip_codes!$B$6:$J988,9,false)</f>
        <v>El Dorado / Oates Prairie, Pleasantville</v>
      </c>
      <c r="AA375" s="44" t="str">
        <f>vlookup(B375,organizations!$B$1:$C988,2,false)</f>
        <v>Harris County</v>
      </c>
      <c r="AB375" s="46" t="s">
        <v>2026</v>
      </c>
      <c r="AC375" s="47" t="s">
        <v>2027</v>
      </c>
      <c r="AD375" s="48" t="s">
        <v>2028</v>
      </c>
      <c r="AE375" s="48" t="str">
        <f t="shared" si="56"/>
        <v>Harris County Oats Cemetery5434 Oates Road65</v>
      </c>
      <c r="AF375" s="48" t="str">
        <f t="shared" si="57"/>
        <v/>
      </c>
    </row>
    <row r="376" ht="66.75" customHeight="1">
      <c r="A376" s="34" t="s">
        <v>2029</v>
      </c>
      <c r="B376" s="35" t="s">
        <v>2030</v>
      </c>
      <c r="C376" s="36" t="s">
        <v>2031</v>
      </c>
      <c r="D376" s="36"/>
      <c r="E376" s="36" t="s">
        <v>36</v>
      </c>
      <c r="F376" s="36" t="s">
        <v>37</v>
      </c>
      <c r="G376" s="35" t="s">
        <v>919</v>
      </c>
      <c r="H376" s="35" t="s">
        <v>2032</v>
      </c>
      <c r="I376" s="35" t="s">
        <v>2033</v>
      </c>
      <c r="J376" s="35"/>
      <c r="K376" s="37">
        <f>IFERROR(__xludf.DUMMYFUNCTION("query(assistance!$A$2:$E988,""Select C Where D = '""&amp;L376&amp;""'"")"),21.0)</f>
        <v>21</v>
      </c>
      <c r="L376" s="36" t="s">
        <v>777</v>
      </c>
      <c r="M376" s="38">
        <f t="shared" si="60"/>
        <v>1</v>
      </c>
      <c r="N376" s="51" t="s">
        <v>42</v>
      </c>
      <c r="O376" s="57">
        <v>45946.0</v>
      </c>
      <c r="P376" s="35" t="s">
        <v>43</v>
      </c>
      <c r="Q376" s="35"/>
      <c r="R376" s="35" t="s">
        <v>2034</v>
      </c>
      <c r="S376" s="35" t="b">
        <v>0</v>
      </c>
      <c r="T376" s="35" t="b">
        <v>0</v>
      </c>
      <c r="U376" s="41" t="str">
        <f>IFERROR(__xludf.DUMMYFUNCTION("""["" &amp; JOIN("", "", ARRAYFORMULA("""""""" &amp; TRIM(SPLIT(A376,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""77242"", ""77257"", ""77277"", ""77279"", ""77336"", ""77338"", ""77339"", ""77345"", ""77346"", ""77347"", ""77357"", ""77365"", ""77373"", ""77375"", ""77377"", ""77379"", ""77383"", ""77387"", ""77388"", ""77389"", ""77393"&amp;""", ""77396"", ""77401"", ""77410"", ""77429"", ""77433"", ""77447"", ""77449"", ""77450"", ""77493"", ""77501"", ""77502"", ""77503"", ""77504"", ""77505"", ""77506"", ""77507"", ""77508"", ""77520"", ""77521"", ""77530"", ""77532"", ""77535"", ""77536"""&amp;",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376" s="42" t="s">
        <v>2035</v>
      </c>
      <c r="W376" s="42" t="s">
        <v>2036</v>
      </c>
      <c r="X376" s="43"/>
      <c r="Y376" s="44" t="str">
        <f>vlookup(G376,zip_codes!$B$6:$J988,3,false)</f>
        <v>Houston</v>
      </c>
      <c r="Z376" s="45" t="str">
        <f>vlookup(G376,zip_codes!$B$6:$J988,9,false)</f>
        <v>Astrodome Area, Medical Center South, NRG Park area, South Main</v>
      </c>
      <c r="AA376" s="44" t="str">
        <f>vlookup(B376,organizations!$B$1:$C988,2,false)</f>
        <v>Harris County</v>
      </c>
      <c r="AB376" s="55" t="s">
        <v>2037</v>
      </c>
      <c r="AC376" s="47" t="s">
        <v>2038</v>
      </c>
      <c r="AD376" s="48" t="s">
        <v>927</v>
      </c>
      <c r="AE376" s="48" t="str">
        <f t="shared" si="56"/>
        <v>Harris County Resources for Children and Adults2525 Murworth Drive21</v>
      </c>
      <c r="AF376" s="48" t="str">
        <f t="shared" si="57"/>
        <v/>
      </c>
    </row>
    <row r="377" ht="66.75" customHeight="1">
      <c r="A377" s="49" t="s">
        <v>1979</v>
      </c>
      <c r="B377" s="35" t="s">
        <v>2039</v>
      </c>
      <c r="C377" s="36" t="s">
        <v>2040</v>
      </c>
      <c r="D377" s="36"/>
      <c r="E377" s="36" t="s">
        <v>36</v>
      </c>
      <c r="F377" s="36" t="s">
        <v>37</v>
      </c>
      <c r="G377" s="35" t="s">
        <v>1737</v>
      </c>
      <c r="H377" s="35" t="s">
        <v>2041</v>
      </c>
      <c r="I377" s="35" t="s">
        <v>272</v>
      </c>
      <c r="J377" s="35"/>
      <c r="K377" s="37">
        <f>IFERROR(__xludf.DUMMYFUNCTION("query(assistance!$A$2:$E988,""Select C Where D = '""&amp;L377&amp;""'"")"),11.0)</f>
        <v>11</v>
      </c>
      <c r="L377" s="36" t="s">
        <v>322</v>
      </c>
      <c r="M377" s="39">
        <f>if(N377="Inactive",3,if(N377="Limited", 2, if(N377="Closed", 4, 1)))</f>
        <v>4</v>
      </c>
      <c r="N377" s="39" t="s">
        <v>57</v>
      </c>
      <c r="O377" s="40">
        <v>45874.0</v>
      </c>
      <c r="P377" s="35" t="s">
        <v>2042</v>
      </c>
      <c r="Q377" s="35"/>
      <c r="R377" s="35" t="s">
        <v>2043</v>
      </c>
      <c r="S377" s="35" t="b">
        <v>0</v>
      </c>
      <c r="T377" s="35" t="b">
        <v>0</v>
      </c>
      <c r="U377" s="41" t="str">
        <f>IFERROR(__xludf.DUMMYFUNCTION("""["" &amp; JOIN("", "", ARRAYFORMULA("""""""" &amp; TRIM(SPLIT(A377,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7" s="52" t="s">
        <v>2044</v>
      </c>
      <c r="W377" s="52" t="s">
        <v>2045</v>
      </c>
      <c r="X377" s="43"/>
      <c r="Y377" s="44" t="str">
        <f>vlookup(G377,zip_codes!$B$6:$J988,3,false)</f>
        <v>Houston</v>
      </c>
      <c r="Z377" s="45" t="str">
        <f>vlookup(G377,zip_codes!$B$6:$J988,9,false)</f>
        <v>Eastex, Jensen, Northeast Houston</v>
      </c>
      <c r="AA377" s="44" t="str">
        <f>vlookup(B377,organizations!$B$1:$C988,2,false)</f>
        <v>Harris County</v>
      </c>
      <c r="AB377" s="46" t="s">
        <v>2046</v>
      </c>
      <c r="AC377" s="47" t="s">
        <v>278</v>
      </c>
      <c r="AD377" s="48" t="s">
        <v>1216</v>
      </c>
      <c r="AE377" s="48" t="str">
        <f t="shared" si="56"/>
        <v>Harris County Social Services9418 Jensen Drive11</v>
      </c>
      <c r="AF377" s="48" t="str">
        <f t="shared" si="57"/>
        <v/>
      </c>
    </row>
    <row r="378" ht="66.75" customHeight="1">
      <c r="A378" s="49" t="s">
        <v>50</v>
      </c>
      <c r="B378" s="35" t="s">
        <v>2047</v>
      </c>
      <c r="C378" s="36" t="s">
        <v>2048</v>
      </c>
      <c r="D378" s="36" t="s">
        <v>2049</v>
      </c>
      <c r="E378" s="36" t="s">
        <v>36</v>
      </c>
      <c r="F378" s="36" t="s">
        <v>37</v>
      </c>
      <c r="G378" s="56" t="s">
        <v>270</v>
      </c>
      <c r="H378" s="35" t="s">
        <v>2050</v>
      </c>
      <c r="I378" s="35" t="s">
        <v>272</v>
      </c>
      <c r="J378" s="35"/>
      <c r="K378" s="37">
        <f>IFERROR(__xludf.DUMMYFUNCTION("query(assistance!$A$2:$E988,""Select C Where D = '""&amp;L378&amp;""'"")"),56.0)</f>
        <v>56</v>
      </c>
      <c r="L378" s="36" t="s">
        <v>56</v>
      </c>
      <c r="M378" s="38">
        <f t="shared" ref="M378:M440" si="61">if(N378="Inactive",3,if(N378="Limited", 2, 1))</f>
        <v>1</v>
      </c>
      <c r="N378" s="39" t="s">
        <v>42</v>
      </c>
      <c r="O378" s="57">
        <v>46066.0</v>
      </c>
      <c r="P378" s="35" t="s">
        <v>43</v>
      </c>
      <c r="Q378" s="35"/>
      <c r="R378" s="35" t="s">
        <v>2051</v>
      </c>
      <c r="S378" s="35" t="b">
        <v>0</v>
      </c>
      <c r="T378" s="35" t="b">
        <v>0</v>
      </c>
      <c r="U378" s="35" t="str">
        <f>IFERROR(__xludf.DUMMYFUNCTION("""["" &amp; JOIN("", "", ARRAYFORMULA("""""""" &amp; TRIM(SPLIT(A378, "","")) &amp; """""""")) &amp; ""]"""),"[""99999""]")</f>
        <v>["99999"]</v>
      </c>
      <c r="V378" s="42" t="s">
        <v>2052</v>
      </c>
      <c r="W378" s="42" t="s">
        <v>2053</v>
      </c>
      <c r="X378" s="43"/>
      <c r="Y378" s="44" t="str">
        <f>vlookup(G378,zip_codes!$B$6:$J988,3,false)</f>
        <v>Houston</v>
      </c>
      <c r="Z378" s="45" t="str">
        <f>vlookup(G378,zip_codes!$B$6:$J988,9,false)</f>
        <v>Central Business District, Downtown Houston, East Downtown, South Central Houston, Theater District, University Place, Warehouse District</v>
      </c>
      <c r="AA378" s="44" t="str">
        <f>vlookup(B378,organizations!$B$1:$C988,2,false)</f>
        <v>Harris County</v>
      </c>
      <c r="AB378" s="55" t="s">
        <v>2054</v>
      </c>
      <c r="AC378" s="53" t="str">
        <f>PARSE_HOURS(I378)</f>
        <v>{"regular":[{"days":["Mo","Tu","We","Th","Fr"],"open":"08:00","close":"17:00"}]}</v>
      </c>
      <c r="AD378" s="58" t="s">
        <v>279</v>
      </c>
      <c r="AE378" s="48" t="str">
        <f t="shared" si="56"/>
        <v>Harris County Veterans Services Department2000 Travis Street56</v>
      </c>
      <c r="AF378" s="48"/>
    </row>
    <row r="379" ht="66.75" customHeight="1">
      <c r="A379" s="49" t="s">
        <v>1979</v>
      </c>
      <c r="B379" s="35" t="s">
        <v>2055</v>
      </c>
      <c r="C379" s="36" t="s">
        <v>2056</v>
      </c>
      <c r="D379" s="36"/>
      <c r="E379" s="36" t="s">
        <v>1306</v>
      </c>
      <c r="F379" s="36" t="s">
        <v>37</v>
      </c>
      <c r="G379" s="35" t="s">
        <v>1299</v>
      </c>
      <c r="H379" s="35" t="s">
        <v>2057</v>
      </c>
      <c r="I379" s="35" t="s">
        <v>272</v>
      </c>
      <c r="J379" s="35"/>
      <c r="K379" s="37">
        <f>IFERROR(__xludf.DUMMYFUNCTION("query(assistance!$A$2:$E988,""Select C Where D = '""&amp;L379&amp;""'"")"),31.0)</f>
        <v>31</v>
      </c>
      <c r="L379" s="36" t="s">
        <v>90</v>
      </c>
      <c r="M379" s="38">
        <f t="shared" si="61"/>
        <v>1</v>
      </c>
      <c r="N379" s="39" t="s">
        <v>42</v>
      </c>
      <c r="O379" s="57">
        <v>45805.0</v>
      </c>
      <c r="P379" s="35" t="s">
        <v>43</v>
      </c>
      <c r="Q379" s="35"/>
      <c r="R379" s="35" t="s">
        <v>2058</v>
      </c>
      <c r="S379" s="35" t="b">
        <v>0</v>
      </c>
      <c r="T379" s="35" t="b">
        <v>0</v>
      </c>
      <c r="U379" s="41" t="str">
        <f>IFERROR(__xludf.DUMMYFUNCTION("""["" &amp; JOIN("", "", ARRAYFORMULA("""""""" &amp; TRIM(SPLIT(A379,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79" s="52" t="s">
        <v>2059</v>
      </c>
      <c r="W379" s="42" t="s">
        <v>2060</v>
      </c>
      <c r="X379" s="43"/>
      <c r="Y379" s="44" t="str">
        <f>vlookup(G379,zip_codes!$B$6:$J988,3,false)</f>
        <v>Bellaire</v>
      </c>
      <c r="Z379" s="45" t="str">
        <f>vlookup(G379,zip_codes!$B$6:$J988,9,false)</f>
        <v>Bellaire</v>
      </c>
      <c r="AA379" s="44" t="str">
        <f>vlookup(B379,organizations!$B$1:$C988,2,false)</f>
        <v>Harris Health</v>
      </c>
      <c r="AB379" s="46" t="s">
        <v>2061</v>
      </c>
      <c r="AC379" s="47" t="s">
        <v>278</v>
      </c>
      <c r="AD379" s="48" t="s">
        <v>1306</v>
      </c>
      <c r="AE379" s="48" t="str">
        <f t="shared" si="56"/>
        <v>Harris Health4800 Fournace Place31</v>
      </c>
      <c r="AF379" s="48" t="str">
        <f t="shared" ref="AF379:AF422" si="62">if(AE379=AE378,"XXX","")</f>
        <v/>
      </c>
    </row>
    <row r="380" ht="66.75" customHeight="1">
      <c r="A380" s="49" t="s">
        <v>1979</v>
      </c>
      <c r="B380" s="35" t="s">
        <v>2062</v>
      </c>
      <c r="C380" s="36" t="s">
        <v>2063</v>
      </c>
      <c r="D380" s="36"/>
      <c r="E380" s="36" t="s">
        <v>36</v>
      </c>
      <c r="F380" s="36" t="s">
        <v>37</v>
      </c>
      <c r="G380" s="35" t="s">
        <v>1898</v>
      </c>
      <c r="H380" s="35" t="s">
        <v>2064</v>
      </c>
      <c r="I380" s="35" t="s">
        <v>272</v>
      </c>
      <c r="J380" s="35"/>
      <c r="K380" s="37">
        <f>IFERROR(__xludf.DUMMYFUNCTION("query(assistance!$A$2:$E988,""Select C Where D = '""&amp;L380&amp;""'"")"),31.0)</f>
        <v>31</v>
      </c>
      <c r="L380" s="36" t="s">
        <v>90</v>
      </c>
      <c r="M380" s="38">
        <f t="shared" si="61"/>
        <v>1</v>
      </c>
      <c r="N380" s="39" t="s">
        <v>42</v>
      </c>
      <c r="O380" s="57">
        <v>45805.0</v>
      </c>
      <c r="P380" s="35" t="s">
        <v>43</v>
      </c>
      <c r="Q380" s="35"/>
      <c r="R380" s="35" t="s">
        <v>2065</v>
      </c>
      <c r="S380" s="35" t="b">
        <v>0</v>
      </c>
      <c r="T380" s="35" t="b">
        <v>0</v>
      </c>
      <c r="U380" s="41" t="str">
        <f>IFERROR(__xludf.DUMMYFUNCTION("""["" &amp; JOIN("", "", ARRAYFORMULA("""""""" &amp; TRIM(SPLIT(A380,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0" s="42" t="s">
        <v>2066</v>
      </c>
      <c r="W380" s="42" t="s">
        <v>2067</v>
      </c>
      <c r="X380" s="43"/>
      <c r="Y380" s="44" t="str">
        <f>vlookup(G380,zip_codes!$B$6:$J988,3,false)</f>
        <v>Houston</v>
      </c>
      <c r="Z380" s="45" t="str">
        <f>vlookup(G380,zip_codes!$B$6:$J988,9,false)</f>
        <v>Acres Home, Inwood, Northside</v>
      </c>
      <c r="AA380" s="44" t="str">
        <f>vlookup(B380,organizations!$B$1:$C988,2,false)</f>
        <v>Harris Health</v>
      </c>
      <c r="AB380" s="46" t="s">
        <v>2068</v>
      </c>
      <c r="AC380" s="47" t="s">
        <v>278</v>
      </c>
      <c r="AD380" s="48" t="s">
        <v>2069</v>
      </c>
      <c r="AE380" s="48" t="str">
        <f t="shared" si="56"/>
        <v>Harris Health - Acres Home818 Ringold Street31</v>
      </c>
      <c r="AF380" s="48" t="str">
        <f t="shared" si="62"/>
        <v/>
      </c>
    </row>
    <row r="381" ht="66.75" customHeight="1">
      <c r="A381" s="49" t="s">
        <v>1979</v>
      </c>
      <c r="B381" s="35" t="s">
        <v>2070</v>
      </c>
      <c r="C381" s="36" t="s">
        <v>2071</v>
      </c>
      <c r="D381" s="36"/>
      <c r="E381" s="36" t="s">
        <v>36</v>
      </c>
      <c r="F381" s="36" t="s">
        <v>37</v>
      </c>
      <c r="G381" s="35" t="s">
        <v>580</v>
      </c>
      <c r="H381" s="35" t="s">
        <v>2072</v>
      </c>
      <c r="I381" s="35" t="s">
        <v>272</v>
      </c>
      <c r="J381" s="35"/>
      <c r="K381" s="37">
        <f>IFERROR(__xludf.DUMMYFUNCTION("query(assistance!$A$2:$E988,""Select C Where D = '""&amp;L381&amp;""'"")"),31.0)</f>
        <v>31</v>
      </c>
      <c r="L381" s="36" t="s">
        <v>90</v>
      </c>
      <c r="M381" s="38">
        <f t="shared" si="61"/>
        <v>1</v>
      </c>
      <c r="N381" s="39" t="s">
        <v>42</v>
      </c>
      <c r="O381" s="57">
        <v>46049.0</v>
      </c>
      <c r="P381" s="35" t="s">
        <v>43</v>
      </c>
      <c r="Q381" s="35"/>
      <c r="R381" s="35" t="s">
        <v>2073</v>
      </c>
      <c r="S381" s="35" t="b">
        <v>0</v>
      </c>
      <c r="T381" s="35" t="b">
        <v>0</v>
      </c>
      <c r="U381" s="41" t="str">
        <f>IFERROR(__xludf.DUMMYFUNCTION("""["" &amp; JOIN("", "", ARRAYFORMULA("""""""" &amp; TRIM(SPLIT(A381,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1" s="42" t="s">
        <v>2074</v>
      </c>
      <c r="W381" s="59" t="s">
        <v>2075</v>
      </c>
      <c r="X381" s="43"/>
      <c r="Y381" s="44" t="str">
        <f>vlookup(G381,zip_codes!$B$6:$J988,3,false)</f>
        <v>Houston</v>
      </c>
      <c r="Z381" s="45" t="str">
        <f>vlookup(G381,zip_codes!$B$6:$J988,9,false)</f>
        <v>Airline, Aldine, Fairgreen, High Meadows</v>
      </c>
      <c r="AA381" s="44" t="str">
        <f>vlookup(B381,organizations!$B$1:$C988,2,false)</f>
        <v>Harris Health</v>
      </c>
      <c r="AB381" s="46" t="s">
        <v>2076</v>
      </c>
      <c r="AC381" s="47" t="s">
        <v>278</v>
      </c>
      <c r="AD381" s="58" t="s">
        <v>587</v>
      </c>
      <c r="AE381" s="48" t="str">
        <f t="shared" si="56"/>
        <v>Harris Health - Aldine4755 Aldine Mail Route31</v>
      </c>
      <c r="AF381" s="48" t="str">
        <f t="shared" si="62"/>
        <v/>
      </c>
    </row>
    <row r="382" ht="66.75" customHeight="1">
      <c r="A382" s="49" t="s">
        <v>1979</v>
      </c>
      <c r="B382" s="35" t="s">
        <v>2070</v>
      </c>
      <c r="C382" s="36" t="s">
        <v>2071</v>
      </c>
      <c r="D382" s="36"/>
      <c r="E382" s="36" t="s">
        <v>36</v>
      </c>
      <c r="F382" s="36" t="s">
        <v>37</v>
      </c>
      <c r="G382" s="35" t="s">
        <v>580</v>
      </c>
      <c r="H382" s="35" t="s">
        <v>2072</v>
      </c>
      <c r="I382" s="35" t="s">
        <v>272</v>
      </c>
      <c r="J382" s="35"/>
      <c r="K382" s="37">
        <f>IFERROR(__xludf.DUMMYFUNCTION("query(assistance!$A$2:$E988,""Select C Where D = '""&amp;L382&amp;""'"")"),32.0)</f>
        <v>32</v>
      </c>
      <c r="L382" s="36" t="s">
        <v>208</v>
      </c>
      <c r="M382" s="38">
        <f t="shared" si="61"/>
        <v>1</v>
      </c>
      <c r="N382" s="39" t="s">
        <v>42</v>
      </c>
      <c r="O382" s="57">
        <v>46049.0</v>
      </c>
      <c r="P382" s="35" t="s">
        <v>43</v>
      </c>
      <c r="Q382" s="35"/>
      <c r="R382" s="35" t="s">
        <v>2077</v>
      </c>
      <c r="S382" s="35" t="b">
        <v>1</v>
      </c>
      <c r="T382" s="35" t="b">
        <v>0</v>
      </c>
      <c r="U382" s="41" t="str">
        <f>IFERROR(__xludf.DUMMYFUNCTION("""["" &amp; JOIN("", "", ARRAYFORMULA("""""""" &amp; TRIM(SPLIT(A382,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2" s="42" t="s">
        <v>2074</v>
      </c>
      <c r="W382" s="59" t="s">
        <v>2075</v>
      </c>
      <c r="X382" s="43"/>
      <c r="Y382" s="44" t="str">
        <f>vlookup(G382,zip_codes!$B$6:$J988,3,false)</f>
        <v>Houston</v>
      </c>
      <c r="Z382" s="45" t="str">
        <f>vlookup(G382,zip_codes!$B$6:$J988,9,false)</f>
        <v>Airline, Aldine, Fairgreen, High Meadows</v>
      </c>
      <c r="AA382" s="44" t="str">
        <f>vlookup(B382,organizations!$B$1:$C988,2,false)</f>
        <v>Harris Health</v>
      </c>
      <c r="AB382" s="46" t="s">
        <v>2076</v>
      </c>
      <c r="AC382" s="47" t="s">
        <v>278</v>
      </c>
      <c r="AD382" s="58" t="s">
        <v>587</v>
      </c>
      <c r="AE382" s="48" t="str">
        <f t="shared" si="56"/>
        <v>Harris Health - Aldine4755 Aldine Mail Route32</v>
      </c>
      <c r="AF382" s="48" t="str">
        <f t="shared" si="62"/>
        <v/>
      </c>
    </row>
    <row r="383" ht="66.75" customHeight="1">
      <c r="A383" s="49" t="s">
        <v>1979</v>
      </c>
      <c r="B383" s="35" t="s">
        <v>2078</v>
      </c>
      <c r="C383" s="36" t="s">
        <v>2079</v>
      </c>
      <c r="D383" s="36"/>
      <c r="E383" s="36" t="s">
        <v>774</v>
      </c>
      <c r="F383" s="36" t="s">
        <v>37</v>
      </c>
      <c r="G383" s="35" t="s">
        <v>775</v>
      </c>
      <c r="H383" s="35" t="s">
        <v>2080</v>
      </c>
      <c r="I383" s="35" t="s">
        <v>202</v>
      </c>
      <c r="J383" s="35"/>
      <c r="K383" s="37">
        <f>IFERROR(__xludf.DUMMYFUNCTION("query(assistance!$A$2:$E988,""Select C Where D = '""&amp;L383&amp;""'"")"),31.0)</f>
        <v>31</v>
      </c>
      <c r="L383" s="36" t="s">
        <v>90</v>
      </c>
      <c r="M383" s="38">
        <f t="shared" si="61"/>
        <v>1</v>
      </c>
      <c r="N383" s="39" t="s">
        <v>42</v>
      </c>
      <c r="O383" s="57">
        <v>45805.0</v>
      </c>
      <c r="P383" s="35" t="s">
        <v>43</v>
      </c>
      <c r="Q383" s="35"/>
      <c r="R383" s="35" t="s">
        <v>2081</v>
      </c>
      <c r="S383" s="35" t="b">
        <v>0</v>
      </c>
      <c r="T383" s="35" t="b">
        <v>0</v>
      </c>
      <c r="U383" s="41" t="str">
        <f>IFERROR(__xludf.DUMMYFUNCTION("""["" &amp; JOIN("", "", ARRAYFORMULA("""""""" &amp; TRIM(SPLIT(A383,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3" s="42" t="s">
        <v>2082</v>
      </c>
      <c r="W383" s="42" t="s">
        <v>2083</v>
      </c>
      <c r="X383" s="43"/>
      <c r="Y383" s="44" t="str">
        <f>vlookup(G383,zip_codes!$B$6:$J988,3,false)</f>
        <v>Baytown</v>
      </c>
      <c r="Z383" s="45" t="str">
        <f>vlookup(G383,zip_codes!$B$6:$J988,9,false)</f>
        <v>Amelia Airhart, Baytown, East Baytown</v>
      </c>
      <c r="AA383" s="44" t="str">
        <f>vlookup(B383,organizations!$B$1:$C988,2,false)</f>
        <v>Harris Health</v>
      </c>
      <c r="AB383" s="46" t="s">
        <v>2084</v>
      </c>
      <c r="AC383" s="47" t="s">
        <v>206</v>
      </c>
      <c r="AD383" s="48" t="s">
        <v>774</v>
      </c>
      <c r="AE383" s="48" t="str">
        <f t="shared" si="56"/>
        <v>Harris Health - Baytown1602 Garth Road31</v>
      </c>
      <c r="AF383" s="48" t="str">
        <f t="shared" si="62"/>
        <v/>
      </c>
    </row>
    <row r="384" ht="66.75" customHeight="1">
      <c r="A384" s="49" t="s">
        <v>1979</v>
      </c>
      <c r="B384" s="35" t="s">
        <v>2085</v>
      </c>
      <c r="C384" s="36" t="s">
        <v>2086</v>
      </c>
      <c r="D384" s="36"/>
      <c r="E384" s="36" t="s">
        <v>36</v>
      </c>
      <c r="F384" s="36" t="s">
        <v>37</v>
      </c>
      <c r="G384" s="35" t="s">
        <v>307</v>
      </c>
      <c r="H384" s="35" t="s">
        <v>2087</v>
      </c>
      <c r="I384" s="35" t="s">
        <v>516</v>
      </c>
      <c r="J384" s="35" t="s">
        <v>2088</v>
      </c>
      <c r="K384" s="37">
        <f>IFERROR(__xludf.DUMMYFUNCTION("query(assistance!$A$2:$E988,""Select C Where D = '""&amp;L384&amp;""'"")"),31.0)</f>
        <v>31</v>
      </c>
      <c r="L384" s="36" t="s">
        <v>90</v>
      </c>
      <c r="M384" s="38">
        <f t="shared" si="61"/>
        <v>1</v>
      </c>
      <c r="N384" s="39" t="s">
        <v>42</v>
      </c>
      <c r="O384" s="57">
        <v>45805.0</v>
      </c>
      <c r="P384" s="35" t="s">
        <v>43</v>
      </c>
      <c r="Q384" s="35"/>
      <c r="R384" s="35" t="s">
        <v>2089</v>
      </c>
      <c r="S384" s="35" t="b">
        <v>0</v>
      </c>
      <c r="T384" s="35" t="b">
        <v>0</v>
      </c>
      <c r="U384" s="41" t="str">
        <f>IFERROR(__xludf.DUMMYFUNCTION("""["" &amp; JOIN("", "", ARRAYFORMULA("""""""" &amp; TRIM(SPLIT(A384,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4" s="42" t="s">
        <v>2090</v>
      </c>
      <c r="W384" s="42" t="s">
        <v>2091</v>
      </c>
      <c r="X384" s="43"/>
      <c r="Y384" s="44" t="str">
        <f>vlookup(G384,zip_codes!$B$6:$J988,3,false)</f>
        <v>Houston</v>
      </c>
      <c r="Z384" s="45" t="str">
        <f>vlookup(G384,zip_codes!$B$6:$J988,9,false)</f>
        <v>Central Southwest, Houston Museum District, South Central Houston, Southgate, Texas Medical Center</v>
      </c>
      <c r="AA384" s="44" t="str">
        <f>vlookup(B384,organizations!$B$1:$C988,2,false)</f>
        <v>Harris Health</v>
      </c>
      <c r="AB384" s="46" t="s">
        <v>2092</v>
      </c>
      <c r="AC384" s="47" t="s">
        <v>520</v>
      </c>
      <c r="AD384" s="48" t="s">
        <v>314</v>
      </c>
      <c r="AE384" s="48" t="str">
        <f t="shared" si="56"/>
        <v>Harris Health - Ben Taub Hospital1504 Taub Loop31</v>
      </c>
      <c r="AF384" s="48" t="str">
        <f t="shared" si="62"/>
        <v/>
      </c>
    </row>
    <row r="385" ht="66.75" customHeight="1">
      <c r="A385" s="49" t="s">
        <v>1979</v>
      </c>
      <c r="B385" s="35" t="s">
        <v>2093</v>
      </c>
      <c r="C385" s="36" t="s">
        <v>2094</v>
      </c>
      <c r="D385" s="36"/>
      <c r="E385" s="36" t="s">
        <v>36</v>
      </c>
      <c r="F385" s="36" t="s">
        <v>37</v>
      </c>
      <c r="G385" s="35" t="s">
        <v>762</v>
      </c>
      <c r="H385" s="35" t="s">
        <v>2095</v>
      </c>
      <c r="I385" s="35" t="s">
        <v>272</v>
      </c>
      <c r="J385" s="35"/>
      <c r="K385" s="37">
        <f>IFERROR(__xludf.DUMMYFUNCTION("query(assistance!$A$2:$E988,""Select C Where D = '""&amp;L385&amp;""'"")"),31.0)</f>
        <v>31</v>
      </c>
      <c r="L385" s="36" t="s">
        <v>90</v>
      </c>
      <c r="M385" s="38">
        <f t="shared" si="61"/>
        <v>1</v>
      </c>
      <c r="N385" s="39" t="s">
        <v>42</v>
      </c>
      <c r="O385" s="57">
        <v>45805.0</v>
      </c>
      <c r="P385" s="35" t="s">
        <v>43</v>
      </c>
      <c r="Q385" s="35"/>
      <c r="R385" s="35" t="s">
        <v>2096</v>
      </c>
      <c r="S385" s="35" t="b">
        <v>0</v>
      </c>
      <c r="T385" s="35" t="b">
        <v>0</v>
      </c>
      <c r="U385" s="41" t="str">
        <f>IFERROR(__xludf.DUMMYFUNCTION("""["" &amp; JOIN("", "", ARRAYFORMULA("""""""" &amp; TRIM(SPLIT(A385,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5" s="42" t="s">
        <v>2097</v>
      </c>
      <c r="W385" s="42" t="s">
        <v>2098</v>
      </c>
      <c r="X385" s="43"/>
      <c r="Y385" s="44" t="str">
        <f>vlookup(G385,zip_codes!$B$6:$J988,3,false)</f>
        <v>Houston</v>
      </c>
      <c r="Z385" s="45" t="str">
        <f>vlookup(G385,zip_codes!$B$6:$J988,9,false)</f>
        <v>Kashmere Gardens, Northside, Trinity / Houston Gardens</v>
      </c>
      <c r="AA385" s="44" t="str">
        <f>vlookup(B385,organizations!$B$1:$C988,2,false)</f>
        <v>Harris Health</v>
      </c>
      <c r="AB385" s="46" t="s">
        <v>2099</v>
      </c>
      <c r="AC385" s="47" t="s">
        <v>278</v>
      </c>
      <c r="AD385" s="48" t="s">
        <v>356</v>
      </c>
      <c r="AE385" s="48" t="str">
        <f t="shared" si="56"/>
        <v>Harris Health - C. E. Odom5516 Lockwood Drive31</v>
      </c>
      <c r="AF385" s="48" t="str">
        <f t="shared" si="62"/>
        <v/>
      </c>
    </row>
    <row r="386" ht="66.75" customHeight="1">
      <c r="A386" s="49" t="s">
        <v>1979</v>
      </c>
      <c r="B386" s="35" t="s">
        <v>2100</v>
      </c>
      <c r="C386" s="36" t="s">
        <v>2101</v>
      </c>
      <c r="D386" s="36"/>
      <c r="E386" s="36" t="s">
        <v>36</v>
      </c>
      <c r="F386" s="36" t="s">
        <v>37</v>
      </c>
      <c r="G386" s="35" t="s">
        <v>2102</v>
      </c>
      <c r="H386" s="35" t="s">
        <v>2103</v>
      </c>
      <c r="I386" s="35" t="s">
        <v>2104</v>
      </c>
      <c r="J386" s="35"/>
      <c r="K386" s="37">
        <f>IFERROR(__xludf.DUMMYFUNCTION("query(assistance!$A$2:$E988,""Select C Where D = '""&amp;L386&amp;""'"")"),31.0)</f>
        <v>31</v>
      </c>
      <c r="L386" s="36" t="s">
        <v>90</v>
      </c>
      <c r="M386" s="38">
        <f t="shared" si="61"/>
        <v>1</v>
      </c>
      <c r="N386" s="39" t="s">
        <v>42</v>
      </c>
      <c r="O386" s="57">
        <v>45805.0</v>
      </c>
      <c r="P386" s="35" t="s">
        <v>43</v>
      </c>
      <c r="Q386" s="35"/>
      <c r="R386" s="35" t="s">
        <v>2105</v>
      </c>
      <c r="S386" s="35" t="b">
        <v>0</v>
      </c>
      <c r="T386" s="35" t="b">
        <v>0</v>
      </c>
      <c r="U386" s="41" t="str">
        <f>IFERROR(__xludf.DUMMYFUNCTION("""["" &amp; JOIN("", "", ARRAYFORMULA("""""""" &amp; TRIM(SPLIT(A386,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6" s="42" t="s">
        <v>2106</v>
      </c>
      <c r="W386" s="42" t="s">
        <v>2107</v>
      </c>
      <c r="X386" s="43"/>
      <c r="Y386" s="44" t="str">
        <f>vlookup(G386,zip_codes!$B$6:$J988,3,false)</f>
        <v>Houston</v>
      </c>
      <c r="Z386" s="45" t="str">
        <f>vlookup(G386,zip_codes!$B$6:$J988,9,false)</f>
        <v>Lindale Park, Near Northside, Northside, Woodland Heights</v>
      </c>
      <c r="AA386" s="44" t="str">
        <f>vlookup(B386,organizations!$B$1:$C988,2,false)</f>
        <v>Harris Health</v>
      </c>
      <c r="AB386" s="46" t="s">
        <v>2108</v>
      </c>
      <c r="AC386" s="47" t="s">
        <v>2109</v>
      </c>
      <c r="AD386" s="48" t="s">
        <v>356</v>
      </c>
      <c r="AE386" s="48" t="str">
        <f t="shared" si="56"/>
        <v>Harris Health - Casa de Amigos1615 North Main Street31</v>
      </c>
      <c r="AF386" s="48" t="str">
        <f t="shared" si="62"/>
        <v/>
      </c>
    </row>
    <row r="387" ht="66.75" customHeight="1">
      <c r="A387" s="49" t="s">
        <v>1979</v>
      </c>
      <c r="B387" s="35" t="s">
        <v>2110</v>
      </c>
      <c r="C387" s="36" t="s">
        <v>2111</v>
      </c>
      <c r="D387" s="36" t="s">
        <v>157</v>
      </c>
      <c r="E387" s="36" t="s">
        <v>36</v>
      </c>
      <c r="F387" s="36" t="s">
        <v>37</v>
      </c>
      <c r="G387" s="35" t="s">
        <v>2112</v>
      </c>
      <c r="H387" s="35" t="s">
        <v>2113</v>
      </c>
      <c r="I387" s="35" t="s">
        <v>272</v>
      </c>
      <c r="J387" s="35"/>
      <c r="K387" s="37">
        <f>IFERROR(__xludf.DUMMYFUNCTION("query(assistance!$A$2:$E988,""Select C Where D = '""&amp;L387&amp;""'"")"),31.0)</f>
        <v>31</v>
      </c>
      <c r="L387" s="36" t="s">
        <v>90</v>
      </c>
      <c r="M387" s="38">
        <f t="shared" si="61"/>
        <v>1</v>
      </c>
      <c r="N387" s="39" t="s">
        <v>42</v>
      </c>
      <c r="O387" s="57">
        <v>46049.0</v>
      </c>
      <c r="P387" s="35" t="s">
        <v>43</v>
      </c>
      <c r="Q387" s="35"/>
      <c r="R387" s="35" t="s">
        <v>2114</v>
      </c>
      <c r="S387" s="35" t="b">
        <v>0</v>
      </c>
      <c r="T387" s="35" t="b">
        <v>0</v>
      </c>
      <c r="U387" s="41" t="str">
        <f>IFERROR(__xludf.DUMMYFUNCTION("""["" &amp; JOIN("", "", ARRAYFORMULA("""""""" &amp; TRIM(SPLIT(A387,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7" s="42" t="s">
        <v>2115</v>
      </c>
      <c r="W387" s="42" t="s">
        <v>2116</v>
      </c>
      <c r="X387" s="43"/>
      <c r="Y387" s="44" t="str">
        <f>vlookup(G387,zip_codes!$B$6:$J988,3,false)</f>
        <v>Houston</v>
      </c>
      <c r="Z387" s="45" t="str">
        <f>vlookup(G387,zip_codes!$B$6:$J988,9,false)</f>
        <v>Champion Forest, Mill Ridge North, Willowbrook</v>
      </c>
      <c r="AA387" s="44" t="str">
        <f>vlookup(B387,organizations!$B$1:$C988,2,false)</f>
        <v>Harris Health</v>
      </c>
      <c r="AB387" s="46" t="s">
        <v>2117</v>
      </c>
      <c r="AC387" s="47" t="s">
        <v>278</v>
      </c>
      <c r="AD387" s="48" t="s">
        <v>2118</v>
      </c>
      <c r="AE387" s="48" t="str">
        <f t="shared" si="56"/>
        <v>Harris Health - Cypress12340 Jones Road31</v>
      </c>
      <c r="AF387" s="48" t="str">
        <f t="shared" si="62"/>
        <v/>
      </c>
    </row>
    <row r="388" ht="66.75" customHeight="1">
      <c r="A388" s="49" t="s">
        <v>1979</v>
      </c>
      <c r="B388" s="35" t="s">
        <v>2110</v>
      </c>
      <c r="C388" s="36" t="s">
        <v>2111</v>
      </c>
      <c r="D388" s="36" t="s">
        <v>157</v>
      </c>
      <c r="E388" s="36" t="s">
        <v>36</v>
      </c>
      <c r="F388" s="36" t="s">
        <v>37</v>
      </c>
      <c r="G388" s="35" t="s">
        <v>2112</v>
      </c>
      <c r="H388" s="35" t="s">
        <v>2113</v>
      </c>
      <c r="I388" s="35" t="s">
        <v>272</v>
      </c>
      <c r="J388" s="35"/>
      <c r="K388" s="37">
        <f>IFERROR(__xludf.DUMMYFUNCTION("query(assistance!$A$2:$E988,""Select C Where D = '""&amp;L388&amp;""'"")"),33.0)</f>
        <v>33</v>
      </c>
      <c r="L388" s="36" t="s">
        <v>333</v>
      </c>
      <c r="M388" s="38">
        <f t="shared" si="61"/>
        <v>1</v>
      </c>
      <c r="N388" s="39" t="s">
        <v>42</v>
      </c>
      <c r="O388" s="57">
        <v>46049.0</v>
      </c>
      <c r="P388" s="35" t="s">
        <v>43</v>
      </c>
      <c r="Q388" s="35"/>
      <c r="R388" s="35" t="s">
        <v>2119</v>
      </c>
      <c r="S388" s="35" t="b">
        <v>0</v>
      </c>
      <c r="T388" s="35" t="b">
        <v>0</v>
      </c>
      <c r="U388" s="41" t="str">
        <f>IFERROR(__xludf.DUMMYFUNCTION("""["" &amp; JOIN("", "", ARRAYFORMULA("""""""" &amp; TRIM(SPLIT(A388,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8" s="42" t="s">
        <v>2115</v>
      </c>
      <c r="W388" s="42" t="s">
        <v>2116</v>
      </c>
      <c r="X388" s="43"/>
      <c r="Y388" s="44" t="str">
        <f>vlookup(G388,zip_codes!$B$6:$J988,3,false)</f>
        <v>Houston</v>
      </c>
      <c r="Z388" s="45" t="str">
        <f>vlookup(G388,zip_codes!$B$6:$J988,9,false)</f>
        <v>Champion Forest, Mill Ridge North, Willowbrook</v>
      </c>
      <c r="AA388" s="44" t="str">
        <f>vlookup(B388,organizations!$B$1:$C988,2,false)</f>
        <v>Harris Health</v>
      </c>
      <c r="AB388" s="46" t="s">
        <v>2117</v>
      </c>
      <c r="AC388" s="47" t="s">
        <v>278</v>
      </c>
      <c r="AD388" s="48" t="s">
        <v>2118</v>
      </c>
      <c r="AE388" s="48" t="str">
        <f t="shared" si="56"/>
        <v>Harris Health - Cypress12340 Jones Road33</v>
      </c>
      <c r="AF388" s="48" t="str">
        <f t="shared" si="62"/>
        <v/>
      </c>
    </row>
    <row r="389" ht="66.75" customHeight="1">
      <c r="A389" s="49" t="s">
        <v>1979</v>
      </c>
      <c r="B389" s="35" t="s">
        <v>2120</v>
      </c>
      <c r="C389" s="36" t="s">
        <v>2121</v>
      </c>
      <c r="D389" s="36"/>
      <c r="E389" s="36" t="s">
        <v>148</v>
      </c>
      <c r="F389" s="36" t="s">
        <v>37</v>
      </c>
      <c r="G389" s="35" t="s">
        <v>2122</v>
      </c>
      <c r="H389" s="35" t="s">
        <v>2123</v>
      </c>
      <c r="I389" s="35" t="s">
        <v>272</v>
      </c>
      <c r="J389" s="35"/>
      <c r="K389" s="37">
        <f>IFERROR(__xludf.DUMMYFUNCTION("query(assistance!$A$2:$E988,""Select C Where D = '""&amp;L389&amp;""'"")"),31.0)</f>
        <v>31</v>
      </c>
      <c r="L389" s="36" t="s">
        <v>90</v>
      </c>
      <c r="M389" s="38">
        <f t="shared" si="61"/>
        <v>1</v>
      </c>
      <c r="N389" s="39" t="s">
        <v>42</v>
      </c>
      <c r="O389" s="57">
        <v>45805.0</v>
      </c>
      <c r="P389" s="35" t="s">
        <v>43</v>
      </c>
      <c r="Q389" s="35"/>
      <c r="R389" s="35" t="s">
        <v>2124</v>
      </c>
      <c r="S389" s="35" t="b">
        <v>0</v>
      </c>
      <c r="T389" s="35" t="b">
        <v>0</v>
      </c>
      <c r="U389" s="41" t="str">
        <f>IFERROR(__xludf.DUMMYFUNCTION("""["" &amp; JOIN("", "", ARRAYFORMULA("""""""" &amp; TRIM(SPLIT(A389,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89" s="42" t="s">
        <v>2125</v>
      </c>
      <c r="W389" s="42" t="s">
        <v>2126</v>
      </c>
      <c r="X389" s="43"/>
      <c r="Y389" s="44" t="str">
        <f>vlookup(G389,zip_codes!$B$6:$J988,3,false)</f>
        <v>Katy</v>
      </c>
      <c r="Z389" s="45" t="str">
        <f>vlookup(G389,zip_codes!$B$6:$J988,9,false)</f>
        <v>Katy (North), Morton Ranch, Villages Of Bear Creek</v>
      </c>
      <c r="AA389" s="44" t="str">
        <f>vlookup(B389,organizations!$B$1:$C988,2,false)</f>
        <v>Harris Health</v>
      </c>
      <c r="AB389" s="46" t="s">
        <v>2127</v>
      </c>
      <c r="AC389" s="47" t="s">
        <v>278</v>
      </c>
      <c r="AD389" s="48" t="s">
        <v>2128</v>
      </c>
      <c r="AE389" s="48" t="str">
        <f t="shared" si="56"/>
        <v>Harris Health - Danny Jackson5503 N Fry Road31</v>
      </c>
      <c r="AF389" s="48" t="str">
        <f t="shared" si="62"/>
        <v/>
      </c>
    </row>
    <row r="390" ht="66.75" customHeight="1">
      <c r="A390" s="49" t="s">
        <v>1979</v>
      </c>
      <c r="B390" s="35" t="s">
        <v>2129</v>
      </c>
      <c r="C390" s="36" t="s">
        <v>2130</v>
      </c>
      <c r="D390" s="36"/>
      <c r="E390" s="36" t="s">
        <v>36</v>
      </c>
      <c r="F390" s="36" t="s">
        <v>37</v>
      </c>
      <c r="G390" s="35" t="s">
        <v>38</v>
      </c>
      <c r="H390" s="35" t="s">
        <v>2131</v>
      </c>
      <c r="I390" s="35" t="s">
        <v>272</v>
      </c>
      <c r="J390" s="35"/>
      <c r="K390" s="37">
        <f>IFERROR(__xludf.DUMMYFUNCTION("query(assistance!$A$2:$E988,""Select C Where D = '""&amp;L390&amp;""'"")"),32.0)</f>
        <v>32</v>
      </c>
      <c r="L390" s="36" t="s">
        <v>208</v>
      </c>
      <c r="M390" s="38">
        <f t="shared" si="61"/>
        <v>1</v>
      </c>
      <c r="N390" s="39" t="s">
        <v>42</v>
      </c>
      <c r="O390" s="57">
        <v>46049.0</v>
      </c>
      <c r="P390" s="35" t="s">
        <v>43</v>
      </c>
      <c r="Q390" s="35"/>
      <c r="R390" s="35" t="s">
        <v>2132</v>
      </c>
      <c r="S390" s="35" t="b">
        <v>1</v>
      </c>
      <c r="T390" s="35" t="b">
        <v>0</v>
      </c>
      <c r="U390" s="41" t="str">
        <f>IFERROR(__xludf.DUMMYFUNCTION("""["" &amp; JOIN("", "", ARRAYFORMULA("""""""" &amp; TRIM(SPLIT(A390,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0" s="42" t="s">
        <v>2133</v>
      </c>
      <c r="W390" s="42" t="s">
        <v>2134</v>
      </c>
      <c r="X390" s="43"/>
      <c r="Y390" s="44" t="str">
        <f>vlookup(G390,zip_codes!$B$6:$J988,3,false)</f>
        <v>Houston</v>
      </c>
      <c r="Z390" s="45" t="str">
        <f>vlookup(G390,zip_codes!$B$6:$J988,9,false)</f>
        <v>MacGregor, Riverside Terrace, South Side</v>
      </c>
      <c r="AA390" s="44" t="str">
        <f>vlookup(B390,organizations!$B$1:$C988,2,false)</f>
        <v>Harris Health</v>
      </c>
      <c r="AB390" s="46" t="s">
        <v>2135</v>
      </c>
      <c r="AC390" s="47" t="s">
        <v>278</v>
      </c>
      <c r="AD390" s="48" t="s">
        <v>49</v>
      </c>
      <c r="AE390" s="48" t="str">
        <f t="shared" si="56"/>
        <v>Harris Health - Dental Center5230 Griggs Road32</v>
      </c>
      <c r="AF390" s="48" t="str">
        <f t="shared" si="62"/>
        <v/>
      </c>
    </row>
    <row r="391" ht="66.75" customHeight="1">
      <c r="A391" s="49" t="s">
        <v>1979</v>
      </c>
      <c r="B391" s="35" t="s">
        <v>2136</v>
      </c>
      <c r="C391" s="36" t="s">
        <v>2137</v>
      </c>
      <c r="D391" s="36"/>
      <c r="E391" s="36" t="s">
        <v>36</v>
      </c>
      <c r="F391" s="36" t="s">
        <v>37</v>
      </c>
      <c r="G391" s="35" t="s">
        <v>2138</v>
      </c>
      <c r="H391" s="35" t="s">
        <v>2139</v>
      </c>
      <c r="I391" s="35" t="s">
        <v>272</v>
      </c>
      <c r="J391" s="35"/>
      <c r="K391" s="37">
        <f>IFERROR(__xludf.DUMMYFUNCTION("query(assistance!$A$2:$E988,""Select C Where D = '""&amp;L391&amp;""'"")"),31.0)</f>
        <v>31</v>
      </c>
      <c r="L391" s="36" t="s">
        <v>90</v>
      </c>
      <c r="M391" s="38">
        <f t="shared" si="61"/>
        <v>1</v>
      </c>
      <c r="N391" s="39" t="s">
        <v>42</v>
      </c>
      <c r="O391" s="57">
        <v>45805.0</v>
      </c>
      <c r="P391" s="35" t="s">
        <v>43</v>
      </c>
      <c r="Q391" s="35"/>
      <c r="R391" s="35" t="s">
        <v>2140</v>
      </c>
      <c r="S391" s="35" t="b">
        <v>0</v>
      </c>
      <c r="T391" s="35" t="b">
        <v>0</v>
      </c>
      <c r="U391" s="41" t="str">
        <f>IFERROR(__xludf.DUMMYFUNCTION("""["" &amp; JOIN("", "", ARRAYFORMULA("""""""" &amp; TRIM(SPLIT(A391,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1" s="42" t="s">
        <v>2141</v>
      </c>
      <c r="W391" s="42" t="s">
        <v>2142</v>
      </c>
      <c r="X391" s="43"/>
      <c r="Y391" s="44" t="str">
        <f>vlookup(G391,zip_codes!$B$6:$J988,3,false)</f>
        <v>Houston</v>
      </c>
      <c r="Z391" s="45" t="str">
        <f>vlookup(G391,zip_codes!$B$6:$J988,9,false)</f>
        <v>Alief</v>
      </c>
      <c r="AA391" s="44" t="str">
        <f>vlookup(B391,organizations!$B$1:$C988,2,false)</f>
        <v>Harris Health</v>
      </c>
      <c r="AB391" s="46" t="s">
        <v>2143</v>
      </c>
      <c r="AC391" s="47" t="s">
        <v>278</v>
      </c>
      <c r="AD391" s="48" t="s">
        <v>345</v>
      </c>
      <c r="AE391" s="48" t="str">
        <f t="shared" si="56"/>
        <v>Harris Health - El Franco Lee8901 Boone Road31</v>
      </c>
      <c r="AF391" s="48" t="str">
        <f t="shared" si="62"/>
        <v/>
      </c>
    </row>
    <row r="392" ht="66.75" customHeight="1">
      <c r="A392" s="49" t="s">
        <v>1979</v>
      </c>
      <c r="B392" s="35" t="s">
        <v>2144</v>
      </c>
      <c r="C392" s="36" t="s">
        <v>2145</v>
      </c>
      <c r="D392" s="36"/>
      <c r="E392" s="36" t="s">
        <v>36</v>
      </c>
      <c r="F392" s="36" t="s">
        <v>37</v>
      </c>
      <c r="G392" s="35" t="s">
        <v>857</v>
      </c>
      <c r="H392" s="35" t="s">
        <v>2146</v>
      </c>
      <c r="I392" s="35" t="s">
        <v>272</v>
      </c>
      <c r="J392" s="35"/>
      <c r="K392" s="37">
        <f>IFERROR(__xludf.DUMMYFUNCTION("query(assistance!$A$2:$E988,""Select C Where D = '""&amp;L392&amp;""'"")"),31.0)</f>
        <v>31</v>
      </c>
      <c r="L392" s="36" t="s">
        <v>90</v>
      </c>
      <c r="M392" s="38">
        <f t="shared" si="61"/>
        <v>1</v>
      </c>
      <c r="N392" s="39" t="s">
        <v>42</v>
      </c>
      <c r="O392" s="57">
        <v>46049.0</v>
      </c>
      <c r="P392" s="35" t="s">
        <v>43</v>
      </c>
      <c r="Q392" s="35"/>
      <c r="R392" s="35" t="s">
        <v>2147</v>
      </c>
      <c r="S392" s="35" t="b">
        <v>0</v>
      </c>
      <c r="T392" s="35" t="b">
        <v>0</v>
      </c>
      <c r="U392" s="41" t="str">
        <f>IFERROR(__xludf.DUMMYFUNCTION("""["" &amp; JOIN("", "", ARRAYFORMULA("""""""" &amp; TRIM(SPLIT(A392,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2" s="42" t="s">
        <v>2148</v>
      </c>
      <c r="W392" s="42" t="s">
        <v>2149</v>
      </c>
      <c r="X392" s="43"/>
      <c r="Y392" s="44" t="str">
        <f>vlookup(G392,zip_codes!$B$6:$J988,3,false)</f>
        <v>Houston</v>
      </c>
      <c r="Z392" s="45" t="str">
        <f>vlookup(G392,zip_codes!$B$6:$J988,9,false)</f>
        <v>Greater East End, Harrisburg, Magnolia Park</v>
      </c>
      <c r="AA392" s="44" t="str">
        <f>vlookup(B392,organizations!$B$1:$C988,2,false)</f>
        <v>Harris Health</v>
      </c>
      <c r="AB392" s="46" t="s">
        <v>2150</v>
      </c>
      <c r="AC392" s="47" t="s">
        <v>278</v>
      </c>
      <c r="AD392" s="48" t="s">
        <v>2151</v>
      </c>
      <c r="AE392" s="48" t="str">
        <f t="shared" si="56"/>
        <v>Harris Health - Gulfgate7550 Office City Drive31</v>
      </c>
      <c r="AF392" s="48" t="str">
        <f t="shared" si="62"/>
        <v/>
      </c>
    </row>
    <row r="393" ht="66.75" customHeight="1">
      <c r="A393" s="49" t="s">
        <v>1979</v>
      </c>
      <c r="B393" s="35" t="s">
        <v>2144</v>
      </c>
      <c r="C393" s="36" t="s">
        <v>2145</v>
      </c>
      <c r="D393" s="36"/>
      <c r="E393" s="36" t="s">
        <v>36</v>
      </c>
      <c r="F393" s="36" t="s">
        <v>37</v>
      </c>
      <c r="G393" s="35" t="s">
        <v>857</v>
      </c>
      <c r="H393" s="35" t="s">
        <v>2146</v>
      </c>
      <c r="I393" s="35" t="s">
        <v>272</v>
      </c>
      <c r="J393" s="35"/>
      <c r="K393" s="37">
        <f>IFERROR(__xludf.DUMMYFUNCTION("query(assistance!$A$2:$E988,""Select C Where D = '""&amp;L393&amp;""'"")"),32.0)</f>
        <v>32</v>
      </c>
      <c r="L393" s="36" t="s">
        <v>208</v>
      </c>
      <c r="M393" s="38">
        <f t="shared" si="61"/>
        <v>1</v>
      </c>
      <c r="N393" s="39" t="s">
        <v>42</v>
      </c>
      <c r="O393" s="57">
        <v>46049.0</v>
      </c>
      <c r="P393" s="35" t="s">
        <v>43</v>
      </c>
      <c r="Q393" s="35"/>
      <c r="R393" s="35" t="s">
        <v>2077</v>
      </c>
      <c r="S393" s="35" t="b">
        <v>1</v>
      </c>
      <c r="T393" s="35" t="b">
        <v>0</v>
      </c>
      <c r="U393" s="41" t="str">
        <f>IFERROR(__xludf.DUMMYFUNCTION("""["" &amp; JOIN("", "", ARRAYFORMULA("""""""" &amp; TRIM(SPLIT(A393,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3" s="42" t="s">
        <v>2148</v>
      </c>
      <c r="W393" s="42" t="s">
        <v>2149</v>
      </c>
      <c r="X393" s="43"/>
      <c r="Y393" s="44" t="str">
        <f>vlookup(G393,zip_codes!$B$6:$J988,3,false)</f>
        <v>Houston</v>
      </c>
      <c r="Z393" s="45" t="str">
        <f>vlookup(G393,zip_codes!$B$6:$J988,9,false)</f>
        <v>Greater East End, Harrisburg, Magnolia Park</v>
      </c>
      <c r="AA393" s="44" t="str">
        <f>vlookup(B393,organizations!$B$1:$C988,2,false)</f>
        <v>Harris Health</v>
      </c>
      <c r="AB393" s="46" t="s">
        <v>2150</v>
      </c>
      <c r="AC393" s="47" t="s">
        <v>278</v>
      </c>
      <c r="AD393" s="48" t="s">
        <v>2151</v>
      </c>
      <c r="AE393" s="48" t="str">
        <f t="shared" si="56"/>
        <v>Harris Health - Gulfgate7550 Office City Drive32</v>
      </c>
      <c r="AF393" s="48" t="str">
        <f t="shared" si="62"/>
        <v/>
      </c>
    </row>
    <row r="394" ht="66.75" customHeight="1">
      <c r="A394" s="49" t="s">
        <v>1979</v>
      </c>
      <c r="B394" s="35" t="s">
        <v>2152</v>
      </c>
      <c r="C394" s="36" t="s">
        <v>2153</v>
      </c>
      <c r="D394" s="36"/>
      <c r="E394" s="36" t="s">
        <v>36</v>
      </c>
      <c r="F394" s="36" t="s">
        <v>37</v>
      </c>
      <c r="G394" s="35" t="s">
        <v>762</v>
      </c>
      <c r="H394" s="35" t="s">
        <v>2154</v>
      </c>
      <c r="I394" s="35" t="s">
        <v>516</v>
      </c>
      <c r="J394" s="35"/>
      <c r="K394" s="37">
        <f>IFERROR(__xludf.DUMMYFUNCTION("query(assistance!$A$2:$E988,""Select C Where D = '""&amp;L394&amp;""'"")"),31.0)</f>
        <v>31</v>
      </c>
      <c r="L394" s="36" t="s">
        <v>90</v>
      </c>
      <c r="M394" s="38">
        <f t="shared" si="61"/>
        <v>1</v>
      </c>
      <c r="N394" s="39" t="s">
        <v>42</v>
      </c>
      <c r="O394" s="57">
        <v>45805.0</v>
      </c>
      <c r="P394" s="35" t="s">
        <v>43</v>
      </c>
      <c r="Q394" s="35"/>
      <c r="R394" s="35" t="s">
        <v>2155</v>
      </c>
      <c r="S394" s="35" t="b">
        <v>0</v>
      </c>
      <c r="T394" s="35" t="b">
        <v>0</v>
      </c>
      <c r="U394" s="41" t="str">
        <f>IFERROR(__xludf.DUMMYFUNCTION("""["" &amp; JOIN("", "", ARRAYFORMULA("""""""" &amp; TRIM(SPLIT(A394,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4" s="42" t="s">
        <v>2156</v>
      </c>
      <c r="W394" s="42" t="s">
        <v>2157</v>
      </c>
      <c r="X394" s="43"/>
      <c r="Y394" s="44" t="str">
        <f>vlookup(G394,zip_codes!$B$6:$J988,3,false)</f>
        <v>Houston</v>
      </c>
      <c r="Z394" s="45" t="str">
        <f>vlookup(G394,zip_codes!$B$6:$J988,9,false)</f>
        <v>Kashmere Gardens, Northside, Trinity / Houston Gardens</v>
      </c>
      <c r="AA394" s="44" t="str">
        <f>vlookup(B394,organizations!$B$1:$C988,2,false)</f>
        <v>Harris Health</v>
      </c>
      <c r="AB394" s="46" t="s">
        <v>2158</v>
      </c>
      <c r="AC394" s="47" t="s">
        <v>520</v>
      </c>
      <c r="AD394" s="48" t="s">
        <v>356</v>
      </c>
      <c r="AE394" s="48" t="str">
        <f t="shared" si="56"/>
        <v>Harris Health - LBJ Hospital5656 Kelley Street31</v>
      </c>
      <c r="AF394" s="48" t="str">
        <f t="shared" si="62"/>
        <v/>
      </c>
    </row>
    <row r="395" ht="66.75" customHeight="1">
      <c r="A395" s="49" t="s">
        <v>1979</v>
      </c>
      <c r="B395" s="35" t="s">
        <v>2159</v>
      </c>
      <c r="C395" s="36" t="s">
        <v>2160</v>
      </c>
      <c r="D395" s="36"/>
      <c r="E395" s="36" t="s">
        <v>36</v>
      </c>
      <c r="F395" s="36" t="s">
        <v>37</v>
      </c>
      <c r="G395" s="35" t="s">
        <v>2161</v>
      </c>
      <c r="H395" s="35" t="s">
        <v>2162</v>
      </c>
      <c r="I395" s="35" t="s">
        <v>272</v>
      </c>
      <c r="J395" s="35"/>
      <c r="K395" s="37">
        <f>IFERROR(__xludf.DUMMYFUNCTION("query(assistance!$A$2:$E988,""Select C Where D = '""&amp;L395&amp;""'"")"),31.0)</f>
        <v>31</v>
      </c>
      <c r="L395" s="36" t="s">
        <v>90</v>
      </c>
      <c r="M395" s="38">
        <f t="shared" si="61"/>
        <v>1</v>
      </c>
      <c r="N395" s="39" t="s">
        <v>42</v>
      </c>
      <c r="O395" s="57">
        <v>45805.0</v>
      </c>
      <c r="P395" s="35" t="s">
        <v>43</v>
      </c>
      <c r="Q395" s="35"/>
      <c r="R395" s="35" t="s">
        <v>2163</v>
      </c>
      <c r="S395" s="35" t="b">
        <v>0</v>
      </c>
      <c r="T395" s="35" t="b">
        <v>0</v>
      </c>
      <c r="U395" s="41" t="str">
        <f>IFERROR(__xludf.DUMMYFUNCTION("""["" &amp; JOIN("", "", ARRAYFORMULA("""""""" &amp; TRIM(SPLIT(A395,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5" s="42" t="s">
        <v>2164</v>
      </c>
      <c r="W395" s="59" t="s">
        <v>2165</v>
      </c>
      <c r="X395" s="43"/>
      <c r="Y395" s="44" t="str">
        <f>vlookup(G395,zip_codes!$B$6:$J988,3,false)</f>
        <v>Houston</v>
      </c>
      <c r="Z395" s="45" t="str">
        <f>vlookup(G395,zip_codes!$B$6:$J988,9,false)</f>
        <v>Minnetex, South Acres / Crestmont Park</v>
      </c>
      <c r="AA395" s="44" t="str">
        <f>vlookup(B395,organizations!$B$1:$C988,2,false)</f>
        <v>Harris Health</v>
      </c>
      <c r="AB395" s="46" t="s">
        <v>2166</v>
      </c>
      <c r="AC395" s="47" t="s">
        <v>278</v>
      </c>
      <c r="AD395" s="48" t="s">
        <v>2167</v>
      </c>
      <c r="AE395" s="48" t="str">
        <f t="shared" si="56"/>
        <v>Harris Health - Martin Luther King Jr3550 Swingle Road31</v>
      </c>
      <c r="AF395" s="48" t="str">
        <f t="shared" si="62"/>
        <v/>
      </c>
    </row>
    <row r="396" ht="66.75" customHeight="1">
      <c r="A396" s="49" t="s">
        <v>1979</v>
      </c>
      <c r="B396" s="35" t="s">
        <v>2168</v>
      </c>
      <c r="C396" s="36" t="s">
        <v>2169</v>
      </c>
      <c r="D396" s="36"/>
      <c r="E396" s="36" t="s">
        <v>36</v>
      </c>
      <c r="F396" s="36" t="s">
        <v>37</v>
      </c>
      <c r="G396" s="35" t="s">
        <v>1236</v>
      </c>
      <c r="H396" s="35" t="s">
        <v>2170</v>
      </c>
      <c r="I396" s="35" t="s">
        <v>2171</v>
      </c>
      <c r="J396" s="35"/>
      <c r="K396" s="37">
        <f>IFERROR(__xludf.DUMMYFUNCTION("query(assistance!$A$2:$E988,""Select C Where D = '""&amp;L396&amp;""'"")"),31.0)</f>
        <v>31</v>
      </c>
      <c r="L396" s="36" t="s">
        <v>90</v>
      </c>
      <c r="M396" s="38">
        <f t="shared" si="61"/>
        <v>1</v>
      </c>
      <c r="N396" s="39" t="s">
        <v>42</v>
      </c>
      <c r="O396" s="57">
        <v>45805.0</v>
      </c>
      <c r="P396" s="35" t="s">
        <v>43</v>
      </c>
      <c r="Q396" s="35"/>
      <c r="R396" s="35" t="s">
        <v>2172</v>
      </c>
      <c r="S396" s="35" t="b">
        <v>0</v>
      </c>
      <c r="T396" s="35" t="b">
        <v>0</v>
      </c>
      <c r="U396" s="41" t="str">
        <f>IFERROR(__xludf.DUMMYFUNCTION("""["" &amp; JOIN("", "", ARRAYFORMULA("""""""" &amp; TRIM(SPLIT(A396,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6" s="42" t="s">
        <v>2173</v>
      </c>
      <c r="W396" s="59" t="s">
        <v>2174</v>
      </c>
      <c r="X396" s="43"/>
      <c r="Y396" s="44" t="str">
        <f>vlookup(G396,zip_codes!$B$6:$J988,3,false)</f>
        <v>Houston</v>
      </c>
      <c r="Z396" s="45" t="str">
        <f>vlookup(G396,zip_codes!$B$6:$J988,9,false)</f>
        <v>Meadowbrook / Allendale, Meadowcreek Village, Park Place</v>
      </c>
      <c r="AA396" s="44" t="str">
        <f>vlookup(B396,organizations!$B$1:$C988,2,false)</f>
        <v>Harris Health</v>
      </c>
      <c r="AB396" s="46" t="s">
        <v>2175</v>
      </c>
      <c r="AC396" s="47" t="s">
        <v>2176</v>
      </c>
      <c r="AD396" s="48" t="s">
        <v>1604</v>
      </c>
      <c r="AE396" s="48" t="str">
        <f t="shared" si="56"/>
        <v>Harris Health - Monroe8539 Gulf Freeway31</v>
      </c>
      <c r="AF396" s="48" t="str">
        <f t="shared" si="62"/>
        <v/>
      </c>
    </row>
    <row r="397" ht="66.75" customHeight="1">
      <c r="A397" s="49" t="s">
        <v>1979</v>
      </c>
      <c r="B397" s="35" t="s">
        <v>2177</v>
      </c>
      <c r="C397" s="36" t="s">
        <v>2178</v>
      </c>
      <c r="D397" s="36"/>
      <c r="E397" s="36" t="s">
        <v>36</v>
      </c>
      <c r="F397" s="36" t="s">
        <v>37</v>
      </c>
      <c r="G397" s="35" t="s">
        <v>2179</v>
      </c>
      <c r="H397" s="35" t="s">
        <v>2180</v>
      </c>
      <c r="I397" s="35" t="s">
        <v>272</v>
      </c>
      <c r="J397" s="35"/>
      <c r="K397" s="37">
        <f>IFERROR(__xludf.DUMMYFUNCTION("query(assistance!$A$2:$E988,""Select C Where D = '""&amp;L397&amp;""'"")"),31.0)</f>
        <v>31</v>
      </c>
      <c r="L397" s="36" t="s">
        <v>90</v>
      </c>
      <c r="M397" s="38">
        <f t="shared" si="61"/>
        <v>1</v>
      </c>
      <c r="N397" s="39" t="s">
        <v>42</v>
      </c>
      <c r="O397" s="57">
        <v>45805.0</v>
      </c>
      <c r="P397" s="35" t="s">
        <v>43</v>
      </c>
      <c r="Q397" s="35"/>
      <c r="R397" s="35" t="s">
        <v>2181</v>
      </c>
      <c r="S397" s="35" t="b">
        <v>0</v>
      </c>
      <c r="T397" s="35" t="b">
        <v>0</v>
      </c>
      <c r="U397" s="41" t="str">
        <f>IFERROR(__xludf.DUMMYFUNCTION("""["" &amp; JOIN("", "", ARRAYFORMULA("""""""" &amp; TRIM(SPLIT(A397,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7" s="42" t="s">
        <v>2182</v>
      </c>
      <c r="W397" s="42" t="s">
        <v>2183</v>
      </c>
      <c r="X397" s="43"/>
      <c r="Y397" s="44" t="str">
        <f>vlookup(G397,zip_codes!$B$6:$J988,3,false)</f>
        <v>Houston</v>
      </c>
      <c r="Z397" s="45" t="str">
        <f>vlookup(G397,zip_codes!$B$6:$J988,9,false)</f>
        <v>Central Northwest, Garden Oaks, Northside, Oak Forest</v>
      </c>
      <c r="AA397" s="44" t="str">
        <f>vlookup(B397,organizations!$B$1:$C988,2,false)</f>
        <v>Harris Health</v>
      </c>
      <c r="AB397" s="46" t="s">
        <v>2184</v>
      </c>
      <c r="AC397" s="47" t="s">
        <v>278</v>
      </c>
      <c r="AD397" s="48" t="s">
        <v>2185</v>
      </c>
      <c r="AE397" s="48" t="str">
        <f t="shared" si="56"/>
        <v>Harris Health - Northwest1100 W 34th Street31</v>
      </c>
      <c r="AF397" s="48" t="str">
        <f t="shared" si="62"/>
        <v/>
      </c>
    </row>
    <row r="398" ht="66.75" customHeight="1">
      <c r="A398" s="49" t="s">
        <v>1979</v>
      </c>
      <c r="B398" s="35" t="s">
        <v>2186</v>
      </c>
      <c r="C398" s="36" t="s">
        <v>2187</v>
      </c>
      <c r="D398" s="36"/>
      <c r="E398" s="36" t="s">
        <v>36</v>
      </c>
      <c r="F398" s="36" t="s">
        <v>37</v>
      </c>
      <c r="G398" s="35" t="s">
        <v>762</v>
      </c>
      <c r="H398" s="35" t="s">
        <v>2188</v>
      </c>
      <c r="I398" s="35" t="s">
        <v>272</v>
      </c>
      <c r="J398" s="35"/>
      <c r="K398" s="37">
        <f>IFERROR(__xludf.DUMMYFUNCTION("query(assistance!$A$2:$E988,""Select C Where D = '""&amp;L398&amp;""'"")"),31.0)</f>
        <v>31</v>
      </c>
      <c r="L398" s="36" t="s">
        <v>90</v>
      </c>
      <c r="M398" s="38">
        <f t="shared" si="61"/>
        <v>1</v>
      </c>
      <c r="N398" s="39" t="s">
        <v>42</v>
      </c>
      <c r="O398" s="57">
        <v>45805.0</v>
      </c>
      <c r="P398" s="35" t="s">
        <v>43</v>
      </c>
      <c r="Q398" s="35"/>
      <c r="R398" s="35" t="s">
        <v>2189</v>
      </c>
      <c r="S398" s="35" t="b">
        <v>0</v>
      </c>
      <c r="T398" s="35" t="b">
        <v>0</v>
      </c>
      <c r="U398" s="41" t="str">
        <f>IFERROR(__xludf.DUMMYFUNCTION("""["" &amp; JOIN("", "", ARRAYFORMULA("""""""" &amp; TRIM(SPLIT(A398,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8" s="42" t="s">
        <v>2190</v>
      </c>
      <c r="W398" s="59" t="s">
        <v>2191</v>
      </c>
      <c r="X398" s="43"/>
      <c r="Y398" s="44" t="str">
        <f>vlookup(G398,zip_codes!$B$6:$J988,3,false)</f>
        <v>Houston</v>
      </c>
      <c r="Z398" s="45" t="str">
        <f>vlookup(G398,zip_codes!$B$6:$J988,9,false)</f>
        <v>Kashmere Gardens, Northside, Trinity / Houston Gardens</v>
      </c>
      <c r="AA398" s="44" t="str">
        <f>vlookup(B398,organizations!$B$1:$C988,2,false)</f>
        <v>Harris Health</v>
      </c>
      <c r="AB398" s="46" t="s">
        <v>2192</v>
      </c>
      <c r="AC398" s="47" t="s">
        <v>278</v>
      </c>
      <c r="AD398" s="48" t="s">
        <v>2193</v>
      </c>
      <c r="AE398" s="48" t="str">
        <f t="shared" si="56"/>
        <v>Harris Health - Outpatient Center5550 Kelley Street31</v>
      </c>
      <c r="AF398" s="48" t="str">
        <f t="shared" si="62"/>
        <v/>
      </c>
    </row>
    <row r="399" ht="66.75" customHeight="1">
      <c r="A399" s="49" t="s">
        <v>1979</v>
      </c>
      <c r="B399" s="35" t="s">
        <v>2194</v>
      </c>
      <c r="C399" s="36" t="s">
        <v>2195</v>
      </c>
      <c r="D399" s="36"/>
      <c r="E399" s="36" t="s">
        <v>729</v>
      </c>
      <c r="F399" s="36" t="s">
        <v>37</v>
      </c>
      <c r="G399" s="35" t="s">
        <v>723</v>
      </c>
      <c r="H399" s="35" t="s">
        <v>2196</v>
      </c>
      <c r="I399" s="35" t="s">
        <v>272</v>
      </c>
      <c r="J399" s="35"/>
      <c r="K399" s="37">
        <f>IFERROR(__xludf.DUMMYFUNCTION("query(assistance!$A$2:$E988,""Select C Where D = '""&amp;L399&amp;""'"")"),31.0)</f>
        <v>31</v>
      </c>
      <c r="L399" s="36" t="s">
        <v>90</v>
      </c>
      <c r="M399" s="38">
        <f t="shared" si="61"/>
        <v>1</v>
      </c>
      <c r="N399" s="39" t="s">
        <v>42</v>
      </c>
      <c r="O399" s="57">
        <v>46049.0</v>
      </c>
      <c r="P399" s="35" t="s">
        <v>43</v>
      </c>
      <c r="Q399" s="35"/>
      <c r="R399" s="35" t="s">
        <v>2197</v>
      </c>
      <c r="S399" s="35" t="b">
        <v>0</v>
      </c>
      <c r="T399" s="35" t="b">
        <v>0</v>
      </c>
      <c r="U399" s="41" t="str">
        <f>IFERROR(__xludf.DUMMYFUNCTION("""["" &amp; JOIN("", "", ARRAYFORMULA("""""""" &amp; TRIM(SPLIT(A399,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399" s="42" t="s">
        <v>2198</v>
      </c>
      <c r="W399" s="42" t="s">
        <v>2199</v>
      </c>
      <c r="X399" s="43"/>
      <c r="Y399" s="44" t="str">
        <f>vlookup(G399,zip_codes!$B$6:$J988,3,false)</f>
        <v>Pasadena</v>
      </c>
      <c r="Z399" s="45" t="str">
        <f>vlookup(G399,zip_codes!$B$6:$J988,9,false)</f>
        <v>Highland Farms, Pasadena</v>
      </c>
      <c r="AA399" s="44" t="str">
        <f>vlookup(B399,organizations!$B$1:$C988,2,false)</f>
        <v>Harris Health</v>
      </c>
      <c r="AB399" s="46" t="s">
        <v>2200</v>
      </c>
      <c r="AC399" s="47" t="s">
        <v>278</v>
      </c>
      <c r="AD399" s="48" t="s">
        <v>729</v>
      </c>
      <c r="AE399" s="48" t="str">
        <f t="shared" si="56"/>
        <v>Harris Health - Pasadena3925 Fairmont Parkway31</v>
      </c>
      <c r="AF399" s="48" t="str">
        <f t="shared" si="62"/>
        <v/>
      </c>
    </row>
    <row r="400" ht="66.75" customHeight="1">
      <c r="A400" s="49" t="s">
        <v>1979</v>
      </c>
      <c r="B400" s="35" t="s">
        <v>2194</v>
      </c>
      <c r="C400" s="36" t="s">
        <v>2195</v>
      </c>
      <c r="D400" s="36"/>
      <c r="E400" s="36" t="s">
        <v>729</v>
      </c>
      <c r="F400" s="36" t="s">
        <v>37</v>
      </c>
      <c r="G400" s="35" t="s">
        <v>723</v>
      </c>
      <c r="H400" s="35" t="s">
        <v>2196</v>
      </c>
      <c r="I400" s="35" t="s">
        <v>272</v>
      </c>
      <c r="J400" s="35"/>
      <c r="K400" s="37">
        <f>IFERROR(__xludf.DUMMYFUNCTION("query(assistance!$A$2:$E988,""Select C Where D = '""&amp;L400&amp;""'"")"),33.0)</f>
        <v>33</v>
      </c>
      <c r="L400" s="36" t="s">
        <v>333</v>
      </c>
      <c r="M400" s="38">
        <f t="shared" si="61"/>
        <v>1</v>
      </c>
      <c r="N400" s="39" t="s">
        <v>42</v>
      </c>
      <c r="O400" s="57">
        <v>46049.0</v>
      </c>
      <c r="P400" s="35" t="s">
        <v>43</v>
      </c>
      <c r="Q400" s="35"/>
      <c r="R400" s="35" t="s">
        <v>2119</v>
      </c>
      <c r="S400" s="35" t="b">
        <v>0</v>
      </c>
      <c r="T400" s="35" t="b">
        <v>0</v>
      </c>
      <c r="U400" s="41" t="str">
        <f>IFERROR(__xludf.DUMMYFUNCTION("""["" &amp; JOIN("", "", ARRAYFORMULA("""""""" &amp; TRIM(SPLIT(A400,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0" s="42" t="s">
        <v>2198</v>
      </c>
      <c r="W400" s="42" t="s">
        <v>2199</v>
      </c>
      <c r="X400" s="43"/>
      <c r="Y400" s="44" t="str">
        <f>vlookup(G400,zip_codes!$B$6:$J988,3,false)</f>
        <v>Pasadena</v>
      </c>
      <c r="Z400" s="45" t="str">
        <f>vlookup(G400,zip_codes!$B$6:$J988,9,false)</f>
        <v>Highland Farms, Pasadena</v>
      </c>
      <c r="AA400" s="44" t="str">
        <f>vlookup(B400,organizations!$B$1:$C988,2,false)</f>
        <v>Harris Health</v>
      </c>
      <c r="AB400" s="46" t="s">
        <v>2200</v>
      </c>
      <c r="AC400" s="47" t="s">
        <v>278</v>
      </c>
      <c r="AD400" s="48" t="s">
        <v>729</v>
      </c>
      <c r="AE400" s="48" t="str">
        <f t="shared" si="56"/>
        <v>Harris Health - Pasadena3925 Fairmont Parkway33</v>
      </c>
      <c r="AF400" s="48" t="str">
        <f t="shared" si="62"/>
        <v/>
      </c>
    </row>
    <row r="401" ht="66.75" customHeight="1">
      <c r="A401" s="49" t="s">
        <v>1979</v>
      </c>
      <c r="B401" s="35" t="s">
        <v>2201</v>
      </c>
      <c r="C401" s="36" t="s">
        <v>2202</v>
      </c>
      <c r="D401" s="36"/>
      <c r="E401" s="36" t="s">
        <v>36</v>
      </c>
      <c r="F401" s="36" t="s">
        <v>37</v>
      </c>
      <c r="G401" s="35" t="s">
        <v>749</v>
      </c>
      <c r="H401" s="35" t="s">
        <v>2203</v>
      </c>
      <c r="I401" s="35" t="s">
        <v>272</v>
      </c>
      <c r="J401" s="35"/>
      <c r="K401" s="37">
        <f>IFERROR(__xludf.DUMMYFUNCTION("query(assistance!$A$2:$E988,""Select C Where D = '""&amp;L401&amp;""'"")"),31.0)</f>
        <v>31</v>
      </c>
      <c r="L401" s="36" t="s">
        <v>90</v>
      </c>
      <c r="M401" s="38">
        <f t="shared" si="61"/>
        <v>1</v>
      </c>
      <c r="N401" s="39" t="s">
        <v>42</v>
      </c>
      <c r="O401" s="57">
        <v>45805.0</v>
      </c>
      <c r="P401" s="35" t="s">
        <v>43</v>
      </c>
      <c r="Q401" s="35"/>
      <c r="R401" s="35" t="s">
        <v>2204</v>
      </c>
      <c r="S401" s="35" t="b">
        <v>0</v>
      </c>
      <c r="T401" s="35" t="b">
        <v>0</v>
      </c>
      <c r="U401" s="41" t="str">
        <f>IFERROR(__xludf.DUMMYFUNCTION("""["" &amp; JOIN("", "", ARRAYFORMULA("""""""" &amp; TRIM(SPLIT(A401,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1" s="42" t="s">
        <v>2205</v>
      </c>
      <c r="W401" s="42" t="s">
        <v>2206</v>
      </c>
      <c r="X401" s="43"/>
      <c r="Y401" s="44" t="str">
        <f>vlookup(G401,zip_codes!$B$6:$J988,3,false)</f>
        <v>Houston</v>
      </c>
      <c r="Z401" s="45" t="str">
        <f>vlookup(G401,zip_codes!$B$6:$J988,9,false)</f>
        <v>East Downtown, Downtown Houston, Houston Museum District, Midtown, Museum District, South Central Houston, South Side, Third Ward, University Place</v>
      </c>
      <c r="AA401" s="44" t="str">
        <f>vlookup(B401,organizations!$B$1:$C988,2,false)</f>
        <v>Harris Health</v>
      </c>
      <c r="AB401" s="46" t="s">
        <v>2207</v>
      </c>
      <c r="AC401" s="47" t="s">
        <v>278</v>
      </c>
      <c r="AD401" s="48" t="s">
        <v>49</v>
      </c>
      <c r="AE401" s="48" t="str">
        <f t="shared" si="56"/>
        <v>Harris Health - Quentin Mease3601 North MacGregor Way31</v>
      </c>
      <c r="AF401" s="48" t="str">
        <f t="shared" si="62"/>
        <v/>
      </c>
    </row>
    <row r="402" ht="66.75" customHeight="1">
      <c r="A402" s="49" t="s">
        <v>1979</v>
      </c>
      <c r="B402" s="35" t="s">
        <v>2208</v>
      </c>
      <c r="C402" s="36" t="s">
        <v>2209</v>
      </c>
      <c r="D402" s="36"/>
      <c r="E402" s="36" t="s">
        <v>36</v>
      </c>
      <c r="F402" s="36" t="s">
        <v>37</v>
      </c>
      <c r="G402" s="35" t="s">
        <v>822</v>
      </c>
      <c r="H402" s="35" t="s">
        <v>2170</v>
      </c>
      <c r="I402" s="35" t="s">
        <v>272</v>
      </c>
      <c r="J402" s="35"/>
      <c r="K402" s="37">
        <f>IFERROR(__xludf.DUMMYFUNCTION("query(assistance!$A$2:$E988,""Select C Where D = '""&amp;L402&amp;""'"")"),31.0)</f>
        <v>31</v>
      </c>
      <c r="L402" s="36" t="s">
        <v>90</v>
      </c>
      <c r="M402" s="38">
        <f t="shared" si="61"/>
        <v>1</v>
      </c>
      <c r="N402" s="39" t="s">
        <v>42</v>
      </c>
      <c r="O402" s="57">
        <v>45805.0</v>
      </c>
      <c r="P402" s="35" t="s">
        <v>43</v>
      </c>
      <c r="Q402" s="35"/>
      <c r="R402" s="35" t="s">
        <v>2210</v>
      </c>
      <c r="S402" s="35" t="b">
        <v>0</v>
      </c>
      <c r="T402" s="35" t="b">
        <v>0</v>
      </c>
      <c r="U402" s="41" t="str">
        <f>IFERROR(__xludf.DUMMYFUNCTION("""["" &amp; JOIN("", "", ARRAYFORMULA("""""""" &amp; TRIM(SPLIT(A402,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2" s="42" t="s">
        <v>2211</v>
      </c>
      <c r="W402" s="42" t="s">
        <v>2212</v>
      </c>
      <c r="X402" s="43"/>
      <c r="Y402" s="44" t="str">
        <f>vlookup(G402,zip_codes!$B$6:$J988,3,false)</f>
        <v>Houston</v>
      </c>
      <c r="Z402" s="45" t="str">
        <f>vlookup(G402,zip_codes!$B$6:$J988,9,false)</f>
        <v>Brays Oaks, Fondren Southwest</v>
      </c>
      <c r="AA402" s="44" t="str">
        <f>vlookup(B402,organizations!$B$1:$C988,2,false)</f>
        <v>Harris Health</v>
      </c>
      <c r="AB402" s="46" t="s">
        <v>2213</v>
      </c>
      <c r="AC402" s="47" t="s">
        <v>278</v>
      </c>
      <c r="AD402" s="48" t="s">
        <v>62</v>
      </c>
      <c r="AE402" s="48" t="str">
        <f t="shared" si="56"/>
        <v>Harris Health - Sareen8888 W Bellfort Avenue31</v>
      </c>
      <c r="AF402" s="48" t="str">
        <f t="shared" si="62"/>
        <v/>
      </c>
    </row>
    <row r="403" ht="66.75" customHeight="1">
      <c r="A403" s="49" t="s">
        <v>1979</v>
      </c>
      <c r="B403" s="35" t="s">
        <v>2214</v>
      </c>
      <c r="C403" s="36" t="s">
        <v>2215</v>
      </c>
      <c r="D403" s="36"/>
      <c r="E403" s="36" t="s">
        <v>36</v>
      </c>
      <c r="F403" s="36" t="s">
        <v>37</v>
      </c>
      <c r="G403" s="35" t="s">
        <v>1949</v>
      </c>
      <c r="H403" s="35" t="s">
        <v>2216</v>
      </c>
      <c r="I403" s="35" t="s">
        <v>2104</v>
      </c>
      <c r="J403" s="35"/>
      <c r="K403" s="37">
        <f>IFERROR(__xludf.DUMMYFUNCTION("query(assistance!$A$2:$E988,""Select C Where D = '""&amp;L403&amp;""'"")"),31.0)</f>
        <v>31</v>
      </c>
      <c r="L403" s="36" t="s">
        <v>90</v>
      </c>
      <c r="M403" s="38">
        <f t="shared" si="61"/>
        <v>1</v>
      </c>
      <c r="N403" s="39" t="s">
        <v>42</v>
      </c>
      <c r="O403" s="57">
        <v>45805.0</v>
      </c>
      <c r="P403" s="35" t="s">
        <v>43</v>
      </c>
      <c r="Q403" s="35"/>
      <c r="R403" s="35" t="s">
        <v>2217</v>
      </c>
      <c r="S403" s="35" t="b">
        <v>0</v>
      </c>
      <c r="T403" s="35" t="b">
        <v>0</v>
      </c>
      <c r="U403" s="41" t="str">
        <f>IFERROR(__xludf.DUMMYFUNCTION("""["" &amp; JOIN("", "", ARRAYFORMULA("""""""" &amp; TRIM(SPLIT(A403,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3" s="42" t="s">
        <v>2218</v>
      </c>
      <c r="W403" s="59" t="s">
        <v>2219</v>
      </c>
      <c r="X403" s="43"/>
      <c r="Y403" s="44" t="str">
        <f>vlookup(G403,zip_codes!$B$6:$J988,3,false)</f>
        <v>Houston</v>
      </c>
      <c r="Z403" s="45" t="str">
        <f>vlookup(G403,zip_codes!$B$6:$J988,9,false)</f>
        <v>East Houston, Northside, Settegast</v>
      </c>
      <c r="AA403" s="44" t="str">
        <f>vlookup(B403,organizations!$B$1:$C988,2,false)</f>
        <v>Harris Health</v>
      </c>
      <c r="AB403" s="46" t="s">
        <v>2220</v>
      </c>
      <c r="AC403" s="47" t="s">
        <v>2109</v>
      </c>
      <c r="AD403" s="48" t="s">
        <v>2221</v>
      </c>
      <c r="AE403" s="48" t="str">
        <f t="shared" si="56"/>
        <v>Harris Health - Settegast9105 N Wayside Drive31</v>
      </c>
      <c r="AF403" s="48" t="str">
        <f t="shared" si="62"/>
        <v/>
      </c>
    </row>
    <row r="404" ht="66.75" customHeight="1">
      <c r="A404" s="49" t="s">
        <v>1979</v>
      </c>
      <c r="B404" s="35" t="s">
        <v>2222</v>
      </c>
      <c r="C404" s="36" t="s">
        <v>2223</v>
      </c>
      <c r="D404" s="36"/>
      <c r="E404" s="36" t="s">
        <v>36</v>
      </c>
      <c r="F404" s="36" t="s">
        <v>37</v>
      </c>
      <c r="G404" s="35" t="s">
        <v>919</v>
      </c>
      <c r="H404" s="35" t="s">
        <v>2224</v>
      </c>
      <c r="I404" s="35" t="s">
        <v>272</v>
      </c>
      <c r="J404" s="35"/>
      <c r="K404" s="37">
        <f>IFERROR(__xludf.DUMMYFUNCTION("query(assistance!$A$2:$E988,""Select C Where D = '""&amp;L404&amp;""'"")"),31.0)</f>
        <v>31</v>
      </c>
      <c r="L404" s="36" t="s">
        <v>90</v>
      </c>
      <c r="M404" s="38">
        <f t="shared" si="61"/>
        <v>1</v>
      </c>
      <c r="N404" s="39" t="s">
        <v>42</v>
      </c>
      <c r="O404" s="57">
        <v>45805.0</v>
      </c>
      <c r="P404" s="35" t="s">
        <v>43</v>
      </c>
      <c r="Q404" s="35"/>
      <c r="R404" s="35" t="s">
        <v>2225</v>
      </c>
      <c r="S404" s="35" t="b">
        <v>0</v>
      </c>
      <c r="T404" s="35" t="b">
        <v>0</v>
      </c>
      <c r="U404" s="41" t="str">
        <f>IFERROR(__xludf.DUMMYFUNCTION("""["" &amp; JOIN("", "", ARRAYFORMULA("""""""" &amp; TRIM(SPLIT(A404,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4" s="42" t="s">
        <v>2226</v>
      </c>
      <c r="W404" s="42" t="s">
        <v>2227</v>
      </c>
      <c r="X404" s="43"/>
      <c r="Y404" s="44" t="str">
        <f>vlookup(G404,zip_codes!$B$6:$J988,3,false)</f>
        <v>Houston</v>
      </c>
      <c r="Z404" s="45" t="str">
        <f>vlookup(G404,zip_codes!$B$6:$J988,9,false)</f>
        <v>Astrodome Area, Medical Center South, NRG Park area, South Main</v>
      </c>
      <c r="AA404" s="44" t="str">
        <f>vlookup(B404,organizations!$B$1:$C988,2,false)</f>
        <v>Harris Health</v>
      </c>
      <c r="AB404" s="46" t="s">
        <v>2228</v>
      </c>
      <c r="AC404" s="47" t="s">
        <v>278</v>
      </c>
      <c r="AD404" s="48" t="s">
        <v>1987</v>
      </c>
      <c r="AE404" s="48" t="str">
        <f t="shared" si="56"/>
        <v>Harris Health - Smith Clinic2525-A Holly Hall Street31</v>
      </c>
      <c r="AF404" s="48" t="str">
        <f t="shared" si="62"/>
        <v/>
      </c>
    </row>
    <row r="405" ht="66.75" customHeight="1">
      <c r="A405" s="49" t="s">
        <v>1979</v>
      </c>
      <c r="B405" s="35" t="s">
        <v>2229</v>
      </c>
      <c r="C405" s="36" t="s">
        <v>2230</v>
      </c>
      <c r="D405" s="36" t="s">
        <v>2231</v>
      </c>
      <c r="E405" s="36" t="s">
        <v>488</v>
      </c>
      <c r="F405" s="36" t="s">
        <v>37</v>
      </c>
      <c r="G405" s="35" t="s">
        <v>489</v>
      </c>
      <c r="H405" s="35" t="s">
        <v>2232</v>
      </c>
      <c r="I405" s="35" t="s">
        <v>272</v>
      </c>
      <c r="J405" s="35"/>
      <c r="K405" s="37">
        <f>IFERROR(__xludf.DUMMYFUNCTION("query(assistance!$A$2:$E988,""Select C Where D = '""&amp;L405&amp;""'"")"),31.0)</f>
        <v>31</v>
      </c>
      <c r="L405" s="36" t="s">
        <v>90</v>
      </c>
      <c r="M405" s="38">
        <f t="shared" si="61"/>
        <v>1</v>
      </c>
      <c r="N405" s="39" t="s">
        <v>42</v>
      </c>
      <c r="O405" s="57">
        <v>45805.0</v>
      </c>
      <c r="P405" s="35" t="s">
        <v>43</v>
      </c>
      <c r="Q405" s="35"/>
      <c r="R405" s="35" t="s">
        <v>2233</v>
      </c>
      <c r="S405" s="35" t="b">
        <v>0</v>
      </c>
      <c r="T405" s="35" t="b">
        <v>0</v>
      </c>
      <c r="U405" s="41" t="str">
        <f>IFERROR(__xludf.DUMMYFUNCTION("""["" &amp; JOIN("", "", ARRAYFORMULA("""""""" &amp; TRIM(SPLIT(A405,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5" s="42" t="s">
        <v>2234</v>
      </c>
      <c r="W405" s="42" t="s">
        <v>2219</v>
      </c>
      <c r="X405" s="43"/>
      <c r="Y405" s="44" t="str">
        <f>vlookup(G405,zip_codes!$B$6:$J988,3,false)</f>
        <v>Humble</v>
      </c>
      <c r="Z405" s="45" t="str">
        <f>vlookup(G405,zip_codes!$B$6:$J988,9,false)</f>
        <v>Humble, Humble (Old Town), Northshire</v>
      </c>
      <c r="AA405" s="44" t="str">
        <f>vlookup(B405,organizations!$B$1:$C988,2,false)</f>
        <v>Harris Health</v>
      </c>
      <c r="AB405" s="46" t="s">
        <v>2235</v>
      </c>
      <c r="AC405" s="47" t="s">
        <v>278</v>
      </c>
      <c r="AD405" s="48" t="s">
        <v>488</v>
      </c>
      <c r="AE405" s="48" t="str">
        <f t="shared" si="56"/>
        <v>Harris Health - Squatty Lyons1712 First Street E31</v>
      </c>
      <c r="AF405" s="48" t="str">
        <f t="shared" si="62"/>
        <v/>
      </c>
    </row>
    <row r="406" ht="66.75" customHeight="1">
      <c r="A406" s="49" t="s">
        <v>1979</v>
      </c>
      <c r="B406" s="35" t="s">
        <v>2236</v>
      </c>
      <c r="C406" s="36" t="s">
        <v>2237</v>
      </c>
      <c r="D406" s="36"/>
      <c r="E406" s="36" t="s">
        <v>729</v>
      </c>
      <c r="F406" s="36" t="s">
        <v>37</v>
      </c>
      <c r="G406" s="35" t="s">
        <v>2238</v>
      </c>
      <c r="H406" s="35" t="s">
        <v>2239</v>
      </c>
      <c r="I406" s="35" t="s">
        <v>272</v>
      </c>
      <c r="J406" s="35"/>
      <c r="K406" s="37">
        <f>IFERROR(__xludf.DUMMYFUNCTION("query(assistance!$A$2:$E988,""Select C Where D = '""&amp;L406&amp;""'"")"),31.0)</f>
        <v>31</v>
      </c>
      <c r="L406" s="36" t="s">
        <v>90</v>
      </c>
      <c r="M406" s="38">
        <f t="shared" si="61"/>
        <v>1</v>
      </c>
      <c r="N406" s="39" t="s">
        <v>42</v>
      </c>
      <c r="O406" s="57">
        <v>46049.0</v>
      </c>
      <c r="P406" s="35" t="s">
        <v>43</v>
      </c>
      <c r="Q406" s="35"/>
      <c r="R406" s="35" t="s">
        <v>2240</v>
      </c>
      <c r="S406" s="35" t="b">
        <v>0</v>
      </c>
      <c r="T406" s="35" t="b">
        <v>0</v>
      </c>
      <c r="U406" s="41" t="str">
        <f>IFERROR(__xludf.DUMMYFUNCTION("""["" &amp; JOIN("", "", ARRAYFORMULA("""""""" &amp; TRIM(SPLIT(A406,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6" s="42" t="s">
        <v>2241</v>
      </c>
      <c r="W406" s="59" t="s">
        <v>2242</v>
      </c>
      <c r="X406" s="43"/>
      <c r="Y406" s="44" t="str">
        <f>vlookup(G406,zip_codes!$B$6:$J988,3,false)</f>
        <v>Pasadena</v>
      </c>
      <c r="Z406" s="45" t="str">
        <f>vlookup(G406,zip_codes!$B$6:$J988,9,false)</f>
        <v>Pasadena</v>
      </c>
      <c r="AA406" s="44" t="str">
        <f>vlookup(B406,organizations!$B$1:$C988,2,false)</f>
        <v>Harris Health</v>
      </c>
      <c r="AB406" s="46" t="s">
        <v>2243</v>
      </c>
      <c r="AC406" s="47" t="s">
        <v>278</v>
      </c>
      <c r="AD406" s="48" t="s">
        <v>729</v>
      </c>
      <c r="AE406" s="48" t="str">
        <f t="shared" si="56"/>
        <v>Harris Health - Strawberry927 Shaw Avenue31</v>
      </c>
      <c r="AF406" s="48" t="str">
        <f t="shared" si="62"/>
        <v/>
      </c>
    </row>
    <row r="407" ht="66.75" customHeight="1">
      <c r="A407" s="49" t="s">
        <v>1979</v>
      </c>
      <c r="B407" s="35" t="s">
        <v>2236</v>
      </c>
      <c r="C407" s="36" t="s">
        <v>2237</v>
      </c>
      <c r="D407" s="36"/>
      <c r="E407" s="36" t="s">
        <v>729</v>
      </c>
      <c r="F407" s="36" t="s">
        <v>37</v>
      </c>
      <c r="G407" s="35" t="s">
        <v>2238</v>
      </c>
      <c r="H407" s="35" t="s">
        <v>2239</v>
      </c>
      <c r="I407" s="35" t="s">
        <v>272</v>
      </c>
      <c r="J407" s="35"/>
      <c r="K407" s="37">
        <f>IFERROR(__xludf.DUMMYFUNCTION("query(assistance!$A$2:$E988,""Select C Where D = '""&amp;L407&amp;""'"")"),32.0)</f>
        <v>32</v>
      </c>
      <c r="L407" s="36" t="s">
        <v>208</v>
      </c>
      <c r="M407" s="38">
        <f t="shared" si="61"/>
        <v>1</v>
      </c>
      <c r="N407" s="39" t="s">
        <v>42</v>
      </c>
      <c r="O407" s="57">
        <v>46049.0</v>
      </c>
      <c r="P407" s="35" t="s">
        <v>43</v>
      </c>
      <c r="Q407" s="35"/>
      <c r="R407" s="35" t="s">
        <v>2077</v>
      </c>
      <c r="S407" s="35" t="b">
        <v>1</v>
      </c>
      <c r="T407" s="35" t="b">
        <v>0</v>
      </c>
      <c r="U407" s="41" t="str">
        <f>IFERROR(__xludf.DUMMYFUNCTION("""["" &amp; JOIN("", "", ARRAYFORMULA("""""""" &amp; TRIM(SPLIT(A407,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7" s="42" t="s">
        <v>2241</v>
      </c>
      <c r="W407" s="59" t="s">
        <v>2242</v>
      </c>
      <c r="X407" s="43"/>
      <c r="Y407" s="44" t="str">
        <f>vlookup(G407,zip_codes!$B$6:$J988,3,false)</f>
        <v>Pasadena</v>
      </c>
      <c r="Z407" s="45" t="str">
        <f>vlookup(G407,zip_codes!$B$6:$J988,9,false)</f>
        <v>Pasadena</v>
      </c>
      <c r="AA407" s="44" t="str">
        <f>vlookup(B407,organizations!$B$1:$C988,2,false)</f>
        <v>Harris Health</v>
      </c>
      <c r="AB407" s="46" t="s">
        <v>2243</v>
      </c>
      <c r="AC407" s="47" t="s">
        <v>278</v>
      </c>
      <c r="AD407" s="48" t="s">
        <v>729</v>
      </c>
      <c r="AE407" s="48" t="str">
        <f t="shared" si="56"/>
        <v>Harris Health - Strawberry927 Shaw Avenue32</v>
      </c>
      <c r="AF407" s="48" t="str">
        <f t="shared" si="62"/>
        <v/>
      </c>
    </row>
    <row r="408" ht="66.75" customHeight="1">
      <c r="A408" s="49" t="s">
        <v>1979</v>
      </c>
      <c r="B408" s="35" t="s">
        <v>2244</v>
      </c>
      <c r="C408" s="36" t="s">
        <v>2245</v>
      </c>
      <c r="D408" s="36" t="s">
        <v>2246</v>
      </c>
      <c r="E408" s="36" t="s">
        <v>36</v>
      </c>
      <c r="F408" s="36" t="s">
        <v>37</v>
      </c>
      <c r="G408" s="35" t="s">
        <v>2102</v>
      </c>
      <c r="H408" s="35" t="s">
        <v>2170</v>
      </c>
      <c r="I408" s="35" t="s">
        <v>2171</v>
      </c>
      <c r="J408" s="35"/>
      <c r="K408" s="37">
        <f>IFERROR(__xludf.DUMMYFUNCTION("query(assistance!$A$2:$E988,""Select C Where D = '""&amp;L408&amp;""'"")"),31.0)</f>
        <v>31</v>
      </c>
      <c r="L408" s="36" t="s">
        <v>90</v>
      </c>
      <c r="M408" s="38">
        <f t="shared" si="61"/>
        <v>1</v>
      </c>
      <c r="N408" s="39" t="s">
        <v>42</v>
      </c>
      <c r="O408" s="57">
        <v>45805.0</v>
      </c>
      <c r="P408" s="35" t="s">
        <v>43</v>
      </c>
      <c r="Q408" s="35"/>
      <c r="R408" s="35" t="s">
        <v>2172</v>
      </c>
      <c r="S408" s="35" t="b">
        <v>0</v>
      </c>
      <c r="T408" s="35" t="b">
        <v>0</v>
      </c>
      <c r="U408" s="41" t="str">
        <f>IFERROR(__xludf.DUMMYFUNCTION("""["" &amp; JOIN("", "", ARRAYFORMULA("""""""" &amp; TRIM(SPLIT(A408,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8" s="42" t="s">
        <v>2247</v>
      </c>
      <c r="W408" s="42" t="s">
        <v>2248</v>
      </c>
      <c r="X408" s="43"/>
      <c r="Y408" s="44" t="str">
        <f>vlookup(G408,zip_codes!$B$6:$J988,3,false)</f>
        <v>Houston</v>
      </c>
      <c r="Z408" s="45" t="str">
        <f>vlookup(G408,zip_codes!$B$6:$J988,9,false)</f>
        <v>Lindale Park, Near Northside, Northside, Woodland Heights</v>
      </c>
      <c r="AA408" s="44" t="str">
        <f>vlookup(B408,organizations!$B$1:$C988,2,false)</f>
        <v>Harris Health</v>
      </c>
      <c r="AB408" s="46" t="s">
        <v>2249</v>
      </c>
      <c r="AC408" s="47" t="s">
        <v>2176</v>
      </c>
      <c r="AD408" s="48" t="s">
        <v>356</v>
      </c>
      <c r="AE408" s="48" t="str">
        <f t="shared" si="56"/>
        <v>Harris Health - Sunset Heights1623 Airline Drive31</v>
      </c>
      <c r="AF408" s="48" t="str">
        <f t="shared" si="62"/>
        <v/>
      </c>
    </row>
    <row r="409" ht="66.75" customHeight="1">
      <c r="A409" s="49" t="s">
        <v>1979</v>
      </c>
      <c r="B409" s="35" t="s">
        <v>2250</v>
      </c>
      <c r="C409" s="36" t="s">
        <v>2187</v>
      </c>
      <c r="D409" s="36"/>
      <c r="E409" s="36" t="s">
        <v>36</v>
      </c>
      <c r="F409" s="36" t="s">
        <v>37</v>
      </c>
      <c r="G409" s="35" t="s">
        <v>762</v>
      </c>
      <c r="H409" s="35" t="s">
        <v>2170</v>
      </c>
      <c r="I409" s="35" t="s">
        <v>2171</v>
      </c>
      <c r="J409" s="35"/>
      <c r="K409" s="37">
        <f>IFERROR(__xludf.DUMMYFUNCTION("query(assistance!$A$2:$E988,""Select C Where D = '""&amp;L409&amp;""'"")"),31.0)</f>
        <v>31</v>
      </c>
      <c r="L409" s="36" t="s">
        <v>90</v>
      </c>
      <c r="M409" s="38">
        <f t="shared" si="61"/>
        <v>1</v>
      </c>
      <c r="N409" s="39" t="s">
        <v>42</v>
      </c>
      <c r="O409" s="57">
        <v>45805.0</v>
      </c>
      <c r="P409" s="35" t="s">
        <v>43</v>
      </c>
      <c r="Q409" s="35"/>
      <c r="R409" s="35" t="s">
        <v>2251</v>
      </c>
      <c r="S409" s="35" t="b">
        <v>0</v>
      </c>
      <c r="T409" s="35" t="b">
        <v>0</v>
      </c>
      <c r="U409" s="41" t="str">
        <f>IFERROR(__xludf.DUMMYFUNCTION("""["" &amp; JOIN("", "", ARRAYFORMULA("""""""" &amp; TRIM(SPLIT(A409,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09" s="42" t="s">
        <v>2252</v>
      </c>
      <c r="W409" s="42" t="s">
        <v>2253</v>
      </c>
      <c r="X409" s="43"/>
      <c r="Y409" s="44" t="str">
        <f>vlookup(G409,zip_codes!$B$6:$J988,3,false)</f>
        <v>Houston</v>
      </c>
      <c r="Z409" s="45" t="str">
        <f>vlookup(G409,zip_codes!$B$6:$J988,9,false)</f>
        <v>Kashmere Gardens, Northside, Trinity / Houston Gardens</v>
      </c>
      <c r="AA409" s="44" t="str">
        <f>vlookup(B409,organizations!$B$1:$C988,2,false)</f>
        <v>Harris Health</v>
      </c>
      <c r="AB409" s="46" t="s">
        <v>2192</v>
      </c>
      <c r="AC409" s="47" t="s">
        <v>2176</v>
      </c>
      <c r="AD409" s="48" t="s">
        <v>2193</v>
      </c>
      <c r="AE409" s="48" t="str">
        <f t="shared" si="56"/>
        <v>Harris Health - Urgent Care5550 Kelley Street31</v>
      </c>
      <c r="AF409" s="48" t="str">
        <f t="shared" si="62"/>
        <v/>
      </c>
    </row>
    <row r="410" ht="76.5" customHeight="1">
      <c r="A410" s="49" t="s">
        <v>1979</v>
      </c>
      <c r="B410" s="35" t="s">
        <v>2254</v>
      </c>
      <c r="C410" s="36" t="s">
        <v>2255</v>
      </c>
      <c r="D410" s="36"/>
      <c r="E410" s="36" t="s">
        <v>36</v>
      </c>
      <c r="F410" s="36" t="s">
        <v>37</v>
      </c>
      <c r="G410" s="35" t="s">
        <v>567</v>
      </c>
      <c r="H410" s="35" t="s">
        <v>2256</v>
      </c>
      <c r="I410" s="35" t="s">
        <v>272</v>
      </c>
      <c r="J410" s="35"/>
      <c r="K410" s="37">
        <f>IFERROR(__xludf.DUMMYFUNCTION("query(assistance!$A$2:$E988,""Select C Where D = '""&amp;L410&amp;""'"")"),31.0)</f>
        <v>31</v>
      </c>
      <c r="L410" s="36" t="s">
        <v>90</v>
      </c>
      <c r="M410" s="38">
        <f t="shared" si="61"/>
        <v>1</v>
      </c>
      <c r="N410" s="39" t="s">
        <v>42</v>
      </c>
      <c r="O410" s="57">
        <v>45805.0</v>
      </c>
      <c r="P410" s="35" t="s">
        <v>43</v>
      </c>
      <c r="Q410" s="35"/>
      <c r="R410" s="35" t="s">
        <v>2257</v>
      </c>
      <c r="S410" s="35" t="b">
        <v>0</v>
      </c>
      <c r="T410" s="35" t="b">
        <v>0</v>
      </c>
      <c r="U410" s="41" t="str">
        <f>IFERROR(__xludf.DUMMYFUNCTION("""["" &amp; JOIN("", "", ARRAYFORMULA("""""""" &amp; TRIM(SPLIT(A410,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10" s="42" t="s">
        <v>2258</v>
      </c>
      <c r="W410" s="42" t="s">
        <v>2259</v>
      </c>
      <c r="X410" s="43"/>
      <c r="Y410" s="44" t="str">
        <f>vlookup(G410,zip_codes!$B$6:$J988,3,false)</f>
        <v>Houston</v>
      </c>
      <c r="Z410" s="45" t="str">
        <f>vlookup(G410,zip_codes!$B$6:$J988,9,false)</f>
        <v>Braeburn, Robindell, Sharpstown</v>
      </c>
      <c r="AA410" s="44" t="str">
        <f>vlookup(B410,organizations!$B$1:$C988,2,false)</f>
        <v>Harris Health</v>
      </c>
      <c r="AB410" s="46" t="s">
        <v>2260</v>
      </c>
      <c r="AC410" s="47" t="s">
        <v>278</v>
      </c>
      <c r="AD410" s="48" t="s">
        <v>572</v>
      </c>
      <c r="AE410" s="48" t="str">
        <f t="shared" si="56"/>
        <v>Harris Health - Vallbona6630 DeMoss Drive31</v>
      </c>
      <c r="AF410" s="48" t="str">
        <f t="shared" si="62"/>
        <v/>
      </c>
    </row>
    <row r="411" ht="66.75" customHeight="1">
      <c r="A411" s="49" t="s">
        <v>1979</v>
      </c>
      <c r="B411" s="35" t="s">
        <v>2261</v>
      </c>
      <c r="C411" s="36" t="s">
        <v>2056</v>
      </c>
      <c r="D411" s="36"/>
      <c r="E411" s="36" t="s">
        <v>1306</v>
      </c>
      <c r="F411" s="36" t="s">
        <v>37</v>
      </c>
      <c r="G411" s="35" t="s">
        <v>1299</v>
      </c>
      <c r="H411" s="35" t="s">
        <v>2262</v>
      </c>
      <c r="I411" s="35" t="s">
        <v>272</v>
      </c>
      <c r="J411" s="35"/>
      <c r="K411" s="37">
        <f>IFERROR(__xludf.DUMMYFUNCTION("query(assistance!$A$2:$E988,""Select C Where D = '""&amp;L411&amp;""'"")"),31.0)</f>
        <v>31</v>
      </c>
      <c r="L411" s="36" t="s">
        <v>90</v>
      </c>
      <c r="M411" s="38">
        <f t="shared" si="61"/>
        <v>1</v>
      </c>
      <c r="N411" s="39" t="s">
        <v>42</v>
      </c>
      <c r="O411" s="57">
        <v>45805.0</v>
      </c>
      <c r="P411" s="35" t="s">
        <v>43</v>
      </c>
      <c r="Q411" s="35"/>
      <c r="R411" s="35" t="s">
        <v>2263</v>
      </c>
      <c r="S411" s="35" t="b">
        <v>0</v>
      </c>
      <c r="T411" s="35" t="b">
        <v>0</v>
      </c>
      <c r="U411" s="41" t="str">
        <f>IFERROR(__xludf.DUMMYFUNCTION("""["" &amp; JOIN("", "", ARRAYFORMULA("""""""" &amp; TRIM(SPLIT(A411,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""77336"", ""77338"", ""77339"", ""77345"", ""77346"", ""77347"", ""77357"", ""77373"", ""77375"", ""77377"", ""77379"", ""77383"", ""77388"", ""77389"", ""77396"", ""77401"", ""77410"", ""77429"", ""77433"", ""77447"&amp;""", ""77449"", ""77450"", ""77484"", ""77492"", ""77493"", ""77501"", ""77502"", ""77503"", ""77504"", ""77505"", ""77506"", ""77507"", ""77508"", ""77520"", ""77521"", ""77530"", ""77532"", ""77536"", ""77546"", ""77547"", ""77562"", ""77571"", ""77581"""&amp;",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"77336", "77338", "77339", "77345", "77346", "77347", "77357", "77373", "77375", "77377", "77379", "77383", "77388", "77389", "77396", "77401", "77410", "77429", "77433", "77447", "77449", "77450", "77484", "77492", "77493", "77501", "77502", "77503", "77504", "77505", "77506", "77507", "77508", "77520", "77521", "77530", "77532", "77536", "77546", "77547", "77562", "77571", "77581", "77586", "77587", "77598"]</v>
      </c>
      <c r="V411" s="42" t="s">
        <v>2264</v>
      </c>
      <c r="W411" s="42" t="s">
        <v>2265</v>
      </c>
      <c r="X411" s="43"/>
      <c r="Y411" s="44" t="str">
        <f>vlookup(G411,zip_codes!$B$6:$J988,3,false)</f>
        <v>Bellaire</v>
      </c>
      <c r="Z411" s="45" t="str">
        <f>vlookup(G411,zip_codes!$B$6:$J988,9,false)</f>
        <v>Bellaire</v>
      </c>
      <c r="AA411" s="44" t="str">
        <f>vlookup(B411,organizations!$B$1:$C988,2,false)</f>
        <v>Harris Health</v>
      </c>
      <c r="AB411" s="46" t="s">
        <v>2061</v>
      </c>
      <c r="AC411" s="47" t="s">
        <v>278</v>
      </c>
      <c r="AD411" s="48" t="s">
        <v>1306</v>
      </c>
      <c r="AE411" s="48" t="str">
        <f t="shared" si="56"/>
        <v>Harris Health- Rehabilitation Services4800 Fournace Place31</v>
      </c>
      <c r="AF411" s="48" t="str">
        <f t="shared" si="62"/>
        <v/>
      </c>
    </row>
    <row r="412" ht="66.75" customHeight="1">
      <c r="A412" s="49" t="s">
        <v>50</v>
      </c>
      <c r="B412" s="35" t="s">
        <v>2266</v>
      </c>
      <c r="C412" s="36" t="s">
        <v>2267</v>
      </c>
      <c r="D412" s="36"/>
      <c r="E412" s="36" t="s">
        <v>36</v>
      </c>
      <c r="F412" s="36" t="s">
        <v>37</v>
      </c>
      <c r="G412" s="35" t="s">
        <v>270</v>
      </c>
      <c r="H412" s="35" t="s">
        <v>2268</v>
      </c>
      <c r="I412" s="35" t="s">
        <v>2269</v>
      </c>
      <c r="J412" s="35"/>
      <c r="K412" s="37">
        <f>IFERROR(__xludf.DUMMYFUNCTION("query(assistance!$A$2:$E988,""Select C Where D = '""&amp;L412&amp;""'"")"),31.0)</f>
        <v>31</v>
      </c>
      <c r="L412" s="36" t="s">
        <v>90</v>
      </c>
      <c r="M412" s="38">
        <f t="shared" si="61"/>
        <v>1</v>
      </c>
      <c r="N412" s="39" t="s">
        <v>42</v>
      </c>
      <c r="O412" s="57">
        <v>46049.0</v>
      </c>
      <c r="P412" s="35" t="s">
        <v>43</v>
      </c>
      <c r="Q412" s="35"/>
      <c r="R412" s="35" t="s">
        <v>2270</v>
      </c>
      <c r="S412" s="35" t="b">
        <v>0</v>
      </c>
      <c r="T412" s="35" t="b">
        <v>0</v>
      </c>
      <c r="U412" s="41" t="str">
        <f>IFERROR(__xludf.DUMMYFUNCTION("""["" &amp; JOIN("", "", ARRAYFORMULA("""""""" &amp; TRIM(SPLIT(A412, "","")) &amp; """""""")) &amp; ""]"""),"[""99999""]")</f>
        <v>["99999"]</v>
      </c>
      <c r="V412" s="42" t="s">
        <v>2271</v>
      </c>
      <c r="W412" s="42" t="s">
        <v>2272</v>
      </c>
      <c r="X412" s="43"/>
      <c r="Y412" s="44" t="str">
        <f>vlookup(G412,zip_codes!$B$6:$J988,3,false)</f>
        <v>Houston</v>
      </c>
      <c r="Z412" s="45" t="str">
        <f>vlookup(G412,zip_codes!$B$6:$J988,9,false)</f>
        <v>Central Business District, Downtown Houston, East Downtown, South Central Houston, Theater District, University Place, Warehouse District</v>
      </c>
      <c r="AA412" s="44" t="str">
        <f>vlookup(B412,organizations!$B$1:$C988,2,false)</f>
        <v>Healthcare For The Homeless</v>
      </c>
      <c r="AB412" s="46" t="s">
        <v>2273</v>
      </c>
      <c r="AC412" s="47" t="s">
        <v>2274</v>
      </c>
      <c r="AD412" s="48" t="s">
        <v>279</v>
      </c>
      <c r="AE412" s="48" t="str">
        <f t="shared" si="56"/>
        <v>Healthcare for the Homeless Caroline Street Clinic1934 Caroline Street31</v>
      </c>
      <c r="AF412" s="48" t="str">
        <f t="shared" si="62"/>
        <v/>
      </c>
    </row>
    <row r="413" ht="66.75" customHeight="1">
      <c r="A413" s="49" t="s">
        <v>50</v>
      </c>
      <c r="B413" s="35" t="s">
        <v>2266</v>
      </c>
      <c r="C413" s="36" t="s">
        <v>2267</v>
      </c>
      <c r="D413" s="36"/>
      <c r="E413" s="36" t="s">
        <v>36</v>
      </c>
      <c r="F413" s="36" t="s">
        <v>37</v>
      </c>
      <c r="G413" s="35" t="s">
        <v>270</v>
      </c>
      <c r="H413" s="35" t="s">
        <v>2268</v>
      </c>
      <c r="I413" s="35" t="s">
        <v>2269</v>
      </c>
      <c r="J413" s="35"/>
      <c r="K413" s="37">
        <f>IFERROR(__xludf.DUMMYFUNCTION("query(assistance!$A$2:$E988,""Select C Where D = '""&amp;L413&amp;""'"")"),32.0)</f>
        <v>32</v>
      </c>
      <c r="L413" s="36" t="s">
        <v>208</v>
      </c>
      <c r="M413" s="38">
        <f t="shared" si="61"/>
        <v>1</v>
      </c>
      <c r="N413" s="39" t="s">
        <v>42</v>
      </c>
      <c r="O413" s="57">
        <v>46049.0</v>
      </c>
      <c r="P413" s="35" t="s">
        <v>43</v>
      </c>
      <c r="Q413" s="35"/>
      <c r="R413" s="35" t="s">
        <v>2275</v>
      </c>
      <c r="S413" s="35" t="b">
        <v>1</v>
      </c>
      <c r="T413" s="35" t="b">
        <v>0</v>
      </c>
      <c r="U413" s="41" t="str">
        <f>IFERROR(__xludf.DUMMYFUNCTION("""["" &amp; JOIN("", "", ARRAYFORMULA("""""""" &amp; TRIM(SPLIT(A413, "","")) &amp; """""""")) &amp; ""]"""),"[""99999""]")</f>
        <v>["99999"]</v>
      </c>
      <c r="V413" s="42" t="s">
        <v>2271</v>
      </c>
      <c r="W413" s="42" t="s">
        <v>2272</v>
      </c>
      <c r="X413" s="43"/>
      <c r="Y413" s="44" t="str">
        <f>vlookup(G413,zip_codes!$B$6:$J988,3,false)</f>
        <v>Houston</v>
      </c>
      <c r="Z413" s="45" t="str">
        <f>vlookup(G413,zip_codes!$B$6:$J988,9,false)</f>
        <v>Central Business District, Downtown Houston, East Downtown, South Central Houston, Theater District, University Place, Warehouse District</v>
      </c>
      <c r="AA413" s="44" t="str">
        <f>vlookup(B413,organizations!$B$1:$C988,2,false)</f>
        <v>Healthcare For The Homeless</v>
      </c>
      <c r="AB413" s="46" t="s">
        <v>2273</v>
      </c>
      <c r="AC413" s="47" t="s">
        <v>2274</v>
      </c>
      <c r="AD413" s="48" t="s">
        <v>279</v>
      </c>
      <c r="AE413" s="48" t="str">
        <f t="shared" si="56"/>
        <v>Healthcare for the Homeless Caroline Street Clinic1934 Caroline Street32</v>
      </c>
      <c r="AF413" s="48" t="str">
        <f t="shared" si="62"/>
        <v/>
      </c>
    </row>
    <row r="414" ht="66.75" customHeight="1">
      <c r="A414" s="49" t="s">
        <v>50</v>
      </c>
      <c r="B414" s="35" t="s">
        <v>2266</v>
      </c>
      <c r="C414" s="36" t="s">
        <v>2267</v>
      </c>
      <c r="D414" s="36"/>
      <c r="E414" s="36" t="s">
        <v>36</v>
      </c>
      <c r="F414" s="36" t="s">
        <v>37</v>
      </c>
      <c r="G414" s="35" t="s">
        <v>270</v>
      </c>
      <c r="H414" s="35" t="s">
        <v>2268</v>
      </c>
      <c r="I414" s="35" t="s">
        <v>2269</v>
      </c>
      <c r="J414" s="35"/>
      <c r="K414" s="37">
        <f>IFERROR(__xludf.DUMMYFUNCTION("query(assistance!$A$2:$E988,""Select C Where D = '""&amp;L414&amp;""'"")"),33.0)</f>
        <v>33</v>
      </c>
      <c r="L414" s="36" t="s">
        <v>333</v>
      </c>
      <c r="M414" s="38">
        <f t="shared" si="61"/>
        <v>1</v>
      </c>
      <c r="N414" s="39" t="s">
        <v>42</v>
      </c>
      <c r="O414" s="57">
        <v>46049.0</v>
      </c>
      <c r="P414" s="35" t="s">
        <v>43</v>
      </c>
      <c r="Q414" s="35"/>
      <c r="R414" s="35" t="s">
        <v>2276</v>
      </c>
      <c r="S414" s="35" t="b">
        <v>0</v>
      </c>
      <c r="T414" s="35" t="b">
        <v>0</v>
      </c>
      <c r="U414" s="41" t="str">
        <f>IFERROR(__xludf.DUMMYFUNCTION("""["" &amp; JOIN("", "", ARRAYFORMULA("""""""" &amp; TRIM(SPLIT(A414, "","")) &amp; """""""")) &amp; ""]"""),"[""99999""]")</f>
        <v>["99999"]</v>
      </c>
      <c r="V414" s="42" t="s">
        <v>2271</v>
      </c>
      <c r="W414" s="42" t="s">
        <v>2272</v>
      </c>
      <c r="X414" s="43"/>
      <c r="Y414" s="44" t="str">
        <f>vlookup(G414,zip_codes!$B$6:$J988,3,false)</f>
        <v>Houston</v>
      </c>
      <c r="Z414" s="45" t="str">
        <f>vlookup(G414,zip_codes!$B$6:$J988,9,false)</f>
        <v>Central Business District, Downtown Houston, East Downtown, South Central Houston, Theater District, University Place, Warehouse District</v>
      </c>
      <c r="AA414" s="44" t="str">
        <f>vlookup(B414,organizations!$B$1:$C988,2,false)</f>
        <v>Healthcare For The Homeless</v>
      </c>
      <c r="AB414" s="46" t="s">
        <v>2273</v>
      </c>
      <c r="AC414" s="47" t="s">
        <v>2274</v>
      </c>
      <c r="AD414" s="48" t="s">
        <v>279</v>
      </c>
      <c r="AE414" s="48" t="str">
        <f t="shared" si="56"/>
        <v>Healthcare for the Homeless Caroline Street Clinic1934 Caroline Street33</v>
      </c>
      <c r="AF414" s="48" t="str">
        <f t="shared" si="62"/>
        <v/>
      </c>
    </row>
    <row r="415" ht="66.75" customHeight="1">
      <c r="A415" s="49" t="s">
        <v>50</v>
      </c>
      <c r="B415" s="35" t="s">
        <v>2277</v>
      </c>
      <c r="C415" s="36" t="s">
        <v>2278</v>
      </c>
      <c r="D415" s="36"/>
      <c r="E415" s="36" t="s">
        <v>36</v>
      </c>
      <c r="F415" s="36" t="s">
        <v>37</v>
      </c>
      <c r="G415" s="35" t="s">
        <v>270</v>
      </c>
      <c r="H415" s="35" t="s">
        <v>2268</v>
      </c>
      <c r="I415" s="35" t="s">
        <v>2279</v>
      </c>
      <c r="J415" s="35"/>
      <c r="K415" s="37">
        <f>IFERROR(__xludf.DUMMYFUNCTION("query(assistance!$A$2:$E988,""Select C Where D = '""&amp;L415&amp;""'"")"),31.0)</f>
        <v>31</v>
      </c>
      <c r="L415" s="36" t="s">
        <v>90</v>
      </c>
      <c r="M415" s="38">
        <f t="shared" si="61"/>
        <v>1</v>
      </c>
      <c r="N415" s="39" t="s">
        <v>42</v>
      </c>
      <c r="O415" s="57">
        <v>46049.0</v>
      </c>
      <c r="P415" s="35" t="s">
        <v>43</v>
      </c>
      <c r="Q415" s="35"/>
      <c r="R415" s="35" t="s">
        <v>2270</v>
      </c>
      <c r="S415" s="35" t="b">
        <v>0</v>
      </c>
      <c r="T415" s="35" t="b">
        <v>0</v>
      </c>
      <c r="U415" s="41" t="str">
        <f>IFERROR(__xludf.DUMMYFUNCTION("""["" &amp; JOIN("", "", ARRAYFORMULA("""""""" &amp; TRIM(SPLIT(A415, "","")) &amp; """""""")) &amp; ""]"""),"[""99999""]")</f>
        <v>["99999"]</v>
      </c>
      <c r="V415" s="42" t="s">
        <v>2271</v>
      </c>
      <c r="W415" s="42" t="s">
        <v>2280</v>
      </c>
      <c r="X415" s="43"/>
      <c r="Y415" s="44" t="str">
        <f>vlookup(G415,zip_codes!$B$6:$J988,3,false)</f>
        <v>Houston</v>
      </c>
      <c r="Z415" s="45" t="str">
        <f>vlookup(G415,zip_codes!$B$6:$J988,9,false)</f>
        <v>Central Business District, Downtown Houston, East Downtown, South Central Houston, Theater District, University Place, Warehouse District</v>
      </c>
      <c r="AA415" s="44" t="str">
        <f>vlookup(B415,organizations!$B$1:$C988,2,false)</f>
        <v>Healthcare For The Homeless</v>
      </c>
      <c r="AB415" s="46" t="s">
        <v>2281</v>
      </c>
      <c r="AC415" s="47" t="s">
        <v>2282</v>
      </c>
      <c r="AD415" s="48" t="s">
        <v>279</v>
      </c>
      <c r="AE415" s="48" t="str">
        <f t="shared" si="56"/>
        <v>Healthcare for the Homeless Cathedral Clinic at The Beacon1212 Prairie Street31</v>
      </c>
      <c r="AF415" s="48" t="str">
        <f t="shared" si="62"/>
        <v/>
      </c>
    </row>
    <row r="416" ht="66.75" customHeight="1">
      <c r="A416" s="49" t="s">
        <v>50</v>
      </c>
      <c r="B416" s="35" t="s">
        <v>2277</v>
      </c>
      <c r="C416" s="36" t="s">
        <v>2278</v>
      </c>
      <c r="D416" s="36"/>
      <c r="E416" s="36" t="s">
        <v>36</v>
      </c>
      <c r="F416" s="36" t="s">
        <v>37</v>
      </c>
      <c r="G416" s="35" t="s">
        <v>270</v>
      </c>
      <c r="H416" s="35" t="s">
        <v>2268</v>
      </c>
      <c r="I416" s="35" t="s">
        <v>2279</v>
      </c>
      <c r="J416" s="35"/>
      <c r="K416" s="37">
        <f>IFERROR(__xludf.DUMMYFUNCTION("query(assistance!$A$2:$E988,""Select C Where D = '""&amp;L416&amp;""'"")"),32.0)</f>
        <v>32</v>
      </c>
      <c r="L416" s="36" t="s">
        <v>208</v>
      </c>
      <c r="M416" s="38">
        <f t="shared" si="61"/>
        <v>1</v>
      </c>
      <c r="N416" s="39" t="s">
        <v>42</v>
      </c>
      <c r="O416" s="57">
        <v>46049.0</v>
      </c>
      <c r="P416" s="35" t="s">
        <v>43</v>
      </c>
      <c r="Q416" s="35"/>
      <c r="R416" s="35" t="s">
        <v>2275</v>
      </c>
      <c r="S416" s="35" t="b">
        <v>1</v>
      </c>
      <c r="T416" s="35" t="b">
        <v>0</v>
      </c>
      <c r="U416" s="41" t="str">
        <f>IFERROR(__xludf.DUMMYFUNCTION("""["" &amp; JOIN("", "", ARRAYFORMULA("""""""" &amp; TRIM(SPLIT(A416, "","")) &amp; """""""")) &amp; ""]"""),"[""99999""]")</f>
        <v>["99999"]</v>
      </c>
      <c r="V416" s="42" t="s">
        <v>2271</v>
      </c>
      <c r="W416" s="42" t="s">
        <v>2280</v>
      </c>
      <c r="X416" s="43"/>
      <c r="Y416" s="44" t="str">
        <f>vlookup(G416,zip_codes!$B$6:$J988,3,false)</f>
        <v>Houston</v>
      </c>
      <c r="Z416" s="45" t="str">
        <f>vlookup(G416,zip_codes!$B$6:$J988,9,false)</f>
        <v>Central Business District, Downtown Houston, East Downtown, South Central Houston, Theater District, University Place, Warehouse District</v>
      </c>
      <c r="AA416" s="44" t="str">
        <f>vlookup(B416,organizations!$B$1:$C988,2,false)</f>
        <v>Healthcare For The Homeless</v>
      </c>
      <c r="AB416" s="46" t="s">
        <v>2281</v>
      </c>
      <c r="AC416" s="47" t="s">
        <v>2282</v>
      </c>
      <c r="AD416" s="48" t="s">
        <v>279</v>
      </c>
      <c r="AE416" s="48" t="str">
        <f t="shared" si="56"/>
        <v>Healthcare for the Homeless Cathedral Clinic at The Beacon1212 Prairie Street32</v>
      </c>
      <c r="AF416" s="48" t="str">
        <f t="shared" si="62"/>
        <v/>
      </c>
    </row>
    <row r="417" ht="66.75" customHeight="1">
      <c r="A417" s="49" t="s">
        <v>50</v>
      </c>
      <c r="B417" s="35" t="s">
        <v>2277</v>
      </c>
      <c r="C417" s="36" t="s">
        <v>2278</v>
      </c>
      <c r="D417" s="36"/>
      <c r="E417" s="36" t="s">
        <v>36</v>
      </c>
      <c r="F417" s="36" t="s">
        <v>37</v>
      </c>
      <c r="G417" s="35" t="s">
        <v>270</v>
      </c>
      <c r="H417" s="35" t="s">
        <v>2268</v>
      </c>
      <c r="I417" s="35" t="s">
        <v>2279</v>
      </c>
      <c r="J417" s="35"/>
      <c r="K417" s="37">
        <f>IFERROR(__xludf.DUMMYFUNCTION("query(assistance!$A$2:$E988,""Select C Where D = '""&amp;L417&amp;""'"")"),33.0)</f>
        <v>33</v>
      </c>
      <c r="L417" s="36" t="s">
        <v>333</v>
      </c>
      <c r="M417" s="38">
        <f t="shared" si="61"/>
        <v>1</v>
      </c>
      <c r="N417" s="39" t="s">
        <v>42</v>
      </c>
      <c r="O417" s="57">
        <v>46049.0</v>
      </c>
      <c r="P417" s="35" t="s">
        <v>43</v>
      </c>
      <c r="Q417" s="35"/>
      <c r="R417" s="35" t="s">
        <v>2276</v>
      </c>
      <c r="S417" s="35" t="b">
        <v>0</v>
      </c>
      <c r="T417" s="35" t="b">
        <v>0</v>
      </c>
      <c r="U417" s="41" t="str">
        <f>IFERROR(__xludf.DUMMYFUNCTION("""["" &amp; JOIN("", "", ARRAYFORMULA("""""""" &amp; TRIM(SPLIT(A417, "","")) &amp; """""""")) &amp; ""]"""),"[""99999""]")</f>
        <v>["99999"]</v>
      </c>
      <c r="V417" s="42" t="s">
        <v>2271</v>
      </c>
      <c r="W417" s="42" t="s">
        <v>2280</v>
      </c>
      <c r="X417" s="43"/>
      <c r="Y417" s="44" t="str">
        <f>vlookup(G417,zip_codes!$B$6:$J988,3,false)</f>
        <v>Houston</v>
      </c>
      <c r="Z417" s="45" t="str">
        <f>vlookup(G417,zip_codes!$B$6:$J988,9,false)</f>
        <v>Central Business District, Downtown Houston, East Downtown, South Central Houston, Theater District, University Place, Warehouse District</v>
      </c>
      <c r="AA417" s="44" t="str">
        <f>vlookup(B417,organizations!$B$1:$C988,2,false)</f>
        <v>Healthcare For The Homeless</v>
      </c>
      <c r="AB417" s="46" t="s">
        <v>2281</v>
      </c>
      <c r="AC417" s="47" t="s">
        <v>2282</v>
      </c>
      <c r="AD417" s="48" t="s">
        <v>279</v>
      </c>
      <c r="AE417" s="48" t="str">
        <f t="shared" si="56"/>
        <v>Healthcare for the Homeless Cathedral Clinic at The Beacon1212 Prairie Street33</v>
      </c>
      <c r="AF417" s="48" t="str">
        <f t="shared" si="62"/>
        <v/>
      </c>
    </row>
    <row r="418" ht="66.75" customHeight="1">
      <c r="A418" s="49" t="s">
        <v>50</v>
      </c>
      <c r="B418" s="35" t="s">
        <v>2283</v>
      </c>
      <c r="C418" s="36" t="s">
        <v>880</v>
      </c>
      <c r="D418" s="36"/>
      <c r="E418" s="36" t="s">
        <v>36</v>
      </c>
      <c r="F418" s="36" t="s">
        <v>37</v>
      </c>
      <c r="G418" s="35" t="s">
        <v>881</v>
      </c>
      <c r="H418" s="35" t="s">
        <v>2268</v>
      </c>
      <c r="I418" s="35" t="s">
        <v>2284</v>
      </c>
      <c r="J418" s="35"/>
      <c r="K418" s="37">
        <f>IFERROR(__xludf.DUMMYFUNCTION("query(assistance!$A$2:$E988,""Select C Where D = '""&amp;L418&amp;""'"")"),31.0)</f>
        <v>31</v>
      </c>
      <c r="L418" s="36" t="s">
        <v>90</v>
      </c>
      <c r="M418" s="38">
        <f t="shared" si="61"/>
        <v>1</v>
      </c>
      <c r="N418" s="39" t="s">
        <v>42</v>
      </c>
      <c r="O418" s="57">
        <v>46049.0</v>
      </c>
      <c r="P418" s="35" t="s">
        <v>43</v>
      </c>
      <c r="Q418" s="35"/>
      <c r="R418" s="35" t="s">
        <v>2270</v>
      </c>
      <c r="S418" s="35" t="b">
        <v>0</v>
      </c>
      <c r="T418" s="35" t="b">
        <v>0</v>
      </c>
      <c r="U418" s="41" t="str">
        <f>IFERROR(__xludf.DUMMYFUNCTION("""["" &amp; JOIN("", "", ARRAYFORMULA("""""""" &amp; TRIM(SPLIT(A418, "","")) &amp; """""""")) &amp; ""]"""),"[""99999""]")</f>
        <v>["99999"]</v>
      </c>
      <c r="V418" s="42" t="s">
        <v>2271</v>
      </c>
      <c r="W418" s="42" t="s">
        <v>2285</v>
      </c>
      <c r="X418" s="43"/>
      <c r="Y418" s="44" t="str">
        <f>vlookup(G418,zip_codes!$B$6:$J988,3,false)</f>
        <v>Houston</v>
      </c>
      <c r="Z418" s="45" t="str">
        <f>vlookup(G418,zip_codes!$B$6:$J988,9,false)</f>
        <v>Central Southwest, South Park, South Side, Sunnyside</v>
      </c>
      <c r="AA418" s="44" t="str">
        <f>vlookup(B418,organizations!$B$1:$C988,2,false)</f>
        <v>Healthcare For The Homeless</v>
      </c>
      <c r="AB418" s="46" t="s">
        <v>885</v>
      </c>
      <c r="AC418" s="47" t="s">
        <v>2286</v>
      </c>
      <c r="AD418" s="48" t="s">
        <v>49</v>
      </c>
      <c r="AE418" s="48" t="str">
        <f t="shared" si="56"/>
        <v>Healthcare for the Homeless Reed Family Clinic2605 Reed Road31</v>
      </c>
      <c r="AF418" s="48" t="str">
        <f t="shared" si="62"/>
        <v/>
      </c>
    </row>
    <row r="419" ht="66.75" customHeight="1">
      <c r="A419" s="49" t="s">
        <v>50</v>
      </c>
      <c r="B419" s="35" t="s">
        <v>2283</v>
      </c>
      <c r="C419" s="36" t="s">
        <v>880</v>
      </c>
      <c r="D419" s="36"/>
      <c r="E419" s="36" t="s">
        <v>36</v>
      </c>
      <c r="F419" s="36" t="s">
        <v>37</v>
      </c>
      <c r="G419" s="35" t="s">
        <v>881</v>
      </c>
      <c r="H419" s="35" t="s">
        <v>2268</v>
      </c>
      <c r="I419" s="35" t="s">
        <v>2284</v>
      </c>
      <c r="J419" s="35"/>
      <c r="K419" s="37">
        <f>IFERROR(__xludf.DUMMYFUNCTION("query(assistance!$A$2:$E988,""Select C Where D = '""&amp;L419&amp;""'"")"),32.0)</f>
        <v>32</v>
      </c>
      <c r="L419" s="36" t="s">
        <v>208</v>
      </c>
      <c r="M419" s="38">
        <f t="shared" si="61"/>
        <v>1</v>
      </c>
      <c r="N419" s="39" t="s">
        <v>42</v>
      </c>
      <c r="O419" s="57">
        <v>46049.0</v>
      </c>
      <c r="P419" s="35" t="s">
        <v>43</v>
      </c>
      <c r="Q419" s="35"/>
      <c r="R419" s="35" t="s">
        <v>2275</v>
      </c>
      <c r="S419" s="35" t="b">
        <v>1</v>
      </c>
      <c r="T419" s="35" t="b">
        <v>0</v>
      </c>
      <c r="U419" s="41" t="str">
        <f>IFERROR(__xludf.DUMMYFUNCTION("""["" &amp; JOIN("", "", ARRAYFORMULA("""""""" &amp; TRIM(SPLIT(A419, "","")) &amp; """""""")) &amp; ""]"""),"[""99999""]")</f>
        <v>["99999"]</v>
      </c>
      <c r="V419" s="42" t="s">
        <v>2271</v>
      </c>
      <c r="W419" s="42" t="s">
        <v>2285</v>
      </c>
      <c r="X419" s="43"/>
      <c r="Y419" s="44" t="str">
        <f>vlookup(G419,zip_codes!$B$6:$J988,3,false)</f>
        <v>Houston</v>
      </c>
      <c r="Z419" s="45" t="str">
        <f>vlookup(G419,zip_codes!$B$6:$J988,9,false)</f>
        <v>Central Southwest, South Park, South Side, Sunnyside</v>
      </c>
      <c r="AA419" s="44" t="str">
        <f>vlookup(B419,organizations!$B$1:$C988,2,false)</f>
        <v>Healthcare For The Homeless</v>
      </c>
      <c r="AB419" s="46" t="s">
        <v>885</v>
      </c>
      <c r="AC419" s="47" t="s">
        <v>2286</v>
      </c>
      <c r="AD419" s="48" t="s">
        <v>49</v>
      </c>
      <c r="AE419" s="48" t="str">
        <f t="shared" si="56"/>
        <v>Healthcare for the Homeless Reed Family Clinic2605 Reed Road32</v>
      </c>
      <c r="AF419" s="48" t="str">
        <f t="shared" si="62"/>
        <v/>
      </c>
    </row>
    <row r="420" ht="66.75" customHeight="1">
      <c r="A420" s="49" t="s">
        <v>50</v>
      </c>
      <c r="B420" s="35" t="s">
        <v>2283</v>
      </c>
      <c r="C420" s="36" t="s">
        <v>880</v>
      </c>
      <c r="D420" s="36"/>
      <c r="E420" s="36" t="s">
        <v>36</v>
      </c>
      <c r="F420" s="36" t="s">
        <v>37</v>
      </c>
      <c r="G420" s="35" t="s">
        <v>881</v>
      </c>
      <c r="H420" s="35" t="s">
        <v>2268</v>
      </c>
      <c r="I420" s="35" t="s">
        <v>2284</v>
      </c>
      <c r="J420" s="35"/>
      <c r="K420" s="37">
        <f>IFERROR(__xludf.DUMMYFUNCTION("query(assistance!$A$2:$E988,""Select C Where D = '""&amp;L420&amp;""'"")"),33.0)</f>
        <v>33</v>
      </c>
      <c r="L420" s="36" t="s">
        <v>333</v>
      </c>
      <c r="M420" s="38">
        <f t="shared" si="61"/>
        <v>1</v>
      </c>
      <c r="N420" s="39" t="s">
        <v>42</v>
      </c>
      <c r="O420" s="57">
        <v>46049.0</v>
      </c>
      <c r="P420" s="35" t="s">
        <v>43</v>
      </c>
      <c r="Q420" s="35"/>
      <c r="R420" s="35" t="s">
        <v>2276</v>
      </c>
      <c r="S420" s="35" t="b">
        <v>0</v>
      </c>
      <c r="T420" s="35" t="b">
        <v>0</v>
      </c>
      <c r="U420" s="41" t="str">
        <f>IFERROR(__xludf.DUMMYFUNCTION("""["" &amp; JOIN("", "", ARRAYFORMULA("""""""" &amp; TRIM(SPLIT(A420, "","")) &amp; """""""")) &amp; ""]"""),"[""99999""]")</f>
        <v>["99999"]</v>
      </c>
      <c r="V420" s="42" t="s">
        <v>2271</v>
      </c>
      <c r="W420" s="42" t="s">
        <v>2285</v>
      </c>
      <c r="X420" s="43"/>
      <c r="Y420" s="44" t="str">
        <f>vlookup(G420,zip_codes!$B$6:$J988,3,false)</f>
        <v>Houston</v>
      </c>
      <c r="Z420" s="45" t="str">
        <f>vlookup(G420,zip_codes!$B$6:$J988,9,false)</f>
        <v>Central Southwest, South Park, South Side, Sunnyside</v>
      </c>
      <c r="AA420" s="44" t="str">
        <f>vlookup(B420,organizations!$B$1:$C988,2,false)</f>
        <v>Healthcare For The Homeless</v>
      </c>
      <c r="AB420" s="46" t="s">
        <v>885</v>
      </c>
      <c r="AC420" s="47" t="s">
        <v>2286</v>
      </c>
      <c r="AD420" s="48" t="s">
        <v>49</v>
      </c>
      <c r="AE420" s="48" t="str">
        <f t="shared" si="56"/>
        <v>Healthcare for the Homeless Reed Family Clinic2605 Reed Road33</v>
      </c>
      <c r="AF420" s="48" t="str">
        <f t="shared" si="62"/>
        <v/>
      </c>
    </row>
    <row r="421" ht="66.75" customHeight="1">
      <c r="A421" s="49" t="s">
        <v>50</v>
      </c>
      <c r="B421" s="35" t="s">
        <v>2287</v>
      </c>
      <c r="C421" s="36" t="s">
        <v>2288</v>
      </c>
      <c r="D421" s="36" t="s">
        <v>2289</v>
      </c>
      <c r="E421" s="36" t="s">
        <v>2290</v>
      </c>
      <c r="F421" s="36" t="s">
        <v>373</v>
      </c>
      <c r="G421" s="56" t="s">
        <v>2291</v>
      </c>
      <c r="H421" s="35" t="s">
        <v>2292</v>
      </c>
      <c r="I421" s="35" t="s">
        <v>40</v>
      </c>
      <c r="J421" s="35"/>
      <c r="K421" s="37">
        <f>IFERROR(__xludf.DUMMYFUNCTION("query(assistance!$A$2:$E988,""Select C Where D = '""&amp;L421&amp;""'"")"),36.0)</f>
        <v>36</v>
      </c>
      <c r="L421" s="36" t="s">
        <v>227</v>
      </c>
      <c r="M421" s="38">
        <f t="shared" si="61"/>
        <v>1</v>
      </c>
      <c r="N421" s="39" t="s">
        <v>42</v>
      </c>
      <c r="O421" s="40">
        <v>6693457.0</v>
      </c>
      <c r="P421" s="35" t="s">
        <v>43</v>
      </c>
      <c r="Q421" s="35"/>
      <c r="R421" s="35" t="s">
        <v>2293</v>
      </c>
      <c r="S421" s="35" t="b">
        <v>0</v>
      </c>
      <c r="T421" s="35" t="b">
        <v>0</v>
      </c>
      <c r="U421" s="41" t="str">
        <f>IFERROR(__xludf.DUMMYFUNCTION("""["" &amp; JOIN("", "", ARRAYFORMULA("""""""" &amp; TRIM(SPLIT(A421, "","")) &amp; """""""")) &amp; ""]"""),"[""99999""]")</f>
        <v>["99999"]</v>
      </c>
      <c r="V421" s="42" t="s">
        <v>2294</v>
      </c>
      <c r="W421" s="42" t="s">
        <v>2295</v>
      </c>
      <c r="X421" s="43"/>
      <c r="Y421" s="44" t="str">
        <f>vlookup(G421,zip_codes!$B$6:$J988,3,false)</f>
        <v>Germantown</v>
      </c>
      <c r="Z421" s="45" t="str">
        <f>vlookup(G421,zip_codes!$B$6:$J988,9,false)</f>
        <v>Germantown</v>
      </c>
      <c r="AA421" s="44" t="str">
        <f>vlookup(B421,organizations!$B$1:$C988,2,false)</f>
        <v>Healthwell Foundation</v>
      </c>
      <c r="AB421" s="55" t="s">
        <v>2296</v>
      </c>
      <c r="AC421" s="61" t="s">
        <v>48</v>
      </c>
      <c r="AD421" s="58" t="s">
        <v>2290</v>
      </c>
      <c r="AE421" s="48" t="str">
        <f t="shared" si="56"/>
        <v>Healthwell Foundation20440 Century Blvd36</v>
      </c>
      <c r="AF421" s="48" t="str">
        <f t="shared" si="62"/>
        <v/>
      </c>
    </row>
    <row r="422" ht="66.75" customHeight="1">
      <c r="A422" s="34" t="s">
        <v>2297</v>
      </c>
      <c r="B422" s="35" t="s">
        <v>2298</v>
      </c>
      <c r="C422" s="36" t="s">
        <v>2299</v>
      </c>
      <c r="D422" s="36"/>
      <c r="E422" s="36" t="s">
        <v>36</v>
      </c>
      <c r="F422" s="36" t="s">
        <v>37</v>
      </c>
      <c r="G422" s="35" t="s">
        <v>2102</v>
      </c>
      <c r="H422" s="35" t="s">
        <v>2300</v>
      </c>
      <c r="I422" s="35" t="s">
        <v>2301</v>
      </c>
      <c r="J422" s="35"/>
      <c r="K422" s="37">
        <f>IFERROR(__xludf.DUMMYFUNCTION("query(assistance!$A$2:$E988,""Select C Where D = '""&amp;L422&amp;""'"")"),13.0)</f>
        <v>13</v>
      </c>
      <c r="L422" s="36" t="s">
        <v>240</v>
      </c>
      <c r="M422" s="38">
        <f t="shared" si="61"/>
        <v>1</v>
      </c>
      <c r="N422" s="51" t="s">
        <v>42</v>
      </c>
      <c r="O422" s="40">
        <v>45813.0</v>
      </c>
      <c r="P422" s="35" t="s">
        <v>43</v>
      </c>
      <c r="Q422" s="35"/>
      <c r="R422" s="35" t="s">
        <v>2302</v>
      </c>
      <c r="S422" s="35" t="b">
        <v>0</v>
      </c>
      <c r="T422" s="35" t="b">
        <v>0</v>
      </c>
      <c r="U422" s="41" t="str">
        <f>IFERROR(__xludf.DUMMYFUNCTION("""["" &amp; JOIN("", "", ARRAYFORMULA("""""""" &amp; TRIM(SPLIT(A422,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422" s="42" t="s">
        <v>2303</v>
      </c>
      <c r="W422" s="42" t="s">
        <v>2304</v>
      </c>
      <c r="X422" s="43"/>
      <c r="Y422" s="44" t="str">
        <f>vlookup(G422,zip_codes!$B$6:$J988,3,false)</f>
        <v>Houston</v>
      </c>
      <c r="Z422" s="45" t="str">
        <f>vlookup(G422,zip_codes!$B$6:$J988,9,false)</f>
        <v>Lindale Park, Near Northside, Northside, Woodland Heights</v>
      </c>
      <c r="AA422" s="44" t="str">
        <f>vlookup(B422,organizations!$B$1:$C988,2,false)</f>
        <v>Heights Interfaith Ministries</v>
      </c>
      <c r="AB422" s="46" t="s">
        <v>2305</v>
      </c>
      <c r="AC422" s="47" t="s">
        <v>2306</v>
      </c>
      <c r="AD422" s="48" t="s">
        <v>356</v>
      </c>
      <c r="AE422" s="48" t="str">
        <f t="shared" si="56"/>
        <v>Heights Interfaith Ministries3523 Beauchamp Street13</v>
      </c>
      <c r="AF422" s="48" t="str">
        <f t="shared" si="62"/>
        <v/>
      </c>
    </row>
    <row r="423" ht="66.75" customHeight="1">
      <c r="A423" s="34" t="s">
        <v>234</v>
      </c>
      <c r="B423" s="35" t="s">
        <v>2307</v>
      </c>
      <c r="C423" s="36" t="s">
        <v>657</v>
      </c>
      <c r="D423" s="36"/>
      <c r="E423" s="36" t="s">
        <v>36</v>
      </c>
      <c r="F423" s="36" t="s">
        <v>37</v>
      </c>
      <c r="G423" s="56" t="s">
        <v>658</v>
      </c>
      <c r="H423" s="35" t="s">
        <v>341</v>
      </c>
      <c r="I423" s="35" t="s">
        <v>2308</v>
      </c>
      <c r="J423" s="35"/>
      <c r="K423" s="37">
        <f>IFERROR(__xludf.DUMMYFUNCTION("query(assistance!$A$2:$E988,""Select C Where D = '""&amp;L423&amp;""'"")"),35.0)</f>
        <v>35</v>
      </c>
      <c r="L423" s="36" t="s">
        <v>731</v>
      </c>
      <c r="M423" s="38">
        <f t="shared" si="61"/>
        <v>1</v>
      </c>
      <c r="N423" s="39" t="s">
        <v>42</v>
      </c>
      <c r="O423" s="57">
        <v>46057.0</v>
      </c>
      <c r="P423" s="35" t="s">
        <v>43</v>
      </c>
      <c r="Q423" s="35"/>
      <c r="R423" s="35" t="s">
        <v>2309</v>
      </c>
      <c r="S423" s="35" t="b">
        <v>0</v>
      </c>
      <c r="T423" s="35" t="b">
        <v>0</v>
      </c>
      <c r="U423" s="41" t="str">
        <f>IFERROR(__xludf.DUMMYFUNCTION("""["" &amp; JOIN("", "", ARRAYFORMULA("""""""" &amp; TRIM(SPLIT(A423,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423" s="42" t="s">
        <v>2310</v>
      </c>
      <c r="W423" s="42" t="s">
        <v>2311</v>
      </c>
      <c r="X423" s="43"/>
      <c r="Y423" s="44" t="str">
        <f>vlookup(G423,zip_codes!$B$6:$J988,3,false)</f>
        <v>Houston</v>
      </c>
      <c r="Z423" s="45" t="str">
        <f>vlookup(G423,zip_codes!$B$6:$J988,9,false)</f>
        <v>Brentwood, Central Southwest, Hiram Clarke</v>
      </c>
      <c r="AA423" s="44" t="str">
        <f>vlookup(B423,organizations!$B$1:$C988,2,false)</f>
        <v>City of Houston</v>
      </c>
      <c r="AB423" s="55" t="s">
        <v>2312</v>
      </c>
      <c r="AC423" s="47" t="str">
        <f>PARSE_HOURS(I423)</f>
        <v>{"regular":[{"days":["Mo","Tu","We","Th","Fr"],"open":"08:30","close":"15:30"}]}</v>
      </c>
      <c r="AD423" s="58" t="s">
        <v>2313</v>
      </c>
      <c r="AE423" s="48"/>
      <c r="AF423" s="48"/>
    </row>
    <row r="424" ht="66.75" customHeight="1">
      <c r="A424" s="49" t="s">
        <v>2314</v>
      </c>
      <c r="B424" s="35" t="s">
        <v>2315</v>
      </c>
      <c r="C424" s="36" t="s">
        <v>2316</v>
      </c>
      <c r="D424" s="36"/>
      <c r="E424" s="36" t="s">
        <v>129</v>
      </c>
      <c r="F424" s="36" t="s">
        <v>37</v>
      </c>
      <c r="G424" s="35" t="s">
        <v>158</v>
      </c>
      <c r="H424" s="35" t="s">
        <v>2317</v>
      </c>
      <c r="I424" s="35" t="s">
        <v>2318</v>
      </c>
      <c r="J424" s="35"/>
      <c r="K424" s="37">
        <f>IFERROR(__xludf.DUMMYFUNCTION("query(assistance!$A$2:$E988,""Select C Where D = '""&amp;L424&amp;""'"")"),11.0)</f>
        <v>11</v>
      </c>
      <c r="L424" s="36" t="s">
        <v>322</v>
      </c>
      <c r="M424" s="38">
        <f t="shared" si="61"/>
        <v>1</v>
      </c>
      <c r="N424" s="39" t="s">
        <v>42</v>
      </c>
      <c r="O424" s="40">
        <v>45758.0</v>
      </c>
      <c r="P424" s="50"/>
      <c r="Q424" s="35"/>
      <c r="R424" s="35" t="s">
        <v>2319</v>
      </c>
      <c r="S424" s="35" t="b">
        <v>0</v>
      </c>
      <c r="T424" s="35" t="b">
        <v>0</v>
      </c>
      <c r="U424" s="41" t="str">
        <f>IFERROR(__xludf.DUMMYFUNCTION("""["" &amp; JOIN("", "", ARRAYFORMULA("""""""" &amp; TRIM(SPLIT(A424, "","")) &amp; """""""")) &amp; ""]"""),"[""77459"", ""77477"", ""77489"", ""77545""]")</f>
        <v>["77459", "77477", "77489", "77545"]</v>
      </c>
      <c r="V424" s="52" t="s">
        <v>2320</v>
      </c>
      <c r="W424" s="52" t="s">
        <v>2321</v>
      </c>
      <c r="X424" s="43"/>
      <c r="Y424" s="44" t="str">
        <f>vlookup(G424,zip_codes!$B$6:$J988,3,false)</f>
        <v>Missouri City</v>
      </c>
      <c r="Z424" s="45" t="str">
        <f>vlookup(G424,zip_codes!$B$6:$J988,9,false)</f>
        <v>Missouri City, Olde Missouri City Market Place, Quail Green South, Quail Valley, Sta-mo Annex</v>
      </c>
      <c r="AA424" s="44" t="str">
        <f>vlookup(B424,organizations!$B$1:$C988,2,false)</f>
        <v>Society of St Vincent de Paul</v>
      </c>
      <c r="AB424" s="46" t="s">
        <v>2322</v>
      </c>
      <c r="AC424" s="47" t="s">
        <v>2323</v>
      </c>
      <c r="AD424" s="48" t="s">
        <v>129</v>
      </c>
      <c r="AE424" s="48" t="str">
        <f t="shared" ref="AE424:AE440" si="63">B424&amp;C424&amp;K424</f>
        <v>Holy Family (SVdP D2) Missouri City1510 5th Street11</v>
      </c>
      <c r="AF424" s="48" t="str">
        <f t="shared" ref="AF424:AF440" si="64">if(AE424=AE423,"XXX","")</f>
        <v/>
      </c>
    </row>
    <row r="425" ht="66.75" customHeight="1">
      <c r="A425" s="49" t="s">
        <v>2314</v>
      </c>
      <c r="B425" s="35" t="s">
        <v>2315</v>
      </c>
      <c r="C425" s="36" t="s">
        <v>2316</v>
      </c>
      <c r="D425" s="36"/>
      <c r="E425" s="36" t="s">
        <v>129</v>
      </c>
      <c r="F425" s="36" t="s">
        <v>37</v>
      </c>
      <c r="G425" s="35" t="s">
        <v>158</v>
      </c>
      <c r="H425" s="35" t="s">
        <v>2317</v>
      </c>
      <c r="I425" s="35" t="s">
        <v>2318</v>
      </c>
      <c r="J425" s="35"/>
      <c r="K425" s="37">
        <f>IFERROR(__xludf.DUMMYFUNCTION("query(assistance!$A$2:$E988,""Select C Where D = '""&amp;L425&amp;""'"")"),12.0)</f>
        <v>12</v>
      </c>
      <c r="L425" s="36" t="s">
        <v>330</v>
      </c>
      <c r="M425" s="38">
        <f t="shared" si="61"/>
        <v>1</v>
      </c>
      <c r="N425" s="39" t="s">
        <v>42</v>
      </c>
      <c r="O425" s="40">
        <v>45758.0</v>
      </c>
      <c r="P425" s="50"/>
      <c r="Q425" s="35"/>
      <c r="R425" s="35"/>
      <c r="S425" s="35" t="b">
        <v>0</v>
      </c>
      <c r="T425" s="35" t="b">
        <v>0</v>
      </c>
      <c r="U425" s="41" t="str">
        <f>IFERROR(__xludf.DUMMYFUNCTION("""["" &amp; JOIN("", "", ARRAYFORMULA("""""""" &amp; TRIM(SPLIT(A425, "","")) &amp; """""""")) &amp; ""]"""),"[""77459"", ""77477"", ""77489"", ""77545""]")</f>
        <v>["77459", "77477", "77489", "77545"]</v>
      </c>
      <c r="V425" s="52" t="s">
        <v>2320</v>
      </c>
      <c r="W425" s="52" t="s">
        <v>2321</v>
      </c>
      <c r="X425" s="43"/>
      <c r="Y425" s="44" t="str">
        <f>vlookup(G425,zip_codes!$B$6:$J988,3,false)</f>
        <v>Missouri City</v>
      </c>
      <c r="Z425" s="45" t="str">
        <f>vlookup(G425,zip_codes!$B$6:$J988,9,false)</f>
        <v>Missouri City, Olde Missouri City Market Place, Quail Green South, Quail Valley, Sta-mo Annex</v>
      </c>
      <c r="AA425" s="44" t="str">
        <f>vlookup(B425,organizations!$B$1:$C988,2,false)</f>
        <v>Society of St Vincent de Paul</v>
      </c>
      <c r="AB425" s="46" t="s">
        <v>2322</v>
      </c>
      <c r="AC425" s="47" t="s">
        <v>2323</v>
      </c>
      <c r="AD425" s="48" t="s">
        <v>129</v>
      </c>
      <c r="AE425" s="48" t="str">
        <f t="shared" si="63"/>
        <v>Holy Family (SVdP D2) Missouri City1510 5th Street12</v>
      </c>
      <c r="AF425" s="48" t="str">
        <f t="shared" si="64"/>
        <v/>
      </c>
    </row>
    <row r="426" ht="66.75" customHeight="1">
      <c r="A426" s="49" t="s">
        <v>2314</v>
      </c>
      <c r="B426" s="35" t="s">
        <v>2315</v>
      </c>
      <c r="C426" s="36" t="s">
        <v>2316</v>
      </c>
      <c r="D426" s="36"/>
      <c r="E426" s="36" t="s">
        <v>129</v>
      </c>
      <c r="F426" s="36" t="s">
        <v>37</v>
      </c>
      <c r="G426" s="35" t="s">
        <v>158</v>
      </c>
      <c r="H426" s="35" t="s">
        <v>2317</v>
      </c>
      <c r="I426" s="35" t="s">
        <v>2324</v>
      </c>
      <c r="J426" s="35"/>
      <c r="K426" s="37">
        <f>IFERROR(__xludf.DUMMYFUNCTION("query(assistance!$A$2:$E988,""Select C Where D = '""&amp;L426&amp;""'"")"),13.0)</f>
        <v>13</v>
      </c>
      <c r="L426" s="36" t="s">
        <v>240</v>
      </c>
      <c r="M426" s="38">
        <f t="shared" si="61"/>
        <v>1</v>
      </c>
      <c r="N426" s="39" t="s">
        <v>42</v>
      </c>
      <c r="O426" s="40">
        <v>45758.0</v>
      </c>
      <c r="P426" s="50"/>
      <c r="Q426" s="35"/>
      <c r="R426" s="35"/>
      <c r="S426" s="35" t="b">
        <v>0</v>
      </c>
      <c r="T426" s="35" t="b">
        <v>0</v>
      </c>
      <c r="U426" s="41" t="str">
        <f>IFERROR(__xludf.DUMMYFUNCTION("""["" &amp; JOIN("", "", ARRAYFORMULA("""""""" &amp; TRIM(SPLIT(A426, "","")) &amp; """""""")) &amp; ""]"""),"[""77459"", ""77477"", ""77489"", ""77545""]")</f>
        <v>["77459", "77477", "77489", "77545"]</v>
      </c>
      <c r="V426" s="52" t="s">
        <v>2320</v>
      </c>
      <c r="W426" s="52" t="s">
        <v>2321</v>
      </c>
      <c r="X426" s="43"/>
      <c r="Y426" s="44" t="str">
        <f>vlookup(G426,zip_codes!$B$6:$J988,3,false)</f>
        <v>Missouri City</v>
      </c>
      <c r="Z426" s="45" t="str">
        <f>vlookup(G426,zip_codes!$B$6:$J988,9,false)</f>
        <v>Missouri City, Olde Missouri City Market Place, Quail Green South, Quail Valley, Sta-mo Annex</v>
      </c>
      <c r="AA426" s="44" t="str">
        <f>vlookup(B426,organizations!$B$1:$C988,2,false)</f>
        <v>Society of St Vincent de Paul</v>
      </c>
      <c r="AB426" s="46" t="s">
        <v>2322</v>
      </c>
      <c r="AC426" s="47" t="s">
        <v>2325</v>
      </c>
      <c r="AD426" s="48" t="s">
        <v>129</v>
      </c>
      <c r="AE426" s="48" t="str">
        <f t="shared" si="63"/>
        <v>Holy Family (SVdP D2) Missouri City1510 5th Street13</v>
      </c>
      <c r="AF426" s="48" t="str">
        <f t="shared" si="64"/>
        <v/>
      </c>
    </row>
    <row r="427" ht="66.75" customHeight="1">
      <c r="A427" s="49" t="s">
        <v>2326</v>
      </c>
      <c r="B427" s="35" t="s">
        <v>2327</v>
      </c>
      <c r="C427" s="36" t="s">
        <v>2328</v>
      </c>
      <c r="D427" s="36"/>
      <c r="E427" s="36" t="s">
        <v>1175</v>
      </c>
      <c r="F427" s="36" t="s">
        <v>37</v>
      </c>
      <c r="G427" s="35" t="s">
        <v>1176</v>
      </c>
      <c r="H427" s="35" t="s">
        <v>2329</v>
      </c>
      <c r="I427" s="35" t="s">
        <v>2330</v>
      </c>
      <c r="J427" s="35"/>
      <c r="K427" s="37">
        <f>IFERROR(__xludf.DUMMYFUNCTION("query(assistance!$A$2:$E988,""Select C Where D = '""&amp;L427&amp;""'"")"),11.0)</f>
        <v>11</v>
      </c>
      <c r="L427" s="36" t="s">
        <v>322</v>
      </c>
      <c r="M427" s="38">
        <f t="shared" si="61"/>
        <v>1</v>
      </c>
      <c r="N427" s="39" t="s">
        <v>42</v>
      </c>
      <c r="O427" s="65"/>
      <c r="P427" s="50"/>
      <c r="Q427" s="35"/>
      <c r="R427" s="35"/>
      <c r="S427" s="35" t="b">
        <v>0</v>
      </c>
      <c r="T427" s="35" t="b">
        <v>0</v>
      </c>
      <c r="U427" s="41" t="str">
        <f>IFERROR(__xludf.DUMMYFUNCTION("""["" &amp; JOIN("", "", ARRAYFORMULA("""""""" &amp; TRIM(SPLIT(A427, "","")) &amp; """""""")) &amp; ""]"""),"[""77550"", ""77551"", ""77552"", ""77553"", ""77554"", ""77555""]")</f>
        <v>["77550", "77551", "77552", "77553", "77554", "77555"]</v>
      </c>
      <c r="V427" s="52" t="s">
        <v>2331</v>
      </c>
      <c r="W427" s="52" t="s">
        <v>2332</v>
      </c>
      <c r="X427" s="43"/>
      <c r="Y427" s="44" t="str">
        <f>vlookup(G427,zip_codes!$B$6:$J988,3,false)</f>
        <v>Galveston</v>
      </c>
      <c r="Z427" s="45" t="str">
        <f>vlookup(G427,zip_codes!$B$6:$J988,9,false)</f>
        <v>Galveston</v>
      </c>
      <c r="AA427" s="44" t="str">
        <f>vlookup(B427,organizations!$B$1:$C988,2,false)</f>
        <v>Society of St Vincent de Paul</v>
      </c>
      <c r="AB427" s="46" t="s">
        <v>2333</v>
      </c>
      <c r="AC427" s="47" t="s">
        <v>2334</v>
      </c>
      <c r="AD427" s="48" t="s">
        <v>1175</v>
      </c>
      <c r="AE427" s="48" t="str">
        <f t="shared" si="63"/>
        <v>Holy Family (SVdP D7) Galveston1525 25th Street11</v>
      </c>
      <c r="AF427" s="48" t="str">
        <f t="shared" si="64"/>
        <v/>
      </c>
    </row>
    <row r="428" ht="66.75" customHeight="1">
      <c r="A428" s="49" t="s">
        <v>2326</v>
      </c>
      <c r="B428" s="35" t="s">
        <v>2327</v>
      </c>
      <c r="C428" s="36" t="s">
        <v>2328</v>
      </c>
      <c r="D428" s="36"/>
      <c r="E428" s="36" t="s">
        <v>1175</v>
      </c>
      <c r="F428" s="36" t="s">
        <v>37</v>
      </c>
      <c r="G428" s="35" t="s">
        <v>1176</v>
      </c>
      <c r="H428" s="35" t="s">
        <v>2329</v>
      </c>
      <c r="I428" s="35" t="s">
        <v>2330</v>
      </c>
      <c r="J428" s="35"/>
      <c r="K428" s="37">
        <f>IFERROR(__xludf.DUMMYFUNCTION("query(assistance!$A$2:$E988,""Select C Where D = '""&amp;L428&amp;""'"")"),12.0)</f>
        <v>12</v>
      </c>
      <c r="L428" s="36" t="s">
        <v>330</v>
      </c>
      <c r="M428" s="38">
        <f t="shared" si="61"/>
        <v>1</v>
      </c>
      <c r="N428" s="39" t="s">
        <v>42</v>
      </c>
      <c r="O428" s="65"/>
      <c r="P428" s="50"/>
      <c r="Q428" s="35"/>
      <c r="R428" s="35"/>
      <c r="S428" s="35" t="b">
        <v>0</v>
      </c>
      <c r="T428" s="35" t="b">
        <v>0</v>
      </c>
      <c r="U428" s="41" t="str">
        <f>IFERROR(__xludf.DUMMYFUNCTION("""["" &amp; JOIN("", "", ARRAYFORMULA("""""""" &amp; TRIM(SPLIT(A428, "","")) &amp; """""""")) &amp; ""]"""),"[""77550"", ""77551"", ""77552"", ""77553"", ""77554"", ""77555""]")</f>
        <v>["77550", "77551", "77552", "77553", "77554", "77555"]</v>
      </c>
      <c r="V428" s="52" t="s">
        <v>2331</v>
      </c>
      <c r="W428" s="52" t="s">
        <v>2332</v>
      </c>
      <c r="X428" s="43"/>
      <c r="Y428" s="44" t="str">
        <f>vlookup(G428,zip_codes!$B$6:$J988,3,false)</f>
        <v>Galveston</v>
      </c>
      <c r="Z428" s="45" t="str">
        <f>vlookup(G428,zip_codes!$B$6:$J988,9,false)</f>
        <v>Galveston</v>
      </c>
      <c r="AA428" s="44" t="str">
        <f>vlookup(B428,organizations!$B$1:$C988,2,false)</f>
        <v>Society of St Vincent de Paul</v>
      </c>
      <c r="AB428" s="46" t="s">
        <v>2333</v>
      </c>
      <c r="AC428" s="47" t="s">
        <v>2334</v>
      </c>
      <c r="AD428" s="48" t="s">
        <v>1175</v>
      </c>
      <c r="AE428" s="48" t="str">
        <f t="shared" si="63"/>
        <v>Holy Family (SVdP D7) Galveston1525 25th Street12</v>
      </c>
      <c r="AF428" s="48" t="str">
        <f t="shared" si="64"/>
        <v/>
      </c>
    </row>
    <row r="429" ht="66.75" customHeight="1">
      <c r="A429" s="49" t="s">
        <v>2102</v>
      </c>
      <c r="B429" s="35" t="s">
        <v>2335</v>
      </c>
      <c r="C429" s="36" t="s">
        <v>2336</v>
      </c>
      <c r="D429" s="36"/>
      <c r="E429" s="36" t="s">
        <v>36</v>
      </c>
      <c r="F429" s="36" t="s">
        <v>37</v>
      </c>
      <c r="G429" s="35" t="s">
        <v>2102</v>
      </c>
      <c r="H429" s="35" t="s">
        <v>2337</v>
      </c>
      <c r="I429" s="35" t="s">
        <v>2338</v>
      </c>
      <c r="J429" s="35"/>
      <c r="K429" s="37">
        <f>IFERROR(__xludf.DUMMYFUNCTION("query(assistance!$A$2:$E988,""Select C Where D = '""&amp;L429&amp;""'"")"),13.0)</f>
        <v>13</v>
      </c>
      <c r="L429" s="36" t="s">
        <v>240</v>
      </c>
      <c r="M429" s="38">
        <f t="shared" si="61"/>
        <v>1</v>
      </c>
      <c r="N429" s="39" t="s">
        <v>42</v>
      </c>
      <c r="O429" s="65"/>
      <c r="P429" s="50"/>
      <c r="Q429" s="50"/>
      <c r="R429" s="50"/>
      <c r="S429" s="35" t="b">
        <v>0</v>
      </c>
      <c r="T429" s="35" t="b">
        <v>0</v>
      </c>
      <c r="U429" s="41" t="str">
        <f>IFERROR(__xludf.DUMMYFUNCTION("""["" &amp; JOIN("", "", ARRAYFORMULA("""""""" &amp; TRIM(SPLIT(A429, "","")) &amp; """""""")) &amp; ""]"""),"[""77009""]")</f>
        <v>["77009"]</v>
      </c>
      <c r="V429" s="52" t="s">
        <v>2339</v>
      </c>
      <c r="W429" s="52" t="s">
        <v>2340</v>
      </c>
      <c r="X429" s="43"/>
      <c r="Y429" s="44" t="str">
        <f>vlookup(G429,zip_codes!$B$6:$J988,3,false)</f>
        <v>Houston</v>
      </c>
      <c r="Z429" s="45" t="str">
        <f>vlookup(G429,zip_codes!$B$6:$J988,9,false)</f>
        <v>Lindale Park, Near Northside, Northside, Woodland Heights</v>
      </c>
      <c r="AA429" s="44" t="str">
        <f>vlookup(B429,organizations!$B$1:$C988,2,false)</f>
        <v>Holy Name</v>
      </c>
      <c r="AB429" s="46" t="s">
        <v>2341</v>
      </c>
      <c r="AC429" s="47" t="s">
        <v>2342</v>
      </c>
      <c r="AD429" s="48" t="s">
        <v>356</v>
      </c>
      <c r="AE429" s="48" t="str">
        <f t="shared" si="63"/>
        <v>Holy Name1920 Marion Street13</v>
      </c>
      <c r="AF429" s="48" t="str">
        <f t="shared" si="64"/>
        <v/>
      </c>
    </row>
    <row r="430" ht="66.75" customHeight="1">
      <c r="A430" s="49" t="s">
        <v>2343</v>
      </c>
      <c r="B430" s="35" t="s">
        <v>2344</v>
      </c>
      <c r="C430" s="36" t="s">
        <v>2345</v>
      </c>
      <c r="D430" s="36"/>
      <c r="E430" s="36" t="s">
        <v>36</v>
      </c>
      <c r="F430" s="36" t="s">
        <v>37</v>
      </c>
      <c r="G430" s="35" t="s">
        <v>270</v>
      </c>
      <c r="H430" s="35" t="s">
        <v>2346</v>
      </c>
      <c r="I430" s="35" t="s">
        <v>2347</v>
      </c>
      <c r="J430" s="35" t="s">
        <v>298</v>
      </c>
      <c r="K430" s="37">
        <f>IFERROR(__xludf.DUMMYFUNCTION("query(assistance!$A$2:$E988,""Select C Where D = '""&amp;L430&amp;""'"")"),11.0)</f>
        <v>11</v>
      </c>
      <c r="L430" s="36" t="s">
        <v>322</v>
      </c>
      <c r="M430" s="38">
        <f t="shared" si="61"/>
        <v>1</v>
      </c>
      <c r="N430" s="39" t="s">
        <v>42</v>
      </c>
      <c r="O430" s="40">
        <v>46049.0</v>
      </c>
      <c r="P430" s="35" t="s">
        <v>2348</v>
      </c>
      <c r="Q430" s="35"/>
      <c r="R430" s="35"/>
      <c r="S430" s="35" t="b">
        <v>0</v>
      </c>
      <c r="T430" s="35" t="b">
        <v>0</v>
      </c>
      <c r="U430" s="41" t="str">
        <f>IFERROR(__xludf.DUMMYFUNCTION("""["" &amp; JOIN("", "", ARRAYFORMULA("""""""" &amp; TRIM(SPLIT(A430, "","")) &amp; """""""")) &amp; ""]"""),"[""77002"", ""77004"", ""77021"", ""77033"", ""77054""]")</f>
        <v>["77002", "77004", "77021", "77033", "77054"]</v>
      </c>
      <c r="V430" s="52" t="s">
        <v>2349</v>
      </c>
      <c r="W430" s="52" t="s">
        <v>2350</v>
      </c>
      <c r="X430" s="43"/>
      <c r="Y430" s="44" t="str">
        <f>vlookup(G430,zip_codes!$B$6:$J988,3,false)</f>
        <v>Houston</v>
      </c>
      <c r="Z430" s="45" t="str">
        <f>vlookup(G430,zip_codes!$B$6:$J988,9,false)</f>
        <v>Central Business District, Downtown Houston, East Downtown, South Central Houston, Theater District, University Place, Warehouse District</v>
      </c>
      <c r="AA430" s="44" t="str">
        <f>vlookup(B430,organizations!$B$1:$C988,2,false)</f>
        <v>Society of St Vincent de Paul</v>
      </c>
      <c r="AB430" s="46" t="s">
        <v>2351</v>
      </c>
      <c r="AC430" s="47" t="s">
        <v>2352</v>
      </c>
      <c r="AD430" s="48" t="s">
        <v>314</v>
      </c>
      <c r="AE430" s="48" t="str">
        <f t="shared" si="63"/>
        <v>Holy Rosary (SVdP D5)3617 Milam Street11</v>
      </c>
      <c r="AF430" s="48" t="str">
        <f t="shared" si="64"/>
        <v/>
      </c>
    </row>
    <row r="431" ht="66.75" customHeight="1">
      <c r="A431" s="49" t="s">
        <v>2343</v>
      </c>
      <c r="B431" s="35" t="s">
        <v>2344</v>
      </c>
      <c r="C431" s="36" t="s">
        <v>2345</v>
      </c>
      <c r="D431" s="36"/>
      <c r="E431" s="36" t="s">
        <v>36</v>
      </c>
      <c r="F431" s="36" t="s">
        <v>37</v>
      </c>
      <c r="G431" s="35" t="s">
        <v>270</v>
      </c>
      <c r="H431" s="35" t="s">
        <v>2346</v>
      </c>
      <c r="I431" s="35" t="s">
        <v>2347</v>
      </c>
      <c r="J431" s="35"/>
      <c r="K431" s="37">
        <f>IFERROR(__xludf.DUMMYFUNCTION("query(assistance!$A$2:$E988,""Select C Where D = '""&amp;L431&amp;""'"")"),12.0)</f>
        <v>12</v>
      </c>
      <c r="L431" s="36" t="s">
        <v>330</v>
      </c>
      <c r="M431" s="38">
        <f t="shared" si="61"/>
        <v>1</v>
      </c>
      <c r="N431" s="39" t="s">
        <v>42</v>
      </c>
      <c r="O431" s="40">
        <v>46049.0</v>
      </c>
      <c r="P431" s="35" t="s">
        <v>2348</v>
      </c>
      <c r="Q431" s="35"/>
      <c r="R431" s="35"/>
      <c r="S431" s="35" t="b">
        <v>0</v>
      </c>
      <c r="T431" s="35" t="b">
        <v>0</v>
      </c>
      <c r="U431" s="41" t="str">
        <f>IFERROR(__xludf.DUMMYFUNCTION("""["" &amp; JOIN("", "", ARRAYFORMULA("""""""" &amp; TRIM(SPLIT(A431, "","")) &amp; """""""")) &amp; ""]"""),"[""77002"", ""77004"", ""77021"", ""77033"", ""77054""]")</f>
        <v>["77002", "77004", "77021", "77033", "77054"]</v>
      </c>
      <c r="V431" s="52" t="s">
        <v>2349</v>
      </c>
      <c r="W431" s="52" t="s">
        <v>2350</v>
      </c>
      <c r="X431" s="43"/>
      <c r="Y431" s="44" t="str">
        <f>vlookup(G431,zip_codes!$B$6:$J988,3,false)</f>
        <v>Houston</v>
      </c>
      <c r="Z431" s="45" t="str">
        <f>vlookup(G431,zip_codes!$B$6:$J988,9,false)</f>
        <v>Central Business District, Downtown Houston, East Downtown, South Central Houston, Theater District, University Place, Warehouse District</v>
      </c>
      <c r="AA431" s="44" t="str">
        <f>vlookup(B431,organizations!$B$1:$C988,2,false)</f>
        <v>Society of St Vincent de Paul</v>
      </c>
      <c r="AB431" s="46" t="s">
        <v>2351</v>
      </c>
      <c r="AC431" s="47" t="s">
        <v>2352</v>
      </c>
      <c r="AD431" s="48" t="s">
        <v>314</v>
      </c>
      <c r="AE431" s="48" t="str">
        <f t="shared" si="63"/>
        <v>Holy Rosary (SVdP D5)3617 Milam Street12</v>
      </c>
      <c r="AF431" s="48" t="str">
        <f t="shared" si="64"/>
        <v/>
      </c>
    </row>
    <row r="432" ht="66.75" customHeight="1">
      <c r="A432" s="49" t="s">
        <v>2353</v>
      </c>
      <c r="B432" s="35" t="s">
        <v>2354</v>
      </c>
      <c r="C432" s="36" t="s">
        <v>2355</v>
      </c>
      <c r="D432" s="36"/>
      <c r="E432" s="36" t="s">
        <v>175</v>
      </c>
      <c r="F432" s="36" t="s">
        <v>37</v>
      </c>
      <c r="G432" s="35" t="s">
        <v>176</v>
      </c>
      <c r="H432" s="35" t="s">
        <v>2356</v>
      </c>
      <c r="I432" s="50"/>
      <c r="J432" s="64"/>
      <c r="K432" s="37">
        <f>IFERROR(__xludf.DUMMYFUNCTION("query(assistance!$A$2:$E988,""Select C Where D = '""&amp;L432&amp;""'"")"),11.0)</f>
        <v>11</v>
      </c>
      <c r="L432" s="36" t="s">
        <v>322</v>
      </c>
      <c r="M432" s="38">
        <f t="shared" si="61"/>
        <v>1</v>
      </c>
      <c r="N432" s="39" t="s">
        <v>42</v>
      </c>
      <c r="O432" s="65"/>
      <c r="P432" s="50"/>
      <c r="Q432" s="35"/>
      <c r="R432" s="35"/>
      <c r="S432" s="35" t="b">
        <v>0</v>
      </c>
      <c r="T432" s="35" t="b">
        <v>0</v>
      </c>
      <c r="U432" s="41" t="str">
        <f>IFERROR(__xludf.DUMMYFUNCTION("""["" &amp; JOIN("", "", ARRAYFORMULA("""""""" &amp; TRIM(SPLIT(A432, "","")) &amp; """""""")) &amp; ""]"""),"[""77451"", ""77469"", ""77471"", ""77474""]")</f>
        <v>["77451", "77469", "77471", "77474"]</v>
      </c>
      <c r="V432" s="52" t="s">
        <v>2357</v>
      </c>
      <c r="W432" s="52" t="s">
        <v>2358</v>
      </c>
      <c r="X432" s="43"/>
      <c r="Y432" s="44" t="str">
        <f>vlookup(G432,zip_codes!$B$6:$J988,3,false)</f>
        <v>Rosenberg</v>
      </c>
      <c r="Z432" s="45" t="str">
        <f>vlookup(G432,zip_codes!$B$6:$J988,9,false)</f>
        <v>Allendale Manor, Rosenberg, Timberlane Addition</v>
      </c>
      <c r="AA432" s="44" t="str">
        <f>vlookup(B432,organizations!$B$1:$C988,2,false)</f>
        <v>Society of St Vincent de Paul</v>
      </c>
      <c r="AB432" s="46" t="s">
        <v>2359</v>
      </c>
      <c r="AC432" s="53"/>
      <c r="AD432" s="48" t="s">
        <v>2360</v>
      </c>
      <c r="AE432" s="48" t="str">
        <f t="shared" si="63"/>
        <v>Holy Rosary (SVdP) Rosenberg1416 George Street11</v>
      </c>
      <c r="AF432" s="48" t="str">
        <f t="shared" si="64"/>
        <v/>
      </c>
    </row>
    <row r="433" ht="66.75" customHeight="1">
      <c r="A433" s="49" t="s">
        <v>2353</v>
      </c>
      <c r="B433" s="35" t="s">
        <v>2354</v>
      </c>
      <c r="C433" s="36" t="s">
        <v>2355</v>
      </c>
      <c r="D433" s="36"/>
      <c r="E433" s="36" t="s">
        <v>175</v>
      </c>
      <c r="F433" s="36" t="s">
        <v>37</v>
      </c>
      <c r="G433" s="35" t="s">
        <v>176</v>
      </c>
      <c r="H433" s="35" t="s">
        <v>2356</v>
      </c>
      <c r="I433" s="66"/>
      <c r="J433" s="89"/>
      <c r="K433" s="37">
        <f>IFERROR(__xludf.DUMMYFUNCTION("query(assistance!$A$2:$E988,""Select C Where D = '""&amp;L433&amp;""'"")"),12.0)</f>
        <v>12</v>
      </c>
      <c r="L433" s="36" t="s">
        <v>330</v>
      </c>
      <c r="M433" s="38">
        <f t="shared" si="61"/>
        <v>1</v>
      </c>
      <c r="N433" s="39" t="s">
        <v>42</v>
      </c>
      <c r="O433" s="65"/>
      <c r="P433" s="50"/>
      <c r="Q433" s="35"/>
      <c r="R433" s="35"/>
      <c r="S433" s="35" t="b">
        <v>0</v>
      </c>
      <c r="T433" s="35" t="b">
        <v>0</v>
      </c>
      <c r="U433" s="41" t="str">
        <f>IFERROR(__xludf.DUMMYFUNCTION("""["" &amp; JOIN("", "", ARRAYFORMULA("""""""" &amp; TRIM(SPLIT(A433, "","")) &amp; """""""")) &amp; ""]"""),"[""77451"", ""77469"", ""77471"", ""77474""]")</f>
        <v>["77451", "77469", "77471", "77474"]</v>
      </c>
      <c r="V433" s="52" t="s">
        <v>2357</v>
      </c>
      <c r="W433" s="52" t="s">
        <v>2358</v>
      </c>
      <c r="X433" s="43"/>
      <c r="Y433" s="44" t="str">
        <f>vlookup(G433,zip_codes!$B$6:$J988,3,false)</f>
        <v>Rosenberg</v>
      </c>
      <c r="Z433" s="45" t="str">
        <f>vlookup(G433,zip_codes!$B$6:$J988,9,false)</f>
        <v>Allendale Manor, Rosenberg, Timberlane Addition</v>
      </c>
      <c r="AA433" s="44" t="str">
        <f>vlookup(B433,organizations!$B$1:$C988,2,false)</f>
        <v>Society of St Vincent de Paul</v>
      </c>
      <c r="AB433" s="46" t="s">
        <v>2359</v>
      </c>
      <c r="AC433" s="53"/>
      <c r="AD433" s="48" t="s">
        <v>2360</v>
      </c>
      <c r="AE433" s="48" t="str">
        <f t="shared" si="63"/>
        <v>Holy Rosary (SVdP) Rosenberg1416 George Street12</v>
      </c>
      <c r="AF433" s="48" t="str">
        <f t="shared" si="64"/>
        <v/>
      </c>
    </row>
    <row r="434" ht="66.75" customHeight="1">
      <c r="A434" s="49" t="s">
        <v>2353</v>
      </c>
      <c r="B434" s="35" t="s">
        <v>2354</v>
      </c>
      <c r="C434" s="36" t="s">
        <v>2355</v>
      </c>
      <c r="D434" s="36"/>
      <c r="E434" s="36" t="s">
        <v>175</v>
      </c>
      <c r="F434" s="36" t="s">
        <v>37</v>
      </c>
      <c r="G434" s="35" t="s">
        <v>176</v>
      </c>
      <c r="H434" s="35" t="s">
        <v>2356</v>
      </c>
      <c r="I434" s="66"/>
      <c r="J434" s="89"/>
      <c r="K434" s="37">
        <f>IFERROR(__xludf.DUMMYFUNCTION("query(assistance!$A$2:$E988,""Select C Where D = '""&amp;L434&amp;""'"")"),13.0)</f>
        <v>13</v>
      </c>
      <c r="L434" s="36" t="s">
        <v>240</v>
      </c>
      <c r="M434" s="38">
        <f t="shared" si="61"/>
        <v>1</v>
      </c>
      <c r="N434" s="39" t="s">
        <v>42</v>
      </c>
      <c r="O434" s="65"/>
      <c r="P434" s="50"/>
      <c r="Q434" s="35"/>
      <c r="R434" s="35"/>
      <c r="S434" s="35" t="b">
        <v>0</v>
      </c>
      <c r="T434" s="35" t="b">
        <v>0</v>
      </c>
      <c r="U434" s="41" t="str">
        <f>IFERROR(__xludf.DUMMYFUNCTION("""["" &amp; JOIN("", "", ARRAYFORMULA("""""""" &amp; TRIM(SPLIT(A434, "","")) &amp; """""""")) &amp; ""]"""),"[""77451"", ""77469"", ""77471"", ""77474""]")</f>
        <v>["77451", "77469", "77471", "77474"]</v>
      </c>
      <c r="V434" s="52" t="s">
        <v>2357</v>
      </c>
      <c r="W434" s="52" t="s">
        <v>2358</v>
      </c>
      <c r="X434" s="43"/>
      <c r="Y434" s="44" t="str">
        <f>vlookup(G434,zip_codes!$B$6:$J988,3,false)</f>
        <v>Rosenberg</v>
      </c>
      <c r="Z434" s="45" t="str">
        <f>vlookup(G434,zip_codes!$B$6:$J988,9,false)</f>
        <v>Allendale Manor, Rosenberg, Timberlane Addition</v>
      </c>
      <c r="AA434" s="44" t="str">
        <f>vlookup(B434,organizations!$B$1:$C988,2,false)</f>
        <v>Society of St Vincent de Paul</v>
      </c>
      <c r="AB434" s="46" t="s">
        <v>2359</v>
      </c>
      <c r="AC434" s="53"/>
      <c r="AD434" s="48" t="s">
        <v>2360</v>
      </c>
      <c r="AE434" s="48" t="str">
        <f t="shared" si="63"/>
        <v>Holy Rosary (SVdP) Rosenberg1416 George Street13</v>
      </c>
      <c r="AF434" s="48" t="str">
        <f t="shared" si="64"/>
        <v/>
      </c>
    </row>
    <row r="435" ht="66.75" customHeight="1">
      <c r="A435" s="49" t="s">
        <v>2353</v>
      </c>
      <c r="B435" s="35" t="s">
        <v>2354</v>
      </c>
      <c r="C435" s="36" t="s">
        <v>2355</v>
      </c>
      <c r="D435" s="36"/>
      <c r="E435" s="36" t="s">
        <v>175</v>
      </c>
      <c r="F435" s="36" t="s">
        <v>37</v>
      </c>
      <c r="G435" s="35" t="s">
        <v>176</v>
      </c>
      <c r="H435" s="35" t="s">
        <v>2356</v>
      </c>
      <c r="I435" s="50"/>
      <c r="J435" s="64"/>
      <c r="K435" s="37">
        <f>IFERROR(__xludf.DUMMYFUNCTION("query(assistance!$A$2:$E988,""Select C Where D = '""&amp;L435&amp;""'"")"),14.0)</f>
        <v>14</v>
      </c>
      <c r="L435" s="36" t="s">
        <v>391</v>
      </c>
      <c r="M435" s="38">
        <f t="shared" si="61"/>
        <v>1</v>
      </c>
      <c r="N435" s="39" t="s">
        <v>42</v>
      </c>
      <c r="O435" s="65"/>
      <c r="P435" s="50"/>
      <c r="Q435" s="35"/>
      <c r="R435" s="35"/>
      <c r="S435" s="35" t="b">
        <v>0</v>
      </c>
      <c r="T435" s="35" t="b">
        <v>0</v>
      </c>
      <c r="U435" s="41" t="str">
        <f>IFERROR(__xludf.DUMMYFUNCTION("""["" &amp; JOIN("", "", ARRAYFORMULA("""""""" &amp; TRIM(SPLIT(A435, "","")) &amp; """""""")) &amp; ""]"""),"[""77451"", ""77469"", ""77471"", ""77474""]")</f>
        <v>["77451", "77469", "77471", "77474"]</v>
      </c>
      <c r="V435" s="52" t="s">
        <v>2357</v>
      </c>
      <c r="W435" s="52" t="s">
        <v>2358</v>
      </c>
      <c r="X435" s="43"/>
      <c r="Y435" s="44" t="str">
        <f>vlookup(G435,zip_codes!$B$6:$J988,3,false)</f>
        <v>Rosenberg</v>
      </c>
      <c r="Z435" s="45" t="str">
        <f>vlookup(G435,zip_codes!$B$6:$J988,9,false)</f>
        <v>Allendale Manor, Rosenberg, Timberlane Addition</v>
      </c>
      <c r="AA435" s="44" t="str">
        <f>vlookup(B435,organizations!$B$1:$C988,2,false)</f>
        <v>Society of St Vincent de Paul</v>
      </c>
      <c r="AB435" s="46" t="s">
        <v>2359</v>
      </c>
      <c r="AC435" s="53"/>
      <c r="AD435" s="48" t="s">
        <v>2360</v>
      </c>
      <c r="AE435" s="48" t="str">
        <f t="shared" si="63"/>
        <v>Holy Rosary (SVdP) Rosenberg1416 George Street14</v>
      </c>
      <c r="AF435" s="48" t="str">
        <f t="shared" si="64"/>
        <v/>
      </c>
    </row>
    <row r="436" ht="66.75" customHeight="1">
      <c r="A436" s="49" t="s">
        <v>50</v>
      </c>
      <c r="B436" s="35" t="s">
        <v>2361</v>
      </c>
      <c r="C436" s="36" t="s">
        <v>2362</v>
      </c>
      <c r="D436" s="36"/>
      <c r="E436" s="36" t="s">
        <v>36</v>
      </c>
      <c r="F436" s="36" t="s">
        <v>37</v>
      </c>
      <c r="G436" s="35" t="s">
        <v>533</v>
      </c>
      <c r="H436" s="35" t="s">
        <v>2363</v>
      </c>
      <c r="I436" s="35" t="s">
        <v>2364</v>
      </c>
      <c r="J436" s="35"/>
      <c r="K436" s="37">
        <f>IFERROR(__xludf.DUMMYFUNCTION("query(assistance!$A$2:$E988,""Select C Where D = '""&amp;L436&amp;""'"")"),22.0)</f>
        <v>22</v>
      </c>
      <c r="L436" s="36" t="s">
        <v>1178</v>
      </c>
      <c r="M436" s="38">
        <f t="shared" si="61"/>
        <v>1</v>
      </c>
      <c r="N436" s="51" t="s">
        <v>42</v>
      </c>
      <c r="O436" s="40">
        <v>46049.0</v>
      </c>
      <c r="P436" s="35" t="s">
        <v>43</v>
      </c>
      <c r="Q436" s="35"/>
      <c r="R436" s="35" t="s">
        <v>2365</v>
      </c>
      <c r="S436" s="35" t="b">
        <v>0</v>
      </c>
      <c r="T436" s="35" t="b">
        <v>0</v>
      </c>
      <c r="U436" s="41" t="str">
        <f>IFERROR(__xludf.DUMMYFUNCTION("""["" &amp; JOIN("", "", ARRAYFORMULA("""""""" &amp; TRIM(SPLIT(A436, "","")) &amp; """""""")) &amp; ""]"""),"[""99999""]")</f>
        <v>["99999"]</v>
      </c>
      <c r="V436" s="42" t="s">
        <v>2366</v>
      </c>
      <c r="W436" s="42" t="s">
        <v>2367</v>
      </c>
      <c r="X436" s="43"/>
      <c r="Y436" s="44" t="str">
        <f>vlookup(G436,zip_codes!$B$6:$J988,3,false)</f>
        <v>Houston</v>
      </c>
      <c r="Z436" s="45" t="str">
        <f>vlookup(G436,zip_codes!$B$6:$J988,9,false)</f>
        <v>Cypress Station, Ella Crossing, Westador</v>
      </c>
      <c r="AA436" s="44" t="str">
        <f>vlookup(B436,organizations!$B$1:$C988,2,false)</f>
        <v>Hope Center Houston</v>
      </c>
      <c r="AB436" s="55" t="s">
        <v>2368</v>
      </c>
      <c r="AC436" s="47" t="s">
        <v>2369</v>
      </c>
      <c r="AD436" s="48" t="s">
        <v>2370</v>
      </c>
      <c r="AE436" s="48" t="str">
        <f t="shared" si="63"/>
        <v>Hope Center Houston821 Peakwood Drive22</v>
      </c>
      <c r="AF436" s="48" t="str">
        <f t="shared" si="64"/>
        <v/>
      </c>
    </row>
    <row r="437" ht="66.75" customHeight="1">
      <c r="A437" s="49" t="s">
        <v>50</v>
      </c>
      <c r="B437" s="35" t="s">
        <v>2361</v>
      </c>
      <c r="C437" s="36" t="s">
        <v>2362</v>
      </c>
      <c r="D437" s="36"/>
      <c r="E437" s="36" t="s">
        <v>36</v>
      </c>
      <c r="F437" s="36" t="s">
        <v>37</v>
      </c>
      <c r="G437" s="35" t="s">
        <v>533</v>
      </c>
      <c r="H437" s="35" t="s">
        <v>2363</v>
      </c>
      <c r="I437" s="35" t="s">
        <v>2364</v>
      </c>
      <c r="J437" s="35"/>
      <c r="K437" s="37">
        <f>IFERROR(__xludf.DUMMYFUNCTION("query(assistance!$A$2:$E988,""Select C Where D = '""&amp;L437&amp;""'"")"),32.0)</f>
        <v>32</v>
      </c>
      <c r="L437" s="36" t="s">
        <v>208</v>
      </c>
      <c r="M437" s="38">
        <f t="shared" si="61"/>
        <v>1</v>
      </c>
      <c r="N437" s="51" t="s">
        <v>42</v>
      </c>
      <c r="O437" s="40">
        <v>46049.0</v>
      </c>
      <c r="P437" s="35" t="s">
        <v>43</v>
      </c>
      <c r="Q437" s="35"/>
      <c r="R437" s="35" t="s">
        <v>2371</v>
      </c>
      <c r="S437" s="35" t="b">
        <v>1</v>
      </c>
      <c r="T437" s="35" t="b">
        <v>0</v>
      </c>
      <c r="U437" s="41" t="str">
        <f>IFERROR(__xludf.DUMMYFUNCTION("""["" &amp; JOIN("", "", ARRAYFORMULA("""""""" &amp; TRIM(SPLIT(A437, "","")) &amp; """""""")) &amp; ""]"""),"[""99999""]")</f>
        <v>["99999"]</v>
      </c>
      <c r="V437" s="42" t="s">
        <v>2366</v>
      </c>
      <c r="W437" s="42" t="s">
        <v>2367</v>
      </c>
      <c r="X437" s="43"/>
      <c r="Y437" s="44" t="str">
        <f>vlookup(G437,zip_codes!$B$6:$J988,3,false)</f>
        <v>Houston</v>
      </c>
      <c r="Z437" s="45" t="str">
        <f>vlookup(G437,zip_codes!$B$6:$J988,9,false)</f>
        <v>Cypress Station, Ella Crossing, Westador</v>
      </c>
      <c r="AA437" s="44" t="str">
        <f>vlookup(B437,organizations!$B$1:$C988,2,false)</f>
        <v>Hope Center Houston</v>
      </c>
      <c r="AB437" s="55" t="s">
        <v>2368</v>
      </c>
      <c r="AC437" s="47" t="s">
        <v>2369</v>
      </c>
      <c r="AD437" s="48" t="s">
        <v>2370</v>
      </c>
      <c r="AE437" s="48" t="str">
        <f t="shared" si="63"/>
        <v>Hope Center Houston821 Peakwood Drive32</v>
      </c>
      <c r="AF437" s="48" t="str">
        <f t="shared" si="64"/>
        <v/>
      </c>
    </row>
    <row r="438" ht="66.75" customHeight="1">
      <c r="A438" s="49" t="s">
        <v>50</v>
      </c>
      <c r="B438" s="35" t="s">
        <v>2372</v>
      </c>
      <c r="C438" s="36" t="s">
        <v>2373</v>
      </c>
      <c r="D438" s="36" t="s">
        <v>2374</v>
      </c>
      <c r="E438" s="36" t="s">
        <v>36</v>
      </c>
      <c r="F438" s="36" t="s">
        <v>37</v>
      </c>
      <c r="G438" s="35" t="s">
        <v>599</v>
      </c>
      <c r="H438" s="35" t="s">
        <v>2375</v>
      </c>
      <c r="I438" s="50"/>
      <c r="J438" s="64"/>
      <c r="K438" s="37">
        <f>IFERROR(__xludf.DUMMYFUNCTION("query(assistance!$A$2:$E988,""Select C Where D = '""&amp;L438&amp;""'"")"),31.0)</f>
        <v>31</v>
      </c>
      <c r="L438" s="36" t="s">
        <v>90</v>
      </c>
      <c r="M438" s="38">
        <f t="shared" si="61"/>
        <v>1</v>
      </c>
      <c r="N438" s="39" t="s">
        <v>42</v>
      </c>
      <c r="O438" s="65"/>
      <c r="P438" s="50"/>
      <c r="Q438" s="35"/>
      <c r="R438" s="35" t="s">
        <v>2376</v>
      </c>
      <c r="S438" s="35" t="b">
        <v>0</v>
      </c>
      <c r="T438" s="35" t="b">
        <v>0</v>
      </c>
      <c r="U438" s="41" t="str">
        <f>IFERROR(__xludf.DUMMYFUNCTION("""["" &amp; JOIN("", "", ARRAYFORMULA("""""""" &amp; TRIM(SPLIT(A438, "","")) &amp; """""""")) &amp; ""]"""),"[""99999""]")</f>
        <v>["99999"]</v>
      </c>
      <c r="V438" s="52" t="s">
        <v>2377</v>
      </c>
      <c r="W438" s="52" t="s">
        <v>2378</v>
      </c>
      <c r="X438" s="43"/>
      <c r="Y438" s="44" t="str">
        <f>vlookup(G438,zip_codes!$B$6:$J988,3,false)</f>
        <v>Houston</v>
      </c>
      <c r="Z438" s="45" t="str">
        <f>vlookup(G438,zip_codes!$B$6:$J988,9,false)</f>
        <v>Chinatown, Sharpstown, Westside</v>
      </c>
      <c r="AA438" s="44" t="str">
        <f>vlookup(B438,organizations!$B$1:$C988,2,false)</f>
        <v>Hope Clinic</v>
      </c>
      <c r="AB438" s="46" t="s">
        <v>2379</v>
      </c>
      <c r="AC438" s="53"/>
      <c r="AD438" s="48" t="s">
        <v>1082</v>
      </c>
      <c r="AE438" s="48" t="str">
        <f t="shared" si="63"/>
        <v>Hope Clinic7001 Corporate Drive31</v>
      </c>
      <c r="AF438" s="48" t="str">
        <f t="shared" si="64"/>
        <v/>
      </c>
    </row>
    <row r="439" ht="66.75" customHeight="1">
      <c r="A439" s="49" t="s">
        <v>50</v>
      </c>
      <c r="B439" s="35" t="s">
        <v>2372</v>
      </c>
      <c r="C439" s="36" t="s">
        <v>2373</v>
      </c>
      <c r="D439" s="36" t="s">
        <v>2374</v>
      </c>
      <c r="E439" s="36" t="s">
        <v>36</v>
      </c>
      <c r="F439" s="36" t="s">
        <v>37</v>
      </c>
      <c r="G439" s="35" t="s">
        <v>599</v>
      </c>
      <c r="H439" s="35" t="s">
        <v>2375</v>
      </c>
      <c r="I439" s="50"/>
      <c r="J439" s="64"/>
      <c r="K439" s="37">
        <f>IFERROR(__xludf.DUMMYFUNCTION("query(assistance!$A$2:$E988,""Select C Where D = '""&amp;L439&amp;""'"")"),32.0)</f>
        <v>32</v>
      </c>
      <c r="L439" s="36" t="s">
        <v>208</v>
      </c>
      <c r="M439" s="38">
        <f t="shared" si="61"/>
        <v>1</v>
      </c>
      <c r="N439" s="39" t="s">
        <v>42</v>
      </c>
      <c r="O439" s="65"/>
      <c r="P439" s="50"/>
      <c r="Q439" s="35"/>
      <c r="R439" s="35" t="s">
        <v>2380</v>
      </c>
      <c r="S439" s="35" t="b">
        <v>1</v>
      </c>
      <c r="T439" s="35" t="b">
        <v>0</v>
      </c>
      <c r="U439" s="41" t="str">
        <f>IFERROR(__xludf.DUMMYFUNCTION("""["" &amp; JOIN("", "", ARRAYFORMULA("""""""" &amp; TRIM(SPLIT(A439, "","")) &amp; """""""")) &amp; ""]"""),"[""99999""]")</f>
        <v>["99999"]</v>
      </c>
      <c r="V439" s="52" t="s">
        <v>2377</v>
      </c>
      <c r="W439" s="52" t="s">
        <v>2378</v>
      </c>
      <c r="X439" s="43"/>
      <c r="Y439" s="44" t="str">
        <f>vlookup(G439,zip_codes!$B$6:$J988,3,false)</f>
        <v>Houston</v>
      </c>
      <c r="Z439" s="45" t="str">
        <f>vlookup(G439,zip_codes!$B$6:$J988,9,false)</f>
        <v>Chinatown, Sharpstown, Westside</v>
      </c>
      <c r="AA439" s="44" t="str">
        <f>vlookup(B439,organizations!$B$1:$C988,2,false)</f>
        <v>Hope Clinic</v>
      </c>
      <c r="AB439" s="46" t="s">
        <v>2379</v>
      </c>
      <c r="AC439" s="53"/>
      <c r="AD439" s="48" t="s">
        <v>1082</v>
      </c>
      <c r="AE439" s="48" t="str">
        <f t="shared" si="63"/>
        <v>Hope Clinic7001 Corporate Drive32</v>
      </c>
      <c r="AF439" s="48" t="str">
        <f t="shared" si="64"/>
        <v/>
      </c>
    </row>
    <row r="440" ht="66.75" customHeight="1">
      <c r="A440" s="49" t="s">
        <v>50</v>
      </c>
      <c r="B440" s="35" t="s">
        <v>2372</v>
      </c>
      <c r="C440" s="36" t="s">
        <v>2373</v>
      </c>
      <c r="D440" s="36" t="s">
        <v>2374</v>
      </c>
      <c r="E440" s="36" t="s">
        <v>36</v>
      </c>
      <c r="F440" s="36" t="s">
        <v>37</v>
      </c>
      <c r="G440" s="35" t="s">
        <v>599</v>
      </c>
      <c r="H440" s="35" t="s">
        <v>2375</v>
      </c>
      <c r="I440" s="50"/>
      <c r="J440" s="64"/>
      <c r="K440" s="37">
        <f>IFERROR(__xludf.DUMMYFUNCTION("query(assistance!$A$2:$E988,""Select C Where D = '""&amp;L440&amp;""'"")"),33.0)</f>
        <v>33</v>
      </c>
      <c r="L440" s="36" t="s">
        <v>333</v>
      </c>
      <c r="M440" s="38">
        <f t="shared" si="61"/>
        <v>1</v>
      </c>
      <c r="N440" s="39" t="s">
        <v>42</v>
      </c>
      <c r="O440" s="65"/>
      <c r="P440" s="50"/>
      <c r="Q440" s="35"/>
      <c r="R440" s="35" t="s">
        <v>2381</v>
      </c>
      <c r="S440" s="35" t="b">
        <v>0</v>
      </c>
      <c r="T440" s="35" t="b">
        <v>0</v>
      </c>
      <c r="U440" s="41" t="str">
        <f>IFERROR(__xludf.DUMMYFUNCTION("""["" &amp; JOIN("", "", ARRAYFORMULA("""""""" &amp; TRIM(SPLIT(A440, "","")) &amp; """""""")) &amp; ""]"""),"[""99999""]")</f>
        <v>["99999"]</v>
      </c>
      <c r="V440" s="52" t="s">
        <v>2377</v>
      </c>
      <c r="W440" s="52" t="s">
        <v>2378</v>
      </c>
      <c r="X440" s="43"/>
      <c r="Y440" s="44" t="str">
        <f>vlookup(G440,zip_codes!$B$6:$J988,3,false)</f>
        <v>Houston</v>
      </c>
      <c r="Z440" s="45" t="str">
        <f>vlookup(G440,zip_codes!$B$6:$J988,9,false)</f>
        <v>Chinatown, Sharpstown, Westside</v>
      </c>
      <c r="AA440" s="44" t="str">
        <f>vlookup(B440,organizations!$B$1:$C988,2,false)</f>
        <v>Hope Clinic</v>
      </c>
      <c r="AB440" s="46" t="s">
        <v>2379</v>
      </c>
      <c r="AC440" s="53"/>
      <c r="AD440" s="48" t="s">
        <v>1082</v>
      </c>
      <c r="AE440" s="48" t="str">
        <f t="shared" si="63"/>
        <v>Hope Clinic7001 Corporate Drive33</v>
      </c>
      <c r="AF440" s="48" t="str">
        <f t="shared" si="64"/>
        <v/>
      </c>
    </row>
    <row r="441" ht="66.75" customHeight="1">
      <c r="A441" s="49" t="s">
        <v>50</v>
      </c>
      <c r="B441" s="35" t="s">
        <v>2382</v>
      </c>
      <c r="C441" s="36" t="s">
        <v>979</v>
      </c>
      <c r="D441" s="36"/>
      <c r="E441" s="36" t="s">
        <v>36</v>
      </c>
      <c r="F441" s="36" t="s">
        <v>37</v>
      </c>
      <c r="G441" s="56" t="s">
        <v>557</v>
      </c>
      <c r="H441" s="35"/>
      <c r="I441" s="35" t="s">
        <v>40</v>
      </c>
      <c r="J441" s="36" t="s">
        <v>89</v>
      </c>
      <c r="K441" s="37">
        <f>IFERROR(__xludf.DUMMYFUNCTION("query(assistance!$A$2:$E988,""Select C Where D = '""&amp;L441&amp;""'"")"),56.0)</f>
        <v>56</v>
      </c>
      <c r="L441" s="36" t="s">
        <v>56</v>
      </c>
      <c r="M441" s="39">
        <f>if(N441="Inactive",3,if(N441="Limited", 2, if(N441="Closed", 4, 1)))</f>
        <v>3</v>
      </c>
      <c r="N441" s="39" t="s">
        <v>973</v>
      </c>
      <c r="O441" s="57">
        <v>46070.0</v>
      </c>
      <c r="P441" s="35" t="s">
        <v>2383</v>
      </c>
      <c r="Q441" s="35"/>
      <c r="R441" s="35" t="s">
        <v>2384</v>
      </c>
      <c r="S441" s="35" t="b">
        <v>0</v>
      </c>
      <c r="T441" s="35" t="b">
        <v>0</v>
      </c>
      <c r="U441" s="35" t="str">
        <f>IFERROR(__xludf.DUMMYFUNCTION("""["" &amp; JOIN("", "", ARRAYFORMULA("""""""" &amp; TRIM(SPLIT(A441, "","")) &amp; """""""")) &amp; ""]"""),"[""99999""]")</f>
        <v>["99999"]</v>
      </c>
      <c r="V441" s="42" t="s">
        <v>2385</v>
      </c>
      <c r="W441" s="42" t="s">
        <v>1885</v>
      </c>
      <c r="X441" s="43"/>
      <c r="Y441" s="44" t="str">
        <f>vlookup(G441,zip_codes!$B$6:$J988,3,false)</f>
        <v>Houston</v>
      </c>
      <c r="Z441" s="45" t="str">
        <f>vlookup(G441,zip_codes!$B$6:$J988,9,false)</f>
        <v>East Downtown, Downtown Houston, Second Ward, South Central Houston, South Side</v>
      </c>
      <c r="AA441" s="44" t="str">
        <f>vlookup(B441,organizations!$B$1:$C988,2,false)</f>
        <v>Hope for the Warriors</v>
      </c>
      <c r="AB441" s="55" t="s">
        <v>1886</v>
      </c>
      <c r="AC441" s="53" t="str">
        <f>PARSE_HOURS(I441)</f>
        <v>{"regular":[{"days":["Mo","Tu","We","Th","Fr"],"open":"09:00","close":"17:00"}]}</v>
      </c>
      <c r="AD441" s="48" t="s">
        <v>279</v>
      </c>
      <c r="AE441" s="48"/>
      <c r="AF441" s="48"/>
    </row>
    <row r="442" ht="66.75" customHeight="1">
      <c r="A442" s="49" t="s">
        <v>50</v>
      </c>
      <c r="B442" s="35" t="s">
        <v>2386</v>
      </c>
      <c r="C442" s="36" t="s">
        <v>2387</v>
      </c>
      <c r="D442" s="36"/>
      <c r="E442" s="36" t="s">
        <v>36</v>
      </c>
      <c r="F442" s="36" t="s">
        <v>37</v>
      </c>
      <c r="G442" s="56" t="s">
        <v>307</v>
      </c>
      <c r="H442" s="35" t="s">
        <v>2388</v>
      </c>
      <c r="I442" s="35" t="s">
        <v>40</v>
      </c>
      <c r="J442" s="35" t="s">
        <v>2389</v>
      </c>
      <c r="K442" s="37">
        <f>IFERROR(__xludf.DUMMYFUNCTION("query(assistance!$A$2:$E988,""Select C Where D = '""&amp;L442&amp;""'"")"),37.0)</f>
        <v>37</v>
      </c>
      <c r="L442" s="36" t="s">
        <v>309</v>
      </c>
      <c r="M442" s="38">
        <f t="shared" ref="M442:M445" si="65">if(N442="Inactive",3,if(N442="Limited", 2, 1))</f>
        <v>1</v>
      </c>
      <c r="N442" s="39" t="s">
        <v>42</v>
      </c>
      <c r="O442" s="62">
        <v>46036.0</v>
      </c>
      <c r="P442" s="35" t="s">
        <v>43</v>
      </c>
      <c r="Q442" s="35"/>
      <c r="R442" s="35" t="s">
        <v>2390</v>
      </c>
      <c r="S442" s="35" t="b">
        <v>0</v>
      </c>
      <c r="T442" s="35" t="b">
        <v>0</v>
      </c>
      <c r="U442" s="41" t="str">
        <f>IFERROR(__xludf.DUMMYFUNCTION("""["" &amp; JOIN("", "", ARRAYFORMULA("""""""" &amp; TRIM(SPLIT(A442, "","")) &amp; """""""")) &amp; ""]"""),"[""99999""]")</f>
        <v>["99999"]</v>
      </c>
      <c r="V442" s="42" t="s">
        <v>2391</v>
      </c>
      <c r="W442" s="42" t="s">
        <v>2392</v>
      </c>
      <c r="X442" s="43"/>
      <c r="Y442" s="44" t="str">
        <f>vlookup(G442,zip_codes!$B$6:$J988,3,false)</f>
        <v>Houston</v>
      </c>
      <c r="Z442" s="45" t="str">
        <f>vlookup(G442,zip_codes!$B$6:$J988,9,false)</f>
        <v>Central Southwest, Houston Museum District, South Central Houston, Southgate, Texas Medical Center</v>
      </c>
      <c r="AA442" s="44" t="str">
        <f>vlookup(B442,organizations!$B$1:$C988,2,false)</f>
        <v>Hospitality Apartments</v>
      </c>
      <c r="AB442" s="55" t="s">
        <v>2393</v>
      </c>
      <c r="AC442" s="61" t="s">
        <v>48</v>
      </c>
      <c r="AD442" s="58" t="s">
        <v>2394</v>
      </c>
      <c r="AE442" s="48" t="str">
        <f t="shared" ref="AE442:AE447" si="66">B442&amp;C442&amp;K442</f>
        <v>Hospitality Apartments7300 Bertner Avenue37</v>
      </c>
      <c r="AF442" s="48" t="str">
        <f>if(AE442=AE437,"XXX","")</f>
        <v/>
      </c>
    </row>
    <row r="443" ht="66.75" customHeight="1">
      <c r="A443" s="49" t="s">
        <v>2395</v>
      </c>
      <c r="B443" s="35" t="s">
        <v>2396</v>
      </c>
      <c r="C443" s="36" t="s">
        <v>2397</v>
      </c>
      <c r="D443" s="36" t="s">
        <v>2398</v>
      </c>
      <c r="E443" s="36" t="s">
        <v>36</v>
      </c>
      <c r="F443" s="36" t="s">
        <v>37</v>
      </c>
      <c r="G443" s="35" t="s">
        <v>340</v>
      </c>
      <c r="H443" s="35" t="s">
        <v>2399</v>
      </c>
      <c r="I443" s="35"/>
      <c r="J443" s="35" t="s">
        <v>89</v>
      </c>
      <c r="K443" s="37">
        <f>IFERROR(__xludf.DUMMYFUNCTION("query(assistance!$A$2:$E988,""Select C Where D = '""&amp;L443&amp;""'"")"),11.0)</f>
        <v>11</v>
      </c>
      <c r="L443" s="36" t="s">
        <v>322</v>
      </c>
      <c r="M443" s="38">
        <f t="shared" si="65"/>
        <v>1</v>
      </c>
      <c r="N443" s="39" t="s">
        <v>42</v>
      </c>
      <c r="O443" s="40">
        <v>46052.0</v>
      </c>
      <c r="P443" s="35" t="s">
        <v>43</v>
      </c>
      <c r="Q443" s="35"/>
      <c r="R443" s="35" t="s">
        <v>2400</v>
      </c>
      <c r="S443" s="35" t="b">
        <v>0</v>
      </c>
      <c r="T443" s="35" t="b">
        <v>0</v>
      </c>
      <c r="U443" s="41" t="str">
        <f>IFERROR(__xludf.DUMMYFUNCTION("""["" &amp; JOIN("", "", ARRAYFORMULA("""""""" &amp; TRIM(SPLIT(A443, "","")) &amp; """""""")) &amp; ""]"""),"[""77036"", ""77042"", ""77072"", ""77082"", ""77099""]")</f>
        <v>["77036", "77042", "77072", "77082", "77099"]</v>
      </c>
      <c r="V443" s="52" t="s">
        <v>2401</v>
      </c>
      <c r="W443" s="52" t="s">
        <v>2402</v>
      </c>
      <c r="X443" s="43"/>
      <c r="Y443" s="44" t="str">
        <f>vlookup(G443,zip_codes!$B$6:$J988,3,false)</f>
        <v>Houston</v>
      </c>
      <c r="Z443" s="45" t="str">
        <f>vlookup(G443,zip_codes!$B$6:$J988,9,false)</f>
        <v>Alief</v>
      </c>
      <c r="AA443" s="44" t="str">
        <f>vlookup(B443,organizations!$B$1:$C988,2,false)</f>
        <v>House of Amos</v>
      </c>
      <c r="AB443" s="46" t="s">
        <v>2403</v>
      </c>
      <c r="AC443" s="53"/>
      <c r="AD443" s="48" t="s">
        <v>345</v>
      </c>
      <c r="AE443" s="48" t="str">
        <f t="shared" si="66"/>
        <v>House of Amos11169 Beechnut Street11</v>
      </c>
      <c r="AF443" s="48" t="str">
        <f t="shared" ref="AF443:AF447" si="67">if(AE443=AE442,"XXX","")</f>
        <v/>
      </c>
    </row>
    <row r="444" ht="66.75" customHeight="1">
      <c r="A444" s="49" t="s">
        <v>2395</v>
      </c>
      <c r="B444" s="35" t="s">
        <v>2396</v>
      </c>
      <c r="C444" s="36" t="s">
        <v>2397</v>
      </c>
      <c r="D444" s="36" t="s">
        <v>2398</v>
      </c>
      <c r="E444" s="36" t="s">
        <v>36</v>
      </c>
      <c r="F444" s="36" t="s">
        <v>37</v>
      </c>
      <c r="G444" s="35" t="s">
        <v>340</v>
      </c>
      <c r="H444" s="35" t="s">
        <v>2399</v>
      </c>
      <c r="I444" s="35"/>
      <c r="J444" s="35" t="s">
        <v>89</v>
      </c>
      <c r="K444" s="37">
        <f>IFERROR(__xludf.DUMMYFUNCTION("query(assistance!$A$2:$E988,""Select C Where D = '""&amp;L444&amp;""'"")"),12.0)</f>
        <v>12</v>
      </c>
      <c r="L444" s="36" t="s">
        <v>330</v>
      </c>
      <c r="M444" s="38">
        <f t="shared" si="65"/>
        <v>1</v>
      </c>
      <c r="N444" s="39" t="s">
        <v>42</v>
      </c>
      <c r="O444" s="40">
        <v>46052.0</v>
      </c>
      <c r="P444" s="35" t="s">
        <v>43</v>
      </c>
      <c r="Q444" s="35"/>
      <c r="R444" s="35" t="s">
        <v>2404</v>
      </c>
      <c r="S444" s="35" t="b">
        <v>0</v>
      </c>
      <c r="T444" s="35" t="b">
        <v>0</v>
      </c>
      <c r="U444" s="41" t="str">
        <f>IFERROR(__xludf.DUMMYFUNCTION("""["" &amp; JOIN("", "", ARRAYFORMULA("""""""" &amp; TRIM(SPLIT(A444, "","")) &amp; """""""")) &amp; ""]"""),"[""77036"", ""77042"", ""77072"", ""77082"", ""77099""]")</f>
        <v>["77036", "77042", "77072", "77082", "77099"]</v>
      </c>
      <c r="V444" s="52" t="s">
        <v>2401</v>
      </c>
      <c r="W444" s="52" t="s">
        <v>2402</v>
      </c>
      <c r="X444" s="43"/>
      <c r="Y444" s="44" t="str">
        <f>vlookup(G444,zip_codes!$B$6:$J988,3,false)</f>
        <v>Houston</v>
      </c>
      <c r="Z444" s="45" t="str">
        <f>vlookup(G444,zip_codes!$B$6:$J988,9,false)</f>
        <v>Alief</v>
      </c>
      <c r="AA444" s="44" t="str">
        <f>vlookup(B444,organizations!$B$1:$C988,2,false)</f>
        <v>House of Amos</v>
      </c>
      <c r="AB444" s="46" t="s">
        <v>2403</v>
      </c>
      <c r="AC444" s="53"/>
      <c r="AD444" s="48" t="s">
        <v>345</v>
      </c>
      <c r="AE444" s="48" t="str">
        <f t="shared" si="66"/>
        <v>House of Amos11169 Beechnut Street12</v>
      </c>
      <c r="AF444" s="48" t="str">
        <f t="shared" si="67"/>
        <v/>
      </c>
    </row>
    <row r="445" ht="66.75" customHeight="1">
      <c r="A445" s="49" t="s">
        <v>50</v>
      </c>
      <c r="B445" s="35" t="s">
        <v>2396</v>
      </c>
      <c r="C445" s="36" t="s">
        <v>2397</v>
      </c>
      <c r="D445" s="36" t="s">
        <v>2398</v>
      </c>
      <c r="E445" s="36" t="s">
        <v>36</v>
      </c>
      <c r="F445" s="36" t="s">
        <v>37</v>
      </c>
      <c r="G445" s="35" t="s">
        <v>340</v>
      </c>
      <c r="H445" s="35" t="s">
        <v>2399</v>
      </c>
      <c r="I445" s="35" t="s">
        <v>2405</v>
      </c>
      <c r="J445" s="35"/>
      <c r="K445" s="37">
        <f>IFERROR(__xludf.DUMMYFUNCTION("query(assistance!$A$2:$E988,""Select C Where D = '""&amp;L445&amp;""'"")"),13.0)</f>
        <v>13</v>
      </c>
      <c r="L445" s="36" t="s">
        <v>240</v>
      </c>
      <c r="M445" s="38">
        <f t="shared" si="65"/>
        <v>1</v>
      </c>
      <c r="N445" s="39" t="s">
        <v>42</v>
      </c>
      <c r="O445" s="40">
        <v>46052.0</v>
      </c>
      <c r="P445" s="35" t="s">
        <v>43</v>
      </c>
      <c r="Q445" s="35"/>
      <c r="R445" s="35" t="s">
        <v>2406</v>
      </c>
      <c r="S445" s="35" t="b">
        <v>0</v>
      </c>
      <c r="T445" s="35" t="b">
        <v>0</v>
      </c>
      <c r="U445" s="41" t="str">
        <f>IFERROR(__xludf.DUMMYFUNCTION("""["" &amp; JOIN("", "", ARRAYFORMULA("""""""" &amp; TRIM(SPLIT(A445, "","")) &amp; """""""")) &amp; ""]"""),"[""99999""]")</f>
        <v>["99999"]</v>
      </c>
      <c r="V445" s="52" t="s">
        <v>2401</v>
      </c>
      <c r="W445" s="52" t="s">
        <v>2402</v>
      </c>
      <c r="X445" s="43"/>
      <c r="Y445" s="44" t="str">
        <f>vlookup(G445,zip_codes!$B$6:$J988,3,false)</f>
        <v>Houston</v>
      </c>
      <c r="Z445" s="45" t="str">
        <f>vlookup(G445,zip_codes!$B$6:$J988,9,false)</f>
        <v>Alief</v>
      </c>
      <c r="AA445" s="44" t="str">
        <f>vlookup(B445,organizations!$B$1:$C988,2,false)</f>
        <v>House of Amos</v>
      </c>
      <c r="AB445" s="46" t="s">
        <v>2403</v>
      </c>
      <c r="AC445" s="47" t="s">
        <v>2407</v>
      </c>
      <c r="AD445" s="48" t="s">
        <v>345</v>
      </c>
      <c r="AE445" s="48" t="str">
        <f t="shared" si="66"/>
        <v>House of Amos11169 Beechnut Street13</v>
      </c>
      <c r="AF445" s="48" t="str">
        <f t="shared" si="67"/>
        <v/>
      </c>
    </row>
    <row r="446" ht="66.75" customHeight="1">
      <c r="A446" s="49" t="s">
        <v>50</v>
      </c>
      <c r="B446" s="35" t="s">
        <v>2396</v>
      </c>
      <c r="C446" s="36" t="s">
        <v>2397</v>
      </c>
      <c r="D446" s="36" t="s">
        <v>2398</v>
      </c>
      <c r="E446" s="36" t="s">
        <v>36</v>
      </c>
      <c r="F446" s="36" t="s">
        <v>37</v>
      </c>
      <c r="G446" s="35" t="s">
        <v>340</v>
      </c>
      <c r="H446" s="35" t="s">
        <v>2399</v>
      </c>
      <c r="I446" s="50"/>
      <c r="J446" s="64"/>
      <c r="K446" s="37">
        <f>IFERROR(__xludf.DUMMYFUNCTION("query(assistance!$A$2:$E988,""Select C Where D = '""&amp;L446&amp;""'"")"),51.0)</f>
        <v>51</v>
      </c>
      <c r="L446" s="36" t="s">
        <v>468</v>
      </c>
      <c r="M446" s="39">
        <f>if(N446="Inactive",3,if(N446="Limited", 2, if(N446="Closed", 4, 1)))</f>
        <v>3</v>
      </c>
      <c r="N446" s="51" t="s">
        <v>973</v>
      </c>
      <c r="O446" s="40">
        <v>45670.0</v>
      </c>
      <c r="P446" s="35" t="s">
        <v>2408</v>
      </c>
      <c r="Q446" s="35"/>
      <c r="R446" s="35" t="s">
        <v>2409</v>
      </c>
      <c r="S446" s="35" t="b">
        <v>0</v>
      </c>
      <c r="T446" s="35" t="b">
        <v>0</v>
      </c>
      <c r="U446" s="41" t="str">
        <f>IFERROR(__xludf.DUMMYFUNCTION("""["" &amp; JOIN("", "", ARRAYFORMULA("""""""" &amp; TRIM(SPLIT(A446, "","")) &amp; """""""")) &amp; ""]"""),"[""99999""]")</f>
        <v>["99999"]</v>
      </c>
      <c r="V446" s="52" t="s">
        <v>2401</v>
      </c>
      <c r="W446" s="52" t="s">
        <v>2402</v>
      </c>
      <c r="X446" s="43"/>
      <c r="Y446" s="44" t="str">
        <f>vlookup(G446,zip_codes!$B$6:$J988,3,false)</f>
        <v>Houston</v>
      </c>
      <c r="Z446" s="45" t="str">
        <f>vlookup(G446,zip_codes!$B$6:$J988,9,false)</f>
        <v>Alief</v>
      </c>
      <c r="AA446" s="44" t="str">
        <f>vlookup(B446,organizations!$B$1:$C988,2,false)</f>
        <v>House of Amos</v>
      </c>
      <c r="AB446" s="46" t="s">
        <v>2403</v>
      </c>
      <c r="AC446" s="53"/>
      <c r="AD446" s="48" t="s">
        <v>345</v>
      </c>
      <c r="AE446" s="48" t="str">
        <f t="shared" si="66"/>
        <v>House of Amos11169 Beechnut Street51</v>
      </c>
      <c r="AF446" s="48" t="str">
        <f t="shared" si="67"/>
        <v/>
      </c>
    </row>
    <row r="447" ht="66.75" customHeight="1">
      <c r="A447" s="49">
        <v>77445.0</v>
      </c>
      <c r="B447" s="35" t="s">
        <v>2410</v>
      </c>
      <c r="C447" s="36" t="s">
        <v>2411</v>
      </c>
      <c r="D447" s="36"/>
      <c r="E447" s="36" t="s">
        <v>138</v>
      </c>
      <c r="F447" s="36" t="s">
        <v>37</v>
      </c>
      <c r="G447" s="35" t="s">
        <v>139</v>
      </c>
      <c r="H447" s="35" t="s">
        <v>2412</v>
      </c>
      <c r="I447" s="35" t="s">
        <v>2413</v>
      </c>
      <c r="J447" s="35" t="s">
        <v>89</v>
      </c>
      <c r="K447" s="37">
        <f>IFERROR(__xludf.DUMMYFUNCTION("query(assistance!$A$2:$E988,""Select C Where D = '""&amp;L447&amp;""'"")"),13.0)</f>
        <v>13</v>
      </c>
      <c r="L447" s="36" t="s">
        <v>240</v>
      </c>
      <c r="M447" s="38">
        <f>if(N447="Inactive",3,if(N447="Limited", 2, 1))</f>
        <v>1</v>
      </c>
      <c r="N447" s="51" t="s">
        <v>42</v>
      </c>
      <c r="O447" s="40">
        <v>45875.0</v>
      </c>
      <c r="P447" s="35" t="s">
        <v>43</v>
      </c>
      <c r="Q447" s="35"/>
      <c r="R447" s="35" t="s">
        <v>2414</v>
      </c>
      <c r="S447" s="35" t="b">
        <v>0</v>
      </c>
      <c r="T447" s="35" t="b">
        <v>0</v>
      </c>
      <c r="U447" s="41" t="str">
        <f>IFERROR(__xludf.DUMMYFUNCTION("""["" &amp; JOIN("", "", ARRAYFORMULA("""""""" &amp; TRIM(SPLIT(A447, "","")) &amp; """""""")) &amp; ""]"""),"[""77445""]")</f>
        <v>["77445"]</v>
      </c>
      <c r="V447" s="42" t="s">
        <v>2415</v>
      </c>
      <c r="W447" s="42" t="s">
        <v>2416</v>
      </c>
      <c r="X447" s="43"/>
      <c r="Y447" s="44" t="str">
        <f>vlookup(G447,zip_codes!$B$6:$J988,3,false)</f>
        <v>Hempstead</v>
      </c>
      <c r="Z447" s="45" t="str">
        <f>vlookup(G447,zip_codes!$B$6:$J988,9,false)</f>
        <v>Hempstead, Northside</v>
      </c>
      <c r="AA447" s="44" t="str">
        <f>vlookup(B447,organizations!$B$1:$C988,2,false)</f>
        <v>House of Help</v>
      </c>
      <c r="AB447" s="55" t="s">
        <v>2417</v>
      </c>
      <c r="AC447" s="47" t="s">
        <v>2418</v>
      </c>
      <c r="AD447" s="48" t="s">
        <v>138</v>
      </c>
      <c r="AE447" s="48" t="str">
        <f t="shared" si="66"/>
        <v>House of Help716 1st Street13</v>
      </c>
      <c r="AF447" s="48" t="str">
        <f t="shared" si="67"/>
        <v/>
      </c>
    </row>
    <row r="448" ht="66.75" customHeight="1">
      <c r="A448" s="71" t="s">
        <v>234</v>
      </c>
      <c r="B448" s="35" t="s">
        <v>2419</v>
      </c>
      <c r="C448" s="36" t="s">
        <v>2420</v>
      </c>
      <c r="D448" s="36" t="s">
        <v>2421</v>
      </c>
      <c r="E448" s="36" t="s">
        <v>36</v>
      </c>
      <c r="F448" s="36" t="s">
        <v>37</v>
      </c>
      <c r="G448" s="56" t="s">
        <v>270</v>
      </c>
      <c r="H448" s="35" t="s">
        <v>2422</v>
      </c>
      <c r="I448" s="35" t="s">
        <v>40</v>
      </c>
      <c r="J448" s="35" t="s">
        <v>2423</v>
      </c>
      <c r="K448" s="37">
        <f>IFERROR(__xludf.DUMMYFUNCTION("query(assistance!$A$2:$E988,""Select C Where D = '""&amp;L448&amp;""'"")"),65.0)</f>
        <v>65</v>
      </c>
      <c r="L448" s="36" t="s">
        <v>41</v>
      </c>
      <c r="M448" s="39">
        <f>if(N448="Inactive",3,if(N448="Limited", 2, if(N448="Closed", 4, 1)))</f>
        <v>3</v>
      </c>
      <c r="N448" s="51" t="s">
        <v>973</v>
      </c>
      <c r="O448" s="40">
        <v>46057.0</v>
      </c>
      <c r="P448" s="35" t="s">
        <v>43</v>
      </c>
      <c r="Q448" s="35"/>
      <c r="R448" s="35" t="s">
        <v>2424</v>
      </c>
      <c r="S448" s="35" t="b">
        <v>0</v>
      </c>
      <c r="T448" s="35" t="b">
        <v>0</v>
      </c>
      <c r="U448" s="41" t="str">
        <f>IFERROR(__xludf.DUMMYFUNCTION("""["" &amp; JOIN("", "", ARRAYFORMULA("""""""" &amp; TRIM(SPLIT(A448,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448" s="42" t="s">
        <v>2425</v>
      </c>
      <c r="W448" s="42" t="s">
        <v>2426</v>
      </c>
      <c r="X448" s="43"/>
      <c r="Y448" s="44" t="str">
        <f>vlookup(G448,zip_codes!$B$6:$J988,3,false)</f>
        <v>Houston</v>
      </c>
      <c r="Z448" s="45" t="str">
        <f>vlookup(G448,zip_codes!$B$6:$J988,9,false)</f>
        <v>Central Business District, Downtown Houston, East Downtown, South Central Houston, Theater District, University Place, Warehouse District</v>
      </c>
      <c r="AA448" s="44" t="str">
        <f>vlookup(B448,organizations!$B$1:$C988,2,false)</f>
        <v>City of Houston</v>
      </c>
      <c r="AB448" s="55" t="s">
        <v>2427</v>
      </c>
      <c r="AC448" s="53" t="str">
        <f>PARSE_HOURS(I448)</f>
        <v>{"regular":[{"days":["Mo","Tu","We","Th","Fr"],"open":"09:00","close":"17:00"}]}</v>
      </c>
      <c r="AD448" s="58" t="s">
        <v>279</v>
      </c>
      <c r="AE448" s="48"/>
      <c r="AF448" s="48"/>
    </row>
    <row r="449" ht="66.75" customHeight="1">
      <c r="A449" s="49" t="s">
        <v>50</v>
      </c>
      <c r="B449" s="35" t="s">
        <v>2428</v>
      </c>
      <c r="C449" s="36" t="s">
        <v>2429</v>
      </c>
      <c r="D449" s="36"/>
      <c r="E449" s="36" t="s">
        <v>36</v>
      </c>
      <c r="F449" s="36" t="s">
        <v>37</v>
      </c>
      <c r="G449" s="35" t="s">
        <v>919</v>
      </c>
      <c r="H449" s="35" t="s">
        <v>2430</v>
      </c>
      <c r="I449" s="35" t="s">
        <v>516</v>
      </c>
      <c r="J449" s="35"/>
      <c r="K449" s="37">
        <f>IFERROR(__xludf.DUMMYFUNCTION("query(assistance!$A$2:$E988,""Select C Where D = '""&amp;L449&amp;""'"")"),41.0)</f>
        <v>41</v>
      </c>
      <c r="L449" s="36" t="s">
        <v>788</v>
      </c>
      <c r="M449" s="38">
        <f t="shared" ref="M449:M463" si="68">if(N449="Inactive",3,if(N449="Limited", 2, 1))</f>
        <v>1</v>
      </c>
      <c r="N449" s="39" t="s">
        <v>42</v>
      </c>
      <c r="O449" s="65"/>
      <c r="P449" s="50"/>
      <c r="Q449" s="35"/>
      <c r="R449" s="35" t="s">
        <v>2431</v>
      </c>
      <c r="S449" s="35" t="b">
        <v>0</v>
      </c>
      <c r="T449" s="35" t="b">
        <v>0</v>
      </c>
      <c r="U449" s="41" t="str">
        <f>IFERROR(__xludf.DUMMYFUNCTION("""["" &amp; JOIN("", "", ARRAYFORMULA("""""""" &amp; TRIM(SPLIT(A449, "","")) &amp; """""""")) &amp; ""]"""),"[""99999""]")</f>
        <v>["99999"]</v>
      </c>
      <c r="V449" s="52" t="s">
        <v>2432</v>
      </c>
      <c r="W449" s="43"/>
      <c r="X449" s="43"/>
      <c r="Y449" s="44" t="str">
        <f>vlookup(G449,zip_codes!$B$6:$J988,3,false)</f>
        <v>Houston</v>
      </c>
      <c r="Z449" s="45" t="str">
        <f>vlookup(G449,zip_codes!$B$6:$J988,9,false)</f>
        <v>Astrodome Area, Medical Center South, NRG Park area, South Main</v>
      </c>
      <c r="AA449" s="44" t="str">
        <f>vlookup(B449,organizations!$B$1:$C988,2,false)</f>
        <v>Houston Area Women's Center</v>
      </c>
      <c r="AB449" s="46" t="s">
        <v>2433</v>
      </c>
      <c r="AC449" s="47" t="s">
        <v>520</v>
      </c>
      <c r="AD449" s="48" t="s">
        <v>1987</v>
      </c>
      <c r="AE449" s="48" t="str">
        <f t="shared" ref="AE449:AE576" si="69">B449&amp;C449&amp;K449</f>
        <v>Houston Area Women's Center3077 El Camino Street41</v>
      </c>
      <c r="AF449" s="48" t="str">
        <f>if(AE449=AE448,"XXX","")</f>
        <v/>
      </c>
    </row>
    <row r="450" ht="66.75" customHeight="1">
      <c r="A450" s="49" t="s">
        <v>50</v>
      </c>
      <c r="B450" s="35" t="s">
        <v>2434</v>
      </c>
      <c r="C450" s="36" t="s">
        <v>2435</v>
      </c>
      <c r="D450" s="36" t="s">
        <v>2436</v>
      </c>
      <c r="E450" s="36" t="s">
        <v>36</v>
      </c>
      <c r="F450" s="36" t="s">
        <v>37</v>
      </c>
      <c r="G450" s="56" t="s">
        <v>307</v>
      </c>
      <c r="H450" s="35" t="s">
        <v>2437</v>
      </c>
      <c r="I450" s="35" t="s">
        <v>2438</v>
      </c>
      <c r="J450" s="35" t="s">
        <v>2439</v>
      </c>
      <c r="K450" s="36">
        <f>IFERROR(__xludf.DUMMYFUNCTION("query(assistance!$A$2:$E988,""Select C Where D = '""&amp;L450&amp;""'"")"),56.0)</f>
        <v>56</v>
      </c>
      <c r="L450" s="36" t="s">
        <v>56</v>
      </c>
      <c r="M450" s="38">
        <f t="shared" si="68"/>
        <v>1</v>
      </c>
      <c r="N450" s="39" t="s">
        <v>42</v>
      </c>
      <c r="O450" s="57">
        <v>46066.0</v>
      </c>
      <c r="P450" s="35" t="s">
        <v>43</v>
      </c>
      <c r="Q450" s="35"/>
      <c r="R450" s="35" t="s">
        <v>2440</v>
      </c>
      <c r="S450" s="35" t="b">
        <v>0</v>
      </c>
      <c r="T450" s="35" t="b">
        <v>0</v>
      </c>
      <c r="U450" s="35" t="str">
        <f>IFERROR(__xludf.DUMMYFUNCTION("""["" &amp; JOIN("", "", ARRAYFORMULA("""""""" &amp; TRIM(SPLIT(A450, "","")) &amp; """""""")) &amp; ""]"""),"[""99999""]")</f>
        <v>["99999"]</v>
      </c>
      <c r="V450" s="42" t="s">
        <v>2441</v>
      </c>
      <c r="W450" s="42" t="s">
        <v>2442</v>
      </c>
      <c r="X450" s="43"/>
      <c r="Y450" s="44" t="str">
        <f>vlookup(G450,zip_codes!$B$6:$J988,3,false)</f>
        <v>Houston</v>
      </c>
      <c r="Z450" s="45" t="str">
        <f>vlookup(G450,zip_codes!$B$6:$J988,9,false)</f>
        <v>Central Southwest, Houston Museum District, South Central Houston, Southgate, Texas Medical Center</v>
      </c>
      <c r="AA450" s="44" t="str">
        <f>vlookup(B450,organizations!$B$1:$C988,2,false)</f>
        <v>Houston Bar Association Veterans Legal Initiative</v>
      </c>
      <c r="AB450" s="55" t="s">
        <v>2443</v>
      </c>
      <c r="AC450" s="53" t="str">
        <f>PARSE_HOURS(I450)</f>
        <v>{"regular":[{"days":["Mo","Tu","We","Th","Fr"],"open":"08:00","close":"12:00"}]}</v>
      </c>
      <c r="AD450" s="58" t="s">
        <v>2394</v>
      </c>
      <c r="AE450" s="48" t="str">
        <f t="shared" si="69"/>
        <v>Houston Bar Association Veterans Legal Initiative2002 Holcolmbe Blvd56</v>
      </c>
      <c r="AF450" s="48"/>
    </row>
    <row r="451" ht="66.75" customHeight="1">
      <c r="A451" s="49" t="s">
        <v>50</v>
      </c>
      <c r="B451" s="35" t="s">
        <v>2444</v>
      </c>
      <c r="C451" s="36" t="s">
        <v>2445</v>
      </c>
      <c r="D451" s="36" t="s">
        <v>2446</v>
      </c>
      <c r="E451" s="36" t="s">
        <v>36</v>
      </c>
      <c r="F451" s="36" t="s">
        <v>37</v>
      </c>
      <c r="G451" s="35" t="s">
        <v>1265</v>
      </c>
      <c r="H451" s="35" t="s">
        <v>2447</v>
      </c>
      <c r="I451" s="35" t="s">
        <v>2448</v>
      </c>
      <c r="J451" s="35"/>
      <c r="K451" s="37">
        <f>IFERROR(__xludf.DUMMYFUNCTION("query(assistance!$A$2:$E988,""Select C Where D = '""&amp;L451&amp;""'"")"),14.0)</f>
        <v>14</v>
      </c>
      <c r="L451" s="36" t="s">
        <v>391</v>
      </c>
      <c r="M451" s="38">
        <f t="shared" si="68"/>
        <v>1</v>
      </c>
      <c r="N451" s="51" t="s">
        <v>42</v>
      </c>
      <c r="O451" s="40">
        <v>46019.0</v>
      </c>
      <c r="P451" s="35" t="s">
        <v>43</v>
      </c>
      <c r="Q451" s="35"/>
      <c r="R451" s="35" t="s">
        <v>2449</v>
      </c>
      <c r="S451" s="35" t="b">
        <v>0</v>
      </c>
      <c r="T451" s="35" t="b">
        <v>0</v>
      </c>
      <c r="U451" s="41" t="str">
        <f>IFERROR(__xludf.DUMMYFUNCTION("""["" &amp; JOIN("", "", ARRAYFORMULA("""""""" &amp; TRIM(SPLIT(A451, "","")) &amp; """""""")) &amp; ""]"""),"[""99999""]")</f>
        <v>["99999"]</v>
      </c>
      <c r="V451" s="42" t="s">
        <v>2450</v>
      </c>
      <c r="W451" s="42" t="s">
        <v>2451</v>
      </c>
      <c r="X451" s="43"/>
      <c r="Y451" s="44" t="str">
        <f>vlookup(G451,zip_codes!$B$6:$J988,3,false)</f>
        <v>Houston</v>
      </c>
      <c r="Z451" s="45" t="str">
        <f>vlookup(G451,zip_codes!$B$6:$J988,9,false)</f>
        <v>Central Northwest, Fairbanks / Northwest Crossing, Lazybrook / Timbergrove, Oak Forest West, Westside</v>
      </c>
      <c r="AA451" s="44" t="str">
        <f>vlookup(B451,organizations!$B$1:$C988,2,false)</f>
        <v>Houston Children's Charity</v>
      </c>
      <c r="AB451" s="55" t="s">
        <v>2452</v>
      </c>
      <c r="AC451" s="47" t="s">
        <v>2453</v>
      </c>
      <c r="AD451" s="48" t="s">
        <v>1059</v>
      </c>
      <c r="AE451" s="48" t="str">
        <f t="shared" si="69"/>
        <v>Houston Children's Charity5151 Mitchelldale Street14</v>
      </c>
      <c r="AF451" s="48" t="str">
        <f t="shared" ref="AF451:AF521" si="70">if(AE451=AE450,"XXX","")</f>
        <v/>
      </c>
    </row>
    <row r="452" ht="66.75" customHeight="1">
      <c r="A452" s="49" t="s">
        <v>50</v>
      </c>
      <c r="B452" s="35" t="s">
        <v>2444</v>
      </c>
      <c r="C452" s="36" t="s">
        <v>2454</v>
      </c>
      <c r="D452" s="36" t="s">
        <v>2455</v>
      </c>
      <c r="E452" s="36" t="s">
        <v>36</v>
      </c>
      <c r="F452" s="36" t="s">
        <v>37</v>
      </c>
      <c r="G452" s="35" t="s">
        <v>1116</v>
      </c>
      <c r="H452" s="35" t="s">
        <v>2447</v>
      </c>
      <c r="I452" s="35" t="s">
        <v>40</v>
      </c>
      <c r="J452" s="35"/>
      <c r="K452" s="37">
        <f>IFERROR(__xludf.DUMMYFUNCTION("query(assistance!$A$2:$E988,""Select C Where D = '""&amp;L452&amp;""'"")"),36.0)</f>
        <v>36</v>
      </c>
      <c r="L452" s="36" t="s">
        <v>227</v>
      </c>
      <c r="M452" s="38">
        <f t="shared" si="68"/>
        <v>2</v>
      </c>
      <c r="N452" s="51" t="s">
        <v>385</v>
      </c>
      <c r="O452" s="40">
        <v>46019.0</v>
      </c>
      <c r="P452" s="35" t="s">
        <v>43</v>
      </c>
      <c r="Q452" s="35"/>
      <c r="R452" s="35" t="s">
        <v>2456</v>
      </c>
      <c r="S452" s="35" t="b">
        <v>0</v>
      </c>
      <c r="T452" s="35" t="b">
        <v>0</v>
      </c>
      <c r="U452" s="41" t="str">
        <f>IFERROR(__xludf.DUMMYFUNCTION("""["" &amp; JOIN("", "", ARRAYFORMULA("""""""" &amp; TRIM(SPLIT(A452, "","")) &amp; """""""")) &amp; ""]"""),"[""99999""]")</f>
        <v>["99999"]</v>
      </c>
      <c r="V452" s="42" t="s">
        <v>2457</v>
      </c>
      <c r="W452" s="42" t="s">
        <v>2458</v>
      </c>
      <c r="X452" s="43"/>
      <c r="Y452" s="44" t="str">
        <f>vlookup(G452,zip_codes!$B$6:$J988,3,false)</f>
        <v>Houston</v>
      </c>
      <c r="Z452" s="45" t="str">
        <f>vlookup(G452,zip_codes!$B$6:$J988,9,false)</f>
        <v>Afton Oaks, Greenway / Upper Kirby Area, Highland Village, River Oaks District, Westside</v>
      </c>
      <c r="AA452" s="44" t="str">
        <f>vlookup(B452,organizations!$B$1:$C988,2,false)</f>
        <v>Houston Children's Charity</v>
      </c>
      <c r="AB452" s="55" t="s">
        <v>2459</v>
      </c>
      <c r="AC452" s="47" t="s">
        <v>48</v>
      </c>
      <c r="AD452" s="58" t="s">
        <v>2460</v>
      </c>
      <c r="AE452" s="48" t="str">
        <f t="shared" si="69"/>
        <v>Houston Children's Charity1600 West Loop South36</v>
      </c>
      <c r="AF452" s="48" t="str">
        <f t="shared" si="70"/>
        <v/>
      </c>
    </row>
    <row r="453" ht="66.75" customHeight="1">
      <c r="A453" s="49" t="s">
        <v>50</v>
      </c>
      <c r="B453" s="35" t="s">
        <v>2444</v>
      </c>
      <c r="C453" s="36" t="s">
        <v>2454</v>
      </c>
      <c r="D453" s="36" t="s">
        <v>2455</v>
      </c>
      <c r="E453" s="36" t="s">
        <v>36</v>
      </c>
      <c r="F453" s="36" t="s">
        <v>37</v>
      </c>
      <c r="G453" s="35" t="s">
        <v>1116</v>
      </c>
      <c r="H453" s="35" t="s">
        <v>2447</v>
      </c>
      <c r="I453" s="35" t="s">
        <v>40</v>
      </c>
      <c r="J453" s="35" t="s">
        <v>89</v>
      </c>
      <c r="K453" s="37">
        <f>IFERROR(__xludf.DUMMYFUNCTION("query(assistance!$A$2:$E988,""Select C Where D = '""&amp;L453&amp;""'"")"),53.0)</f>
        <v>53</v>
      </c>
      <c r="L453" s="36" t="s">
        <v>1109</v>
      </c>
      <c r="M453" s="38">
        <f t="shared" si="68"/>
        <v>1</v>
      </c>
      <c r="N453" s="51" t="s">
        <v>42</v>
      </c>
      <c r="O453" s="40">
        <v>46019.0</v>
      </c>
      <c r="P453" s="35" t="s">
        <v>43</v>
      </c>
      <c r="Q453" s="35"/>
      <c r="R453" s="35" t="s">
        <v>2461</v>
      </c>
      <c r="S453" s="35" t="b">
        <v>0</v>
      </c>
      <c r="T453" s="35" t="b">
        <v>0</v>
      </c>
      <c r="U453" s="41" t="str">
        <f>IFERROR(__xludf.DUMMYFUNCTION("""["" &amp; JOIN("", "", ARRAYFORMULA("""""""" &amp; TRIM(SPLIT(A453, "","")) &amp; """""""")) &amp; ""]"""),"[""99999""]")</f>
        <v>["99999"]</v>
      </c>
      <c r="V453" s="42" t="s">
        <v>2462</v>
      </c>
      <c r="W453" s="42" t="s">
        <v>2458</v>
      </c>
      <c r="X453" s="43"/>
      <c r="Y453" s="44" t="str">
        <f>vlookup(G453,zip_codes!$B$6:$J988,3,false)</f>
        <v>Houston</v>
      </c>
      <c r="Z453" s="45" t="str">
        <f>vlookup(G453,zip_codes!$B$6:$J988,9,false)</f>
        <v>Afton Oaks, Greenway / Upper Kirby Area, Highland Village, River Oaks District, Westside</v>
      </c>
      <c r="AA453" s="44" t="str">
        <f>vlookup(B453,organizations!$B$1:$C988,2,false)</f>
        <v>Houston Children's Charity</v>
      </c>
      <c r="AB453" s="55" t="s">
        <v>2452</v>
      </c>
      <c r="AC453" s="47" t="s">
        <v>48</v>
      </c>
      <c r="AD453" s="48" t="s">
        <v>1059</v>
      </c>
      <c r="AE453" s="48" t="str">
        <f t="shared" si="69"/>
        <v>Houston Children's Charity1600 West Loop South53</v>
      </c>
      <c r="AF453" s="48" t="str">
        <f t="shared" si="70"/>
        <v/>
      </c>
    </row>
    <row r="454" ht="66.75" customHeight="1">
      <c r="A454" s="49" t="s">
        <v>50</v>
      </c>
      <c r="B454" s="35" t="s">
        <v>2444</v>
      </c>
      <c r="C454" s="36" t="s">
        <v>2454</v>
      </c>
      <c r="D454" s="36" t="s">
        <v>2455</v>
      </c>
      <c r="E454" s="36" t="s">
        <v>36</v>
      </c>
      <c r="F454" s="36" t="s">
        <v>37</v>
      </c>
      <c r="G454" s="35" t="s">
        <v>1116</v>
      </c>
      <c r="H454" s="35" t="s">
        <v>2447</v>
      </c>
      <c r="I454" s="35" t="s">
        <v>40</v>
      </c>
      <c r="J454" s="35" t="s">
        <v>89</v>
      </c>
      <c r="K454" s="37">
        <f>IFERROR(__xludf.DUMMYFUNCTION("query(assistance!$A$2:$E988,""Select C Where D = '""&amp;L454&amp;""'"")"),64.0)</f>
        <v>64</v>
      </c>
      <c r="L454" s="36" t="s">
        <v>817</v>
      </c>
      <c r="M454" s="38">
        <f t="shared" si="68"/>
        <v>1</v>
      </c>
      <c r="N454" s="51" t="s">
        <v>42</v>
      </c>
      <c r="O454" s="40">
        <v>46019.0</v>
      </c>
      <c r="P454" s="35" t="s">
        <v>43</v>
      </c>
      <c r="Q454" s="35"/>
      <c r="R454" s="35" t="s">
        <v>2463</v>
      </c>
      <c r="S454" s="35" t="b">
        <v>0</v>
      </c>
      <c r="T454" s="35" t="b">
        <v>0</v>
      </c>
      <c r="U454" s="41" t="str">
        <f>IFERROR(__xludf.DUMMYFUNCTION("""["" &amp; JOIN("", "", ARRAYFORMULA("""""""" &amp; TRIM(SPLIT(A454, "","")) &amp; """""""")) &amp; ""]"""),"[""99999""]")</f>
        <v>["99999"]</v>
      </c>
      <c r="V454" s="42" t="s">
        <v>2464</v>
      </c>
      <c r="W454" s="42" t="s">
        <v>2458</v>
      </c>
      <c r="X454" s="43"/>
      <c r="Y454" s="44" t="str">
        <f>vlookup(G454,zip_codes!$B$6:$J988,3,false)</f>
        <v>Houston</v>
      </c>
      <c r="Z454" s="45" t="str">
        <f>vlookup(G454,zip_codes!$B$6:$J988,9,false)</f>
        <v>Afton Oaks, Greenway / Upper Kirby Area, Highland Village, River Oaks District, Westside</v>
      </c>
      <c r="AA454" s="44" t="str">
        <f>vlookup(B454,organizations!$B$1:$C988,2,false)</f>
        <v>Houston Children's Charity</v>
      </c>
      <c r="AB454" s="55" t="s">
        <v>2452</v>
      </c>
      <c r="AC454" s="47" t="s">
        <v>48</v>
      </c>
      <c r="AD454" s="48" t="s">
        <v>1059</v>
      </c>
      <c r="AE454" s="48" t="str">
        <f t="shared" si="69"/>
        <v>Houston Children's Charity1600 West Loop South64</v>
      </c>
      <c r="AF454" s="48" t="str">
        <f t="shared" si="70"/>
        <v/>
      </c>
    </row>
    <row r="455" ht="66.75" customHeight="1">
      <c r="A455" s="49" t="s">
        <v>50</v>
      </c>
      <c r="B455" s="35" t="s">
        <v>2444</v>
      </c>
      <c r="C455" s="36" t="s">
        <v>2454</v>
      </c>
      <c r="D455" s="36" t="s">
        <v>2455</v>
      </c>
      <c r="E455" s="36" t="s">
        <v>36</v>
      </c>
      <c r="F455" s="36" t="s">
        <v>37</v>
      </c>
      <c r="G455" s="35" t="s">
        <v>1116</v>
      </c>
      <c r="H455" s="35" t="s">
        <v>2447</v>
      </c>
      <c r="I455" s="35" t="s">
        <v>40</v>
      </c>
      <c r="J455" s="35" t="s">
        <v>89</v>
      </c>
      <c r="K455" s="37">
        <f>IFERROR(__xludf.DUMMYFUNCTION("query(assistance!$A$2:$E988,""Select C Where D = '""&amp;L455&amp;""'"")"),65.0)</f>
        <v>65</v>
      </c>
      <c r="L455" s="36" t="s">
        <v>41</v>
      </c>
      <c r="M455" s="38">
        <f t="shared" si="68"/>
        <v>1</v>
      </c>
      <c r="N455" s="51" t="s">
        <v>42</v>
      </c>
      <c r="O455" s="40">
        <v>46019.0</v>
      </c>
      <c r="P455" s="35" t="s">
        <v>43</v>
      </c>
      <c r="Q455" s="35"/>
      <c r="R455" s="35" t="s">
        <v>2465</v>
      </c>
      <c r="S455" s="35" t="b">
        <v>1</v>
      </c>
      <c r="T455" s="35" t="b">
        <v>0</v>
      </c>
      <c r="U455" s="41" t="str">
        <f>IFERROR(__xludf.DUMMYFUNCTION("""["" &amp; JOIN("", "", ARRAYFORMULA("""""""" &amp; TRIM(SPLIT(A455, "","")) &amp; """""""")) &amp; ""]"""),"[""99999""]")</f>
        <v>["99999"]</v>
      </c>
      <c r="V455" s="42" t="s">
        <v>2466</v>
      </c>
      <c r="W455" s="42" t="s">
        <v>2458</v>
      </c>
      <c r="X455" s="43"/>
      <c r="Y455" s="44" t="str">
        <f>vlookup(G455,zip_codes!$B$6:$J988,3,false)</f>
        <v>Houston</v>
      </c>
      <c r="Z455" s="45" t="str">
        <f>vlookup(G455,zip_codes!$B$6:$J988,9,false)</f>
        <v>Afton Oaks, Greenway / Upper Kirby Area, Highland Village, River Oaks District, Westside</v>
      </c>
      <c r="AA455" s="44" t="str">
        <f>vlookup(B455,organizations!$B$1:$C988,2,false)</f>
        <v>Houston Children's Charity</v>
      </c>
      <c r="AB455" s="55" t="s">
        <v>2452</v>
      </c>
      <c r="AC455" s="47" t="s">
        <v>48</v>
      </c>
      <c r="AD455" s="48" t="s">
        <v>1059</v>
      </c>
      <c r="AE455" s="48" t="str">
        <f t="shared" si="69"/>
        <v>Houston Children's Charity1600 West Loop South65</v>
      </c>
      <c r="AF455" s="48" t="str">
        <f t="shared" si="70"/>
        <v/>
      </c>
    </row>
    <row r="456" ht="66.75" customHeight="1">
      <c r="A456" s="49" t="s">
        <v>50</v>
      </c>
      <c r="B456" s="35" t="s">
        <v>2444</v>
      </c>
      <c r="C456" s="36" t="s">
        <v>2454</v>
      </c>
      <c r="D456" s="36" t="s">
        <v>2455</v>
      </c>
      <c r="E456" s="36" t="s">
        <v>36</v>
      </c>
      <c r="F456" s="36" t="s">
        <v>37</v>
      </c>
      <c r="G456" s="35" t="s">
        <v>1116</v>
      </c>
      <c r="H456" s="35" t="s">
        <v>2447</v>
      </c>
      <c r="I456" s="35" t="s">
        <v>40</v>
      </c>
      <c r="J456" s="35" t="s">
        <v>89</v>
      </c>
      <c r="K456" s="37">
        <f>IFERROR(__xludf.DUMMYFUNCTION("query(assistance!$A$2:$E988,""Select C Where D = '""&amp;L456&amp;""'"")"),65.0)</f>
        <v>65</v>
      </c>
      <c r="L456" s="36" t="s">
        <v>41</v>
      </c>
      <c r="M456" s="38">
        <f t="shared" si="68"/>
        <v>1</v>
      </c>
      <c r="N456" s="51" t="s">
        <v>42</v>
      </c>
      <c r="O456" s="40">
        <v>46019.0</v>
      </c>
      <c r="P456" s="35" t="s">
        <v>43</v>
      </c>
      <c r="Q456" s="35"/>
      <c r="R456" s="35" t="s">
        <v>2467</v>
      </c>
      <c r="S456" s="35" t="b">
        <v>1</v>
      </c>
      <c r="T456" s="35" t="b">
        <v>0</v>
      </c>
      <c r="U456" s="41" t="str">
        <f>IFERROR(__xludf.DUMMYFUNCTION("""["" &amp; JOIN("", "", ARRAYFORMULA("""""""" &amp; TRIM(SPLIT(A456, "","")) &amp; """""""")) &amp; ""]"""),"[""99999""]")</f>
        <v>["99999"]</v>
      </c>
      <c r="V456" s="42" t="s">
        <v>2468</v>
      </c>
      <c r="W456" s="42" t="s">
        <v>2458</v>
      </c>
      <c r="X456" s="43"/>
      <c r="Y456" s="44" t="str">
        <f>vlookup(G456,zip_codes!$B$6:$J988,3,false)</f>
        <v>Houston</v>
      </c>
      <c r="Z456" s="45" t="str">
        <f>vlookup(G456,zip_codes!$B$6:$J988,9,false)</f>
        <v>Afton Oaks, Greenway / Upper Kirby Area, Highland Village, River Oaks District, Westside</v>
      </c>
      <c r="AA456" s="44" t="str">
        <f>vlookup(B456,organizations!$B$1:$C988,2,false)</f>
        <v>Houston Children's Charity</v>
      </c>
      <c r="AB456" s="55" t="s">
        <v>2452</v>
      </c>
      <c r="AC456" s="47" t="s">
        <v>48</v>
      </c>
      <c r="AD456" s="48" t="s">
        <v>1059</v>
      </c>
      <c r="AE456" s="48" t="str">
        <f t="shared" si="69"/>
        <v>Houston Children's Charity1600 West Loop South65</v>
      </c>
      <c r="AF456" s="48" t="str">
        <f t="shared" si="70"/>
        <v>XXX</v>
      </c>
    </row>
    <row r="457" ht="66.75" customHeight="1">
      <c r="A457" s="34" t="s">
        <v>266</v>
      </c>
      <c r="B457" s="35" t="s">
        <v>2469</v>
      </c>
      <c r="C457" s="36"/>
      <c r="D457" s="36"/>
      <c r="E457" s="36" t="s">
        <v>36</v>
      </c>
      <c r="F457" s="36" t="s">
        <v>37</v>
      </c>
      <c r="G457" s="56" t="s">
        <v>270</v>
      </c>
      <c r="H457" s="35" t="s">
        <v>2470</v>
      </c>
      <c r="I457" s="35" t="s">
        <v>40</v>
      </c>
      <c r="J457" s="36"/>
      <c r="K457" s="37">
        <f>IFERROR(__xludf.DUMMYFUNCTION("query(assistance!$A$2:$E988,""Select C Where D = '""&amp;L457&amp;""'"")"),54.0)</f>
        <v>54</v>
      </c>
      <c r="L457" s="36" t="s">
        <v>291</v>
      </c>
      <c r="M457" s="38">
        <f t="shared" si="68"/>
        <v>1</v>
      </c>
      <c r="N457" s="39" t="s">
        <v>42</v>
      </c>
      <c r="O457" s="40">
        <v>46040.0</v>
      </c>
      <c r="P457" s="35" t="s">
        <v>1505</v>
      </c>
      <c r="Q457" s="35"/>
      <c r="R457" s="35" t="s">
        <v>2471</v>
      </c>
      <c r="S457" s="35" t="b">
        <v>0</v>
      </c>
      <c r="T457" s="35" t="b">
        <v>0</v>
      </c>
      <c r="U457" s="41" t="str">
        <f>IFERROR(__xludf.DUMMYFUNCTION("""["" &amp; JOIN("", "", ARRAYFORMULA("""""""" &amp; TRIM(SPLIT(A457,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457" s="42" t="s">
        <v>2472</v>
      </c>
      <c r="W457" s="52"/>
      <c r="X457" s="43"/>
      <c r="Y457" s="44" t="str">
        <f>vlookup(G457,zip_codes!$B$6:$J988,3,false)</f>
        <v>Houston</v>
      </c>
      <c r="Z457" s="45" t="str">
        <f>vlookup(G457,zip_codes!$B$6:$J988,9,false)</f>
        <v>Central Business District, Downtown Houston, East Downtown, South Central Houston, Theater District, University Place, Warehouse District</v>
      </c>
      <c r="AA457" s="44" t="str">
        <f>vlookup(B457,organizations!$B$1:$C988,2,false)</f>
        <v>Houston Eviction Advocacy Center</v>
      </c>
      <c r="AB457" s="83" t="s">
        <v>1162</v>
      </c>
      <c r="AC457" s="47" t="s">
        <v>73</v>
      </c>
      <c r="AD457" s="48" t="s">
        <v>279</v>
      </c>
      <c r="AE457" s="48" t="str">
        <f t="shared" si="69"/>
        <v>Houston Eviction Advocacy Center54</v>
      </c>
      <c r="AF457" s="48" t="str">
        <f t="shared" si="70"/>
        <v/>
      </c>
    </row>
    <row r="458" ht="66.75" customHeight="1">
      <c r="A458" s="49" t="s">
        <v>50</v>
      </c>
      <c r="B458" s="35" t="s">
        <v>2473</v>
      </c>
      <c r="C458" s="36" t="s">
        <v>2474</v>
      </c>
      <c r="D458" s="36" t="s">
        <v>2475</v>
      </c>
      <c r="E458" s="36" t="s">
        <v>36</v>
      </c>
      <c r="F458" s="36" t="s">
        <v>37</v>
      </c>
      <c r="G458" s="56" t="s">
        <v>497</v>
      </c>
      <c r="H458" s="35" t="s">
        <v>2476</v>
      </c>
      <c r="I458" s="35" t="s">
        <v>2477</v>
      </c>
      <c r="J458" s="35" t="s">
        <v>89</v>
      </c>
      <c r="K458" s="37">
        <f>IFERROR(__xludf.DUMMYFUNCTION("query(assistance!$A$2:$E988,""Select C Where D = '""&amp;L458&amp;""'"")"),32.0)</f>
        <v>32</v>
      </c>
      <c r="L458" s="36" t="s">
        <v>208</v>
      </c>
      <c r="M458" s="39">
        <f t="shared" si="68"/>
        <v>1</v>
      </c>
      <c r="N458" s="51" t="s">
        <v>42</v>
      </c>
      <c r="O458" s="40">
        <v>46049.0</v>
      </c>
      <c r="P458" s="35" t="s">
        <v>43</v>
      </c>
      <c r="Q458" s="35"/>
      <c r="R458" s="35" t="s">
        <v>2478</v>
      </c>
      <c r="S458" s="35" t="b">
        <v>1</v>
      </c>
      <c r="T458" s="35" t="b">
        <v>0</v>
      </c>
      <c r="U458" s="41" t="str">
        <f>IFERROR(__xludf.DUMMYFUNCTION("""["" &amp; JOIN("", "", ARRAYFORMULA("""""""" &amp; TRIM(SPLIT(A458, "","")) &amp; """""""")) &amp; ""]"""),"[""99999""]")</f>
        <v>["99999"]</v>
      </c>
      <c r="V458" s="91" t="s">
        <v>2479</v>
      </c>
      <c r="W458" s="91" t="s">
        <v>2480</v>
      </c>
      <c r="X458" s="69"/>
      <c r="Y458" s="44" t="str">
        <f>vlookup(G458,zip_codes!$B$6:$J988,3,false)</f>
        <v>Houston</v>
      </c>
      <c r="Z458" s="45" t="str">
        <f>vlookup(G458,zip_codes!$B$6:$J988,9,false)</f>
        <v>Hedwig Village, Hunters Creek, Memorial City, Memorial Villages, Northwest Houston, Westside</v>
      </c>
      <c r="AA458" s="44" t="str">
        <f>vlookup(B458,organizations!$B$1:$C988,2,false)</f>
        <v>Houston Eye Associates Foundation</v>
      </c>
      <c r="AB458" s="55" t="s">
        <v>2481</v>
      </c>
      <c r="AC458" s="47" t="s">
        <v>2482</v>
      </c>
      <c r="AD458" s="58" t="s">
        <v>2483</v>
      </c>
      <c r="AE458" s="48" t="str">
        <f t="shared" si="69"/>
        <v>Houston Eye Associates Foundation7155 Old Katy Road32</v>
      </c>
      <c r="AF458" s="48" t="str">
        <f t="shared" si="70"/>
        <v/>
      </c>
    </row>
    <row r="459" ht="91.5" customHeight="1">
      <c r="A459" s="49" t="s">
        <v>50</v>
      </c>
      <c r="B459" s="35" t="s">
        <v>2484</v>
      </c>
      <c r="C459" s="36" t="s">
        <v>2485</v>
      </c>
      <c r="D459" s="36"/>
      <c r="E459" s="36" t="s">
        <v>36</v>
      </c>
      <c r="F459" s="36" t="s">
        <v>37</v>
      </c>
      <c r="G459" s="35" t="s">
        <v>711</v>
      </c>
      <c r="H459" s="35" t="s">
        <v>2486</v>
      </c>
      <c r="I459" s="35" t="s">
        <v>2487</v>
      </c>
      <c r="J459" s="35" t="s">
        <v>298</v>
      </c>
      <c r="K459" s="37">
        <f>IFERROR(__xludf.DUMMYFUNCTION("query(assistance!$A$2:$E988,""Select C Where D = '""&amp;L459&amp;""'"")"),11.0)</f>
        <v>11</v>
      </c>
      <c r="L459" s="36" t="s">
        <v>322</v>
      </c>
      <c r="M459" s="38">
        <f t="shared" si="68"/>
        <v>1</v>
      </c>
      <c r="N459" s="39" t="s">
        <v>42</v>
      </c>
      <c r="O459" s="57">
        <v>46078.0</v>
      </c>
      <c r="P459" s="35" t="s">
        <v>323</v>
      </c>
      <c r="Q459" s="35"/>
      <c r="R459" s="35" t="s">
        <v>2488</v>
      </c>
      <c r="S459" s="35" t="b">
        <v>0</v>
      </c>
      <c r="T459" s="35" t="b">
        <v>0</v>
      </c>
      <c r="U459" s="41" t="str">
        <f>IFERROR(__xludf.DUMMYFUNCTION("""["" &amp; JOIN("", "", ARRAYFORMULA("""""""" &amp; TRIM(SPLIT(A459, "","")) &amp; """""""")) &amp; ""]"""),"[""99999""]")</f>
        <v>["99999"]</v>
      </c>
      <c r="V459" s="42" t="s">
        <v>2489</v>
      </c>
      <c r="W459" s="52" t="s">
        <v>2490</v>
      </c>
      <c r="X459" s="43"/>
      <c r="Y459" s="44" t="str">
        <f>vlookup(G459,zip_codes!$B$6:$J988,3,false)</f>
        <v>Houston</v>
      </c>
      <c r="Z459" s="45" t="str">
        <f>vlookup(G459,zip_codes!$B$6:$J988,9,false)</f>
        <v>Hilshire Village, Montrose, Northwest Houston, Spring Branch East, Washington Avenue Coalition / Memorial Park</v>
      </c>
      <c r="AA459" s="44" t="str">
        <f>vlookup(B459,organizations!$B$1:$C988,2,false)</f>
        <v>Houston First Baptist Church</v>
      </c>
      <c r="AB459" s="46" t="s">
        <v>2491</v>
      </c>
      <c r="AC459" s="47" t="str">
        <f t="shared" ref="AC459:AC460" si="71">PARSE_HOURS(I459)</f>
        <v>{"regular":[{"days":["Mo","Tu","We","Th"],"open":"08:00","close":"12:00"}]}</v>
      </c>
      <c r="AD459" s="48" t="s">
        <v>715</v>
      </c>
      <c r="AE459" s="48" t="str">
        <f t="shared" si="69"/>
        <v>Houston First Baptist Church8009 Long Point Road11</v>
      </c>
      <c r="AF459" s="48" t="str">
        <f t="shared" si="70"/>
        <v/>
      </c>
    </row>
    <row r="460" ht="66.75" customHeight="1">
      <c r="A460" s="49" t="s">
        <v>50</v>
      </c>
      <c r="B460" s="35" t="s">
        <v>2484</v>
      </c>
      <c r="C460" s="36" t="s">
        <v>2485</v>
      </c>
      <c r="D460" s="36"/>
      <c r="E460" s="36" t="s">
        <v>36</v>
      </c>
      <c r="F460" s="36" t="s">
        <v>37</v>
      </c>
      <c r="G460" s="35" t="s">
        <v>711</v>
      </c>
      <c r="H460" s="35" t="s">
        <v>2486</v>
      </c>
      <c r="I460" s="35" t="s">
        <v>2487</v>
      </c>
      <c r="J460" s="35" t="s">
        <v>298</v>
      </c>
      <c r="K460" s="37">
        <f>IFERROR(__xludf.DUMMYFUNCTION("query(assistance!$A$2:$E988,""Select C Where D = '""&amp;L460&amp;""'"")"),12.0)</f>
        <v>12</v>
      </c>
      <c r="L460" s="36" t="s">
        <v>330</v>
      </c>
      <c r="M460" s="38">
        <f t="shared" si="68"/>
        <v>1</v>
      </c>
      <c r="N460" s="39" t="s">
        <v>42</v>
      </c>
      <c r="O460" s="57">
        <v>46078.0</v>
      </c>
      <c r="P460" s="35" t="s">
        <v>323</v>
      </c>
      <c r="Q460" s="35"/>
      <c r="R460" s="35" t="s">
        <v>2492</v>
      </c>
      <c r="S460" s="35" t="b">
        <v>0</v>
      </c>
      <c r="T460" s="35" t="b">
        <v>0</v>
      </c>
      <c r="U460" s="41" t="str">
        <f>IFERROR(__xludf.DUMMYFUNCTION("""["" &amp; JOIN("", "", ARRAYFORMULA("""""""" &amp; TRIM(SPLIT(A460, "","")) &amp; """""""")) &amp; ""]"""),"[""99999""]")</f>
        <v>["99999"]</v>
      </c>
      <c r="V460" s="42" t="s">
        <v>2489</v>
      </c>
      <c r="W460" s="52" t="s">
        <v>2490</v>
      </c>
      <c r="X460" s="43"/>
      <c r="Y460" s="44" t="str">
        <f>vlookup(G460,zip_codes!$B$6:$J988,3,false)</f>
        <v>Houston</v>
      </c>
      <c r="Z460" s="45" t="str">
        <f>vlookup(G460,zip_codes!$B$6:$J988,9,false)</f>
        <v>Hilshire Village, Montrose, Northwest Houston, Spring Branch East, Washington Avenue Coalition / Memorial Park</v>
      </c>
      <c r="AA460" s="44" t="str">
        <f>vlookup(B460,organizations!$B$1:$C988,2,false)</f>
        <v>Houston First Baptist Church</v>
      </c>
      <c r="AB460" s="46" t="s">
        <v>2491</v>
      </c>
      <c r="AC460" s="47" t="str">
        <f t="shared" si="71"/>
        <v>{"regular":[{"days":["Mo","Tu","We","Th"],"open":"08:00","close":"12:00"}]}</v>
      </c>
      <c r="AD460" s="48" t="s">
        <v>715</v>
      </c>
      <c r="AE460" s="48" t="str">
        <f t="shared" si="69"/>
        <v>Houston First Baptist Church8009 Long Point Road12</v>
      </c>
      <c r="AF460" s="48" t="str">
        <f t="shared" si="70"/>
        <v/>
      </c>
    </row>
    <row r="461" ht="66.75" customHeight="1">
      <c r="A461" s="49" t="s">
        <v>50</v>
      </c>
      <c r="B461" s="35" t="s">
        <v>2484</v>
      </c>
      <c r="C461" s="36" t="s">
        <v>2493</v>
      </c>
      <c r="D461" s="36" t="s">
        <v>2494</v>
      </c>
      <c r="E461" s="36" t="s">
        <v>36</v>
      </c>
      <c r="F461" s="36" t="s">
        <v>37</v>
      </c>
      <c r="G461" s="35" t="s">
        <v>599</v>
      </c>
      <c r="H461" s="35" t="s">
        <v>2495</v>
      </c>
      <c r="I461" s="35" t="s">
        <v>2496</v>
      </c>
      <c r="J461" s="35"/>
      <c r="K461" s="37">
        <f>IFERROR(__xludf.DUMMYFUNCTION("query(assistance!$A$2:$E988,""Select C Where D = '""&amp;L461&amp;""'"")"),13.0)</f>
        <v>13</v>
      </c>
      <c r="L461" s="36" t="s">
        <v>240</v>
      </c>
      <c r="M461" s="38">
        <f t="shared" si="68"/>
        <v>1</v>
      </c>
      <c r="N461" s="39" t="s">
        <v>42</v>
      </c>
      <c r="O461" s="57">
        <v>45974.0</v>
      </c>
      <c r="P461" s="35" t="s">
        <v>43</v>
      </c>
      <c r="Q461" s="35"/>
      <c r="R461" s="35" t="s">
        <v>2497</v>
      </c>
      <c r="S461" s="35" t="b">
        <v>0</v>
      </c>
      <c r="T461" s="35" t="b">
        <v>0</v>
      </c>
      <c r="U461" s="41" t="str">
        <f>IFERROR(__xludf.DUMMYFUNCTION("""["" &amp; JOIN("", "", ARRAYFORMULA("""""""" &amp; TRIM(SPLIT(A461, "","")) &amp; """""""")) &amp; ""]"""),"[""99999""]")</f>
        <v>["99999"]</v>
      </c>
      <c r="V461" s="42" t="s">
        <v>2489</v>
      </c>
      <c r="W461" s="42" t="s">
        <v>2498</v>
      </c>
      <c r="X461" s="43"/>
      <c r="Y461" s="44" t="str">
        <f>vlookup(G461,zip_codes!$B$6:$J988,3,false)</f>
        <v>Houston</v>
      </c>
      <c r="Z461" s="45" t="str">
        <f>vlookup(G461,zip_codes!$B$6:$J988,9,false)</f>
        <v>Chinatown, Sharpstown, Westside</v>
      </c>
      <c r="AA461" s="44" t="str">
        <f>vlookup(B461,organizations!$B$1:$C988,2,false)</f>
        <v>Houston First Baptist Church</v>
      </c>
      <c r="AB461" s="46" t="s">
        <v>2499</v>
      </c>
      <c r="AC461" s="47" t="s">
        <v>2500</v>
      </c>
      <c r="AD461" s="48" t="s">
        <v>1082</v>
      </c>
      <c r="AE461" s="48" t="str">
        <f t="shared" si="69"/>
        <v>Houston First Baptist Church5860 Ranchester Drive13</v>
      </c>
      <c r="AF461" s="48" t="str">
        <f t="shared" si="70"/>
        <v/>
      </c>
    </row>
    <row r="462" ht="66.75" customHeight="1">
      <c r="A462" s="49" t="s">
        <v>50</v>
      </c>
      <c r="B462" s="35" t="s">
        <v>2484</v>
      </c>
      <c r="C462" s="36" t="s">
        <v>2501</v>
      </c>
      <c r="D462" s="36"/>
      <c r="E462" s="36" t="s">
        <v>36</v>
      </c>
      <c r="F462" s="36" t="s">
        <v>37</v>
      </c>
      <c r="G462" s="35" t="s">
        <v>711</v>
      </c>
      <c r="H462" s="35" t="s">
        <v>2502</v>
      </c>
      <c r="I462" s="35" t="s">
        <v>2503</v>
      </c>
      <c r="J462" s="35"/>
      <c r="K462" s="37">
        <f>IFERROR(__xludf.DUMMYFUNCTION("query(assistance!$A$2:$E988,""Select C Where D = '""&amp;L462&amp;""'"")"),13.0)</f>
        <v>13</v>
      </c>
      <c r="L462" s="36" t="s">
        <v>240</v>
      </c>
      <c r="M462" s="38">
        <f t="shared" si="68"/>
        <v>1</v>
      </c>
      <c r="N462" s="39" t="s">
        <v>42</v>
      </c>
      <c r="O462" s="57">
        <v>45974.0</v>
      </c>
      <c r="P462" s="35" t="s">
        <v>43</v>
      </c>
      <c r="Q462" s="35"/>
      <c r="R462" s="35" t="s">
        <v>2504</v>
      </c>
      <c r="S462" s="35" t="b">
        <v>0</v>
      </c>
      <c r="T462" s="35" t="b">
        <v>0</v>
      </c>
      <c r="U462" s="41" t="str">
        <f>IFERROR(__xludf.DUMMYFUNCTION("""["" &amp; JOIN("", "", ARRAYFORMULA("""""""" &amp; TRIM(SPLIT(A462, "","")) &amp; """""""")) &amp; ""]"""),"[""99999""]")</f>
        <v>["99999"]</v>
      </c>
      <c r="V462" s="42" t="s">
        <v>2489</v>
      </c>
      <c r="W462" s="42" t="s">
        <v>2505</v>
      </c>
      <c r="X462" s="43"/>
      <c r="Y462" s="44" t="str">
        <f>vlookup(G462,zip_codes!$B$6:$J988,3,false)</f>
        <v>Houston</v>
      </c>
      <c r="Z462" s="45" t="str">
        <f>vlookup(G462,zip_codes!$B$6:$J988,9,false)</f>
        <v>Hilshire Village, Montrose, Northwest Houston, Spring Branch East, Washington Avenue Coalition / Memorial Park</v>
      </c>
      <c r="AA462" s="44" t="str">
        <f>vlookup(B462,organizations!$B$1:$C988,2,false)</f>
        <v>Houston First Baptist Church</v>
      </c>
      <c r="AB462" s="46" t="s">
        <v>2506</v>
      </c>
      <c r="AC462" s="47" t="s">
        <v>2507</v>
      </c>
      <c r="AD462" s="48" t="s">
        <v>715</v>
      </c>
      <c r="AE462" s="48" t="str">
        <f t="shared" si="69"/>
        <v>Houston First Baptist Church8244 Long Point Road13</v>
      </c>
      <c r="AF462" s="48" t="str">
        <f t="shared" si="70"/>
        <v/>
      </c>
    </row>
    <row r="463" ht="66.75" customHeight="1">
      <c r="A463" s="49" t="s">
        <v>50</v>
      </c>
      <c r="B463" s="35" t="s">
        <v>2484</v>
      </c>
      <c r="C463" s="36" t="s">
        <v>2501</v>
      </c>
      <c r="D463" s="36"/>
      <c r="E463" s="36" t="s">
        <v>36</v>
      </c>
      <c r="F463" s="36" t="s">
        <v>37</v>
      </c>
      <c r="G463" s="35" t="s">
        <v>711</v>
      </c>
      <c r="H463" s="35" t="s">
        <v>2502</v>
      </c>
      <c r="I463" s="35" t="s">
        <v>2503</v>
      </c>
      <c r="J463" s="35"/>
      <c r="K463" s="37">
        <f>IFERROR(__xludf.DUMMYFUNCTION("query(assistance!$A$2:$E988,""Select C Where D = '""&amp;L463&amp;""'"")"),14.0)</f>
        <v>14</v>
      </c>
      <c r="L463" s="36" t="s">
        <v>391</v>
      </c>
      <c r="M463" s="38">
        <f t="shared" si="68"/>
        <v>1</v>
      </c>
      <c r="N463" s="39" t="s">
        <v>42</v>
      </c>
      <c r="O463" s="57">
        <v>45974.0</v>
      </c>
      <c r="P463" s="35" t="s">
        <v>43</v>
      </c>
      <c r="Q463" s="35"/>
      <c r="R463" s="35" t="s">
        <v>2508</v>
      </c>
      <c r="S463" s="35" t="b">
        <v>0</v>
      </c>
      <c r="T463" s="35" t="b">
        <v>0</v>
      </c>
      <c r="U463" s="41" t="str">
        <f>IFERROR(__xludf.DUMMYFUNCTION("""["" &amp; JOIN("", "", ARRAYFORMULA("""""""" &amp; TRIM(SPLIT(A463, "","")) &amp; """""""")) &amp; ""]"""),"[""99999""]")</f>
        <v>["99999"]</v>
      </c>
      <c r="V463" s="42" t="s">
        <v>2489</v>
      </c>
      <c r="W463" s="42" t="s">
        <v>2505</v>
      </c>
      <c r="X463" s="43"/>
      <c r="Y463" s="44" t="str">
        <f>vlookup(G463,zip_codes!$B$6:$J988,3,false)</f>
        <v>Houston</v>
      </c>
      <c r="Z463" s="45" t="str">
        <f>vlookup(G463,zip_codes!$B$6:$J988,9,false)</f>
        <v>Hilshire Village, Montrose, Northwest Houston, Spring Branch East, Washington Avenue Coalition / Memorial Park</v>
      </c>
      <c r="AA463" s="44" t="str">
        <f>vlookup(B463,organizations!$B$1:$C988,2,false)</f>
        <v>Houston First Baptist Church</v>
      </c>
      <c r="AB463" s="46" t="s">
        <v>2506</v>
      </c>
      <c r="AC463" s="47" t="s">
        <v>2507</v>
      </c>
      <c r="AD463" s="48" t="s">
        <v>715</v>
      </c>
      <c r="AE463" s="48" t="str">
        <f t="shared" si="69"/>
        <v>Houston First Baptist Church8244 Long Point Road14</v>
      </c>
      <c r="AF463" s="48" t="str">
        <f t="shared" si="70"/>
        <v/>
      </c>
    </row>
    <row r="464" ht="66.75" customHeight="1">
      <c r="A464" s="49" t="s">
        <v>50</v>
      </c>
      <c r="B464" s="35" t="s">
        <v>2484</v>
      </c>
      <c r="C464" s="36" t="s">
        <v>2509</v>
      </c>
      <c r="D464" s="36"/>
      <c r="E464" s="36" t="s">
        <v>36</v>
      </c>
      <c r="F464" s="36" t="s">
        <v>37</v>
      </c>
      <c r="G464" s="35" t="s">
        <v>497</v>
      </c>
      <c r="H464" s="35" t="s">
        <v>2510</v>
      </c>
      <c r="I464" s="35"/>
      <c r="J464" s="35" t="s">
        <v>89</v>
      </c>
      <c r="K464" s="37">
        <f>IFERROR(__xludf.DUMMYFUNCTION("query(assistance!$A$2:$E988,""Select C Where D = '""&amp;L464&amp;""'"")"),65.0)</f>
        <v>65</v>
      </c>
      <c r="L464" s="36" t="s">
        <v>41</v>
      </c>
      <c r="M464" s="39">
        <f>if(N464="Inactive",3,if(N464="Limited", 2, if(N464="Closed", 4, 1)))</f>
        <v>4</v>
      </c>
      <c r="N464" s="39" t="s">
        <v>57</v>
      </c>
      <c r="O464" s="57">
        <v>45974.0</v>
      </c>
      <c r="P464" s="35" t="s">
        <v>43</v>
      </c>
      <c r="Q464" s="35"/>
      <c r="R464" s="35" t="s">
        <v>2511</v>
      </c>
      <c r="S464" s="35" t="b">
        <v>0</v>
      </c>
      <c r="T464" s="35" t="b">
        <v>0</v>
      </c>
      <c r="U464" s="41" t="str">
        <f>IFERROR(__xludf.DUMMYFUNCTION("""["" &amp; JOIN("", "", ARRAYFORMULA("""""""" &amp; TRIM(SPLIT(A464, "","")) &amp; """""""")) &amp; ""]"""),"[""99999""]")</f>
        <v>["99999"]</v>
      </c>
      <c r="V464" s="42" t="s">
        <v>2489</v>
      </c>
      <c r="W464" s="42" t="s">
        <v>2512</v>
      </c>
      <c r="X464" s="43"/>
      <c r="Y464" s="44" t="str">
        <f>vlookup(G464,zip_codes!$B$6:$J988,3,false)</f>
        <v>Houston</v>
      </c>
      <c r="Z464" s="45" t="str">
        <f>vlookup(G464,zip_codes!$B$6:$J988,9,false)</f>
        <v>Hedwig Village, Hunters Creek, Memorial City, Memorial Villages, Northwest Houston, Westside</v>
      </c>
      <c r="AA464" s="44" t="str">
        <f>vlookup(B464,organizations!$B$1:$C988,2,false)</f>
        <v>Houston First Baptist Church</v>
      </c>
      <c r="AB464" s="46" t="s">
        <v>2491</v>
      </c>
      <c r="AC464" s="53"/>
      <c r="AD464" s="48" t="s">
        <v>715</v>
      </c>
      <c r="AE464" s="48" t="str">
        <f t="shared" si="69"/>
        <v>Houston First Baptist Church7401 Katy Freeway65</v>
      </c>
      <c r="AF464" s="48" t="str">
        <f t="shared" si="70"/>
        <v/>
      </c>
    </row>
    <row r="465" ht="66.75" customHeight="1">
      <c r="A465" s="49" t="s">
        <v>50</v>
      </c>
      <c r="B465" s="35" t="s">
        <v>2513</v>
      </c>
      <c r="C465" s="36" t="s">
        <v>2514</v>
      </c>
      <c r="D465" s="36"/>
      <c r="E465" s="36" t="s">
        <v>36</v>
      </c>
      <c r="F465" s="36" t="s">
        <v>37</v>
      </c>
      <c r="G465" s="35" t="s">
        <v>2515</v>
      </c>
      <c r="H465" s="35" t="s">
        <v>2516</v>
      </c>
      <c r="I465" s="35" t="s">
        <v>67</v>
      </c>
      <c r="J465" s="35"/>
      <c r="K465" s="37">
        <f>IFERROR(__xludf.DUMMYFUNCTION("query(assistance!$A$2:$E988,""Select C Where D = '""&amp;L465&amp;""'"")"),13.0)</f>
        <v>13</v>
      </c>
      <c r="L465" s="36" t="s">
        <v>240</v>
      </c>
      <c r="M465" s="38">
        <f t="shared" ref="M465:M523" si="72">if(N465="Inactive",3,if(N465="Limited", 2, 1))</f>
        <v>1</v>
      </c>
      <c r="N465" s="39" t="s">
        <v>42</v>
      </c>
      <c r="O465" s="65"/>
      <c r="P465" s="50"/>
      <c r="Q465" s="35"/>
      <c r="R465" s="35" t="s">
        <v>2517</v>
      </c>
      <c r="S465" s="35" t="b">
        <v>0</v>
      </c>
      <c r="T465" s="35" t="b">
        <v>0</v>
      </c>
      <c r="U465" s="41" t="str">
        <f>IFERROR(__xludf.DUMMYFUNCTION("""["" &amp; JOIN("", "", ARRAYFORMULA("""""""" &amp; TRIM(SPLIT(A465, "","")) &amp; """""""")) &amp; ""]"""),"[""99999""]")</f>
        <v>["99999"]</v>
      </c>
      <c r="V465" s="52" t="s">
        <v>2518</v>
      </c>
      <c r="W465" s="52" t="s">
        <v>2519</v>
      </c>
      <c r="X465" s="43"/>
      <c r="Y465" s="44" t="str">
        <f>vlookup(G465,zip_codes!$B$6:$J988,3,false)</f>
        <v>Houston</v>
      </c>
      <c r="Z465" s="45" t="str">
        <f>vlookup(G465,zip_codes!$B$6:$J988,9,false)</f>
        <v>Clinton Park, Pleasantville</v>
      </c>
      <c r="AA465" s="44" t="str">
        <f>vlookup(B465,organizations!$B$1:$C988,2,false)</f>
        <v>Houston Food Bank</v>
      </c>
      <c r="AB465" s="46" t="s">
        <v>2520</v>
      </c>
      <c r="AC465" s="47" t="s">
        <v>73</v>
      </c>
      <c r="AD465" s="58" t="s">
        <v>2521</v>
      </c>
      <c r="AE465" s="48" t="str">
        <f t="shared" si="69"/>
        <v>Houston Food Bank535 Portwall Street13</v>
      </c>
      <c r="AF465" s="48" t="str">
        <f t="shared" si="70"/>
        <v/>
      </c>
    </row>
    <row r="466" ht="66.75" customHeight="1">
      <c r="A466" s="49" t="s">
        <v>50</v>
      </c>
      <c r="B466" s="35" t="s">
        <v>2513</v>
      </c>
      <c r="C466" s="36" t="s">
        <v>2514</v>
      </c>
      <c r="D466" s="36"/>
      <c r="E466" s="36" t="s">
        <v>36</v>
      </c>
      <c r="F466" s="36" t="s">
        <v>37</v>
      </c>
      <c r="G466" s="35" t="s">
        <v>2515</v>
      </c>
      <c r="H466" s="35" t="s">
        <v>2516</v>
      </c>
      <c r="I466" s="35" t="s">
        <v>67</v>
      </c>
      <c r="J466" s="35"/>
      <c r="K466" s="37">
        <f>IFERROR(__xludf.DUMMYFUNCTION("query(assistance!$A$2:$E988,""Select C Where D = '""&amp;L466&amp;""'"")"),35.0)</f>
        <v>35</v>
      </c>
      <c r="L466" s="36" t="s">
        <v>731</v>
      </c>
      <c r="M466" s="38">
        <f t="shared" si="72"/>
        <v>1</v>
      </c>
      <c r="N466" s="39" t="s">
        <v>42</v>
      </c>
      <c r="O466" s="65"/>
      <c r="P466" s="50"/>
      <c r="Q466" s="35"/>
      <c r="R466" s="35" t="s">
        <v>2522</v>
      </c>
      <c r="S466" s="35" t="b">
        <v>0</v>
      </c>
      <c r="T466" s="35" t="b">
        <v>0</v>
      </c>
      <c r="U466" s="41" t="str">
        <f>IFERROR(__xludf.DUMMYFUNCTION("""["" &amp; JOIN("", "", ARRAYFORMULA("""""""" &amp; TRIM(SPLIT(A466, "","")) &amp; """""""")) &amp; ""]"""),"[""99999""]")</f>
        <v>["99999"]</v>
      </c>
      <c r="V466" s="52" t="s">
        <v>2518</v>
      </c>
      <c r="W466" s="52" t="s">
        <v>2519</v>
      </c>
      <c r="X466" s="43"/>
      <c r="Y466" s="44" t="str">
        <f>vlookup(G466,zip_codes!$B$6:$J988,3,false)</f>
        <v>Houston</v>
      </c>
      <c r="Z466" s="45" t="str">
        <f>vlookup(G466,zip_codes!$B$6:$J988,9,false)</f>
        <v>Clinton Park, Pleasantville</v>
      </c>
      <c r="AA466" s="44" t="str">
        <f>vlookup(B466,organizations!$B$1:$C988,2,false)</f>
        <v>Houston Food Bank</v>
      </c>
      <c r="AB466" s="46" t="s">
        <v>2520</v>
      </c>
      <c r="AC466" s="47" t="s">
        <v>73</v>
      </c>
      <c r="AD466" s="58" t="s">
        <v>2521</v>
      </c>
      <c r="AE466" s="48" t="str">
        <f t="shared" si="69"/>
        <v>Houston Food Bank535 Portwall Street35</v>
      </c>
      <c r="AF466" s="48" t="str">
        <f t="shared" si="70"/>
        <v/>
      </c>
    </row>
    <row r="467" ht="66.75" customHeight="1">
      <c r="A467" s="49" t="s">
        <v>50</v>
      </c>
      <c r="B467" s="35" t="s">
        <v>2523</v>
      </c>
      <c r="C467" s="36" t="s">
        <v>2524</v>
      </c>
      <c r="D467" s="36"/>
      <c r="E467" s="36" t="s">
        <v>36</v>
      </c>
      <c r="F467" s="36" t="s">
        <v>37</v>
      </c>
      <c r="G467" s="56" t="s">
        <v>919</v>
      </c>
      <c r="H467" s="35" t="s">
        <v>2525</v>
      </c>
      <c r="I467" s="35" t="s">
        <v>516</v>
      </c>
      <c r="J467" s="35"/>
      <c r="K467" s="37">
        <f>IFERROR(__xludf.DUMMYFUNCTION("query(assistance!$A$2:$E988,""Select C Where D = '""&amp;L467&amp;""'"")"),37.0)</f>
        <v>37</v>
      </c>
      <c r="L467" s="36" t="s">
        <v>309</v>
      </c>
      <c r="M467" s="38">
        <f t="shared" si="72"/>
        <v>1</v>
      </c>
      <c r="N467" s="51" t="s">
        <v>42</v>
      </c>
      <c r="O467" s="40">
        <v>46036.0</v>
      </c>
      <c r="P467" s="35" t="s">
        <v>43</v>
      </c>
      <c r="Q467" s="35"/>
      <c r="R467" s="35" t="s">
        <v>2526</v>
      </c>
      <c r="S467" s="35" t="b">
        <v>0</v>
      </c>
      <c r="T467" s="35" t="b">
        <v>0</v>
      </c>
      <c r="U467" s="41" t="str">
        <f>IFERROR(__xludf.DUMMYFUNCTION("""["" &amp; JOIN("", "", ARRAYFORMULA("""""""" &amp; TRIM(SPLIT(A467, "","")) &amp; """""""")) &amp; ""]"""),"[""99999""]")</f>
        <v>["99999"]</v>
      </c>
      <c r="V467" s="42" t="s">
        <v>2527</v>
      </c>
      <c r="W467" s="42" t="s">
        <v>2528</v>
      </c>
      <c r="X467" s="43"/>
      <c r="Y467" s="44" t="str">
        <f>vlookup(G467,zip_codes!$B$6:$J988,3,false)</f>
        <v>Houston</v>
      </c>
      <c r="Z467" s="45" t="str">
        <f>vlookup(G467,zip_codes!$B$6:$J988,9,false)</f>
        <v>Astrodome Area, Medical Center South, NRG Park area, South Main</v>
      </c>
      <c r="AA467" s="44" t="str">
        <f>vlookup(B467,organizations!$B$1:$C988,2,false)</f>
        <v>Houston Hope Lodge</v>
      </c>
      <c r="AB467" s="55" t="s">
        <v>2529</v>
      </c>
      <c r="AC467" s="53" t="s">
        <v>520</v>
      </c>
      <c r="AD467" s="58" t="s">
        <v>1931</v>
      </c>
      <c r="AE467" s="48" t="str">
        <f t="shared" si="69"/>
        <v>Houston Hope Lodge6801 Ardmore Street37</v>
      </c>
      <c r="AF467" s="48" t="str">
        <f t="shared" si="70"/>
        <v/>
      </c>
    </row>
    <row r="468" ht="66.75" customHeight="1">
      <c r="A468" s="49" t="s">
        <v>50</v>
      </c>
      <c r="B468" s="35" t="s">
        <v>2530</v>
      </c>
      <c r="C468" s="36" t="s">
        <v>2531</v>
      </c>
      <c r="D468" s="36"/>
      <c r="E468" s="36" t="s">
        <v>36</v>
      </c>
      <c r="F468" s="36" t="s">
        <v>37</v>
      </c>
      <c r="G468" s="35" t="s">
        <v>2532</v>
      </c>
      <c r="H468" s="35" t="s">
        <v>2533</v>
      </c>
      <c r="I468" s="35" t="s">
        <v>2534</v>
      </c>
      <c r="J468" s="35" t="s">
        <v>298</v>
      </c>
      <c r="K468" s="37">
        <f>IFERROR(__xludf.DUMMYFUNCTION("query(assistance!$A$2:$E988,""Select C Where D = '""&amp;L468&amp;""'"")"),63.0)</f>
        <v>63</v>
      </c>
      <c r="L468" s="36" t="s">
        <v>765</v>
      </c>
      <c r="M468" s="38">
        <f t="shared" si="72"/>
        <v>1</v>
      </c>
      <c r="N468" s="51" t="s">
        <v>42</v>
      </c>
      <c r="O468" s="40">
        <v>45925.0</v>
      </c>
      <c r="P468" s="40"/>
      <c r="Q468" s="35"/>
      <c r="R468" s="35" t="s">
        <v>2535</v>
      </c>
      <c r="S468" s="35" t="b">
        <v>0</v>
      </c>
      <c r="T468" s="35" t="b">
        <v>0</v>
      </c>
      <c r="U468" s="41" t="str">
        <f>IFERROR(__xludf.DUMMYFUNCTION("""["" &amp; JOIN("", "", ARRAYFORMULA("""""""" &amp; TRIM(SPLIT(A468, "","")) &amp; """""""")) &amp; ""]"""),"[""99999""]")</f>
        <v>["99999"]</v>
      </c>
      <c r="V468" s="68" t="s">
        <v>2536</v>
      </c>
      <c r="W468" s="68" t="s">
        <v>2537</v>
      </c>
      <c r="X468" s="69"/>
      <c r="Y468" s="44" t="str">
        <f>vlookup(G468,zip_codes!$B$6:$J988,3,false)</f>
        <v>Houston</v>
      </c>
      <c r="Z468" s="45" t="str">
        <f>vlookup(G468,zip_codes!$B$6:$J988,9,false)</f>
        <v>Briar Villa, Fort Bend Houston, Orchard Grove</v>
      </c>
      <c r="AA468" s="44" t="str">
        <f>vlookup(B468,organizations!$B$1:$C988,2,false)</f>
        <v>Houston Humane Society</v>
      </c>
      <c r="AB468" s="55" t="s">
        <v>2538</v>
      </c>
      <c r="AC468" s="47" t="s">
        <v>2539</v>
      </c>
      <c r="AD468" s="48" t="s">
        <v>2540</v>
      </c>
      <c r="AE468" s="48" t="str">
        <f t="shared" si="69"/>
        <v>Houston Humane Society14700 Almeda Road63</v>
      </c>
      <c r="AF468" s="48" t="str">
        <f t="shared" si="70"/>
        <v/>
      </c>
    </row>
    <row r="469" ht="66.75" customHeight="1">
      <c r="A469" s="34" t="s">
        <v>266</v>
      </c>
      <c r="B469" s="35" t="s">
        <v>2541</v>
      </c>
      <c r="C469" s="36" t="s">
        <v>2542</v>
      </c>
      <c r="D469" s="36"/>
      <c r="E469" s="36" t="s">
        <v>36</v>
      </c>
      <c r="F469" s="36" t="s">
        <v>37</v>
      </c>
      <c r="G469" s="56" t="s">
        <v>270</v>
      </c>
      <c r="H469" s="92" t="s">
        <v>2543</v>
      </c>
      <c r="I469" s="35" t="s">
        <v>272</v>
      </c>
      <c r="J469" s="35" t="s">
        <v>89</v>
      </c>
      <c r="K469" s="37">
        <f>IFERROR(__xludf.DUMMYFUNCTION("query(assistance!$A$2:$E988,""Select C Where D = '""&amp;L469&amp;""'"")"),53.0)</f>
        <v>53</v>
      </c>
      <c r="L469" s="36" t="s">
        <v>1109</v>
      </c>
      <c r="M469" s="39">
        <f t="shared" si="72"/>
        <v>1</v>
      </c>
      <c r="N469" s="39" t="s">
        <v>42</v>
      </c>
      <c r="O469" s="57">
        <v>46057.0</v>
      </c>
      <c r="P469" s="35" t="s">
        <v>43</v>
      </c>
      <c r="Q469" s="35"/>
      <c r="R469" s="35" t="s">
        <v>2544</v>
      </c>
      <c r="S469" s="35" t="b">
        <v>0</v>
      </c>
      <c r="T469" s="35" t="b">
        <v>0</v>
      </c>
      <c r="U469" s="41" t="str">
        <f>IFERROR(__xludf.DUMMYFUNCTION("""["" &amp; JOIN("", "", ARRAYFORMULA("""""""" &amp; TRIM(SPLIT(A469,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469" s="42" t="s">
        <v>2545</v>
      </c>
      <c r="W469" s="42" t="s">
        <v>2546</v>
      </c>
      <c r="X469" s="43"/>
      <c r="Y469" s="44" t="str">
        <f>vlookup(G469,zip_codes!$B$6:$J988,3,false)</f>
        <v>Houston</v>
      </c>
      <c r="Z469" s="45" t="str">
        <f>vlookup(G469,zip_codes!$B$6:$J988,9,false)</f>
        <v>Central Business District, Downtown Houston, East Downtown, South Central Houston, Theater District, University Place, Warehouse District</v>
      </c>
      <c r="AA469" s="44" t="str">
        <f>vlookup(B469,organizations!$B$1:$C988,2,false)</f>
        <v>Houston MetroLift</v>
      </c>
      <c r="AB469" s="55" t="s">
        <v>2547</v>
      </c>
      <c r="AC469" s="53" t="str">
        <f>PARSE_HOURS(I469)</f>
        <v>{"regular":[{"days":["Mo","Tu","We","Th","Fr"],"open":"08:00","close":"17:00"}]}</v>
      </c>
      <c r="AD469" s="48" t="s">
        <v>279</v>
      </c>
      <c r="AE469" s="48" t="str">
        <f t="shared" si="69"/>
        <v>Houston MetroLift1900 Main Street53</v>
      </c>
      <c r="AF469" s="48" t="str">
        <f t="shared" si="70"/>
        <v/>
      </c>
    </row>
    <row r="470" ht="66.75" customHeight="1">
      <c r="A470" s="49" t="s">
        <v>50</v>
      </c>
      <c r="B470" s="35" t="s">
        <v>2548</v>
      </c>
      <c r="C470" s="36" t="s">
        <v>2549</v>
      </c>
      <c r="D470" s="36" t="s">
        <v>157</v>
      </c>
      <c r="E470" s="36" t="s">
        <v>36</v>
      </c>
      <c r="F470" s="36" t="s">
        <v>37</v>
      </c>
      <c r="G470" s="35" t="s">
        <v>270</v>
      </c>
      <c r="H470" s="35" t="s">
        <v>2550</v>
      </c>
      <c r="I470" s="35" t="s">
        <v>516</v>
      </c>
      <c r="J470" s="35"/>
      <c r="K470" s="37">
        <f>IFERROR(__xludf.DUMMYFUNCTION("query(assistance!$A$2:$E988,""Select C Where D = '""&amp;L470&amp;""'"")"),34.0)</f>
        <v>34</v>
      </c>
      <c r="L470" s="36" t="s">
        <v>260</v>
      </c>
      <c r="M470" s="38">
        <f t="shared" si="72"/>
        <v>1</v>
      </c>
      <c r="N470" s="51" t="s">
        <v>42</v>
      </c>
      <c r="O470" s="57">
        <v>45795.0</v>
      </c>
      <c r="P470" s="35" t="s">
        <v>43</v>
      </c>
      <c r="Q470" s="35"/>
      <c r="R470" s="35" t="s">
        <v>2551</v>
      </c>
      <c r="S470" s="35" t="b">
        <v>0</v>
      </c>
      <c r="T470" s="35" t="b">
        <v>0</v>
      </c>
      <c r="U470" s="41" t="str">
        <f>IFERROR(__xludf.DUMMYFUNCTION("""["" &amp; JOIN("", "", ARRAYFORMULA("""""""" &amp; TRIM(SPLIT(A470, "","")) &amp; """""""")) &amp; ""]"""),"[""99999""]")</f>
        <v>["99999"]</v>
      </c>
      <c r="V470" s="52" t="s">
        <v>1133</v>
      </c>
      <c r="W470" s="42" t="s">
        <v>2552</v>
      </c>
      <c r="X470" s="52"/>
      <c r="Y470" s="44" t="str">
        <f>vlookup(G470,zip_codes!$B$6:$J988,3,false)</f>
        <v>Houston</v>
      </c>
      <c r="Z470" s="45" t="str">
        <f>vlookup(G470,zip_codes!$B$6:$J988,9,false)</f>
        <v>Central Business District, Downtown Houston, East Downtown, South Central Houston, Theater District, University Place, Warehouse District</v>
      </c>
      <c r="AA470" s="44" t="str">
        <f>vlookup(B470,organizations!$B$1:$C988,2,false)</f>
        <v>Houston Recovery Center</v>
      </c>
      <c r="AB470" s="46" t="s">
        <v>2553</v>
      </c>
      <c r="AC470" s="47" t="s">
        <v>520</v>
      </c>
      <c r="AD470" s="48" t="s">
        <v>279</v>
      </c>
      <c r="AE470" s="48" t="str">
        <f t="shared" si="69"/>
        <v>Houston Recovery Center150 N Chenevert Street34</v>
      </c>
      <c r="AF470" s="48" t="str">
        <f t="shared" si="70"/>
        <v/>
      </c>
    </row>
    <row r="471" ht="66.75" customHeight="1">
      <c r="A471" s="49" t="s">
        <v>50</v>
      </c>
      <c r="B471" s="35" t="s">
        <v>2554</v>
      </c>
      <c r="C471" s="36" t="s">
        <v>2555</v>
      </c>
      <c r="D471" s="36"/>
      <c r="E471" s="36" t="s">
        <v>36</v>
      </c>
      <c r="F471" s="36" t="s">
        <v>37</v>
      </c>
      <c r="G471" s="56" t="s">
        <v>846</v>
      </c>
      <c r="H471" s="35" t="s">
        <v>2556</v>
      </c>
      <c r="I471" s="35" t="s">
        <v>1102</v>
      </c>
      <c r="J471" s="35"/>
      <c r="K471" s="37">
        <f>IFERROR(__xludf.DUMMYFUNCTION("query(assistance!$A$2:$E988,""Select C Where D = '""&amp;L471&amp;""'"")"),65.0)</f>
        <v>65</v>
      </c>
      <c r="L471" s="36" t="s">
        <v>41</v>
      </c>
      <c r="M471" s="38">
        <f t="shared" si="72"/>
        <v>1</v>
      </c>
      <c r="N471" s="51" t="s">
        <v>42</v>
      </c>
      <c r="O471" s="40">
        <v>46037.0</v>
      </c>
      <c r="P471" s="35" t="s">
        <v>43</v>
      </c>
      <c r="Q471" s="35"/>
      <c r="R471" s="35" t="s">
        <v>2557</v>
      </c>
      <c r="S471" s="35" t="b">
        <v>0</v>
      </c>
      <c r="T471" s="35" t="b">
        <v>0</v>
      </c>
      <c r="U471" s="41" t="str">
        <f>IFERROR(__xludf.DUMMYFUNCTION("""["" &amp; JOIN("", "", ARRAYFORMULA("""""""" &amp; TRIM(SPLIT(A471, "","")) &amp; """""""")) &amp; ""]"""),"[""99999""]")</f>
        <v>["99999"]</v>
      </c>
      <c r="V471" s="42" t="s">
        <v>2558</v>
      </c>
      <c r="W471" s="42" t="s">
        <v>2559</v>
      </c>
      <c r="X471" s="43"/>
      <c r="Y471" s="44" t="str">
        <f>vlookup(G471,zip_codes!$B$6:$J988,3,false)</f>
        <v>Houston</v>
      </c>
      <c r="Z471" s="45" t="str">
        <f>vlookup(G471,zip_codes!$B$6:$J988,9,false)</f>
        <v>Denver Harbor / Port Houston, Fifth Ward, Northside</v>
      </c>
      <c r="AA471" s="44" t="str">
        <f>vlookup(B471,organizations!$B$1:$C988,2,false)</f>
        <v>Houston ToolBank</v>
      </c>
      <c r="AB471" s="55" t="s">
        <v>2560</v>
      </c>
      <c r="AC471" s="61" t="s">
        <v>1107</v>
      </c>
      <c r="AD471" s="58" t="s">
        <v>304</v>
      </c>
      <c r="AE471" s="48" t="str">
        <f t="shared" si="69"/>
        <v>Houston ToolBank1215 Gazin Street65</v>
      </c>
      <c r="AF471" s="48" t="str">
        <f t="shared" si="70"/>
        <v/>
      </c>
    </row>
    <row r="472" ht="66.75" customHeight="1">
      <c r="A472" s="49" t="s">
        <v>50</v>
      </c>
      <c r="B472" s="35" t="s">
        <v>2561</v>
      </c>
      <c r="C472" s="36" t="s">
        <v>2562</v>
      </c>
      <c r="D472" s="36" t="s">
        <v>2563</v>
      </c>
      <c r="E472" s="36" t="s">
        <v>36</v>
      </c>
      <c r="F472" s="36" t="s">
        <v>37</v>
      </c>
      <c r="G472" s="35" t="s">
        <v>270</v>
      </c>
      <c r="H472" s="35" t="s">
        <v>2437</v>
      </c>
      <c r="I472" s="35" t="s">
        <v>40</v>
      </c>
      <c r="J472" s="36" t="s">
        <v>953</v>
      </c>
      <c r="K472" s="37">
        <f>IFERROR(__xludf.DUMMYFUNCTION("query(assistance!$A$2:$E988,""Select C Where D = '""&amp;L472&amp;""'"")"),54.0)</f>
        <v>54</v>
      </c>
      <c r="L472" s="36" t="s">
        <v>291</v>
      </c>
      <c r="M472" s="38">
        <f t="shared" si="72"/>
        <v>1</v>
      </c>
      <c r="N472" s="51" t="s">
        <v>42</v>
      </c>
      <c r="O472" s="40">
        <v>46023.0</v>
      </c>
      <c r="P472" s="50"/>
      <c r="Q472" s="35"/>
      <c r="R472" s="35" t="s">
        <v>2564</v>
      </c>
      <c r="S472" s="35" t="b">
        <v>0</v>
      </c>
      <c r="T472" s="35" t="b">
        <v>0</v>
      </c>
      <c r="U472" s="41" t="str">
        <f>IFERROR(__xludf.DUMMYFUNCTION("""["" &amp; JOIN("", "", ARRAYFORMULA("""""""" &amp; TRIM(SPLIT(A472, "","")) &amp; """""""")) &amp; ""]"""),"[""99999""]")</f>
        <v>["99999"]</v>
      </c>
      <c r="V472" s="42" t="s">
        <v>2565</v>
      </c>
      <c r="W472" s="42" t="s">
        <v>2566</v>
      </c>
      <c r="X472" s="43"/>
      <c r="Y472" s="44" t="str">
        <f>vlookup(G472,zip_codes!$B$6:$J988,3,false)</f>
        <v>Houston</v>
      </c>
      <c r="Z472" s="45" t="str">
        <f>vlookup(G472,zip_codes!$B$6:$J988,9,false)</f>
        <v>Central Business District, Downtown Houston, East Downtown, South Central Houston, Theater District, University Place, Warehouse District</v>
      </c>
      <c r="AA472" s="44" t="str">
        <f>vlookup(B472,organizations!$B$1:$C988,2,false)</f>
        <v>Houston Volunteer Lawyers</v>
      </c>
      <c r="AB472" s="55" t="s">
        <v>2567</v>
      </c>
      <c r="AC472" s="47" t="s">
        <v>48</v>
      </c>
      <c r="AD472" s="48" t="s">
        <v>279</v>
      </c>
      <c r="AE472" s="48" t="str">
        <f t="shared" si="69"/>
        <v>Houston Volunteer Lawyers1000 Louisiana Street54</v>
      </c>
      <c r="AF472" s="48" t="str">
        <f t="shared" si="70"/>
        <v/>
      </c>
    </row>
    <row r="473" ht="66.75" customHeight="1">
      <c r="A473" s="49" t="s">
        <v>2568</v>
      </c>
      <c r="B473" s="35" t="s">
        <v>2569</v>
      </c>
      <c r="C473" s="36" t="s">
        <v>2570</v>
      </c>
      <c r="D473" s="36"/>
      <c r="E473" s="36" t="s">
        <v>488</v>
      </c>
      <c r="F473" s="36" t="s">
        <v>37</v>
      </c>
      <c r="G473" s="35" t="s">
        <v>489</v>
      </c>
      <c r="H473" s="35" t="s">
        <v>2571</v>
      </c>
      <c r="I473" s="66"/>
      <c r="J473" s="89"/>
      <c r="K473" s="37">
        <f>IFERROR(__xludf.DUMMYFUNCTION("query(assistance!$A$2:$E988,""Select C Where D = '""&amp;L473&amp;""'"")"),11.0)</f>
        <v>11</v>
      </c>
      <c r="L473" s="36" t="s">
        <v>322</v>
      </c>
      <c r="M473" s="38">
        <f t="shared" si="72"/>
        <v>1</v>
      </c>
      <c r="N473" s="39" t="s">
        <v>42</v>
      </c>
      <c r="O473" s="65"/>
      <c r="P473" s="35" t="s">
        <v>2572</v>
      </c>
      <c r="Q473" s="35"/>
      <c r="R473" s="35" t="s">
        <v>2573</v>
      </c>
      <c r="S473" s="35" t="b">
        <v>0</v>
      </c>
      <c r="T473" s="35" t="b">
        <v>0</v>
      </c>
      <c r="U473" s="41" t="str">
        <f>IFERROR(__xludf.DUMMYFUNCTION("""["" &amp; JOIN("", "", ARRAYFORMULA("""""""" &amp; TRIM(SPLIT(A473, "","")) &amp; """""""")) &amp; ""]"""),"[""77044"", ""77302"", ""77306"", ""77336"", ""77338"", ""77339"", ""77345"", ""77346"", ""77347"", ""77357"", ""77365"", ""77372"", ""77396"", ""77532""]")</f>
        <v>["77044", "77302", "77306", "77336", "77338", "77339", "77345", "77346", "77347", "77357", "77365", "77372", "77396", "77532"]</v>
      </c>
      <c r="V473" s="52" t="s">
        <v>2574</v>
      </c>
      <c r="W473" s="52" t="s">
        <v>2575</v>
      </c>
      <c r="X473" s="43"/>
      <c r="Y473" s="44" t="str">
        <f>vlookup(G473,zip_codes!$B$6:$J988,3,false)</f>
        <v>Humble</v>
      </c>
      <c r="Z473" s="45" t="str">
        <f>vlookup(G473,zip_codes!$B$6:$J988,9,false)</f>
        <v>Humble, Humble (Old Town), Northshire</v>
      </c>
      <c r="AA473" s="44" t="str">
        <f>vlookup(B473,organizations!$B$1:$C988,2,false)</f>
        <v>Humble Area Assistance Ministries</v>
      </c>
      <c r="AB473" s="46" t="s">
        <v>2576</v>
      </c>
      <c r="AC473" s="53"/>
      <c r="AD473" s="48" t="s">
        <v>488</v>
      </c>
      <c r="AE473" s="48" t="str">
        <f t="shared" si="69"/>
        <v>Humble Area Assistance Ministries1302 1st Street East11</v>
      </c>
      <c r="AF473" s="48" t="str">
        <f t="shared" si="70"/>
        <v/>
      </c>
    </row>
    <row r="474" ht="66.75" customHeight="1">
      <c r="A474" s="49" t="s">
        <v>2568</v>
      </c>
      <c r="B474" s="35" t="s">
        <v>2569</v>
      </c>
      <c r="C474" s="36" t="s">
        <v>2570</v>
      </c>
      <c r="D474" s="36"/>
      <c r="E474" s="36" t="s">
        <v>488</v>
      </c>
      <c r="F474" s="36" t="s">
        <v>37</v>
      </c>
      <c r="G474" s="35" t="s">
        <v>489</v>
      </c>
      <c r="H474" s="35" t="s">
        <v>2571</v>
      </c>
      <c r="I474" s="66"/>
      <c r="J474" s="89"/>
      <c r="K474" s="37">
        <f>IFERROR(__xludf.DUMMYFUNCTION("query(assistance!$A$2:$E988,""Select C Where D = '""&amp;L474&amp;""'"")"),12.0)</f>
        <v>12</v>
      </c>
      <c r="L474" s="36" t="s">
        <v>330</v>
      </c>
      <c r="M474" s="38">
        <f t="shared" si="72"/>
        <v>1</v>
      </c>
      <c r="N474" s="39" t="s">
        <v>42</v>
      </c>
      <c r="O474" s="65"/>
      <c r="P474" s="35" t="s">
        <v>2572</v>
      </c>
      <c r="Q474" s="35"/>
      <c r="R474" s="35" t="s">
        <v>2577</v>
      </c>
      <c r="S474" s="35" t="b">
        <v>0</v>
      </c>
      <c r="T474" s="35" t="b">
        <v>0</v>
      </c>
      <c r="U474" s="41" t="str">
        <f>IFERROR(__xludf.DUMMYFUNCTION("""["" &amp; JOIN("", "", ARRAYFORMULA("""""""" &amp; TRIM(SPLIT(A474, "","")) &amp; """""""")) &amp; ""]"""),"[""77044"", ""77302"", ""77306"", ""77336"", ""77338"", ""77339"", ""77345"", ""77346"", ""77347"", ""77357"", ""77365"", ""77372"", ""77396"", ""77532""]")</f>
        <v>["77044", "77302", "77306", "77336", "77338", "77339", "77345", "77346", "77347", "77357", "77365", "77372", "77396", "77532"]</v>
      </c>
      <c r="V474" s="52" t="s">
        <v>2574</v>
      </c>
      <c r="W474" s="52" t="s">
        <v>2575</v>
      </c>
      <c r="X474" s="43"/>
      <c r="Y474" s="44" t="str">
        <f>vlookup(G474,zip_codes!$B$6:$J988,3,false)</f>
        <v>Humble</v>
      </c>
      <c r="Z474" s="45" t="str">
        <f>vlookup(G474,zip_codes!$B$6:$J988,9,false)</f>
        <v>Humble, Humble (Old Town), Northshire</v>
      </c>
      <c r="AA474" s="44" t="str">
        <f>vlookup(B474,organizations!$B$1:$C988,2,false)</f>
        <v>Humble Area Assistance Ministries</v>
      </c>
      <c r="AB474" s="46" t="s">
        <v>2576</v>
      </c>
      <c r="AC474" s="53"/>
      <c r="AD474" s="48" t="s">
        <v>488</v>
      </c>
      <c r="AE474" s="48" t="str">
        <f t="shared" si="69"/>
        <v>Humble Area Assistance Ministries1302 1st Street East12</v>
      </c>
      <c r="AF474" s="48" t="str">
        <f t="shared" si="70"/>
        <v/>
      </c>
    </row>
    <row r="475" ht="66.75" customHeight="1">
      <c r="A475" s="49" t="s">
        <v>2568</v>
      </c>
      <c r="B475" s="35" t="s">
        <v>2569</v>
      </c>
      <c r="C475" s="36" t="s">
        <v>2570</v>
      </c>
      <c r="D475" s="36"/>
      <c r="E475" s="36" t="s">
        <v>488</v>
      </c>
      <c r="F475" s="36" t="s">
        <v>37</v>
      </c>
      <c r="G475" s="35" t="s">
        <v>489</v>
      </c>
      <c r="H475" s="35" t="s">
        <v>2571</v>
      </c>
      <c r="I475" s="66"/>
      <c r="J475" s="89"/>
      <c r="K475" s="37">
        <f>IFERROR(__xludf.DUMMYFUNCTION("query(assistance!$A$2:$E988,""Select C Where D = '""&amp;L475&amp;""'"")"),13.0)</f>
        <v>13</v>
      </c>
      <c r="L475" s="36" t="s">
        <v>240</v>
      </c>
      <c r="M475" s="38">
        <f t="shared" si="72"/>
        <v>1</v>
      </c>
      <c r="N475" s="39" t="s">
        <v>42</v>
      </c>
      <c r="O475" s="65"/>
      <c r="P475" s="50"/>
      <c r="Q475" s="35"/>
      <c r="R475" s="35" t="s">
        <v>2578</v>
      </c>
      <c r="S475" s="35" t="b">
        <v>0</v>
      </c>
      <c r="T475" s="35" t="b">
        <v>0</v>
      </c>
      <c r="U475" s="41" t="str">
        <f>IFERROR(__xludf.DUMMYFUNCTION("""["" &amp; JOIN("", "", ARRAYFORMULA("""""""" &amp; TRIM(SPLIT(A475, "","")) &amp; """""""")) &amp; ""]"""),"[""77044"", ""77302"", ""77306"", ""77336"", ""77338"", ""77339"", ""77345"", ""77346"", ""77347"", ""77357"", ""77365"", ""77372"", ""77396"", ""77532""]")</f>
        <v>["77044", "77302", "77306", "77336", "77338", "77339", "77345", "77346", "77347", "77357", "77365", "77372", "77396", "77532"]</v>
      </c>
      <c r="V475" s="52" t="s">
        <v>2574</v>
      </c>
      <c r="W475" s="52" t="s">
        <v>2575</v>
      </c>
      <c r="X475" s="43"/>
      <c r="Y475" s="44" t="str">
        <f>vlookup(G475,zip_codes!$B$6:$J988,3,false)</f>
        <v>Humble</v>
      </c>
      <c r="Z475" s="45" t="str">
        <f>vlookup(G475,zip_codes!$B$6:$J988,9,false)</f>
        <v>Humble, Humble (Old Town), Northshire</v>
      </c>
      <c r="AA475" s="44" t="str">
        <f>vlookup(B475,organizations!$B$1:$C988,2,false)</f>
        <v>Humble Area Assistance Ministries</v>
      </c>
      <c r="AB475" s="46" t="s">
        <v>2576</v>
      </c>
      <c r="AC475" s="53"/>
      <c r="AD475" s="48" t="s">
        <v>488</v>
      </c>
      <c r="AE475" s="48" t="str">
        <f t="shared" si="69"/>
        <v>Humble Area Assistance Ministries1302 1st Street East13</v>
      </c>
      <c r="AF475" s="48" t="str">
        <f t="shared" si="70"/>
        <v/>
      </c>
    </row>
    <row r="476" ht="66.75" customHeight="1">
      <c r="A476" s="49" t="s">
        <v>2568</v>
      </c>
      <c r="B476" s="35" t="s">
        <v>2569</v>
      </c>
      <c r="C476" s="36" t="s">
        <v>2570</v>
      </c>
      <c r="D476" s="36"/>
      <c r="E476" s="36" t="s">
        <v>488</v>
      </c>
      <c r="F476" s="36" t="s">
        <v>37</v>
      </c>
      <c r="G476" s="35" t="s">
        <v>489</v>
      </c>
      <c r="H476" s="35" t="s">
        <v>2571</v>
      </c>
      <c r="I476" s="66"/>
      <c r="J476" s="89"/>
      <c r="K476" s="37">
        <f>IFERROR(__xludf.DUMMYFUNCTION("query(assistance!$A$2:$E988,""Select C Where D = '""&amp;L476&amp;""'"")"),51.0)</f>
        <v>51</v>
      </c>
      <c r="L476" s="36" t="s">
        <v>468</v>
      </c>
      <c r="M476" s="38">
        <f t="shared" si="72"/>
        <v>1</v>
      </c>
      <c r="N476" s="39" t="s">
        <v>42</v>
      </c>
      <c r="O476" s="65"/>
      <c r="P476" s="50"/>
      <c r="Q476" s="35"/>
      <c r="R476" s="35" t="s">
        <v>2579</v>
      </c>
      <c r="S476" s="35" t="b">
        <v>0</v>
      </c>
      <c r="T476" s="35" t="b">
        <v>0</v>
      </c>
      <c r="U476" s="41" t="str">
        <f>IFERROR(__xludf.DUMMYFUNCTION("""["" &amp; JOIN("", "", ARRAYFORMULA("""""""" &amp; TRIM(SPLIT(A476, "","")) &amp; """""""")) &amp; ""]"""),"[""77044"", ""77302"", ""77306"", ""77336"", ""77338"", ""77339"", ""77345"", ""77346"", ""77347"", ""77357"", ""77365"", ""77372"", ""77396"", ""77532""]")</f>
        <v>["77044", "77302", "77306", "77336", "77338", "77339", "77345", "77346", "77347", "77357", "77365", "77372", "77396", "77532"]</v>
      </c>
      <c r="V476" s="52" t="s">
        <v>2574</v>
      </c>
      <c r="W476" s="52" t="s">
        <v>2575</v>
      </c>
      <c r="X476" s="43"/>
      <c r="Y476" s="44" t="str">
        <f>vlookup(G476,zip_codes!$B$6:$J988,3,false)</f>
        <v>Humble</v>
      </c>
      <c r="Z476" s="45" t="str">
        <f>vlookup(G476,zip_codes!$B$6:$J988,9,false)</f>
        <v>Humble, Humble (Old Town), Northshire</v>
      </c>
      <c r="AA476" s="44" t="str">
        <f>vlookup(B476,organizations!$B$1:$C988,2,false)</f>
        <v>Humble Area Assistance Ministries</v>
      </c>
      <c r="AB476" s="46" t="s">
        <v>2576</v>
      </c>
      <c r="AC476" s="53"/>
      <c r="AD476" s="48" t="s">
        <v>488</v>
      </c>
      <c r="AE476" s="48" t="str">
        <f t="shared" si="69"/>
        <v>Humble Area Assistance Ministries1302 1st Street East51</v>
      </c>
      <c r="AF476" s="48" t="str">
        <f t="shared" si="70"/>
        <v/>
      </c>
    </row>
    <row r="477" ht="66.75" customHeight="1">
      <c r="A477" s="49" t="s">
        <v>2568</v>
      </c>
      <c r="B477" s="35" t="s">
        <v>2569</v>
      </c>
      <c r="C477" s="36" t="s">
        <v>2570</v>
      </c>
      <c r="D477" s="36"/>
      <c r="E477" s="36" t="s">
        <v>488</v>
      </c>
      <c r="F477" s="36" t="s">
        <v>37</v>
      </c>
      <c r="G477" s="35" t="s">
        <v>489</v>
      </c>
      <c r="H477" s="35" t="s">
        <v>2571</v>
      </c>
      <c r="I477" s="66"/>
      <c r="J477" s="89"/>
      <c r="K477" s="37">
        <f>IFERROR(__xludf.DUMMYFUNCTION("query(assistance!$A$2:$E988,""Select C Where D = '""&amp;L477&amp;""'"")"),52.0)</f>
        <v>52</v>
      </c>
      <c r="L477" s="36" t="s">
        <v>336</v>
      </c>
      <c r="M477" s="38">
        <f t="shared" si="72"/>
        <v>1</v>
      </c>
      <c r="N477" s="39" t="s">
        <v>42</v>
      </c>
      <c r="O477" s="65"/>
      <c r="P477" s="50"/>
      <c r="Q477" s="35"/>
      <c r="R477" s="35" t="s">
        <v>2580</v>
      </c>
      <c r="S477" s="35" t="b">
        <v>0</v>
      </c>
      <c r="T477" s="35" t="b">
        <v>0</v>
      </c>
      <c r="U477" s="41" t="str">
        <f>IFERROR(__xludf.DUMMYFUNCTION("""["" &amp; JOIN("", "", ARRAYFORMULA("""""""" &amp; TRIM(SPLIT(A477, "","")) &amp; """""""")) &amp; ""]"""),"[""77044"", ""77302"", ""77306"", ""77336"", ""77338"", ""77339"", ""77345"", ""77346"", ""77347"", ""77357"", ""77365"", ""77372"", ""77396"", ""77532""]")</f>
        <v>["77044", "77302", "77306", "77336", "77338", "77339", "77345", "77346", "77347", "77357", "77365", "77372", "77396", "77532"]</v>
      </c>
      <c r="V477" s="52" t="s">
        <v>2574</v>
      </c>
      <c r="W477" s="52" t="s">
        <v>2575</v>
      </c>
      <c r="X477" s="43"/>
      <c r="Y477" s="44" t="str">
        <f>vlookup(G477,zip_codes!$B$6:$J988,3,false)</f>
        <v>Humble</v>
      </c>
      <c r="Z477" s="45" t="str">
        <f>vlookup(G477,zip_codes!$B$6:$J988,9,false)</f>
        <v>Humble, Humble (Old Town), Northshire</v>
      </c>
      <c r="AA477" s="44" t="str">
        <f>vlookup(B477,organizations!$B$1:$C988,2,false)</f>
        <v>Humble Area Assistance Ministries</v>
      </c>
      <c r="AB477" s="46" t="s">
        <v>2576</v>
      </c>
      <c r="AC477" s="53"/>
      <c r="AD477" s="48" t="s">
        <v>488</v>
      </c>
      <c r="AE477" s="48" t="str">
        <f t="shared" si="69"/>
        <v>Humble Area Assistance Ministries1302 1st Street East52</v>
      </c>
      <c r="AF477" s="48" t="str">
        <f t="shared" si="70"/>
        <v/>
      </c>
    </row>
    <row r="478" ht="66.75" customHeight="1">
      <c r="A478" s="49" t="s">
        <v>2568</v>
      </c>
      <c r="B478" s="35" t="s">
        <v>2569</v>
      </c>
      <c r="C478" s="36" t="s">
        <v>2570</v>
      </c>
      <c r="D478" s="36"/>
      <c r="E478" s="36" t="s">
        <v>488</v>
      </c>
      <c r="F478" s="36" t="s">
        <v>37</v>
      </c>
      <c r="G478" s="35" t="s">
        <v>489</v>
      </c>
      <c r="H478" s="35" t="s">
        <v>2571</v>
      </c>
      <c r="I478" s="50"/>
      <c r="J478" s="64"/>
      <c r="K478" s="37">
        <f>IFERROR(__xludf.DUMMYFUNCTION("query(assistance!$A$2:$E988,""Select C Where D = '""&amp;L478&amp;""'"")"),61.0)</f>
        <v>61</v>
      </c>
      <c r="L478" s="36" t="s">
        <v>842</v>
      </c>
      <c r="M478" s="38">
        <f t="shared" si="72"/>
        <v>1</v>
      </c>
      <c r="N478" s="39" t="s">
        <v>42</v>
      </c>
      <c r="O478" s="65"/>
      <c r="P478" s="50"/>
      <c r="Q478" s="35"/>
      <c r="R478" s="35" t="s">
        <v>2581</v>
      </c>
      <c r="S478" s="35" t="b">
        <v>0</v>
      </c>
      <c r="T478" s="35" t="b">
        <v>0</v>
      </c>
      <c r="U478" s="41" t="str">
        <f>IFERROR(__xludf.DUMMYFUNCTION("""["" &amp; JOIN("", "", ARRAYFORMULA("""""""" &amp; TRIM(SPLIT(A478, "","")) &amp; """""""")) &amp; ""]"""),"[""77044"", ""77302"", ""77306"", ""77336"", ""77338"", ""77339"", ""77345"", ""77346"", ""77347"", ""77357"", ""77365"", ""77372"", ""77396"", ""77532""]")</f>
        <v>["77044", "77302", "77306", "77336", "77338", "77339", "77345", "77346", "77347", "77357", "77365", "77372", "77396", "77532"]</v>
      </c>
      <c r="V478" s="52" t="s">
        <v>2574</v>
      </c>
      <c r="W478" s="52" t="s">
        <v>2575</v>
      </c>
      <c r="X478" s="43"/>
      <c r="Y478" s="44" t="str">
        <f>vlookup(G478,zip_codes!$B$6:$J988,3,false)</f>
        <v>Humble</v>
      </c>
      <c r="Z478" s="45" t="str">
        <f>vlookup(G478,zip_codes!$B$6:$J988,9,false)</f>
        <v>Humble, Humble (Old Town), Northshire</v>
      </c>
      <c r="AA478" s="44" t="str">
        <f>vlookup(B478,organizations!$B$1:$C988,2,false)</f>
        <v>Humble Area Assistance Ministries</v>
      </c>
      <c r="AB478" s="46" t="s">
        <v>2576</v>
      </c>
      <c r="AC478" s="53"/>
      <c r="AD478" s="48" t="s">
        <v>488</v>
      </c>
      <c r="AE478" s="48" t="str">
        <f t="shared" si="69"/>
        <v>Humble Area Assistance Ministries1302 1st Street East61</v>
      </c>
      <c r="AF478" s="48" t="str">
        <f t="shared" si="70"/>
        <v/>
      </c>
    </row>
    <row r="479" ht="66.75" customHeight="1">
      <c r="A479" s="49" t="s">
        <v>2568</v>
      </c>
      <c r="B479" s="35" t="s">
        <v>2569</v>
      </c>
      <c r="C479" s="36" t="s">
        <v>2570</v>
      </c>
      <c r="D479" s="36"/>
      <c r="E479" s="36" t="s">
        <v>488</v>
      </c>
      <c r="F479" s="36" t="s">
        <v>37</v>
      </c>
      <c r="G479" s="35" t="s">
        <v>489</v>
      </c>
      <c r="H479" s="35" t="s">
        <v>2571</v>
      </c>
      <c r="I479" s="66"/>
      <c r="J479" s="89"/>
      <c r="K479" s="37">
        <f>IFERROR(__xludf.DUMMYFUNCTION("query(assistance!$A$2:$E988,""Select C Where D = '""&amp;L479&amp;""'"")"),64.0)</f>
        <v>64</v>
      </c>
      <c r="L479" s="36" t="s">
        <v>817</v>
      </c>
      <c r="M479" s="38">
        <f t="shared" si="72"/>
        <v>1</v>
      </c>
      <c r="N479" s="39" t="s">
        <v>42</v>
      </c>
      <c r="O479" s="65"/>
      <c r="P479" s="50"/>
      <c r="Q479" s="35"/>
      <c r="R479" s="35" t="s">
        <v>1450</v>
      </c>
      <c r="S479" s="35" t="b">
        <v>0</v>
      </c>
      <c r="T479" s="35" t="b">
        <v>0</v>
      </c>
      <c r="U479" s="41" t="str">
        <f>IFERROR(__xludf.DUMMYFUNCTION("""["" &amp; JOIN("", "", ARRAYFORMULA("""""""" &amp; TRIM(SPLIT(A479, "","")) &amp; """""""")) &amp; ""]"""),"[""77044"", ""77302"", ""77306"", ""77336"", ""77338"", ""77339"", ""77345"", ""77346"", ""77347"", ""77357"", ""77365"", ""77372"", ""77396"", ""77532""]")</f>
        <v>["77044", "77302", "77306", "77336", "77338", "77339", "77345", "77346", "77347", "77357", "77365", "77372", "77396", "77532"]</v>
      </c>
      <c r="V479" s="52" t="s">
        <v>2574</v>
      </c>
      <c r="W479" s="52" t="s">
        <v>2575</v>
      </c>
      <c r="X479" s="43"/>
      <c r="Y479" s="44" t="str">
        <f>vlookup(G479,zip_codes!$B$6:$J988,3,false)</f>
        <v>Humble</v>
      </c>
      <c r="Z479" s="45" t="str">
        <f>vlookup(G479,zip_codes!$B$6:$J988,9,false)</f>
        <v>Humble, Humble (Old Town), Northshire</v>
      </c>
      <c r="AA479" s="44" t="str">
        <f>vlookup(B479,organizations!$B$1:$C988,2,false)</f>
        <v>Humble Area Assistance Ministries</v>
      </c>
      <c r="AB479" s="46" t="s">
        <v>2576</v>
      </c>
      <c r="AC479" s="53"/>
      <c r="AD479" s="48" t="s">
        <v>488</v>
      </c>
      <c r="AE479" s="48" t="str">
        <f t="shared" si="69"/>
        <v>Humble Area Assistance Ministries1302 1st Street East64</v>
      </c>
      <c r="AF479" s="48" t="str">
        <f t="shared" si="70"/>
        <v/>
      </c>
    </row>
    <row r="480" ht="66.75" customHeight="1">
      <c r="A480" s="34" t="s">
        <v>266</v>
      </c>
      <c r="B480" s="35" t="s">
        <v>2582</v>
      </c>
      <c r="C480" s="36" t="s">
        <v>2583</v>
      </c>
      <c r="D480" s="36"/>
      <c r="E480" s="36" t="s">
        <v>488</v>
      </c>
      <c r="F480" s="36" t="s">
        <v>37</v>
      </c>
      <c r="G480" s="56" t="s">
        <v>489</v>
      </c>
      <c r="H480" s="35" t="s">
        <v>422</v>
      </c>
      <c r="I480" s="35" t="s">
        <v>272</v>
      </c>
      <c r="J480" s="35" t="s">
        <v>298</v>
      </c>
      <c r="K480" s="37">
        <f>IFERROR(__xludf.DUMMYFUNCTION("query(assistance!$A$2:$E988,""Select C Where D = '""&amp;L480&amp;""'"")"),31.0)</f>
        <v>31</v>
      </c>
      <c r="L480" s="36" t="s">
        <v>90</v>
      </c>
      <c r="M480" s="38">
        <f t="shared" si="72"/>
        <v>1</v>
      </c>
      <c r="N480" s="39" t="s">
        <v>42</v>
      </c>
      <c r="O480" s="57">
        <v>46050.0</v>
      </c>
      <c r="P480" s="35" t="s">
        <v>43</v>
      </c>
      <c r="Q480" s="35"/>
      <c r="R480" s="35" t="s">
        <v>431</v>
      </c>
      <c r="S480" s="35" t="b">
        <v>0</v>
      </c>
      <c r="T480" s="35" t="b">
        <v>0</v>
      </c>
      <c r="U480" s="41" t="str">
        <f>IFERROR(__xludf.DUMMYFUNCTION("""["" &amp; JOIN("", "", ARRAYFORMULA("""""""" &amp; TRIM(SPLIT(A480,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480" s="42" t="s">
        <v>432</v>
      </c>
      <c r="W480" s="42" t="s">
        <v>2584</v>
      </c>
      <c r="X480" s="43"/>
      <c r="Y480" s="44" t="str">
        <f>vlookup(G480,zip_codes!$B$6:$J988,3,false)</f>
        <v>Humble</v>
      </c>
      <c r="Z480" s="45" t="str">
        <f>vlookup(G480,zip_codes!$B$6:$J988,9,false)</f>
        <v>Humble, Humble (Old Town), Northshire</v>
      </c>
      <c r="AA480" s="44" t="str">
        <f>vlookup(B480,organizations!$B$1:$C988,2,false)</f>
        <v>Harris County Public Health</v>
      </c>
      <c r="AB480" s="55" t="s">
        <v>2585</v>
      </c>
      <c r="AC480" s="47" t="s">
        <v>278</v>
      </c>
      <c r="AD480" s="58" t="s">
        <v>488</v>
      </c>
      <c r="AE480" s="48" t="str">
        <f t="shared" si="69"/>
        <v>Humble Clinic1730 Humble Place Drive31</v>
      </c>
      <c r="AF480" s="48" t="str">
        <f t="shared" si="70"/>
        <v/>
      </c>
    </row>
    <row r="481" ht="66.75" customHeight="1">
      <c r="A481" s="34" t="s">
        <v>266</v>
      </c>
      <c r="B481" s="35" t="s">
        <v>2582</v>
      </c>
      <c r="C481" s="36" t="s">
        <v>2583</v>
      </c>
      <c r="D481" s="36"/>
      <c r="E481" s="36" t="s">
        <v>488</v>
      </c>
      <c r="F481" s="36" t="s">
        <v>37</v>
      </c>
      <c r="G481" s="56" t="s">
        <v>489</v>
      </c>
      <c r="H481" s="35" t="s">
        <v>2586</v>
      </c>
      <c r="I481" s="35" t="s">
        <v>272</v>
      </c>
      <c r="J481" s="35"/>
      <c r="K481" s="37">
        <f>IFERROR(__xludf.DUMMYFUNCTION("query(assistance!$A$2:$E988,""Select C Where D = '""&amp;L481&amp;""'"")"),32.0)</f>
        <v>32</v>
      </c>
      <c r="L481" s="36" t="s">
        <v>208</v>
      </c>
      <c r="M481" s="38">
        <f t="shared" si="72"/>
        <v>1</v>
      </c>
      <c r="N481" s="39" t="s">
        <v>42</v>
      </c>
      <c r="O481" s="57">
        <v>46040.0</v>
      </c>
      <c r="P481" s="35" t="s">
        <v>43</v>
      </c>
      <c r="Q481" s="35"/>
      <c r="R481" s="35" t="s">
        <v>2587</v>
      </c>
      <c r="S481" s="35" t="b">
        <v>1</v>
      </c>
      <c r="T481" s="35" t="b">
        <v>0</v>
      </c>
      <c r="U481" s="41" t="str">
        <f>IFERROR(__xludf.DUMMYFUNCTION("""["" &amp; JOIN("", "", ARRAYFORMULA("""""""" &amp; TRIM(SPLIT(A481,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481" s="42" t="s">
        <v>804</v>
      </c>
      <c r="W481" s="42" t="s">
        <v>2584</v>
      </c>
      <c r="X481" s="43"/>
      <c r="Y481" s="44" t="str">
        <f>vlookup(G481,zip_codes!$B$6:$J988,3,false)</f>
        <v>Humble</v>
      </c>
      <c r="Z481" s="45" t="str">
        <f>vlookup(G481,zip_codes!$B$6:$J988,9,false)</f>
        <v>Humble, Humble (Old Town), Northshire</v>
      </c>
      <c r="AA481" s="44" t="str">
        <f>vlookup(B481,organizations!$B$1:$C988,2,false)</f>
        <v>Harris County Public Health</v>
      </c>
      <c r="AB481" s="55" t="s">
        <v>2585</v>
      </c>
      <c r="AC481" s="47" t="s">
        <v>278</v>
      </c>
      <c r="AD481" s="58" t="s">
        <v>488</v>
      </c>
      <c r="AE481" s="48" t="str">
        <f t="shared" si="69"/>
        <v>Humble Clinic1730 Humble Place Drive32</v>
      </c>
      <c r="AF481" s="48" t="str">
        <f t="shared" si="70"/>
        <v/>
      </c>
    </row>
    <row r="482" ht="66.75" customHeight="1">
      <c r="A482" s="34" t="s">
        <v>266</v>
      </c>
      <c r="B482" s="35" t="s">
        <v>2582</v>
      </c>
      <c r="C482" s="36" t="s">
        <v>2583</v>
      </c>
      <c r="D482" s="36"/>
      <c r="E482" s="36" t="s">
        <v>488</v>
      </c>
      <c r="F482" s="36" t="s">
        <v>37</v>
      </c>
      <c r="G482" s="56" t="s">
        <v>489</v>
      </c>
      <c r="H482" s="35" t="s">
        <v>434</v>
      </c>
      <c r="I482" s="35" t="s">
        <v>272</v>
      </c>
      <c r="J482" s="35" t="s">
        <v>298</v>
      </c>
      <c r="K482" s="37">
        <f>IFERROR(__xludf.DUMMYFUNCTION("query(assistance!$A$2:$E988,""Select C Where D = '""&amp;L482&amp;""'"")"),33.0)</f>
        <v>33</v>
      </c>
      <c r="L482" s="36" t="s">
        <v>333</v>
      </c>
      <c r="M482" s="38">
        <f t="shared" si="72"/>
        <v>1</v>
      </c>
      <c r="N482" s="39" t="s">
        <v>42</v>
      </c>
      <c r="O482" s="57">
        <v>46050.0</v>
      </c>
      <c r="P482" s="35" t="s">
        <v>43</v>
      </c>
      <c r="Q482" s="35"/>
      <c r="R482" s="35" t="s">
        <v>435</v>
      </c>
      <c r="S482" s="35" t="b">
        <v>0</v>
      </c>
      <c r="T482" s="35" t="b">
        <v>0</v>
      </c>
      <c r="U482" s="41" t="str">
        <f>IFERROR(__xludf.DUMMYFUNCTION("""["" &amp; JOIN("", "", ARRAYFORMULA("""""""" &amp; TRIM(SPLIT(A482,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482" s="42" t="s">
        <v>2588</v>
      </c>
      <c r="W482" s="42" t="s">
        <v>2584</v>
      </c>
      <c r="X482" s="43"/>
      <c r="Y482" s="44" t="str">
        <f>vlookup(G482,zip_codes!$B$6:$J988,3,false)</f>
        <v>Humble</v>
      </c>
      <c r="Z482" s="45" t="str">
        <f>vlookup(G482,zip_codes!$B$6:$J988,9,false)</f>
        <v>Humble, Humble (Old Town), Northshire</v>
      </c>
      <c r="AA482" s="44" t="str">
        <f>vlookup(B482,organizations!$B$1:$C988,2,false)</f>
        <v>Harris County Public Health</v>
      </c>
      <c r="AB482" s="55" t="s">
        <v>2585</v>
      </c>
      <c r="AC482" s="47" t="s">
        <v>278</v>
      </c>
      <c r="AD482" s="58" t="s">
        <v>488</v>
      </c>
      <c r="AE482" s="48" t="str">
        <f t="shared" si="69"/>
        <v>Humble Clinic1730 Humble Place Drive33</v>
      </c>
      <c r="AF482" s="48" t="str">
        <f t="shared" si="70"/>
        <v/>
      </c>
    </row>
    <row r="483" ht="66.75" customHeight="1">
      <c r="A483" s="34" t="s">
        <v>266</v>
      </c>
      <c r="B483" s="35" t="s">
        <v>2582</v>
      </c>
      <c r="C483" s="36" t="s">
        <v>2583</v>
      </c>
      <c r="D483" s="36"/>
      <c r="E483" s="36" t="s">
        <v>488</v>
      </c>
      <c r="F483" s="36" t="s">
        <v>37</v>
      </c>
      <c r="G483" s="56" t="s">
        <v>489</v>
      </c>
      <c r="H483" s="35" t="s">
        <v>434</v>
      </c>
      <c r="I483" s="35" t="s">
        <v>272</v>
      </c>
      <c r="J483" s="35" t="s">
        <v>298</v>
      </c>
      <c r="K483" s="37">
        <f>IFERROR(__xludf.DUMMYFUNCTION("query(assistance!$A$2:$E988,""Select C Where D = '""&amp;L483&amp;""'"")"),55.0)</f>
        <v>55</v>
      </c>
      <c r="L483" s="36" t="s">
        <v>436</v>
      </c>
      <c r="M483" s="38">
        <f t="shared" si="72"/>
        <v>1</v>
      </c>
      <c r="N483" s="39" t="s">
        <v>42</v>
      </c>
      <c r="O483" s="57">
        <v>46050.0</v>
      </c>
      <c r="P483" s="35" t="s">
        <v>43</v>
      </c>
      <c r="Q483" s="35"/>
      <c r="R483" s="35" t="s">
        <v>437</v>
      </c>
      <c r="S483" s="35" t="b">
        <v>0</v>
      </c>
      <c r="T483" s="35" t="b">
        <v>0</v>
      </c>
      <c r="U483" s="41" t="str">
        <f>IFERROR(__xludf.DUMMYFUNCTION("""["" &amp; JOIN("", "", ARRAYFORMULA("""""""" &amp; TRIM(SPLIT(A483,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483" s="42" t="s">
        <v>438</v>
      </c>
      <c r="W483" s="42" t="s">
        <v>2584</v>
      </c>
      <c r="X483" s="43"/>
      <c r="Y483" s="44" t="str">
        <f>vlookup(G483,zip_codes!$B$6:$J988,3,false)</f>
        <v>Humble</v>
      </c>
      <c r="Z483" s="45" t="str">
        <f>vlookup(G483,zip_codes!$B$6:$J988,9,false)</f>
        <v>Humble, Humble (Old Town), Northshire</v>
      </c>
      <c r="AA483" s="44" t="str">
        <f>vlookup(B483,organizations!$B$1:$C988,2,false)</f>
        <v>Harris County Public Health</v>
      </c>
      <c r="AB483" s="55" t="s">
        <v>2585</v>
      </c>
      <c r="AC483" s="47" t="s">
        <v>278</v>
      </c>
      <c r="AD483" s="58" t="s">
        <v>488</v>
      </c>
      <c r="AE483" s="48" t="str">
        <f t="shared" si="69"/>
        <v>Humble Clinic1730 Humble Place Drive55</v>
      </c>
      <c r="AF483" s="48" t="str">
        <f t="shared" si="70"/>
        <v/>
      </c>
    </row>
    <row r="484" ht="66.75" customHeight="1">
      <c r="A484" s="49" t="s">
        <v>50</v>
      </c>
      <c r="B484" s="35" t="s">
        <v>2589</v>
      </c>
      <c r="C484" s="36" t="s">
        <v>2590</v>
      </c>
      <c r="D484" s="36" t="s">
        <v>2591</v>
      </c>
      <c r="E484" s="36" t="s">
        <v>36</v>
      </c>
      <c r="F484" s="36" t="s">
        <v>37</v>
      </c>
      <c r="G484" s="35" t="s">
        <v>599</v>
      </c>
      <c r="H484" s="35" t="s">
        <v>2592</v>
      </c>
      <c r="I484" s="35" t="s">
        <v>2593</v>
      </c>
      <c r="J484" s="35" t="s">
        <v>298</v>
      </c>
      <c r="K484" s="37">
        <f>IFERROR(__xludf.DUMMYFUNCTION("query(assistance!$A$2:$E988,""Select C Where D = '""&amp;L484&amp;""'"")"),13.0)</f>
        <v>13</v>
      </c>
      <c r="L484" s="36" t="s">
        <v>240</v>
      </c>
      <c r="M484" s="38">
        <f t="shared" si="72"/>
        <v>1</v>
      </c>
      <c r="N484" s="51" t="s">
        <v>42</v>
      </c>
      <c r="O484" s="40">
        <v>45800.0</v>
      </c>
      <c r="P484" s="35" t="s">
        <v>43</v>
      </c>
      <c r="Q484" s="35"/>
      <c r="R484" s="35" t="s">
        <v>2594</v>
      </c>
      <c r="S484" s="35" t="b">
        <v>0</v>
      </c>
      <c r="T484" s="35" t="b">
        <v>0</v>
      </c>
      <c r="U484" s="41" t="str">
        <f>IFERROR(__xludf.DUMMYFUNCTION("""["" &amp; JOIN("", "", ARRAYFORMULA("""""""" &amp; TRIM(SPLIT(A484, "","")) &amp; """""""")) &amp; ""]"""),"[""99999""]")</f>
        <v>["99999"]</v>
      </c>
      <c r="V484" s="42" t="s">
        <v>2595</v>
      </c>
      <c r="W484" s="42" t="s">
        <v>2596</v>
      </c>
      <c r="X484" s="43"/>
      <c r="Y484" s="44" t="str">
        <f>vlookup(G484,zip_codes!$B$6:$J988,3,false)</f>
        <v>Houston</v>
      </c>
      <c r="Z484" s="45" t="str">
        <f>vlookup(G484,zip_codes!$B$6:$J988,9,false)</f>
        <v>Chinatown, Sharpstown, Westside</v>
      </c>
      <c r="AA484" s="44" t="str">
        <f>vlookup(B484,organizations!$B$1:$C988,2,false)</f>
        <v>ICNA Relief</v>
      </c>
      <c r="AB484" s="46" t="s">
        <v>2597</v>
      </c>
      <c r="AC484" s="47" t="s">
        <v>2598</v>
      </c>
      <c r="AD484" s="48" t="s">
        <v>572</v>
      </c>
      <c r="AE484" s="48" t="str">
        <f t="shared" si="69"/>
        <v>ICNA Relief100 Sharpstown Center13</v>
      </c>
      <c r="AF484" s="48" t="str">
        <f t="shared" si="70"/>
        <v/>
      </c>
    </row>
    <row r="485" ht="66.75" customHeight="1">
      <c r="A485" s="49" t="s">
        <v>857</v>
      </c>
      <c r="B485" s="35" t="s">
        <v>2599</v>
      </c>
      <c r="C485" s="36" t="s">
        <v>2600</v>
      </c>
      <c r="D485" s="36"/>
      <c r="E485" s="36" t="s">
        <v>36</v>
      </c>
      <c r="F485" s="36" t="s">
        <v>37</v>
      </c>
      <c r="G485" s="35" t="s">
        <v>542</v>
      </c>
      <c r="H485" s="35" t="s">
        <v>2601</v>
      </c>
      <c r="I485" s="35"/>
      <c r="J485" s="35" t="s">
        <v>1031</v>
      </c>
      <c r="K485" s="37">
        <f>IFERROR(__xludf.DUMMYFUNCTION("query(assistance!$A$2:$E988,""Select C Where D = '""&amp;L485&amp;""'"")"),13.0)</f>
        <v>13</v>
      </c>
      <c r="L485" s="36" t="s">
        <v>240</v>
      </c>
      <c r="M485" s="38">
        <f t="shared" si="72"/>
        <v>1</v>
      </c>
      <c r="N485" s="39" t="s">
        <v>42</v>
      </c>
      <c r="O485" s="65"/>
      <c r="P485" s="50"/>
      <c r="Q485" s="50"/>
      <c r="R485" s="50"/>
      <c r="S485" s="35" t="b">
        <v>0</v>
      </c>
      <c r="T485" s="35" t="b">
        <v>0</v>
      </c>
      <c r="U485" s="41" t="str">
        <f>IFERROR(__xludf.DUMMYFUNCTION("""["" &amp; JOIN("", "", ARRAYFORMULA("""""""" &amp; TRIM(SPLIT(A485, "","")) &amp; """""""")) &amp; ""]"""),"[""77012""]")</f>
        <v>["77012"]</v>
      </c>
      <c r="V485" s="52" t="s">
        <v>2602</v>
      </c>
      <c r="W485" s="52" t="s">
        <v>2603</v>
      </c>
      <c r="X485" s="43"/>
      <c r="Y485" s="44" t="str">
        <f>vlookup(G485,zip_codes!$B$6:$J988,3,false)</f>
        <v>Houston</v>
      </c>
      <c r="Z485" s="45" t="str">
        <f>vlookup(G485,zip_codes!$B$6:$J988,9,false)</f>
        <v>Eastwood, Magnolia Park, Second Ward, South Central Houston</v>
      </c>
      <c r="AA485" s="44" t="str">
        <f>vlookup(B485,organizations!$B$1:$C988,2,false)</f>
        <v>Immaculate Conception</v>
      </c>
      <c r="AB485" s="46" t="s">
        <v>2604</v>
      </c>
      <c r="AC485" s="53"/>
      <c r="AD485" s="48" t="s">
        <v>863</v>
      </c>
      <c r="AE485" s="48" t="str">
        <f t="shared" si="69"/>
        <v>Immaculate Conception7250 Harrisburg Blvd13</v>
      </c>
      <c r="AF485" s="48" t="str">
        <f t="shared" si="70"/>
        <v/>
      </c>
    </row>
    <row r="486" ht="66.75" customHeight="1">
      <c r="A486" s="49" t="s">
        <v>2605</v>
      </c>
      <c r="B486" s="35" t="s">
        <v>2606</v>
      </c>
      <c r="C486" s="36" t="s">
        <v>2607</v>
      </c>
      <c r="D486" s="36"/>
      <c r="E486" s="36" t="s">
        <v>184</v>
      </c>
      <c r="F486" s="36" t="s">
        <v>37</v>
      </c>
      <c r="G486" s="35" t="s">
        <v>185</v>
      </c>
      <c r="H486" s="35" t="s">
        <v>2608</v>
      </c>
      <c r="I486" s="35" t="s">
        <v>2609</v>
      </c>
      <c r="J486" s="35"/>
      <c r="K486" s="37">
        <f>IFERROR(__xludf.DUMMYFUNCTION("query(assistance!$A$2:$E988,""Select C Where D = '""&amp;L486&amp;""'"")"),11.0)</f>
        <v>11</v>
      </c>
      <c r="L486" s="36" t="s">
        <v>322</v>
      </c>
      <c r="M486" s="38">
        <f t="shared" si="72"/>
        <v>1</v>
      </c>
      <c r="N486" s="39" t="s">
        <v>42</v>
      </c>
      <c r="O486" s="65"/>
      <c r="P486" s="50"/>
      <c r="Q486" s="50"/>
      <c r="R486" s="50"/>
      <c r="S486" s="35" t="b">
        <v>0</v>
      </c>
      <c r="T486" s="35" t="b">
        <v>0</v>
      </c>
      <c r="U486" s="41" t="str">
        <f>IFERROR(__xludf.DUMMYFUNCTION("""["" &amp; JOIN("", "", ARRAYFORMULA("""""""" &amp; TRIM(SPLIT(A486, "","")) &amp; """""""")) &amp; ""]"""),"[""77474"", ""77477""]")</f>
        <v>["77474", "77477"]</v>
      </c>
      <c r="V486" s="52" t="s">
        <v>2610</v>
      </c>
      <c r="W486" s="52" t="s">
        <v>2611</v>
      </c>
      <c r="X486" s="43"/>
      <c r="Y486" s="44" t="str">
        <f>vlookup(G486,zip_codes!$B$6:$J988,3,false)</f>
        <v>Sealy</v>
      </c>
      <c r="Z486" s="45" t="str">
        <f>vlookup(G486,zip_codes!$B$6:$J988,9,false)</f>
        <v>Brazos Country, San Felipe, Sealy</v>
      </c>
      <c r="AA486" s="44" t="str">
        <f>vlookup(B486,organizations!$B$1:$C988,2,false)</f>
        <v>Immaculate Conception Sealy</v>
      </c>
      <c r="AB486" s="46" t="s">
        <v>2612</v>
      </c>
      <c r="AC486" s="47" t="s">
        <v>2613</v>
      </c>
      <c r="AD486" s="48" t="s">
        <v>184</v>
      </c>
      <c r="AE486" s="48" t="str">
        <f t="shared" si="69"/>
        <v>Immaculate Conception Sealy608 5th Street11</v>
      </c>
      <c r="AF486" s="48" t="str">
        <f t="shared" si="70"/>
        <v/>
      </c>
    </row>
    <row r="487" ht="66.75" customHeight="1">
      <c r="A487" s="49" t="s">
        <v>2605</v>
      </c>
      <c r="B487" s="35" t="s">
        <v>2606</v>
      </c>
      <c r="C487" s="36" t="s">
        <v>2607</v>
      </c>
      <c r="D487" s="36"/>
      <c r="E487" s="36" t="s">
        <v>184</v>
      </c>
      <c r="F487" s="36" t="s">
        <v>37</v>
      </c>
      <c r="G487" s="35" t="s">
        <v>185</v>
      </c>
      <c r="H487" s="35" t="s">
        <v>2608</v>
      </c>
      <c r="I487" s="35" t="s">
        <v>2614</v>
      </c>
      <c r="J487" s="35"/>
      <c r="K487" s="37">
        <f>IFERROR(__xludf.DUMMYFUNCTION("query(assistance!$A$2:$E988,""Select C Where D = '""&amp;L487&amp;""'"")"),12.0)</f>
        <v>12</v>
      </c>
      <c r="L487" s="36" t="s">
        <v>330</v>
      </c>
      <c r="M487" s="38">
        <f t="shared" si="72"/>
        <v>1</v>
      </c>
      <c r="N487" s="39" t="s">
        <v>42</v>
      </c>
      <c r="O487" s="65"/>
      <c r="P487" s="50"/>
      <c r="Q487" s="50"/>
      <c r="R487" s="50"/>
      <c r="S487" s="35" t="b">
        <v>0</v>
      </c>
      <c r="T487" s="35" t="b">
        <v>0</v>
      </c>
      <c r="U487" s="41" t="str">
        <f>IFERROR(__xludf.DUMMYFUNCTION("""["" &amp; JOIN("", "", ARRAYFORMULA("""""""" &amp; TRIM(SPLIT(A487, "","")) &amp; """""""")) &amp; ""]"""),"[""77474"", ""77477""]")</f>
        <v>["77474", "77477"]</v>
      </c>
      <c r="V487" s="52" t="s">
        <v>2610</v>
      </c>
      <c r="W487" s="52" t="s">
        <v>2611</v>
      </c>
      <c r="X487" s="43"/>
      <c r="Y487" s="44" t="str">
        <f>vlookup(G487,zip_codes!$B$6:$J988,3,false)</f>
        <v>Sealy</v>
      </c>
      <c r="Z487" s="45" t="str">
        <f>vlookup(G487,zip_codes!$B$6:$J988,9,false)</f>
        <v>Brazos Country, San Felipe, Sealy</v>
      </c>
      <c r="AA487" s="44" t="str">
        <f>vlookup(B487,organizations!$B$1:$C988,2,false)</f>
        <v>Immaculate Conception Sealy</v>
      </c>
      <c r="AB487" s="46" t="s">
        <v>2612</v>
      </c>
      <c r="AC487" s="47" t="s">
        <v>2613</v>
      </c>
      <c r="AD487" s="48" t="s">
        <v>184</v>
      </c>
      <c r="AE487" s="48" t="str">
        <f t="shared" si="69"/>
        <v>Immaculate Conception Sealy608 5th Street12</v>
      </c>
      <c r="AF487" s="48" t="str">
        <f t="shared" si="70"/>
        <v/>
      </c>
    </row>
    <row r="488" ht="66.75" customHeight="1">
      <c r="A488" s="49" t="s">
        <v>2605</v>
      </c>
      <c r="B488" s="35" t="s">
        <v>2606</v>
      </c>
      <c r="C488" s="36" t="s">
        <v>2607</v>
      </c>
      <c r="D488" s="36"/>
      <c r="E488" s="36" t="s">
        <v>184</v>
      </c>
      <c r="F488" s="36" t="s">
        <v>37</v>
      </c>
      <c r="G488" s="35" t="s">
        <v>185</v>
      </c>
      <c r="H488" s="35" t="s">
        <v>2608</v>
      </c>
      <c r="I488" s="35" t="s">
        <v>2614</v>
      </c>
      <c r="J488" s="35"/>
      <c r="K488" s="37">
        <f>IFERROR(__xludf.DUMMYFUNCTION("query(assistance!$A$2:$E988,""Select C Where D = '""&amp;L488&amp;""'"")"),13.0)</f>
        <v>13</v>
      </c>
      <c r="L488" s="36" t="s">
        <v>240</v>
      </c>
      <c r="M488" s="38">
        <f t="shared" si="72"/>
        <v>1</v>
      </c>
      <c r="N488" s="39" t="s">
        <v>42</v>
      </c>
      <c r="O488" s="65"/>
      <c r="P488" s="50"/>
      <c r="Q488" s="50"/>
      <c r="R488" s="50"/>
      <c r="S488" s="35" t="b">
        <v>0</v>
      </c>
      <c r="T488" s="35" t="b">
        <v>0</v>
      </c>
      <c r="U488" s="41" t="str">
        <f>IFERROR(__xludf.DUMMYFUNCTION("""["" &amp; JOIN("", "", ARRAYFORMULA("""""""" &amp; TRIM(SPLIT(A488, "","")) &amp; """""""")) &amp; ""]"""),"[""77474"", ""77477""]")</f>
        <v>["77474", "77477"]</v>
      </c>
      <c r="V488" s="52" t="s">
        <v>2610</v>
      </c>
      <c r="W488" s="52" t="s">
        <v>2611</v>
      </c>
      <c r="X488" s="43"/>
      <c r="Y488" s="44" t="str">
        <f>vlookup(G488,zip_codes!$B$6:$J988,3,false)</f>
        <v>Sealy</v>
      </c>
      <c r="Z488" s="45" t="str">
        <f>vlookup(G488,zip_codes!$B$6:$J988,9,false)</f>
        <v>Brazos Country, San Felipe, Sealy</v>
      </c>
      <c r="AA488" s="44" t="str">
        <f>vlookup(B488,organizations!$B$1:$C988,2,false)</f>
        <v>Immaculate Conception Sealy</v>
      </c>
      <c r="AB488" s="46" t="s">
        <v>2612</v>
      </c>
      <c r="AC488" s="47" t="s">
        <v>2613</v>
      </c>
      <c r="AD488" s="48" t="s">
        <v>184</v>
      </c>
      <c r="AE488" s="48" t="str">
        <f t="shared" si="69"/>
        <v>Immaculate Conception Sealy608 5th Street13</v>
      </c>
      <c r="AF488" s="48" t="str">
        <f t="shared" si="70"/>
        <v/>
      </c>
    </row>
    <row r="489" ht="66.75" customHeight="1">
      <c r="A489" s="49" t="s">
        <v>50</v>
      </c>
      <c r="B489" s="35" t="s">
        <v>2615</v>
      </c>
      <c r="C489" s="36" t="s">
        <v>2616</v>
      </c>
      <c r="D489" s="36"/>
      <c r="E489" s="36" t="s">
        <v>998</v>
      </c>
      <c r="F489" s="36" t="s">
        <v>999</v>
      </c>
      <c r="G489" s="35" t="s">
        <v>2617</v>
      </c>
      <c r="H489" s="35" t="s">
        <v>2618</v>
      </c>
      <c r="I489" s="35" t="s">
        <v>67</v>
      </c>
      <c r="J489" s="35"/>
      <c r="K489" s="37">
        <f>IFERROR(__xludf.DUMMYFUNCTION("query(assistance!$A$2:$E988,""Select C Where D = '""&amp;L489&amp;""'"")"),55.0)</f>
        <v>55</v>
      </c>
      <c r="L489" s="36" t="s">
        <v>436</v>
      </c>
      <c r="M489" s="38">
        <f t="shared" si="72"/>
        <v>1</v>
      </c>
      <c r="N489" s="51" t="s">
        <v>42</v>
      </c>
      <c r="O489" s="40">
        <v>45757.0</v>
      </c>
      <c r="P489" s="50"/>
      <c r="Q489" s="35"/>
      <c r="R489" s="35" t="s">
        <v>2619</v>
      </c>
      <c r="S489" s="35" t="b">
        <v>0</v>
      </c>
      <c r="T489" s="35" t="b">
        <v>0</v>
      </c>
      <c r="U489" s="41" t="str">
        <f>IFERROR(__xludf.DUMMYFUNCTION("""["" &amp; JOIN("", "", ARRAYFORMULA("""""""" &amp; TRIM(SPLIT(A489, "","")) &amp; """""""")) &amp; ""]"""),"[""99999""]")</f>
        <v>["99999"]</v>
      </c>
      <c r="V489" s="52" t="s">
        <v>2620</v>
      </c>
      <c r="W489" s="43"/>
      <c r="X489" s="43"/>
      <c r="Y489" s="44" t="str">
        <f>vlookup(G489,zip_codes!$B$6:$J988,3,false)</f>
        <v>New York</v>
      </c>
      <c r="Z489" s="45" t="str">
        <f>vlookup(G489,zip_codes!$B$6:$J988,9,false)</f>
        <v>Morningside Heights|Uptown|Manhattan</v>
      </c>
      <c r="AA489" s="44" t="str">
        <f>vlookup(B489,organizations!$B$1:$C988,2,false)</f>
        <v>Immigrant Defense Project</v>
      </c>
      <c r="AB489" s="83" t="s">
        <v>2621</v>
      </c>
      <c r="AC489" s="47" t="s">
        <v>73</v>
      </c>
      <c r="AD489" s="58" t="s">
        <v>2622</v>
      </c>
      <c r="AE489" s="48" t="str">
        <f t="shared" si="69"/>
        <v>Immigrant Defense ProjectP.O. Box 176555</v>
      </c>
      <c r="AF489" s="48" t="str">
        <f t="shared" si="70"/>
        <v/>
      </c>
    </row>
    <row r="490" ht="66.75" customHeight="1">
      <c r="A490" s="49" t="s">
        <v>50</v>
      </c>
      <c r="B490" s="35" t="s">
        <v>2623</v>
      </c>
      <c r="C490" s="64"/>
      <c r="D490" s="64"/>
      <c r="E490" s="36" t="s">
        <v>36</v>
      </c>
      <c r="F490" s="36" t="s">
        <v>37</v>
      </c>
      <c r="G490" s="35" t="s">
        <v>50</v>
      </c>
      <c r="H490" s="35" t="s">
        <v>2624</v>
      </c>
      <c r="I490" s="35" t="s">
        <v>67</v>
      </c>
      <c r="J490" s="35"/>
      <c r="K490" s="37">
        <f>IFERROR(__xludf.DUMMYFUNCTION("query(assistance!$A$2:$E988,""Select C Where D = '""&amp;L490&amp;""'"")"),55.0)</f>
        <v>55</v>
      </c>
      <c r="L490" s="36" t="s">
        <v>436</v>
      </c>
      <c r="M490" s="38">
        <f t="shared" si="72"/>
        <v>1</v>
      </c>
      <c r="N490" s="51" t="s">
        <v>42</v>
      </c>
      <c r="O490" s="40">
        <v>45757.0</v>
      </c>
      <c r="P490" s="50"/>
      <c r="Q490" s="50"/>
      <c r="R490" s="50"/>
      <c r="S490" s="35" t="b">
        <v>0</v>
      </c>
      <c r="T490" s="35" t="b">
        <v>0</v>
      </c>
      <c r="U490" s="41" t="str">
        <f>IFERROR(__xludf.DUMMYFUNCTION("""["" &amp; JOIN("", "", ARRAYFORMULA("""""""" &amp; TRIM(SPLIT(A490, "","")) &amp; """""""")) &amp; ""]"""),"[""99999""]")</f>
        <v>["99999"]</v>
      </c>
      <c r="V490" s="52" t="s">
        <v>2625</v>
      </c>
      <c r="W490" s="43"/>
      <c r="X490" s="43"/>
      <c r="Y490" s="44" t="str">
        <f>vlookup(G490,zip_codes!$B$6:$J988,3,false)</f>
        <v>Greater Houston</v>
      </c>
      <c r="Z490" s="45" t="str">
        <f>vlookup(G490,zip_codes!$B$6:$J988,9,false)</f>
        <v>Not Restricted by Zip Code</v>
      </c>
      <c r="AA490" s="44" t="str">
        <f>vlookup(B490,organizations!$B$1:$C988,2,false)</f>
        <v>Immigration Legal Resource Center</v>
      </c>
      <c r="AB490" s="83" t="s">
        <v>1162</v>
      </c>
      <c r="AC490" s="47" t="s">
        <v>73</v>
      </c>
      <c r="AD490" s="48"/>
      <c r="AE490" s="48" t="str">
        <f t="shared" si="69"/>
        <v>Immigration Legal Resource Center55</v>
      </c>
      <c r="AF490" s="48" t="str">
        <f t="shared" si="70"/>
        <v/>
      </c>
    </row>
    <row r="491" ht="66.75" customHeight="1">
      <c r="A491" s="49" t="s">
        <v>50</v>
      </c>
      <c r="B491" s="35" t="s">
        <v>2626</v>
      </c>
      <c r="C491" s="36" t="s">
        <v>2627</v>
      </c>
      <c r="D491" s="36"/>
      <c r="E491" s="36" t="s">
        <v>36</v>
      </c>
      <c r="F491" s="36" t="s">
        <v>37</v>
      </c>
      <c r="G491" s="35" t="s">
        <v>1023</v>
      </c>
      <c r="H491" s="35" t="s">
        <v>2628</v>
      </c>
      <c r="I491" s="35" t="s">
        <v>2629</v>
      </c>
      <c r="J491" s="35"/>
      <c r="K491" s="37">
        <f>IFERROR(__xludf.DUMMYFUNCTION("query(assistance!$A$2:$E988,""Select C Where D = '""&amp;L491&amp;""'"")"),13.0)</f>
        <v>13</v>
      </c>
      <c r="L491" s="36" t="s">
        <v>240</v>
      </c>
      <c r="M491" s="38">
        <f t="shared" si="72"/>
        <v>1</v>
      </c>
      <c r="N491" s="51" t="s">
        <v>42</v>
      </c>
      <c r="O491" s="40">
        <v>45800.0</v>
      </c>
      <c r="P491" s="35" t="s">
        <v>43</v>
      </c>
      <c r="Q491" s="35"/>
      <c r="R491" s="35" t="s">
        <v>2630</v>
      </c>
      <c r="S491" s="35" t="b">
        <v>0</v>
      </c>
      <c r="T491" s="35" t="b">
        <v>0</v>
      </c>
      <c r="U491" s="41" t="str">
        <f>IFERROR(__xludf.DUMMYFUNCTION("""["" &amp; JOIN("", "", ARRAYFORMULA("""""""" &amp; TRIM(SPLIT(A491, "","")) &amp; """""""")) &amp; ""]"""),"[""99999""]")</f>
        <v>["99999"]</v>
      </c>
      <c r="V491" s="42" t="s">
        <v>2631</v>
      </c>
      <c r="W491" s="42" t="s">
        <v>2632</v>
      </c>
      <c r="X491" s="43"/>
      <c r="Y491" s="44" t="str">
        <f>vlookup(G491,zip_codes!$B$6:$J988,3,false)</f>
        <v>Houston</v>
      </c>
      <c r="Z491" s="45" t="str">
        <f>vlookup(G491,zip_codes!$B$6:$J988,9,false)</f>
        <v>Downtown Houston, Memorial Park, Rice Military, Sawyer Heights, Washington Avenue Coalition / Memorial Park, Washington Corridor</v>
      </c>
      <c r="AA491" s="44" t="str">
        <f>vlookup(B491,organizations!$B$1:$C988,2,false)</f>
        <v>Impact Houston Church of Christ</v>
      </c>
      <c r="AB491" s="46" t="s">
        <v>2633</v>
      </c>
      <c r="AC491" s="47" t="s">
        <v>2634</v>
      </c>
      <c r="AD491" s="48" t="s">
        <v>1296</v>
      </c>
      <c r="AE491" s="48" t="str">
        <f t="shared" si="69"/>
        <v>Impact Houston Church of Christ1704 Weber Street13</v>
      </c>
      <c r="AF491" s="48" t="str">
        <f t="shared" si="70"/>
        <v/>
      </c>
    </row>
    <row r="492" ht="66.75" customHeight="1">
      <c r="A492" s="49" t="s">
        <v>50</v>
      </c>
      <c r="B492" s="35" t="s">
        <v>2626</v>
      </c>
      <c r="C492" s="36" t="s">
        <v>2627</v>
      </c>
      <c r="D492" s="36"/>
      <c r="E492" s="36" t="s">
        <v>36</v>
      </c>
      <c r="F492" s="36" t="s">
        <v>37</v>
      </c>
      <c r="G492" s="35" t="s">
        <v>1023</v>
      </c>
      <c r="H492" s="35" t="s">
        <v>2628</v>
      </c>
      <c r="I492" s="35" t="s">
        <v>2635</v>
      </c>
      <c r="J492" s="35"/>
      <c r="K492" s="37">
        <f>IFERROR(__xludf.DUMMYFUNCTION("query(assistance!$A$2:$E988,""Select C Where D = '""&amp;L492&amp;""'"")"),22.0)</f>
        <v>22</v>
      </c>
      <c r="L492" s="36" t="s">
        <v>1178</v>
      </c>
      <c r="M492" s="38">
        <f t="shared" si="72"/>
        <v>1</v>
      </c>
      <c r="N492" s="51" t="s">
        <v>42</v>
      </c>
      <c r="O492" s="40">
        <v>45800.0</v>
      </c>
      <c r="P492" s="35" t="s">
        <v>43</v>
      </c>
      <c r="Q492" s="35"/>
      <c r="R492" s="35" t="s">
        <v>2302</v>
      </c>
      <c r="S492" s="35" t="b">
        <v>0</v>
      </c>
      <c r="T492" s="35" t="b">
        <v>0</v>
      </c>
      <c r="U492" s="41" t="str">
        <f>IFERROR(__xludf.DUMMYFUNCTION("""["" &amp; JOIN("", "", ARRAYFORMULA("""""""" &amp; TRIM(SPLIT(A492, "","")) &amp; """""""")) &amp; ""]"""),"[""99999""]")</f>
        <v>["99999"]</v>
      </c>
      <c r="V492" s="59" t="s">
        <v>2636</v>
      </c>
      <c r="W492" s="42" t="s">
        <v>2632</v>
      </c>
      <c r="X492" s="43"/>
      <c r="Y492" s="44" t="str">
        <f>vlookup(G492,zip_codes!$B$6:$J988,3,false)</f>
        <v>Houston</v>
      </c>
      <c r="Z492" s="45" t="str">
        <f>vlookup(G492,zip_codes!$B$6:$J988,9,false)</f>
        <v>Downtown Houston, Memorial Park, Rice Military, Sawyer Heights, Washington Avenue Coalition / Memorial Park, Washington Corridor</v>
      </c>
      <c r="AA492" s="44" t="str">
        <f>vlookup(B492,organizations!$B$1:$C988,2,false)</f>
        <v>Impact Houston Church of Christ</v>
      </c>
      <c r="AB492" s="46" t="s">
        <v>2633</v>
      </c>
      <c r="AC492" s="47" t="s">
        <v>2637</v>
      </c>
      <c r="AD492" s="48" t="s">
        <v>1296</v>
      </c>
      <c r="AE492" s="48" t="str">
        <f t="shared" si="69"/>
        <v>Impact Houston Church of Christ1704 Weber Street22</v>
      </c>
      <c r="AF492" s="48" t="str">
        <f t="shared" si="70"/>
        <v/>
      </c>
    </row>
    <row r="493" ht="66.75" customHeight="1">
      <c r="A493" s="49" t="s">
        <v>50</v>
      </c>
      <c r="B493" s="35" t="s">
        <v>2638</v>
      </c>
      <c r="C493" s="36" t="s">
        <v>2639</v>
      </c>
      <c r="D493" s="36"/>
      <c r="E493" s="36" t="s">
        <v>36</v>
      </c>
      <c r="F493" s="36" t="s">
        <v>37</v>
      </c>
      <c r="G493" s="35" t="s">
        <v>822</v>
      </c>
      <c r="H493" s="35" t="s">
        <v>2640</v>
      </c>
      <c r="I493" s="35" t="s">
        <v>2641</v>
      </c>
      <c r="J493" s="35"/>
      <c r="K493" s="37">
        <f>IFERROR(__xludf.DUMMYFUNCTION("query(assistance!$A$2:$E988,""Select C Where D = '""&amp;L493&amp;""'"")"),13.0)</f>
        <v>13</v>
      </c>
      <c r="L493" s="36" t="s">
        <v>240</v>
      </c>
      <c r="M493" s="38">
        <f t="shared" si="72"/>
        <v>1</v>
      </c>
      <c r="N493" s="51" t="s">
        <v>42</v>
      </c>
      <c r="O493" s="40">
        <v>45800.0</v>
      </c>
      <c r="P493" s="35" t="s">
        <v>43</v>
      </c>
      <c r="Q493" s="35"/>
      <c r="R493" s="35" t="s">
        <v>2642</v>
      </c>
      <c r="S493" s="35" t="b">
        <v>0</v>
      </c>
      <c r="T493" s="35" t="b">
        <v>0</v>
      </c>
      <c r="U493" s="41" t="str">
        <f>IFERROR(__xludf.DUMMYFUNCTION("""["" &amp; JOIN("", "", ARRAYFORMULA("""""""" &amp; TRIM(SPLIT(A493, "","")) &amp; """""""")) &amp; ""]"""),"[""99999""]")</f>
        <v>["99999"]</v>
      </c>
      <c r="V493" s="42" t="s">
        <v>2643</v>
      </c>
      <c r="W493" s="42" t="s">
        <v>2644</v>
      </c>
      <c r="X493" s="43"/>
      <c r="Y493" s="44" t="str">
        <f>vlookup(G493,zip_codes!$B$6:$J988,3,false)</f>
        <v>Houston</v>
      </c>
      <c r="Z493" s="45" t="str">
        <f>vlookup(G493,zip_codes!$B$6:$J988,9,false)</f>
        <v>Brays Oaks, Fondren Southwest</v>
      </c>
      <c r="AA493" s="44" t="str">
        <f>vlookup(B493,organizations!$B$1:$C988,2,false)</f>
        <v>India House Houston</v>
      </c>
      <c r="AB493" s="46" t="s">
        <v>2645</v>
      </c>
      <c r="AC493" s="47" t="s">
        <v>2646</v>
      </c>
      <c r="AD493" s="48" t="s">
        <v>62</v>
      </c>
      <c r="AE493" s="48" t="str">
        <f t="shared" si="69"/>
        <v>India House Houston8888 W Belfort Avenue13</v>
      </c>
      <c r="AF493" s="48" t="str">
        <f t="shared" si="70"/>
        <v/>
      </c>
    </row>
    <row r="494" ht="66.75" customHeight="1">
      <c r="A494" s="49" t="s">
        <v>50</v>
      </c>
      <c r="B494" s="35" t="s">
        <v>2638</v>
      </c>
      <c r="C494" s="36" t="s">
        <v>2639</v>
      </c>
      <c r="D494" s="36"/>
      <c r="E494" s="36" t="s">
        <v>36</v>
      </c>
      <c r="F494" s="36" t="s">
        <v>37</v>
      </c>
      <c r="G494" s="35" t="s">
        <v>822</v>
      </c>
      <c r="H494" s="35" t="s">
        <v>2640</v>
      </c>
      <c r="I494" s="35" t="s">
        <v>2647</v>
      </c>
      <c r="J494" s="35" t="s">
        <v>2648</v>
      </c>
      <c r="K494" s="37">
        <f>IFERROR(__xludf.DUMMYFUNCTION("query(assistance!$A$2:$E988,""Select C Where D = '""&amp;L494&amp;""'"")"),31.0)</f>
        <v>31</v>
      </c>
      <c r="L494" s="36" t="s">
        <v>90</v>
      </c>
      <c r="M494" s="38">
        <f t="shared" si="72"/>
        <v>1</v>
      </c>
      <c r="N494" s="51" t="s">
        <v>42</v>
      </c>
      <c r="O494" s="40">
        <v>45800.0</v>
      </c>
      <c r="P494" s="35" t="s">
        <v>43</v>
      </c>
      <c r="Q494" s="35"/>
      <c r="R494" s="35" t="s">
        <v>2649</v>
      </c>
      <c r="S494" s="35" t="b">
        <v>0</v>
      </c>
      <c r="T494" s="35" t="b">
        <v>0</v>
      </c>
      <c r="U494" s="41" t="str">
        <f>IFERROR(__xludf.DUMMYFUNCTION("""["" &amp; JOIN("", "", ARRAYFORMULA("""""""" &amp; TRIM(SPLIT(A494, "","")) &amp; """""""")) &amp; ""]"""),"[""99999""]")</f>
        <v>["99999"]</v>
      </c>
      <c r="V494" s="42" t="s">
        <v>2650</v>
      </c>
      <c r="W494" s="42" t="s">
        <v>2644</v>
      </c>
      <c r="X494" s="43"/>
      <c r="Y494" s="44" t="str">
        <f>vlookup(G494,zip_codes!$B$6:$J988,3,false)</f>
        <v>Houston</v>
      </c>
      <c r="Z494" s="45" t="str">
        <f>vlookup(G494,zip_codes!$B$6:$J988,9,false)</f>
        <v>Brays Oaks, Fondren Southwest</v>
      </c>
      <c r="AA494" s="44" t="str">
        <f>vlookup(B494,organizations!$B$1:$C988,2,false)</f>
        <v>India House Houston</v>
      </c>
      <c r="AB494" s="46" t="s">
        <v>2645</v>
      </c>
      <c r="AC494" s="47" t="s">
        <v>2651</v>
      </c>
      <c r="AD494" s="48" t="s">
        <v>62</v>
      </c>
      <c r="AE494" s="48" t="str">
        <f t="shared" si="69"/>
        <v>India House Houston8888 W Belfort Avenue31</v>
      </c>
      <c r="AF494" s="48" t="str">
        <f t="shared" si="70"/>
        <v/>
      </c>
    </row>
    <row r="495" ht="66.75" customHeight="1">
      <c r="A495" s="49" t="s">
        <v>50</v>
      </c>
      <c r="B495" s="35" t="s">
        <v>2638</v>
      </c>
      <c r="C495" s="36" t="s">
        <v>2639</v>
      </c>
      <c r="D495" s="36"/>
      <c r="E495" s="36" t="s">
        <v>36</v>
      </c>
      <c r="F495" s="36" t="s">
        <v>37</v>
      </c>
      <c r="G495" s="35" t="s">
        <v>822</v>
      </c>
      <c r="H495" s="35" t="s">
        <v>2640</v>
      </c>
      <c r="I495" s="35" t="s">
        <v>2652</v>
      </c>
      <c r="J495" s="35" t="s">
        <v>2653</v>
      </c>
      <c r="K495" s="37">
        <f>IFERROR(__xludf.DUMMYFUNCTION("query(assistance!$A$2:$E988,""Select C Where D = '""&amp;L495&amp;""'"")"),54.0)</f>
        <v>54</v>
      </c>
      <c r="L495" s="36" t="s">
        <v>291</v>
      </c>
      <c r="M495" s="38">
        <f t="shared" si="72"/>
        <v>1</v>
      </c>
      <c r="N495" s="51" t="s">
        <v>42</v>
      </c>
      <c r="O495" s="40">
        <v>45800.0</v>
      </c>
      <c r="P495" s="35" t="s">
        <v>43</v>
      </c>
      <c r="Q495" s="35"/>
      <c r="R495" s="35" t="s">
        <v>2654</v>
      </c>
      <c r="S495" s="35" t="b">
        <v>0</v>
      </c>
      <c r="T495" s="35" t="b">
        <v>0</v>
      </c>
      <c r="U495" s="41" t="str">
        <f>IFERROR(__xludf.DUMMYFUNCTION("""["" &amp; JOIN("", "", ARRAYFORMULA("""""""" &amp; TRIM(SPLIT(A495, "","")) &amp; """""""")) &amp; ""]"""),"[""99999""]")</f>
        <v>["99999"]</v>
      </c>
      <c r="V495" s="42" t="s">
        <v>2655</v>
      </c>
      <c r="W495" s="42"/>
      <c r="X495" s="43"/>
      <c r="Y495" s="44" t="str">
        <f>vlookup(G495,zip_codes!$B$6:$J988,3,false)</f>
        <v>Houston</v>
      </c>
      <c r="Z495" s="45" t="str">
        <f>vlookup(G495,zip_codes!$B$6:$J988,9,false)</f>
        <v>Brays Oaks, Fondren Southwest</v>
      </c>
      <c r="AA495" s="44" t="str">
        <f>vlookup(B495,organizations!$B$1:$C988,2,false)</f>
        <v>India House Houston</v>
      </c>
      <c r="AB495" s="46" t="s">
        <v>2645</v>
      </c>
      <c r="AC495" s="47" t="s">
        <v>2656</v>
      </c>
      <c r="AD495" s="48" t="s">
        <v>62</v>
      </c>
      <c r="AE495" s="48" t="str">
        <f t="shared" si="69"/>
        <v>India House Houston8888 W Belfort Avenue54</v>
      </c>
      <c r="AF495" s="48" t="str">
        <f t="shared" si="70"/>
        <v/>
      </c>
    </row>
    <row r="496" ht="66.75" customHeight="1">
      <c r="A496" s="49" t="s">
        <v>2657</v>
      </c>
      <c r="B496" s="35" t="s">
        <v>2658</v>
      </c>
      <c r="C496" s="36" t="s">
        <v>2659</v>
      </c>
      <c r="D496" s="36"/>
      <c r="E496" s="36" t="s">
        <v>394</v>
      </c>
      <c r="F496" s="36" t="s">
        <v>37</v>
      </c>
      <c r="G496" s="35" t="s">
        <v>395</v>
      </c>
      <c r="H496" s="35" t="s">
        <v>2660</v>
      </c>
      <c r="I496" s="35" t="s">
        <v>2661</v>
      </c>
      <c r="J496" s="35" t="s">
        <v>298</v>
      </c>
      <c r="K496" s="37">
        <f>IFERROR(__xludf.DUMMYFUNCTION("query(assistance!$A$2:$E988,""Select C Where D = '""&amp;L496&amp;""'"")"),11.0)</f>
        <v>11</v>
      </c>
      <c r="L496" s="36" t="s">
        <v>322</v>
      </c>
      <c r="M496" s="38">
        <f t="shared" si="72"/>
        <v>1</v>
      </c>
      <c r="N496" s="51" t="s">
        <v>42</v>
      </c>
      <c r="O496" s="73">
        <v>45853.0</v>
      </c>
      <c r="P496" s="35" t="s">
        <v>2662</v>
      </c>
      <c r="Q496" s="35"/>
      <c r="R496" s="35" t="s">
        <v>2663</v>
      </c>
      <c r="S496" s="35" t="b">
        <v>0</v>
      </c>
      <c r="T496" s="35" t="b">
        <v>0</v>
      </c>
      <c r="U496" s="41" t="str">
        <f>IFERROR(__xludf.DUMMYFUNCTION("""["" &amp; JOIN("", "", ARRAYFORMULA("""""""" &amp; TRIM(SPLIT(A496, "","")) &amp; """""""")) &amp; ""]"""),"[""77058"", ""77059"", ""77062"", ""77546"", ""77565"", ""77573"", ""77586"", ""77089"", ""77518"", ""77539"", ""77598""]")</f>
        <v>["77058", "77059", "77062", "77546", "77565", "77573", "77586", "77089", "77518", "77539", "77598"]</v>
      </c>
      <c r="V496" s="52" t="s">
        <v>2664</v>
      </c>
      <c r="W496" s="52" t="s">
        <v>2665</v>
      </c>
      <c r="X496" s="43"/>
      <c r="Y496" s="44" t="str">
        <f>vlookup(G496,zip_codes!$B$6:$J988,3,false)</f>
        <v>League City</v>
      </c>
      <c r="Z496" s="45" t="str">
        <f>vlookup(G496,zip_codes!$B$6:$J988,9,false)</f>
        <v>League City, South Shore Harbour, Victory Lakes</v>
      </c>
      <c r="AA496" s="44" t="str">
        <f>vlookup(B496,organizations!$B$1:$C988,2,false)</f>
        <v>Interfaith Caring Ministries</v>
      </c>
      <c r="AB496" s="46" t="s">
        <v>2666</v>
      </c>
      <c r="AC496" s="47" t="s">
        <v>2667</v>
      </c>
      <c r="AD496" s="48" t="s">
        <v>394</v>
      </c>
      <c r="AE496" s="48" t="str">
        <f t="shared" si="69"/>
        <v>Interfaith Caring Ministries151 Park Avenue11</v>
      </c>
      <c r="AF496" s="48" t="str">
        <f t="shared" si="70"/>
        <v/>
      </c>
    </row>
    <row r="497" ht="66.75" customHeight="1">
      <c r="A497" s="49" t="s">
        <v>2657</v>
      </c>
      <c r="B497" s="35" t="s">
        <v>2658</v>
      </c>
      <c r="C497" s="36" t="s">
        <v>2659</v>
      </c>
      <c r="D497" s="36"/>
      <c r="E497" s="36" t="s">
        <v>394</v>
      </c>
      <c r="F497" s="36" t="s">
        <v>37</v>
      </c>
      <c r="G497" s="35" t="s">
        <v>395</v>
      </c>
      <c r="H497" s="35" t="s">
        <v>2660</v>
      </c>
      <c r="I497" s="35" t="s">
        <v>2661</v>
      </c>
      <c r="J497" s="35" t="s">
        <v>298</v>
      </c>
      <c r="K497" s="37">
        <f>IFERROR(__xludf.DUMMYFUNCTION("query(assistance!$A$2:$E988,""Select C Where D = '""&amp;L497&amp;""'"")"),12.0)</f>
        <v>12</v>
      </c>
      <c r="L497" s="36" t="s">
        <v>330</v>
      </c>
      <c r="M497" s="38">
        <f t="shared" si="72"/>
        <v>1</v>
      </c>
      <c r="N497" s="51" t="s">
        <v>42</v>
      </c>
      <c r="O497" s="73">
        <v>45853.0</v>
      </c>
      <c r="P497" s="35" t="s">
        <v>2662</v>
      </c>
      <c r="Q497" s="35"/>
      <c r="R497" s="35" t="s">
        <v>2668</v>
      </c>
      <c r="S497" s="35" t="b">
        <v>0</v>
      </c>
      <c r="T497" s="35" t="b">
        <v>0</v>
      </c>
      <c r="U497" s="41" t="str">
        <f>IFERROR(__xludf.DUMMYFUNCTION("""["" &amp; JOIN("", "", ARRAYFORMULA("""""""" &amp; TRIM(SPLIT(A497, "","")) &amp; """""""")) &amp; ""]"""),"[""77058"", ""77059"", ""77062"", ""77546"", ""77565"", ""77573"", ""77586"", ""77089"", ""77518"", ""77539"", ""77598""]")</f>
        <v>["77058", "77059", "77062", "77546", "77565", "77573", "77586", "77089", "77518", "77539", "77598"]</v>
      </c>
      <c r="V497" s="52" t="s">
        <v>2664</v>
      </c>
      <c r="W497" s="52" t="s">
        <v>2665</v>
      </c>
      <c r="X497" s="43"/>
      <c r="Y497" s="44" t="str">
        <f>vlookup(G497,zip_codes!$B$6:$J988,3,false)</f>
        <v>League City</v>
      </c>
      <c r="Z497" s="45" t="str">
        <f>vlookup(G497,zip_codes!$B$6:$J988,9,false)</f>
        <v>League City, South Shore Harbour, Victory Lakes</v>
      </c>
      <c r="AA497" s="44" t="str">
        <f>vlookup(B497,organizations!$B$1:$C988,2,false)</f>
        <v>Interfaith Caring Ministries</v>
      </c>
      <c r="AB497" s="46" t="s">
        <v>2666</v>
      </c>
      <c r="AC497" s="47" t="s">
        <v>2667</v>
      </c>
      <c r="AD497" s="48" t="s">
        <v>394</v>
      </c>
      <c r="AE497" s="48" t="str">
        <f t="shared" si="69"/>
        <v>Interfaith Caring Ministries151 Park Avenue12</v>
      </c>
      <c r="AF497" s="48" t="str">
        <f t="shared" si="70"/>
        <v/>
      </c>
    </row>
    <row r="498" ht="66.75" customHeight="1">
      <c r="A498" s="49" t="s">
        <v>2657</v>
      </c>
      <c r="B498" s="35" t="s">
        <v>2658</v>
      </c>
      <c r="C498" s="36" t="s">
        <v>2659</v>
      </c>
      <c r="D498" s="36"/>
      <c r="E498" s="36" t="s">
        <v>394</v>
      </c>
      <c r="F498" s="36" t="s">
        <v>37</v>
      </c>
      <c r="G498" s="35" t="s">
        <v>395</v>
      </c>
      <c r="H498" s="35" t="s">
        <v>2669</v>
      </c>
      <c r="I498" s="35" t="s">
        <v>2670</v>
      </c>
      <c r="J498" s="35" t="s">
        <v>298</v>
      </c>
      <c r="K498" s="37">
        <f>IFERROR(__xludf.DUMMYFUNCTION("query(assistance!$A$2:$E988,""Select C Where D = '""&amp;L498&amp;""'"")"),13.0)</f>
        <v>13</v>
      </c>
      <c r="L498" s="36" t="s">
        <v>240</v>
      </c>
      <c r="M498" s="38">
        <f t="shared" si="72"/>
        <v>1</v>
      </c>
      <c r="N498" s="51" t="s">
        <v>42</v>
      </c>
      <c r="O498" s="73">
        <v>45853.0</v>
      </c>
      <c r="P498" s="35" t="s">
        <v>2662</v>
      </c>
      <c r="Q498" s="35"/>
      <c r="R498" s="35" t="s">
        <v>2671</v>
      </c>
      <c r="S498" s="35" t="b">
        <v>0</v>
      </c>
      <c r="T498" s="35" t="b">
        <v>0</v>
      </c>
      <c r="U498" s="41" t="str">
        <f>IFERROR(__xludf.DUMMYFUNCTION("""["" &amp; JOIN("", "", ARRAYFORMULA("""""""" &amp; TRIM(SPLIT(A498, "","")) &amp; """""""")) &amp; ""]"""),"[""77058"", ""77059"", ""77062"", ""77546"", ""77565"", ""77573"", ""77586"", ""77089"", ""77518"", ""77539"", ""77598""]")</f>
        <v>["77058", "77059", "77062", "77546", "77565", "77573", "77586", "77089", "77518", "77539", "77598"]</v>
      </c>
      <c r="V498" s="52" t="s">
        <v>2664</v>
      </c>
      <c r="W498" s="52" t="s">
        <v>2665</v>
      </c>
      <c r="X498" s="43"/>
      <c r="Y498" s="44" t="str">
        <f>vlookup(G498,zip_codes!$B$6:$J988,3,false)</f>
        <v>League City</v>
      </c>
      <c r="Z498" s="45" t="str">
        <f>vlookup(G498,zip_codes!$B$6:$J988,9,false)</f>
        <v>League City, South Shore Harbour, Victory Lakes</v>
      </c>
      <c r="AA498" s="44" t="str">
        <f>vlookup(B498,organizations!$B$1:$C988,2,false)</f>
        <v>Interfaith Caring Ministries</v>
      </c>
      <c r="AB498" s="46" t="s">
        <v>2666</v>
      </c>
      <c r="AC498" s="47" t="s">
        <v>2672</v>
      </c>
      <c r="AD498" s="48" t="s">
        <v>394</v>
      </c>
      <c r="AE498" s="48" t="str">
        <f t="shared" si="69"/>
        <v>Interfaith Caring Ministries151 Park Avenue13</v>
      </c>
      <c r="AF498" s="48" t="str">
        <f t="shared" si="70"/>
        <v/>
      </c>
    </row>
    <row r="499" ht="66.75" customHeight="1">
      <c r="A499" s="49" t="s">
        <v>2657</v>
      </c>
      <c r="B499" s="35" t="s">
        <v>2658</v>
      </c>
      <c r="C499" s="36" t="s">
        <v>2659</v>
      </c>
      <c r="D499" s="36"/>
      <c r="E499" s="36" t="s">
        <v>394</v>
      </c>
      <c r="F499" s="36" t="s">
        <v>37</v>
      </c>
      <c r="G499" s="35" t="s">
        <v>395</v>
      </c>
      <c r="H499" s="35" t="s">
        <v>2673</v>
      </c>
      <c r="I499" s="35" t="s">
        <v>2674</v>
      </c>
      <c r="J499" s="35" t="s">
        <v>89</v>
      </c>
      <c r="K499" s="37">
        <f>IFERROR(__xludf.DUMMYFUNCTION("query(assistance!$A$2:$E988,""Select C Where D = '""&amp;L499&amp;""'"")"),61.0)</f>
        <v>61</v>
      </c>
      <c r="L499" s="36" t="s">
        <v>842</v>
      </c>
      <c r="M499" s="38">
        <f t="shared" si="72"/>
        <v>1</v>
      </c>
      <c r="N499" s="39" t="s">
        <v>42</v>
      </c>
      <c r="O499" s="73">
        <v>45853.0</v>
      </c>
      <c r="P499" s="35" t="s">
        <v>2662</v>
      </c>
      <c r="Q499" s="35"/>
      <c r="R499" s="35" t="s">
        <v>2675</v>
      </c>
      <c r="S499" s="35" t="b">
        <v>0</v>
      </c>
      <c r="T499" s="35" t="b">
        <v>0</v>
      </c>
      <c r="U499" s="41" t="str">
        <f>IFERROR(__xludf.DUMMYFUNCTION("""["" &amp; JOIN("", "", ARRAYFORMULA("""""""" &amp; TRIM(SPLIT(A499, "","")) &amp; """""""")) &amp; ""]"""),"[""77058"", ""77059"", ""77062"", ""77546"", ""77565"", ""77573"", ""77586"", ""77089"", ""77518"", ""77539"", ""77598""]")</f>
        <v>["77058", "77059", "77062", "77546", "77565", "77573", "77586", "77089", "77518", "77539", "77598"]</v>
      </c>
      <c r="V499" s="52" t="s">
        <v>2664</v>
      </c>
      <c r="W499" s="52" t="s">
        <v>2665</v>
      </c>
      <c r="X499" s="43"/>
      <c r="Y499" s="44" t="str">
        <f>vlookup(G499,zip_codes!$B$6:$J988,3,false)</f>
        <v>League City</v>
      </c>
      <c r="Z499" s="45" t="str">
        <f>vlookup(G499,zip_codes!$B$6:$J988,9,false)</f>
        <v>League City, South Shore Harbour, Victory Lakes</v>
      </c>
      <c r="AA499" s="44" t="str">
        <f>vlookup(B499,organizations!$B$1:$C988,2,false)</f>
        <v>Interfaith Caring Ministries</v>
      </c>
      <c r="AB499" s="46" t="s">
        <v>2666</v>
      </c>
      <c r="AC499" s="47" t="s">
        <v>2676</v>
      </c>
      <c r="AD499" s="48" t="s">
        <v>394</v>
      </c>
      <c r="AE499" s="48" t="str">
        <f t="shared" si="69"/>
        <v>Interfaith Caring Ministries151 Park Avenue61</v>
      </c>
      <c r="AF499" s="48" t="str">
        <f t="shared" si="70"/>
        <v/>
      </c>
    </row>
    <row r="500" ht="66.75" customHeight="1">
      <c r="A500" s="49" t="s">
        <v>2657</v>
      </c>
      <c r="B500" s="35" t="s">
        <v>2658</v>
      </c>
      <c r="C500" s="36" t="s">
        <v>2659</v>
      </c>
      <c r="D500" s="36"/>
      <c r="E500" s="36" t="s">
        <v>394</v>
      </c>
      <c r="F500" s="36" t="s">
        <v>37</v>
      </c>
      <c r="G500" s="35" t="s">
        <v>395</v>
      </c>
      <c r="H500" s="35" t="s">
        <v>2669</v>
      </c>
      <c r="I500" s="35" t="s">
        <v>2674</v>
      </c>
      <c r="J500" s="35"/>
      <c r="K500" s="37">
        <f>IFERROR(__xludf.DUMMYFUNCTION("query(assistance!$A$2:$E988,""Select C Where D = '""&amp;L500&amp;""'"")"),64.0)</f>
        <v>64</v>
      </c>
      <c r="L500" s="36" t="s">
        <v>817</v>
      </c>
      <c r="M500" s="38">
        <f t="shared" si="72"/>
        <v>1</v>
      </c>
      <c r="N500" s="39" t="s">
        <v>42</v>
      </c>
      <c r="O500" s="73">
        <v>45853.0</v>
      </c>
      <c r="P500" s="35" t="s">
        <v>2662</v>
      </c>
      <c r="Q500" s="35"/>
      <c r="R500" s="35" t="s">
        <v>1450</v>
      </c>
      <c r="S500" s="35" t="b">
        <v>0</v>
      </c>
      <c r="T500" s="35" t="b">
        <v>0</v>
      </c>
      <c r="U500" s="41" t="str">
        <f>IFERROR(__xludf.DUMMYFUNCTION("""["" &amp; JOIN("", "", ARRAYFORMULA("""""""" &amp; TRIM(SPLIT(A500, "","")) &amp; """""""")) &amp; ""]"""),"[""77058"", ""77059"", ""77062"", ""77546"", ""77565"", ""77573"", ""77586"", ""77089"", ""77518"", ""77539"", ""77598""]")</f>
        <v>["77058", "77059", "77062", "77546", "77565", "77573", "77586", "77089", "77518", "77539", "77598"]</v>
      </c>
      <c r="V500" s="52" t="s">
        <v>2664</v>
      </c>
      <c r="W500" s="52" t="s">
        <v>2665</v>
      </c>
      <c r="X500" s="43"/>
      <c r="Y500" s="44" t="str">
        <f>vlookup(G500,zip_codes!$B$6:$J988,3,false)</f>
        <v>League City</v>
      </c>
      <c r="Z500" s="45" t="str">
        <f>vlookup(G500,zip_codes!$B$6:$J988,9,false)</f>
        <v>League City, South Shore Harbour, Victory Lakes</v>
      </c>
      <c r="AA500" s="44" t="str">
        <f>vlookup(B500,organizations!$B$1:$C988,2,false)</f>
        <v>Interfaith Caring Ministries</v>
      </c>
      <c r="AB500" s="46" t="s">
        <v>2666</v>
      </c>
      <c r="AC500" s="47" t="s">
        <v>2676</v>
      </c>
      <c r="AD500" s="48" t="s">
        <v>394</v>
      </c>
      <c r="AE500" s="48" t="str">
        <f t="shared" si="69"/>
        <v>Interfaith Caring Ministries151 Park Avenue64</v>
      </c>
      <c r="AF500" s="48" t="str">
        <f t="shared" si="70"/>
        <v/>
      </c>
    </row>
    <row r="501" ht="66.75" customHeight="1">
      <c r="A501" s="49" t="s">
        <v>2657</v>
      </c>
      <c r="B501" s="35" t="s">
        <v>2658</v>
      </c>
      <c r="C501" s="36" t="s">
        <v>2659</v>
      </c>
      <c r="D501" s="36"/>
      <c r="E501" s="36" t="s">
        <v>394</v>
      </c>
      <c r="F501" s="36" t="s">
        <v>37</v>
      </c>
      <c r="G501" s="35" t="s">
        <v>395</v>
      </c>
      <c r="H501" s="35" t="s">
        <v>2669</v>
      </c>
      <c r="I501" s="35" t="s">
        <v>2674</v>
      </c>
      <c r="J501" s="35"/>
      <c r="K501" s="37">
        <f>IFERROR(__xludf.DUMMYFUNCTION("query(assistance!$A$2:$E988,""Select C Where D = '""&amp;L501&amp;""'"")"),65.0)</f>
        <v>65</v>
      </c>
      <c r="L501" s="36" t="s">
        <v>41</v>
      </c>
      <c r="M501" s="38">
        <f t="shared" si="72"/>
        <v>1</v>
      </c>
      <c r="N501" s="39" t="s">
        <v>42</v>
      </c>
      <c r="O501" s="73">
        <v>45853.0</v>
      </c>
      <c r="P501" s="35" t="s">
        <v>2677</v>
      </c>
      <c r="Q501" s="35"/>
      <c r="R501" s="35" t="s">
        <v>2678</v>
      </c>
      <c r="S501" s="35" t="b">
        <v>0</v>
      </c>
      <c r="T501" s="35" t="b">
        <v>0</v>
      </c>
      <c r="U501" s="41" t="str">
        <f>IFERROR(__xludf.DUMMYFUNCTION("""["" &amp; JOIN("", "", ARRAYFORMULA("""""""" &amp; TRIM(SPLIT(A501, "","")) &amp; """""""")) &amp; ""]"""),"[""77058"", ""77059"", ""77062"", ""77546"", ""77565"", ""77573"", ""77586"", ""77089"", ""77518"", ""77539"", ""77598""]")</f>
        <v>["77058", "77059", "77062", "77546", "77565", "77573", "77586", "77089", "77518", "77539", "77598"]</v>
      </c>
      <c r="V501" s="52" t="s">
        <v>2664</v>
      </c>
      <c r="W501" s="52" t="s">
        <v>2665</v>
      </c>
      <c r="X501" s="43"/>
      <c r="Y501" s="44" t="str">
        <f>vlookup(G501,zip_codes!$B$6:$J988,3,false)</f>
        <v>League City</v>
      </c>
      <c r="Z501" s="45" t="str">
        <f>vlookup(G501,zip_codes!$B$6:$J988,9,false)</f>
        <v>League City, South Shore Harbour, Victory Lakes</v>
      </c>
      <c r="AA501" s="44" t="str">
        <f>vlookup(B501,organizations!$B$1:$C988,2,false)</f>
        <v>Interfaith Caring Ministries</v>
      </c>
      <c r="AB501" s="46" t="s">
        <v>2666</v>
      </c>
      <c r="AC501" s="47" t="s">
        <v>2676</v>
      </c>
      <c r="AD501" s="48" t="s">
        <v>394</v>
      </c>
      <c r="AE501" s="48" t="str">
        <f t="shared" si="69"/>
        <v>Interfaith Caring Ministries151 Park Avenue65</v>
      </c>
      <c r="AF501" s="48" t="str">
        <f t="shared" si="70"/>
        <v/>
      </c>
    </row>
    <row r="502" ht="66.75" customHeight="1">
      <c r="A502" s="49" t="s">
        <v>50</v>
      </c>
      <c r="B502" s="35" t="s">
        <v>2679</v>
      </c>
      <c r="C502" s="36" t="s">
        <v>2680</v>
      </c>
      <c r="D502" s="36"/>
      <c r="E502" s="36" t="s">
        <v>36</v>
      </c>
      <c r="F502" s="36" t="s">
        <v>37</v>
      </c>
      <c r="G502" s="35" t="s">
        <v>270</v>
      </c>
      <c r="H502" s="35" t="s">
        <v>2681</v>
      </c>
      <c r="I502" s="35" t="s">
        <v>2682</v>
      </c>
      <c r="J502" s="35"/>
      <c r="K502" s="37">
        <f>IFERROR(__xludf.DUMMYFUNCTION("query(assistance!$A$2:$E988,""Select C Where D = '""&amp;L502&amp;""'"")"),13.0)</f>
        <v>13</v>
      </c>
      <c r="L502" s="36" t="s">
        <v>240</v>
      </c>
      <c r="M502" s="38">
        <f t="shared" si="72"/>
        <v>1</v>
      </c>
      <c r="N502" s="39" t="s">
        <v>42</v>
      </c>
      <c r="O502" s="57">
        <v>46067.0</v>
      </c>
      <c r="P502" s="35" t="s">
        <v>43</v>
      </c>
      <c r="Q502" s="35"/>
      <c r="R502" s="35" t="s">
        <v>2683</v>
      </c>
      <c r="S502" s="35" t="b">
        <v>0</v>
      </c>
      <c r="T502" s="35" t="b">
        <v>0</v>
      </c>
      <c r="U502" s="41" t="str">
        <f>IFERROR(__xludf.DUMMYFUNCTION("""["" &amp; JOIN("", "", ARRAYFORMULA("""""""" &amp; TRIM(SPLIT(A502, "","")) &amp; """""""")) &amp; ""]"""),"[""99999""]")</f>
        <v>["99999"]</v>
      </c>
      <c r="V502" s="52" t="s">
        <v>2684</v>
      </c>
      <c r="W502" s="52" t="s">
        <v>2685</v>
      </c>
      <c r="X502" s="43"/>
      <c r="Y502" s="44" t="str">
        <f>vlookup(G502,zip_codes!$B$6:$J988,3,false)</f>
        <v>Houston</v>
      </c>
      <c r="Z502" s="45" t="str">
        <f>vlookup(G502,zip_codes!$B$6:$J988,9,false)</f>
        <v>Central Business District, Downtown Houston, East Downtown, South Central Houston, Theater District, University Place, Warehouse District</v>
      </c>
      <c r="AA502" s="44" t="str">
        <f>vlookup(B502,organizations!$B$1:$C988,2,false)</f>
        <v>Interfaith Ministries for Greater Houston</v>
      </c>
      <c r="AB502" s="46" t="s">
        <v>2686</v>
      </c>
      <c r="AC502" s="47" t="s">
        <v>2687</v>
      </c>
      <c r="AD502" s="48" t="s">
        <v>314</v>
      </c>
      <c r="AE502" s="48" t="str">
        <f t="shared" si="69"/>
        <v>Interfaith Ministries for Greater Houston3303 Main Street13</v>
      </c>
      <c r="AF502" s="48" t="str">
        <f t="shared" si="70"/>
        <v/>
      </c>
    </row>
    <row r="503" ht="66.75" customHeight="1">
      <c r="A503" s="49" t="s">
        <v>50</v>
      </c>
      <c r="B503" s="35" t="s">
        <v>2679</v>
      </c>
      <c r="C503" s="36" t="s">
        <v>2680</v>
      </c>
      <c r="D503" s="36"/>
      <c r="E503" s="36" t="s">
        <v>36</v>
      </c>
      <c r="F503" s="36" t="s">
        <v>37</v>
      </c>
      <c r="G503" s="35" t="s">
        <v>270</v>
      </c>
      <c r="H503" s="35" t="s">
        <v>2681</v>
      </c>
      <c r="I503" s="35" t="s">
        <v>2682</v>
      </c>
      <c r="J503" s="35"/>
      <c r="K503" s="37">
        <f>IFERROR(__xludf.DUMMYFUNCTION("query(assistance!$A$2:$E988,""Select C Where D = '""&amp;L503&amp;""'"")"),55.0)</f>
        <v>55</v>
      </c>
      <c r="L503" s="36" t="s">
        <v>436</v>
      </c>
      <c r="M503" s="38">
        <f t="shared" si="72"/>
        <v>1</v>
      </c>
      <c r="N503" s="51" t="s">
        <v>42</v>
      </c>
      <c r="O503" s="57">
        <v>46067.0</v>
      </c>
      <c r="P503" s="35" t="s">
        <v>43</v>
      </c>
      <c r="Q503" s="35"/>
      <c r="R503" s="35" t="s">
        <v>932</v>
      </c>
      <c r="S503" s="35" t="b">
        <v>0</v>
      </c>
      <c r="T503" s="35" t="b">
        <v>0</v>
      </c>
      <c r="U503" s="41" t="str">
        <f>IFERROR(__xludf.DUMMYFUNCTION("""["" &amp; JOIN("", "", ARRAYFORMULA("""""""" &amp; TRIM(SPLIT(A503, "","")) &amp; """""""")) &amp; ""]"""),"[""99999""]")</f>
        <v>["99999"]</v>
      </c>
      <c r="V503" s="52" t="s">
        <v>2684</v>
      </c>
      <c r="W503" s="52" t="s">
        <v>2685</v>
      </c>
      <c r="X503" s="43"/>
      <c r="Y503" s="44" t="str">
        <f>vlookup(G503,zip_codes!$B$6:$J988,3,false)</f>
        <v>Houston</v>
      </c>
      <c r="Z503" s="45" t="str">
        <f>vlookup(G503,zip_codes!$B$6:$J988,9,false)</f>
        <v>Central Business District, Downtown Houston, East Downtown, South Central Houston, Theater District, University Place, Warehouse District</v>
      </c>
      <c r="AA503" s="44" t="str">
        <f>vlookup(B503,organizations!$B$1:$C988,2,false)</f>
        <v>Interfaith Ministries for Greater Houston</v>
      </c>
      <c r="AB503" s="46" t="s">
        <v>2686</v>
      </c>
      <c r="AC503" s="47" t="s">
        <v>2687</v>
      </c>
      <c r="AD503" s="48" t="s">
        <v>314</v>
      </c>
      <c r="AE503" s="48" t="str">
        <f t="shared" si="69"/>
        <v>Interfaith Ministries for Greater Houston3303 Main Street55</v>
      </c>
      <c r="AF503" s="48" t="str">
        <f t="shared" si="70"/>
        <v/>
      </c>
    </row>
    <row r="504" ht="66.75" customHeight="1">
      <c r="A504" s="49" t="s">
        <v>50</v>
      </c>
      <c r="B504" s="35" t="s">
        <v>2679</v>
      </c>
      <c r="C504" s="36" t="s">
        <v>2680</v>
      </c>
      <c r="D504" s="36"/>
      <c r="E504" s="36" t="s">
        <v>36</v>
      </c>
      <c r="F504" s="36" t="s">
        <v>37</v>
      </c>
      <c r="G504" s="35" t="s">
        <v>270</v>
      </c>
      <c r="H504" s="35" t="s">
        <v>2681</v>
      </c>
      <c r="I504" s="35" t="s">
        <v>2682</v>
      </c>
      <c r="J504" s="35"/>
      <c r="K504" s="37">
        <f>IFERROR(__xludf.DUMMYFUNCTION("query(assistance!$A$2:$E988,""Select C Where D = '""&amp;L504&amp;""'"")"),63.0)</f>
        <v>63</v>
      </c>
      <c r="L504" s="36" t="s">
        <v>765</v>
      </c>
      <c r="M504" s="38">
        <f t="shared" si="72"/>
        <v>1</v>
      </c>
      <c r="N504" s="39" t="s">
        <v>42</v>
      </c>
      <c r="O504" s="57">
        <v>46067.0</v>
      </c>
      <c r="P504" s="35" t="s">
        <v>43</v>
      </c>
      <c r="Q504" s="35"/>
      <c r="R504" s="35" t="s">
        <v>2688</v>
      </c>
      <c r="S504" s="35" t="b">
        <v>0</v>
      </c>
      <c r="T504" s="35" t="b">
        <v>0</v>
      </c>
      <c r="U504" s="41" t="str">
        <f>IFERROR(__xludf.DUMMYFUNCTION("""["" &amp; JOIN("", "", ARRAYFORMULA("""""""" &amp; TRIM(SPLIT(A504, "","")) &amp; """""""")) &amp; ""]"""),"[""99999""]")</f>
        <v>["99999"]</v>
      </c>
      <c r="V504" s="52" t="s">
        <v>2684</v>
      </c>
      <c r="W504" s="52" t="s">
        <v>2685</v>
      </c>
      <c r="X504" s="43"/>
      <c r="Y504" s="44" t="str">
        <f>vlookup(G504,zip_codes!$B$6:$J988,3,false)</f>
        <v>Houston</v>
      </c>
      <c r="Z504" s="45" t="str">
        <f>vlookup(G504,zip_codes!$B$6:$J988,9,false)</f>
        <v>Central Business District, Downtown Houston, East Downtown, South Central Houston, Theater District, University Place, Warehouse District</v>
      </c>
      <c r="AA504" s="44" t="str">
        <f>vlookup(B504,organizations!$B$1:$C988,2,false)</f>
        <v>Interfaith Ministries for Greater Houston</v>
      </c>
      <c r="AB504" s="46" t="s">
        <v>2686</v>
      </c>
      <c r="AC504" s="47" t="s">
        <v>2687</v>
      </c>
      <c r="AD504" s="48" t="s">
        <v>314</v>
      </c>
      <c r="AE504" s="48" t="str">
        <f t="shared" si="69"/>
        <v>Interfaith Ministries for Greater Houston3303 Main Street63</v>
      </c>
      <c r="AF504" s="48" t="str">
        <f t="shared" si="70"/>
        <v/>
      </c>
    </row>
    <row r="505" ht="66.75" customHeight="1">
      <c r="A505" s="49" t="s">
        <v>2689</v>
      </c>
      <c r="B505" s="35" t="s">
        <v>2690</v>
      </c>
      <c r="C505" s="36" t="s">
        <v>2691</v>
      </c>
      <c r="D505" s="36"/>
      <c r="E505" s="36" t="s">
        <v>451</v>
      </c>
      <c r="F505" s="36" t="s">
        <v>37</v>
      </c>
      <c r="G505" s="35" t="s">
        <v>2692</v>
      </c>
      <c r="H505" s="35" t="s">
        <v>2693</v>
      </c>
      <c r="I505" s="35" t="s">
        <v>2694</v>
      </c>
      <c r="J505" s="35"/>
      <c r="K505" s="37">
        <f>IFERROR(__xludf.DUMMYFUNCTION("query(assistance!$A$2:$E988,""Select C Where D = '""&amp;L505&amp;""'"")"),11.0)</f>
        <v>11</v>
      </c>
      <c r="L505" s="36" t="s">
        <v>322</v>
      </c>
      <c r="M505" s="38">
        <f t="shared" si="72"/>
        <v>1</v>
      </c>
      <c r="N505" s="39" t="s">
        <v>42</v>
      </c>
      <c r="O505" s="40">
        <v>45772.0</v>
      </c>
      <c r="P505" s="35" t="s">
        <v>2695</v>
      </c>
      <c r="Q505" s="50"/>
      <c r="R505" s="50"/>
      <c r="S505" s="35" t="b">
        <v>0</v>
      </c>
      <c r="T505" s="35" t="b">
        <v>0</v>
      </c>
      <c r="U505" s="41" t="str">
        <f>IFERROR(__xludf.DUMMYFUNCTION("""["" &amp; JOIN("", "", ARRAYFORMULA("""""""" &amp; TRIM(SPLIT(A505, "","")) &amp; """""""")) &amp; ""]"""),"[""77354"", ""77375"", ""77380"", ""77381"", ""77382"", ""77384"", ""77385"", ""77386"", ""77389""]")</f>
        <v>["77354", "77375", "77380", "77381", "77382", "77384", "77385", "77386", "77389"]</v>
      </c>
      <c r="V505" s="52" t="s">
        <v>2664</v>
      </c>
      <c r="W505" s="52" t="s">
        <v>2696</v>
      </c>
      <c r="X505" s="43"/>
      <c r="Y505" s="44" t="str">
        <f>vlookup(G505,zip_codes!$B$6:$J988,3,false)</f>
        <v>The Woodlands</v>
      </c>
      <c r="Z505" s="45" t="str">
        <f>vlookup(G505,zip_codes!$B$6:$J988,9,false)</f>
        <v>The Woodlands (Cochran's Crossing, Indian Springs)</v>
      </c>
      <c r="AA505" s="44" t="str">
        <f>vlookup(B505,organizations!$B$1:$C988,2,false)</f>
        <v>Interfaith of the Woodlands</v>
      </c>
      <c r="AB505" s="46" t="s">
        <v>2697</v>
      </c>
      <c r="AC505" s="47" t="s">
        <v>2698</v>
      </c>
      <c r="AD505" s="48" t="s">
        <v>2699</v>
      </c>
      <c r="AE505" s="48" t="str">
        <f t="shared" si="69"/>
        <v>Interfaith of the Woodlands4242 Interfaith Way11</v>
      </c>
      <c r="AF505" s="48" t="str">
        <f t="shared" si="70"/>
        <v/>
      </c>
    </row>
    <row r="506" ht="66.75" customHeight="1">
      <c r="A506" s="49" t="s">
        <v>2689</v>
      </c>
      <c r="B506" s="35" t="s">
        <v>2690</v>
      </c>
      <c r="C506" s="36" t="s">
        <v>2691</v>
      </c>
      <c r="D506" s="36"/>
      <c r="E506" s="36" t="s">
        <v>451</v>
      </c>
      <c r="F506" s="36" t="s">
        <v>37</v>
      </c>
      <c r="G506" s="35" t="s">
        <v>2692</v>
      </c>
      <c r="H506" s="35" t="s">
        <v>2693</v>
      </c>
      <c r="I506" s="35" t="s">
        <v>2694</v>
      </c>
      <c r="J506" s="35"/>
      <c r="K506" s="37">
        <f>IFERROR(__xludf.DUMMYFUNCTION("query(assistance!$A$2:$E988,""Select C Where D = '""&amp;L506&amp;""'"")"),12.0)</f>
        <v>12</v>
      </c>
      <c r="L506" s="36" t="s">
        <v>330</v>
      </c>
      <c r="M506" s="38">
        <f t="shared" si="72"/>
        <v>1</v>
      </c>
      <c r="N506" s="39" t="s">
        <v>42</v>
      </c>
      <c r="O506" s="40">
        <v>45772.0</v>
      </c>
      <c r="P506" s="35" t="s">
        <v>2695</v>
      </c>
      <c r="Q506" s="50"/>
      <c r="R506" s="50"/>
      <c r="S506" s="35" t="b">
        <v>0</v>
      </c>
      <c r="T506" s="35" t="b">
        <v>0</v>
      </c>
      <c r="U506" s="41" t="str">
        <f>IFERROR(__xludf.DUMMYFUNCTION("""["" &amp; JOIN("", "", ARRAYFORMULA("""""""" &amp; TRIM(SPLIT(A506, "","")) &amp; """""""")) &amp; ""]"""),"[""77354"", ""77375"", ""77380"", ""77381"", ""77382"", ""77384"", ""77385"", ""77386"", ""77389""]")</f>
        <v>["77354", "77375", "77380", "77381", "77382", "77384", "77385", "77386", "77389"]</v>
      </c>
      <c r="V506" s="52" t="s">
        <v>2664</v>
      </c>
      <c r="W506" s="52" t="s">
        <v>2696</v>
      </c>
      <c r="X506" s="43"/>
      <c r="Y506" s="44" t="str">
        <f>vlookup(G506,zip_codes!$B$6:$J988,3,false)</f>
        <v>The Woodlands</v>
      </c>
      <c r="Z506" s="45" t="str">
        <f>vlookup(G506,zip_codes!$B$6:$J988,9,false)</f>
        <v>The Woodlands (Cochran's Crossing, Indian Springs)</v>
      </c>
      <c r="AA506" s="44" t="str">
        <f>vlookup(B506,organizations!$B$1:$C988,2,false)</f>
        <v>Interfaith of the Woodlands</v>
      </c>
      <c r="AB506" s="46" t="s">
        <v>2697</v>
      </c>
      <c r="AC506" s="47" t="s">
        <v>2698</v>
      </c>
      <c r="AD506" s="48" t="s">
        <v>2699</v>
      </c>
      <c r="AE506" s="48" t="str">
        <f t="shared" si="69"/>
        <v>Interfaith of the Woodlands4242 Interfaith Way12</v>
      </c>
      <c r="AF506" s="48" t="str">
        <f t="shared" si="70"/>
        <v/>
      </c>
    </row>
    <row r="507" ht="66.75" customHeight="1">
      <c r="A507" s="49" t="s">
        <v>2689</v>
      </c>
      <c r="B507" s="35" t="s">
        <v>2690</v>
      </c>
      <c r="C507" s="36" t="s">
        <v>2691</v>
      </c>
      <c r="D507" s="36"/>
      <c r="E507" s="36" t="s">
        <v>451</v>
      </c>
      <c r="F507" s="36" t="s">
        <v>37</v>
      </c>
      <c r="G507" s="35" t="s">
        <v>2692</v>
      </c>
      <c r="H507" s="35" t="s">
        <v>2693</v>
      </c>
      <c r="I507" s="35" t="s">
        <v>2694</v>
      </c>
      <c r="J507" s="35"/>
      <c r="K507" s="37">
        <f>IFERROR(__xludf.DUMMYFUNCTION("query(assistance!$A$2:$E988,""Select C Where D = '""&amp;L507&amp;""'"")"),13.0)</f>
        <v>13</v>
      </c>
      <c r="L507" s="36" t="s">
        <v>240</v>
      </c>
      <c r="M507" s="38">
        <f t="shared" si="72"/>
        <v>1</v>
      </c>
      <c r="N507" s="39" t="s">
        <v>42</v>
      </c>
      <c r="O507" s="40">
        <v>45772.0</v>
      </c>
      <c r="P507" s="35" t="s">
        <v>2695</v>
      </c>
      <c r="Q507" s="35"/>
      <c r="R507" s="35" t="s">
        <v>2700</v>
      </c>
      <c r="S507" s="35" t="b">
        <v>0</v>
      </c>
      <c r="T507" s="35" t="b">
        <v>0</v>
      </c>
      <c r="U507" s="41" t="str">
        <f>IFERROR(__xludf.DUMMYFUNCTION("""["" &amp; JOIN("", "", ARRAYFORMULA("""""""" &amp; TRIM(SPLIT(A507, "","")) &amp; """""""")) &amp; ""]"""),"[""77354"", ""77375"", ""77380"", ""77381"", ""77382"", ""77384"", ""77385"", ""77386"", ""77389""]")</f>
        <v>["77354", "77375", "77380", "77381", "77382", "77384", "77385", "77386", "77389"]</v>
      </c>
      <c r="V507" s="52" t="s">
        <v>2664</v>
      </c>
      <c r="W507" s="52" t="s">
        <v>2696</v>
      </c>
      <c r="X507" s="43"/>
      <c r="Y507" s="44" t="str">
        <f>vlookup(G507,zip_codes!$B$6:$J988,3,false)</f>
        <v>The Woodlands</v>
      </c>
      <c r="Z507" s="45" t="str">
        <f>vlookup(G507,zip_codes!$B$6:$J988,9,false)</f>
        <v>The Woodlands (Cochran's Crossing, Indian Springs)</v>
      </c>
      <c r="AA507" s="44" t="str">
        <f>vlookup(B507,organizations!$B$1:$C988,2,false)</f>
        <v>Interfaith of the Woodlands</v>
      </c>
      <c r="AB507" s="46" t="s">
        <v>2697</v>
      </c>
      <c r="AC507" s="47" t="s">
        <v>2698</v>
      </c>
      <c r="AD507" s="48" t="s">
        <v>2699</v>
      </c>
      <c r="AE507" s="48" t="str">
        <f t="shared" si="69"/>
        <v>Interfaith of the Woodlands4242 Interfaith Way13</v>
      </c>
      <c r="AF507" s="48" t="str">
        <f t="shared" si="70"/>
        <v/>
      </c>
    </row>
    <row r="508" ht="66.75" customHeight="1">
      <c r="A508" s="49" t="s">
        <v>2689</v>
      </c>
      <c r="B508" s="35" t="s">
        <v>2690</v>
      </c>
      <c r="C508" s="36" t="s">
        <v>2691</v>
      </c>
      <c r="D508" s="36"/>
      <c r="E508" s="36" t="s">
        <v>451</v>
      </c>
      <c r="F508" s="36" t="s">
        <v>37</v>
      </c>
      <c r="G508" s="35" t="s">
        <v>2692</v>
      </c>
      <c r="H508" s="35" t="s">
        <v>2693</v>
      </c>
      <c r="I508" s="35" t="s">
        <v>2694</v>
      </c>
      <c r="J508" s="35"/>
      <c r="K508" s="37">
        <f>IFERROR(__xludf.DUMMYFUNCTION("query(assistance!$A$2:$E988,""Select C Where D = '""&amp;L508&amp;""'"")"),14.0)</f>
        <v>14</v>
      </c>
      <c r="L508" s="36" t="s">
        <v>391</v>
      </c>
      <c r="M508" s="38">
        <f t="shared" si="72"/>
        <v>1</v>
      </c>
      <c r="N508" s="39" t="s">
        <v>42</v>
      </c>
      <c r="O508" s="40">
        <v>45772.0</v>
      </c>
      <c r="P508" s="50"/>
      <c r="Q508" s="35"/>
      <c r="R508" s="35" t="s">
        <v>2701</v>
      </c>
      <c r="S508" s="35" t="b">
        <v>0</v>
      </c>
      <c r="T508" s="35" t="b">
        <v>0</v>
      </c>
      <c r="U508" s="41" t="str">
        <f>IFERROR(__xludf.DUMMYFUNCTION("""["" &amp; JOIN("", "", ARRAYFORMULA("""""""" &amp; TRIM(SPLIT(A508, "","")) &amp; """""""")) &amp; ""]"""),"[""77354"", ""77375"", ""77380"", ""77381"", ""77382"", ""77384"", ""77385"", ""77386"", ""77389""]")</f>
        <v>["77354", "77375", "77380", "77381", "77382", "77384", "77385", "77386", "77389"]</v>
      </c>
      <c r="V508" s="52" t="s">
        <v>2664</v>
      </c>
      <c r="W508" s="52" t="s">
        <v>2696</v>
      </c>
      <c r="X508" s="43"/>
      <c r="Y508" s="44" t="str">
        <f>vlookup(G508,zip_codes!$B$6:$J988,3,false)</f>
        <v>The Woodlands</v>
      </c>
      <c r="Z508" s="45" t="str">
        <f>vlookup(G508,zip_codes!$B$6:$J988,9,false)</f>
        <v>The Woodlands (Cochran's Crossing, Indian Springs)</v>
      </c>
      <c r="AA508" s="44" t="str">
        <f>vlookup(B508,organizations!$B$1:$C988,2,false)</f>
        <v>Interfaith of the Woodlands</v>
      </c>
      <c r="AB508" s="46" t="s">
        <v>2697</v>
      </c>
      <c r="AC508" s="47" t="s">
        <v>2698</v>
      </c>
      <c r="AD508" s="48" t="s">
        <v>2699</v>
      </c>
      <c r="AE508" s="48" t="str">
        <f t="shared" si="69"/>
        <v>Interfaith of the Woodlands4242 Interfaith Way14</v>
      </c>
      <c r="AF508" s="48" t="str">
        <f t="shared" si="70"/>
        <v/>
      </c>
    </row>
    <row r="509" ht="66.75" customHeight="1">
      <c r="A509" s="49" t="s">
        <v>2689</v>
      </c>
      <c r="B509" s="35" t="s">
        <v>2690</v>
      </c>
      <c r="C509" s="36" t="s">
        <v>2691</v>
      </c>
      <c r="D509" s="36"/>
      <c r="E509" s="36" t="s">
        <v>451</v>
      </c>
      <c r="F509" s="36" t="s">
        <v>37</v>
      </c>
      <c r="G509" s="35" t="s">
        <v>2692</v>
      </c>
      <c r="H509" s="35" t="s">
        <v>2693</v>
      </c>
      <c r="I509" s="35" t="s">
        <v>2694</v>
      </c>
      <c r="J509" s="35"/>
      <c r="K509" s="37">
        <f>IFERROR(__xludf.DUMMYFUNCTION("query(assistance!$A$2:$E988,""Select C Where D = '""&amp;L509&amp;""'"")"),24.0)</f>
        <v>24</v>
      </c>
      <c r="L509" s="36" t="s">
        <v>405</v>
      </c>
      <c r="M509" s="38">
        <f t="shared" si="72"/>
        <v>1</v>
      </c>
      <c r="N509" s="39" t="s">
        <v>42</v>
      </c>
      <c r="O509" s="40">
        <v>45772.0</v>
      </c>
      <c r="P509" s="50"/>
      <c r="Q509" s="35"/>
      <c r="R509" s="35" t="s">
        <v>2702</v>
      </c>
      <c r="S509" s="35" t="b">
        <v>0</v>
      </c>
      <c r="T509" s="35" t="b">
        <v>0</v>
      </c>
      <c r="U509" s="41" t="str">
        <f>IFERROR(__xludf.DUMMYFUNCTION("""["" &amp; JOIN("", "", ARRAYFORMULA("""""""" &amp; TRIM(SPLIT(A509, "","")) &amp; """""""")) &amp; ""]"""),"[""77354"", ""77375"", ""77380"", ""77381"", ""77382"", ""77384"", ""77385"", ""77386"", ""77389""]")</f>
        <v>["77354", "77375", "77380", "77381", "77382", "77384", "77385", "77386", "77389"]</v>
      </c>
      <c r="V509" s="52" t="s">
        <v>2664</v>
      </c>
      <c r="W509" s="52" t="s">
        <v>2696</v>
      </c>
      <c r="X509" s="43"/>
      <c r="Y509" s="44" t="str">
        <f>vlookup(G509,zip_codes!$B$6:$J988,3,false)</f>
        <v>The Woodlands</v>
      </c>
      <c r="Z509" s="45" t="str">
        <f>vlookup(G509,zip_codes!$B$6:$J988,9,false)</f>
        <v>The Woodlands (Cochran's Crossing, Indian Springs)</v>
      </c>
      <c r="AA509" s="44" t="str">
        <f>vlookup(B509,organizations!$B$1:$C988,2,false)</f>
        <v>Interfaith of the Woodlands</v>
      </c>
      <c r="AB509" s="46" t="s">
        <v>2697</v>
      </c>
      <c r="AC509" s="47" t="s">
        <v>2698</v>
      </c>
      <c r="AD509" s="48" t="s">
        <v>2699</v>
      </c>
      <c r="AE509" s="48" t="str">
        <f t="shared" si="69"/>
        <v>Interfaith of the Woodlands4242 Interfaith Way24</v>
      </c>
      <c r="AF509" s="48" t="str">
        <f t="shared" si="70"/>
        <v/>
      </c>
    </row>
    <row r="510" ht="66.75" customHeight="1">
      <c r="A510" s="49" t="s">
        <v>2689</v>
      </c>
      <c r="B510" s="35" t="s">
        <v>2690</v>
      </c>
      <c r="C510" s="36" t="s">
        <v>2691</v>
      </c>
      <c r="D510" s="36"/>
      <c r="E510" s="36" t="s">
        <v>451</v>
      </c>
      <c r="F510" s="36" t="s">
        <v>37</v>
      </c>
      <c r="G510" s="35" t="s">
        <v>2692</v>
      </c>
      <c r="H510" s="35" t="s">
        <v>2693</v>
      </c>
      <c r="I510" s="35" t="s">
        <v>2694</v>
      </c>
      <c r="J510" s="35"/>
      <c r="K510" s="37">
        <f>IFERROR(__xludf.DUMMYFUNCTION("query(assistance!$A$2:$E988,""Select C Where D = '""&amp;L510&amp;""'"")"),51.0)</f>
        <v>51</v>
      </c>
      <c r="L510" s="36" t="s">
        <v>468</v>
      </c>
      <c r="M510" s="38">
        <f t="shared" si="72"/>
        <v>1</v>
      </c>
      <c r="N510" s="39" t="s">
        <v>42</v>
      </c>
      <c r="O510" s="40">
        <v>45772.0</v>
      </c>
      <c r="P510" s="50"/>
      <c r="Q510" s="35"/>
      <c r="R510" s="35" t="s">
        <v>2703</v>
      </c>
      <c r="S510" s="35" t="b">
        <v>0</v>
      </c>
      <c r="T510" s="35" t="b">
        <v>0</v>
      </c>
      <c r="U510" s="41" t="str">
        <f>IFERROR(__xludf.DUMMYFUNCTION("""["" &amp; JOIN("", "", ARRAYFORMULA("""""""" &amp; TRIM(SPLIT(A510, "","")) &amp; """""""")) &amp; ""]"""),"[""77354"", ""77375"", ""77380"", ""77381"", ""77382"", ""77384"", ""77385"", ""77386"", ""77389""]")</f>
        <v>["77354", "77375", "77380", "77381", "77382", "77384", "77385", "77386", "77389"]</v>
      </c>
      <c r="V510" s="52" t="s">
        <v>2664</v>
      </c>
      <c r="W510" s="52" t="s">
        <v>2696</v>
      </c>
      <c r="X510" s="43"/>
      <c r="Y510" s="44" t="str">
        <f>vlookup(G510,zip_codes!$B$6:$J988,3,false)</f>
        <v>The Woodlands</v>
      </c>
      <c r="Z510" s="45" t="str">
        <f>vlookup(G510,zip_codes!$B$6:$J988,9,false)</f>
        <v>The Woodlands (Cochran's Crossing, Indian Springs)</v>
      </c>
      <c r="AA510" s="44" t="str">
        <f>vlookup(B510,organizations!$B$1:$C988,2,false)</f>
        <v>Interfaith of the Woodlands</v>
      </c>
      <c r="AB510" s="46" t="s">
        <v>2697</v>
      </c>
      <c r="AC510" s="47" t="s">
        <v>2698</v>
      </c>
      <c r="AD510" s="48" t="s">
        <v>2699</v>
      </c>
      <c r="AE510" s="48" t="str">
        <f t="shared" si="69"/>
        <v>Interfaith of the Woodlands4242 Interfaith Way51</v>
      </c>
      <c r="AF510" s="48" t="str">
        <f t="shared" si="70"/>
        <v/>
      </c>
    </row>
    <row r="511" ht="66.75" customHeight="1">
      <c r="A511" s="49" t="s">
        <v>2689</v>
      </c>
      <c r="B511" s="35" t="s">
        <v>2690</v>
      </c>
      <c r="C511" s="36" t="s">
        <v>2691</v>
      </c>
      <c r="D511" s="36"/>
      <c r="E511" s="36" t="s">
        <v>451</v>
      </c>
      <c r="F511" s="36" t="s">
        <v>37</v>
      </c>
      <c r="G511" s="35" t="s">
        <v>2692</v>
      </c>
      <c r="H511" s="35" t="s">
        <v>2693</v>
      </c>
      <c r="I511" s="35" t="s">
        <v>2694</v>
      </c>
      <c r="J511" s="35"/>
      <c r="K511" s="37">
        <f>IFERROR(__xludf.DUMMYFUNCTION("query(assistance!$A$2:$E988,""Select C Where D = '""&amp;L511&amp;""'"")"),61.0)</f>
        <v>61</v>
      </c>
      <c r="L511" s="36" t="s">
        <v>842</v>
      </c>
      <c r="M511" s="38">
        <f t="shared" si="72"/>
        <v>1</v>
      </c>
      <c r="N511" s="39" t="s">
        <v>42</v>
      </c>
      <c r="O511" s="40">
        <v>45772.0</v>
      </c>
      <c r="P511" s="50"/>
      <c r="Q511" s="35"/>
      <c r="R511" s="35" t="s">
        <v>2704</v>
      </c>
      <c r="S511" s="35" t="b">
        <v>0</v>
      </c>
      <c r="T511" s="35" t="b">
        <v>0</v>
      </c>
      <c r="U511" s="41" t="str">
        <f>IFERROR(__xludf.DUMMYFUNCTION("""["" &amp; JOIN("", "", ARRAYFORMULA("""""""" &amp; TRIM(SPLIT(A511, "","")) &amp; """""""")) &amp; ""]"""),"[""77354"", ""77375"", ""77380"", ""77381"", ""77382"", ""77384"", ""77385"", ""77386"", ""77389""]")</f>
        <v>["77354", "77375", "77380", "77381", "77382", "77384", "77385", "77386", "77389"]</v>
      </c>
      <c r="V511" s="52" t="s">
        <v>2664</v>
      </c>
      <c r="W511" s="52" t="s">
        <v>2696</v>
      </c>
      <c r="X511" s="43"/>
      <c r="Y511" s="44" t="str">
        <f>vlookup(G511,zip_codes!$B$6:$J988,3,false)</f>
        <v>The Woodlands</v>
      </c>
      <c r="Z511" s="45" t="str">
        <f>vlookup(G511,zip_codes!$B$6:$J988,9,false)</f>
        <v>The Woodlands (Cochran's Crossing, Indian Springs)</v>
      </c>
      <c r="AA511" s="44" t="str">
        <f>vlookup(B511,organizations!$B$1:$C988,2,false)</f>
        <v>Interfaith of the Woodlands</v>
      </c>
      <c r="AB511" s="46" t="s">
        <v>2697</v>
      </c>
      <c r="AC511" s="47" t="s">
        <v>2698</v>
      </c>
      <c r="AD511" s="48" t="s">
        <v>2699</v>
      </c>
      <c r="AE511" s="48" t="str">
        <f t="shared" si="69"/>
        <v>Interfaith of the Woodlands4242 Interfaith Way61</v>
      </c>
      <c r="AF511" s="48" t="str">
        <f t="shared" si="70"/>
        <v/>
      </c>
    </row>
    <row r="512" ht="66.75" customHeight="1">
      <c r="A512" s="49" t="s">
        <v>2689</v>
      </c>
      <c r="B512" s="35" t="s">
        <v>2690</v>
      </c>
      <c r="C512" s="36" t="s">
        <v>2691</v>
      </c>
      <c r="D512" s="36"/>
      <c r="E512" s="36" t="s">
        <v>451</v>
      </c>
      <c r="F512" s="36" t="s">
        <v>37</v>
      </c>
      <c r="G512" s="35" t="s">
        <v>2692</v>
      </c>
      <c r="H512" s="35" t="s">
        <v>2693</v>
      </c>
      <c r="I512" s="35" t="s">
        <v>2694</v>
      </c>
      <c r="J512" s="35"/>
      <c r="K512" s="37">
        <f>IFERROR(__xludf.DUMMYFUNCTION("query(assistance!$A$2:$E988,""Select C Where D = '""&amp;L512&amp;""'"")"),64.0)</f>
        <v>64</v>
      </c>
      <c r="L512" s="36" t="s">
        <v>817</v>
      </c>
      <c r="M512" s="38">
        <f t="shared" si="72"/>
        <v>1</v>
      </c>
      <c r="N512" s="39" t="s">
        <v>42</v>
      </c>
      <c r="O512" s="65"/>
      <c r="P512" s="50"/>
      <c r="Q512" s="35"/>
      <c r="R512" s="35" t="s">
        <v>1450</v>
      </c>
      <c r="S512" s="35" t="b">
        <v>0</v>
      </c>
      <c r="T512" s="35" t="b">
        <v>0</v>
      </c>
      <c r="U512" s="41" t="str">
        <f>IFERROR(__xludf.DUMMYFUNCTION("""["" &amp; JOIN("", "", ARRAYFORMULA("""""""" &amp; TRIM(SPLIT(A512, "","")) &amp; """""""")) &amp; ""]"""),"[""77354"", ""77375"", ""77380"", ""77381"", ""77382"", ""77384"", ""77385"", ""77386"", ""77389""]")</f>
        <v>["77354", "77375", "77380", "77381", "77382", "77384", "77385", "77386", "77389"]</v>
      </c>
      <c r="V512" s="52" t="s">
        <v>2664</v>
      </c>
      <c r="W512" s="52" t="s">
        <v>2696</v>
      </c>
      <c r="X512" s="43"/>
      <c r="Y512" s="44" t="str">
        <f>vlookup(G512,zip_codes!$B$6:$J988,3,false)</f>
        <v>The Woodlands</v>
      </c>
      <c r="Z512" s="45" t="str">
        <f>vlookup(G512,zip_codes!$B$6:$J988,9,false)</f>
        <v>The Woodlands (Cochran's Crossing, Indian Springs)</v>
      </c>
      <c r="AA512" s="44" t="str">
        <f>vlookup(B512,organizations!$B$1:$C988,2,false)</f>
        <v>Interfaith of the Woodlands</v>
      </c>
      <c r="AB512" s="46" t="s">
        <v>2697</v>
      </c>
      <c r="AC512" s="47" t="s">
        <v>2698</v>
      </c>
      <c r="AD512" s="48" t="s">
        <v>2699</v>
      </c>
      <c r="AE512" s="48" t="str">
        <f t="shared" si="69"/>
        <v>Interfaith of the Woodlands4242 Interfaith Way64</v>
      </c>
      <c r="AF512" s="48" t="str">
        <f t="shared" si="70"/>
        <v/>
      </c>
    </row>
    <row r="513" ht="66.75" customHeight="1">
      <c r="A513" s="49" t="s">
        <v>2705</v>
      </c>
      <c r="B513" s="35" t="s">
        <v>2706</v>
      </c>
      <c r="C513" s="36" t="s">
        <v>2707</v>
      </c>
      <c r="D513" s="36" t="s">
        <v>2708</v>
      </c>
      <c r="E513" s="36" t="s">
        <v>36</v>
      </c>
      <c r="F513" s="36" t="s">
        <v>37</v>
      </c>
      <c r="G513" s="35" t="s">
        <v>599</v>
      </c>
      <c r="H513" s="35" t="s">
        <v>2709</v>
      </c>
      <c r="I513" s="35" t="s">
        <v>2710</v>
      </c>
      <c r="J513" s="35" t="s">
        <v>2711</v>
      </c>
      <c r="K513" s="37">
        <f>IFERROR(__xludf.DUMMYFUNCTION("query(assistance!$A$2:$E988,""Select C Where D = '""&amp;L513&amp;""'"")"),11.0)</f>
        <v>11</v>
      </c>
      <c r="L513" s="36" t="s">
        <v>322</v>
      </c>
      <c r="M513" s="38">
        <f t="shared" si="72"/>
        <v>2</v>
      </c>
      <c r="N513" s="51" t="s">
        <v>385</v>
      </c>
      <c r="O513" s="40">
        <v>46085.0</v>
      </c>
      <c r="P513" s="35" t="s">
        <v>2712</v>
      </c>
      <c r="Q513" s="72">
        <v>46085.0</v>
      </c>
      <c r="R513" s="35" t="s">
        <v>2713</v>
      </c>
      <c r="S513" s="35" t="b">
        <v>1</v>
      </c>
      <c r="T513" s="35" t="b">
        <v>0</v>
      </c>
      <c r="U513" s="41" t="str">
        <f>IFERROR(__xludf.DUMMYFUNCTION("""["" &amp; JOIN("", "", ARRAYFORMULA("""""""" &amp; TRIM(SPLIT(A513, "","")) &amp; """""""")) &amp; ""]"""),"[""77009"", ""77013"", ""77014"", ""77015"", ""77016"", ""77018"", ""77020"", ""77022"", ""77026"", ""77028"", ""77032"", ""77036"", ""77037"", ""77038"", ""77039"", ""77040"", ""77041"", ""77043"", ""77044"", ""77049"", ""77050"", ""77055"", ""77060"", "&amp;"""77063"", ""77064"", ""77065"", ""77066"", ""77067"", ""77068"", ""77069"", ""77070"", ""77072"", ""77073"", ""77074"", ""77076"", ""77078"", ""77080"", ""77084"", ""77086"", ""77088"", ""77090"", ""77091"", ""77092"", ""77093"", ""77094"", ""77095"", """&amp;"77099"", ""77257"", ""77277"", ""77279"", ""77301"", ""77302"", ""77303"", ""77304"", ""77305"", ""77306"", ""77338"", ""77339"", ""77345"", ""77346"", ""77354"", ""77355"", ""77356"", ""77362"", ""77363"", ""77373"", ""77377"", ""77379"", ""77380"", ""77"&amp;"381"", ""77382"", ""77384"", ""77385"", ""77386"", ""77388"", ""77389"", ""77396"", ""77429"", ""77410"", ""77423"", ""77433"", ""77441"", ""77445"", ""77446"", ""77447"", ""77449"", ""77450"", ""77452"", ""77459"", ""77466"", ""77469"", ""77476"", ""7748"&amp;"4"", ""77493"", ""77494"", ""77516"", ""77518""]")</f>
        <v>["77009",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v>
      </c>
      <c r="V513" s="52" t="s">
        <v>2714</v>
      </c>
      <c r="W513" s="52" t="s">
        <v>2715</v>
      </c>
      <c r="X513" s="43"/>
      <c r="Y513" s="44" t="str">
        <f>vlookup(G513,zip_codes!$B$6:$J988,3,false)</f>
        <v>Houston</v>
      </c>
      <c r="Z513" s="45" t="str">
        <f>vlookup(G513,zip_codes!$B$6:$J988,9,false)</f>
        <v>Chinatown, Sharpstown, Westside</v>
      </c>
      <c r="AA513" s="44" t="str">
        <f>vlookup(B513,organizations!$B$1:$C988,2,false)</f>
        <v>Islamic Society of Greater Houston</v>
      </c>
      <c r="AB513" s="46" t="s">
        <v>2716</v>
      </c>
      <c r="AC513" s="47" t="s">
        <v>2717</v>
      </c>
      <c r="AD513" s="48" t="s">
        <v>1082</v>
      </c>
      <c r="AE513" s="48" t="str">
        <f t="shared" si="69"/>
        <v>Islamic Society of Greater Houston10333 Harwin Drive11</v>
      </c>
      <c r="AF513" s="48" t="str">
        <f t="shared" si="70"/>
        <v/>
      </c>
    </row>
    <row r="514" ht="66.75" customHeight="1">
      <c r="A514" s="49" t="s">
        <v>2705</v>
      </c>
      <c r="B514" s="35" t="s">
        <v>2706</v>
      </c>
      <c r="C514" s="36" t="s">
        <v>2707</v>
      </c>
      <c r="D514" s="36" t="s">
        <v>2708</v>
      </c>
      <c r="E514" s="36" t="s">
        <v>36</v>
      </c>
      <c r="F514" s="36" t="s">
        <v>37</v>
      </c>
      <c r="G514" s="35" t="s">
        <v>599</v>
      </c>
      <c r="H514" s="35" t="s">
        <v>2709</v>
      </c>
      <c r="I514" s="35" t="s">
        <v>2710</v>
      </c>
      <c r="J514" s="35" t="s">
        <v>2711</v>
      </c>
      <c r="K514" s="37">
        <f>IFERROR(__xludf.DUMMYFUNCTION("query(assistance!$A$2:$E988,""Select C Where D = '""&amp;L514&amp;""'"")"),12.0)</f>
        <v>12</v>
      </c>
      <c r="L514" s="36" t="s">
        <v>330</v>
      </c>
      <c r="M514" s="38">
        <f t="shared" si="72"/>
        <v>2</v>
      </c>
      <c r="N514" s="51" t="s">
        <v>385</v>
      </c>
      <c r="O514" s="40">
        <v>46085.0</v>
      </c>
      <c r="P514" s="35" t="s">
        <v>2712</v>
      </c>
      <c r="Q514" s="72">
        <v>46085.0</v>
      </c>
      <c r="R514" s="35" t="s">
        <v>2718</v>
      </c>
      <c r="S514" s="35" t="b">
        <v>1</v>
      </c>
      <c r="T514" s="35" t="b">
        <v>0</v>
      </c>
      <c r="U514" s="41" t="str">
        <f>IFERROR(__xludf.DUMMYFUNCTION("""["" &amp; JOIN("", "", ARRAYFORMULA("""""""" &amp; TRIM(SPLIT(A514, "","")) &amp; """""""")) &amp; ""]"""),"[""77009"", ""77013"", ""77014"", ""77015"", ""77016"", ""77018"", ""77020"", ""77022"", ""77026"", ""77028"", ""77032"", ""77036"", ""77037"", ""77038"", ""77039"", ""77040"", ""77041"", ""77043"", ""77044"", ""77049"", ""77050"", ""77055"", ""77060"", "&amp;"""77063"", ""77064"", ""77065"", ""77066"", ""77067"", ""77068"", ""77069"", ""77070"", ""77072"", ""77073"", ""77074"", ""77076"", ""77078"", ""77080"", ""77084"", ""77086"", ""77088"", ""77090"", ""77091"", ""77092"", ""77093"", ""77094"", ""77095"", """&amp;"77099"", ""77257"", ""77277"", ""77279"", ""77301"", ""77302"", ""77303"", ""77304"", ""77305"", ""77306"", ""77338"", ""77339"", ""77345"", ""77346"", ""77354"", ""77355"", ""77356"", ""77362"", ""77363"", ""77373"", ""77377"", ""77379"", ""77380"", ""77"&amp;"381"", ""77382"", ""77384"", ""77385"", ""77386"", ""77388"", ""77389"", ""77396"", ""77429"", ""77410"", ""77423"", ""77433"", ""77441"", ""77445"", ""77446"", ""77447"", ""77449"", ""77450"", ""77452"", ""77459"", ""77466"", ""77469"", ""77476"", ""7748"&amp;"4"", ""77493"", ""77494"", ""77516"", ""77518""]")</f>
        <v>["77009",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v>
      </c>
      <c r="V514" s="52" t="s">
        <v>2714</v>
      </c>
      <c r="W514" s="52" t="s">
        <v>2715</v>
      </c>
      <c r="X514" s="43"/>
      <c r="Y514" s="44" t="str">
        <f>vlookup(G514,zip_codes!$B$6:$J988,3,false)</f>
        <v>Houston</v>
      </c>
      <c r="Z514" s="45" t="str">
        <f>vlookup(G514,zip_codes!$B$6:$J988,9,false)</f>
        <v>Chinatown, Sharpstown, Westside</v>
      </c>
      <c r="AA514" s="44" t="str">
        <f>vlookup(B514,organizations!$B$1:$C988,2,false)</f>
        <v>Islamic Society of Greater Houston</v>
      </c>
      <c r="AB514" s="46" t="s">
        <v>2716</v>
      </c>
      <c r="AC514" s="47" t="s">
        <v>2717</v>
      </c>
      <c r="AD514" s="48" t="s">
        <v>1082</v>
      </c>
      <c r="AE514" s="48" t="str">
        <f t="shared" si="69"/>
        <v>Islamic Society of Greater Houston10333 Harwin Drive12</v>
      </c>
      <c r="AF514" s="48" t="str">
        <f t="shared" si="70"/>
        <v/>
      </c>
    </row>
    <row r="515" ht="66.75" customHeight="1">
      <c r="A515" s="49" t="s">
        <v>2705</v>
      </c>
      <c r="B515" s="35" t="s">
        <v>2706</v>
      </c>
      <c r="C515" s="36" t="s">
        <v>2707</v>
      </c>
      <c r="D515" s="36" t="s">
        <v>2708</v>
      </c>
      <c r="E515" s="36" t="s">
        <v>36</v>
      </c>
      <c r="F515" s="36" t="s">
        <v>37</v>
      </c>
      <c r="G515" s="35" t="s">
        <v>599</v>
      </c>
      <c r="H515" s="35" t="s">
        <v>2709</v>
      </c>
      <c r="I515" s="35" t="s">
        <v>2719</v>
      </c>
      <c r="J515" s="35" t="s">
        <v>2720</v>
      </c>
      <c r="K515" s="37">
        <f>IFERROR(__xludf.DUMMYFUNCTION("query(assistance!$A$2:$E988,""Select C Where D = '""&amp;L515&amp;""'"")"),13.0)</f>
        <v>13</v>
      </c>
      <c r="L515" s="36" t="s">
        <v>240</v>
      </c>
      <c r="M515" s="38">
        <f t="shared" si="72"/>
        <v>1</v>
      </c>
      <c r="N515" s="39" t="s">
        <v>42</v>
      </c>
      <c r="O515" s="40">
        <v>45670.0</v>
      </c>
      <c r="P515" s="35" t="s">
        <v>2721</v>
      </c>
      <c r="Q515" s="35"/>
      <c r="R515" s="35" t="s">
        <v>2722</v>
      </c>
      <c r="S515" s="35" t="b">
        <v>0</v>
      </c>
      <c r="T515" s="35" t="b">
        <v>0</v>
      </c>
      <c r="U515" s="41" t="str">
        <f>IFERROR(__xludf.DUMMYFUNCTION("""["" &amp; JOIN("", "", ARRAYFORMULA("""""""" &amp; TRIM(SPLIT(A515, "","")) &amp; """""""")) &amp; ""]"""),"[""77009"", ""77013"", ""77014"", ""77015"", ""77016"", ""77018"", ""77020"", ""77022"", ""77026"", ""77028"", ""77032"", ""77036"", ""77037"", ""77038"", ""77039"", ""77040"", ""77041"", ""77043"", ""77044"", ""77049"", ""77050"", ""77055"", ""77060"", "&amp;"""77063"", ""77064"", ""77065"", ""77066"", ""77067"", ""77068"", ""77069"", ""77070"", ""77072"", ""77073"", ""77074"", ""77076"", ""77078"", ""77080"", ""77084"", ""77086"", ""77088"", ""77090"", ""77091"", ""77092"", ""77093"", ""77094"", ""77095"", """&amp;"77099"", ""77257"", ""77277"", ""77279"", ""77301"", ""77302"", ""77303"", ""77304"", ""77305"", ""77306"", ""77338"", ""77339"", ""77345"", ""77346"", ""77354"", ""77355"", ""77356"", ""77362"", ""77363"", ""77373"", ""77377"", ""77379"", ""77380"", ""77"&amp;"381"", ""77382"", ""77384"", ""77385"", ""77386"", ""77388"", ""77389"", ""77396"", ""77429"", ""77410"", ""77423"", ""77433"", ""77441"", ""77445"", ""77446"", ""77447"", ""77449"", ""77450"", ""77452"", ""77459"", ""77466"", ""77469"", ""77476"", ""7748"&amp;"4"", ""77493"", ""77494"", ""77516"", ""77518""]")</f>
        <v>["77009", "77013", "77014", "77015", "77016", "77018", "77020", "77022", "77026", "77028", "77032", "77036", "77037", "77038", "77039", "77040", "77041", "77043", "77044", "77049", "77050", "77055", "77060", "77063", "77064", "77065", "77066", "77067", "77068", "77069", "77070", "77072", "77073", "77074", "77076", "77078", "77080", "77084", "77086", "77088", "77090", "77091", "77092", "77093", "77094", "77095", "77099", "77257", "77277", "77279", "77301", "77302", "77303", "77304", "77305", "77306", "77338", "77339", "77345", "77346", "77354", "77355", "77356", "77362", "77363", "77373", "77377", "77379", "77380", "77381", "77382", "77384", "77385", "77386", "77388", "77389", "77396", "77429", "77410", "77423", "77433", "77441", "77445", "77446", "77447", "77449", "77450", "77452", "77459", "77466", "77469", "77476", "77484", "77493", "77494", "77516", "77518"]</v>
      </c>
      <c r="V515" s="52" t="s">
        <v>2714</v>
      </c>
      <c r="W515" s="52" t="s">
        <v>2715</v>
      </c>
      <c r="X515" s="43"/>
      <c r="Y515" s="44" t="str">
        <f>vlookup(G515,zip_codes!$B$6:$J988,3,false)</f>
        <v>Houston</v>
      </c>
      <c r="Z515" s="45" t="str">
        <f>vlookup(G515,zip_codes!$B$6:$J988,9,false)</f>
        <v>Chinatown, Sharpstown, Westside</v>
      </c>
      <c r="AA515" s="44" t="str">
        <f>vlookup(B515,organizations!$B$1:$C988,2,false)</f>
        <v>Islamic Society of Greater Houston</v>
      </c>
      <c r="AB515" s="46" t="s">
        <v>2716</v>
      </c>
      <c r="AC515" s="47" t="s">
        <v>2723</v>
      </c>
      <c r="AD515" s="48" t="s">
        <v>1082</v>
      </c>
      <c r="AE515" s="48" t="str">
        <f t="shared" si="69"/>
        <v>Islamic Society of Greater Houston10333 Harwin Drive13</v>
      </c>
      <c r="AF515" s="48" t="str">
        <f t="shared" si="70"/>
        <v/>
      </c>
    </row>
    <row r="516" ht="66.75" customHeight="1">
      <c r="A516" s="49" t="s">
        <v>50</v>
      </c>
      <c r="B516" s="35" t="s">
        <v>2724</v>
      </c>
      <c r="C516" s="36" t="s">
        <v>2725</v>
      </c>
      <c r="D516" s="36" t="s">
        <v>2726</v>
      </c>
      <c r="E516" s="36" t="s">
        <v>451</v>
      </c>
      <c r="F516" s="36" t="s">
        <v>37</v>
      </c>
      <c r="G516" s="35" t="s">
        <v>2727</v>
      </c>
      <c r="H516" s="35"/>
      <c r="I516" s="35"/>
      <c r="J516" s="35"/>
      <c r="K516" s="37">
        <f>IFERROR(__xludf.DUMMYFUNCTION("query(assistance!$A$2:$E988,""Select C Where D = '""&amp;L516&amp;""'"")"),65.0)</f>
        <v>65</v>
      </c>
      <c r="L516" s="36" t="s">
        <v>41</v>
      </c>
      <c r="M516" s="38">
        <f t="shared" si="72"/>
        <v>2</v>
      </c>
      <c r="N516" s="39" t="s">
        <v>385</v>
      </c>
      <c r="O516" s="40">
        <v>45797.0</v>
      </c>
      <c r="P516" s="35" t="s">
        <v>43</v>
      </c>
      <c r="Q516" s="35"/>
      <c r="R516" s="35" t="s">
        <v>2728</v>
      </c>
      <c r="S516" s="35" t="b">
        <v>0</v>
      </c>
      <c r="T516" s="35" t="b">
        <v>0</v>
      </c>
      <c r="U516" s="41" t="str">
        <f>IFERROR(__xludf.DUMMYFUNCTION("""["" &amp; JOIN("", "", ARRAYFORMULA("""""""" &amp; TRIM(SPLIT(A516, "","")) &amp; """""""")) &amp; ""]"""),"[""99999""]")</f>
        <v>["99999"]</v>
      </c>
      <c r="V516" s="42" t="s">
        <v>2729</v>
      </c>
      <c r="W516" s="42" t="s">
        <v>2730</v>
      </c>
      <c r="X516" s="43"/>
      <c r="Y516" s="44" t="str">
        <f>vlookup(G516,zip_codes!$B$6:$J988,3,false)</f>
        <v>Spring</v>
      </c>
      <c r="Z516" s="45" t="str">
        <f>vlookup(G516,zip_codes!$B$6:$J988,9,false)</f>
        <v>Benders Landing, Harmony, Spring</v>
      </c>
      <c r="AA516" s="44" t="str">
        <f>vlookup(B516,organizations!$B$1:$C988,2,false)</f>
        <v>Kailee Mills Foundation</v>
      </c>
      <c r="AB516" s="46" t="s">
        <v>2731</v>
      </c>
      <c r="AC516" s="53"/>
      <c r="AD516" s="48" t="s">
        <v>451</v>
      </c>
      <c r="AE516" s="48" t="str">
        <f t="shared" si="69"/>
        <v>Kailee Mills Foundation25003 Pitkin Road65</v>
      </c>
      <c r="AF516" s="48" t="str">
        <f t="shared" si="70"/>
        <v/>
      </c>
    </row>
    <row r="517" ht="66.75" customHeight="1">
      <c r="A517" s="49" t="s">
        <v>2732</v>
      </c>
      <c r="B517" s="35" t="s">
        <v>2733</v>
      </c>
      <c r="C517" s="36" t="s">
        <v>2734</v>
      </c>
      <c r="D517" s="36" t="s">
        <v>2735</v>
      </c>
      <c r="E517" s="36" t="s">
        <v>36</v>
      </c>
      <c r="F517" s="36" t="s">
        <v>37</v>
      </c>
      <c r="G517" s="35" t="s">
        <v>1091</v>
      </c>
      <c r="H517" s="35" t="s">
        <v>2736</v>
      </c>
      <c r="I517" s="35" t="s">
        <v>2737</v>
      </c>
      <c r="J517" s="35"/>
      <c r="K517" s="37">
        <f>IFERROR(__xludf.DUMMYFUNCTION("query(assistance!$A$2:$E988,""Select C Where D = '""&amp;L517&amp;""'"")"),11.0)</f>
        <v>11</v>
      </c>
      <c r="L517" s="36" t="s">
        <v>322</v>
      </c>
      <c r="M517" s="38">
        <f t="shared" si="72"/>
        <v>1</v>
      </c>
      <c r="N517" s="39" t="s">
        <v>42</v>
      </c>
      <c r="O517" s="73">
        <v>45758.0</v>
      </c>
      <c r="P517" s="50"/>
      <c r="Q517" s="35"/>
      <c r="R517" s="35" t="s">
        <v>2738</v>
      </c>
      <c r="S517" s="35" t="b">
        <v>0</v>
      </c>
      <c r="T517" s="35" t="b">
        <v>0</v>
      </c>
      <c r="U517" s="41" t="str">
        <f>IFERROR(__xludf.DUMMYFUNCTION("""["" &amp; JOIN("", "", ARRAYFORMULA("""""""" &amp; TRIM(SPLIT(A517, "","")) &amp; """""""")) &amp; ""]"""),"[""77084"", ""77094"", ""77406"", ""77407"", ""77423"", ""77441"", ""77449"", ""77450"", ""77464"", ""77476"", ""77485"", ""77493"", ""77494""]")</f>
        <v>["77084", "77094", "77406", "77407", "77423", "77441", "77449", "77450", "77464", "77476", "77485", "77493", "77494"]</v>
      </c>
      <c r="V517" s="52" t="s">
        <v>2739</v>
      </c>
      <c r="W517" s="52" t="s">
        <v>2740</v>
      </c>
      <c r="X517" s="43"/>
      <c r="Y517" s="44" t="str">
        <f>vlookup(G517,zip_codes!$B$6:$J988,3,false)</f>
        <v>Katy</v>
      </c>
      <c r="Z517" s="45" t="str">
        <f>vlookup(G517,zip_codes!$B$6:$J988,9,false)</f>
        <v>Cane Island, Katy (Old Town)</v>
      </c>
      <c r="AA517" s="44" t="str">
        <f>vlookup(B517,organizations!$B$1:$C988,2,false)</f>
        <v>Katy Christian Ministries</v>
      </c>
      <c r="AB517" s="46" t="s">
        <v>2741</v>
      </c>
      <c r="AC517" s="47" t="s">
        <v>621</v>
      </c>
      <c r="AD517" s="48" t="s">
        <v>148</v>
      </c>
      <c r="AE517" s="48" t="str">
        <f t="shared" si="69"/>
        <v>Katy Christian Ministries3506 Porter Road11</v>
      </c>
      <c r="AF517" s="48" t="str">
        <f t="shared" si="70"/>
        <v/>
      </c>
    </row>
    <row r="518" ht="66.75" customHeight="1">
      <c r="A518" s="49" t="s">
        <v>2732</v>
      </c>
      <c r="B518" s="35" t="s">
        <v>2733</v>
      </c>
      <c r="C518" s="36" t="s">
        <v>2734</v>
      </c>
      <c r="D518" s="36" t="s">
        <v>2735</v>
      </c>
      <c r="E518" s="36" t="s">
        <v>36</v>
      </c>
      <c r="F518" s="36" t="s">
        <v>37</v>
      </c>
      <c r="G518" s="35" t="s">
        <v>1091</v>
      </c>
      <c r="H518" s="35" t="s">
        <v>2736</v>
      </c>
      <c r="I518" s="35" t="s">
        <v>2737</v>
      </c>
      <c r="J518" s="35"/>
      <c r="K518" s="37">
        <f>IFERROR(__xludf.DUMMYFUNCTION("query(assistance!$A$2:$E988,""Select C Where D = '""&amp;L518&amp;""'"")"),12.0)</f>
        <v>12</v>
      </c>
      <c r="L518" s="36" t="s">
        <v>330</v>
      </c>
      <c r="M518" s="38">
        <f t="shared" si="72"/>
        <v>1</v>
      </c>
      <c r="N518" s="39" t="s">
        <v>42</v>
      </c>
      <c r="O518" s="73">
        <v>45758.0</v>
      </c>
      <c r="P518" s="50"/>
      <c r="Q518" s="35"/>
      <c r="R518" s="35" t="s">
        <v>2738</v>
      </c>
      <c r="S518" s="35" t="b">
        <v>0</v>
      </c>
      <c r="T518" s="35" t="b">
        <v>0</v>
      </c>
      <c r="U518" s="41" t="str">
        <f>IFERROR(__xludf.DUMMYFUNCTION("""["" &amp; JOIN("", "", ARRAYFORMULA("""""""" &amp; TRIM(SPLIT(A518, "","")) &amp; """""""")) &amp; ""]"""),"[""77084"", ""77094"", ""77406"", ""77407"", ""77423"", ""77441"", ""77449"", ""77450"", ""77464"", ""77476"", ""77485"", ""77493"", ""77494""]")</f>
        <v>["77084", "77094", "77406", "77407", "77423", "77441", "77449", "77450", "77464", "77476", "77485", "77493", "77494"]</v>
      </c>
      <c r="V518" s="52" t="s">
        <v>2739</v>
      </c>
      <c r="W518" s="52" t="s">
        <v>2740</v>
      </c>
      <c r="X518" s="43"/>
      <c r="Y518" s="44" t="str">
        <f>vlookup(G518,zip_codes!$B$6:$J988,3,false)</f>
        <v>Katy</v>
      </c>
      <c r="Z518" s="45" t="str">
        <f>vlookup(G518,zip_codes!$B$6:$J988,9,false)</f>
        <v>Cane Island, Katy (Old Town)</v>
      </c>
      <c r="AA518" s="44" t="str">
        <f>vlookup(B518,organizations!$B$1:$C988,2,false)</f>
        <v>Katy Christian Ministries</v>
      </c>
      <c r="AB518" s="46" t="s">
        <v>2741</v>
      </c>
      <c r="AC518" s="47" t="s">
        <v>621</v>
      </c>
      <c r="AD518" s="48" t="s">
        <v>148</v>
      </c>
      <c r="AE518" s="48" t="str">
        <f t="shared" si="69"/>
        <v>Katy Christian Ministries3506 Porter Road12</v>
      </c>
      <c r="AF518" s="48" t="str">
        <f t="shared" si="70"/>
        <v/>
      </c>
    </row>
    <row r="519" ht="66.75" customHeight="1">
      <c r="A519" s="49" t="s">
        <v>2732</v>
      </c>
      <c r="B519" s="35" t="s">
        <v>2733</v>
      </c>
      <c r="C519" s="36" t="s">
        <v>2734</v>
      </c>
      <c r="D519" s="36" t="s">
        <v>2735</v>
      </c>
      <c r="E519" s="36" t="s">
        <v>36</v>
      </c>
      <c r="F519" s="36" t="s">
        <v>37</v>
      </c>
      <c r="G519" s="35" t="s">
        <v>1091</v>
      </c>
      <c r="H519" s="35" t="s">
        <v>2736</v>
      </c>
      <c r="I519" s="35" t="s">
        <v>2737</v>
      </c>
      <c r="J519" s="35"/>
      <c r="K519" s="37">
        <f>IFERROR(__xludf.DUMMYFUNCTION("query(assistance!$A$2:$E988,""Select C Where D = '""&amp;L519&amp;""'"")"),13.0)</f>
        <v>13</v>
      </c>
      <c r="L519" s="36" t="s">
        <v>240</v>
      </c>
      <c r="M519" s="38">
        <f t="shared" si="72"/>
        <v>1</v>
      </c>
      <c r="N519" s="39" t="s">
        <v>42</v>
      </c>
      <c r="O519" s="73">
        <v>45758.0</v>
      </c>
      <c r="P519" s="50"/>
      <c r="Q519" s="35"/>
      <c r="R519" s="35" t="s">
        <v>2742</v>
      </c>
      <c r="S519" s="35" t="b">
        <v>0</v>
      </c>
      <c r="T519" s="35" t="b">
        <v>0</v>
      </c>
      <c r="U519" s="41" t="str">
        <f>IFERROR(__xludf.DUMMYFUNCTION("""["" &amp; JOIN("", "", ARRAYFORMULA("""""""" &amp; TRIM(SPLIT(A519, "","")) &amp; """""""")) &amp; ""]"""),"[""77084"", ""77094"", ""77406"", ""77407"", ""77423"", ""77441"", ""77449"", ""77450"", ""77464"", ""77476"", ""77485"", ""77493"", ""77494""]")</f>
        <v>["77084", "77094", "77406", "77407", "77423", "77441", "77449", "77450", "77464", "77476", "77485", "77493", "77494"]</v>
      </c>
      <c r="V519" s="52" t="s">
        <v>2739</v>
      </c>
      <c r="W519" s="52" t="s">
        <v>2740</v>
      </c>
      <c r="X519" s="43"/>
      <c r="Y519" s="44" t="str">
        <f>vlookup(G519,zip_codes!$B$6:$J988,3,false)</f>
        <v>Katy</v>
      </c>
      <c r="Z519" s="45" t="str">
        <f>vlookup(G519,zip_codes!$B$6:$J988,9,false)</f>
        <v>Cane Island, Katy (Old Town)</v>
      </c>
      <c r="AA519" s="44" t="str">
        <f>vlookup(B519,organizations!$B$1:$C988,2,false)</f>
        <v>Katy Christian Ministries</v>
      </c>
      <c r="AB519" s="46" t="s">
        <v>2741</v>
      </c>
      <c r="AC519" s="47" t="s">
        <v>621</v>
      </c>
      <c r="AD519" s="48" t="s">
        <v>148</v>
      </c>
      <c r="AE519" s="48" t="str">
        <f t="shared" si="69"/>
        <v>Katy Christian Ministries3506 Porter Road13</v>
      </c>
      <c r="AF519" s="48" t="str">
        <f t="shared" si="70"/>
        <v/>
      </c>
    </row>
    <row r="520" ht="66.75" customHeight="1">
      <c r="A520" s="49" t="s">
        <v>2732</v>
      </c>
      <c r="B520" s="35" t="s">
        <v>2733</v>
      </c>
      <c r="C520" s="36" t="s">
        <v>2734</v>
      </c>
      <c r="D520" s="36" t="s">
        <v>2735</v>
      </c>
      <c r="E520" s="36" t="s">
        <v>36</v>
      </c>
      <c r="F520" s="36" t="s">
        <v>37</v>
      </c>
      <c r="G520" s="35" t="s">
        <v>1091</v>
      </c>
      <c r="H520" s="35" t="s">
        <v>2736</v>
      </c>
      <c r="I520" s="35" t="s">
        <v>2737</v>
      </c>
      <c r="J520" s="35"/>
      <c r="K520" s="37">
        <f>IFERROR(__xludf.DUMMYFUNCTION("query(assistance!$A$2:$E988,""Select C Where D = '""&amp;L520&amp;""'"")"),14.0)</f>
        <v>14</v>
      </c>
      <c r="L520" s="36" t="s">
        <v>391</v>
      </c>
      <c r="M520" s="38">
        <f t="shared" si="72"/>
        <v>1</v>
      </c>
      <c r="N520" s="39" t="s">
        <v>42</v>
      </c>
      <c r="O520" s="65"/>
      <c r="P520" s="50"/>
      <c r="Q520" s="35"/>
      <c r="R520" s="35" t="s">
        <v>2743</v>
      </c>
      <c r="S520" s="35" t="b">
        <v>0</v>
      </c>
      <c r="T520" s="35" t="b">
        <v>0</v>
      </c>
      <c r="U520" s="41" t="str">
        <f>IFERROR(__xludf.DUMMYFUNCTION("""["" &amp; JOIN("", "", ARRAYFORMULA("""""""" &amp; TRIM(SPLIT(A520, "","")) &amp; """""""")) &amp; ""]"""),"[""77084"", ""77094"", ""77406"", ""77407"", ""77423"", ""77441"", ""77449"", ""77450"", ""77464"", ""77476"", ""77485"", ""77493"", ""77494""]")</f>
        <v>["77084", "77094", "77406", "77407", "77423", "77441", "77449", "77450", "77464", "77476", "77485", "77493", "77494"]</v>
      </c>
      <c r="V520" s="52" t="s">
        <v>2739</v>
      </c>
      <c r="W520" s="52" t="s">
        <v>2740</v>
      </c>
      <c r="X520" s="43"/>
      <c r="Y520" s="44" t="str">
        <f>vlookup(G520,zip_codes!$B$6:$J988,3,false)</f>
        <v>Katy</v>
      </c>
      <c r="Z520" s="45" t="str">
        <f>vlookup(G520,zip_codes!$B$6:$J988,9,false)</f>
        <v>Cane Island, Katy (Old Town)</v>
      </c>
      <c r="AA520" s="44" t="str">
        <f>vlookup(B520,organizations!$B$1:$C988,2,false)</f>
        <v>Katy Christian Ministries</v>
      </c>
      <c r="AB520" s="46" t="s">
        <v>2741</v>
      </c>
      <c r="AC520" s="47" t="s">
        <v>621</v>
      </c>
      <c r="AD520" s="48" t="s">
        <v>148</v>
      </c>
      <c r="AE520" s="48" t="str">
        <f t="shared" si="69"/>
        <v>Katy Christian Ministries3506 Porter Road14</v>
      </c>
      <c r="AF520" s="48" t="str">
        <f t="shared" si="70"/>
        <v/>
      </c>
    </row>
    <row r="521" ht="66.75" customHeight="1">
      <c r="A521" s="49" t="s">
        <v>2732</v>
      </c>
      <c r="B521" s="35" t="s">
        <v>2733</v>
      </c>
      <c r="C521" s="36" t="s">
        <v>2734</v>
      </c>
      <c r="D521" s="36" t="s">
        <v>2735</v>
      </c>
      <c r="E521" s="36" t="s">
        <v>36</v>
      </c>
      <c r="F521" s="36" t="s">
        <v>37</v>
      </c>
      <c r="G521" s="35" t="s">
        <v>1091</v>
      </c>
      <c r="H521" s="35" t="s">
        <v>2744</v>
      </c>
      <c r="I521" s="35" t="s">
        <v>516</v>
      </c>
      <c r="J521" s="35"/>
      <c r="K521" s="37">
        <f>IFERROR(__xludf.DUMMYFUNCTION("query(assistance!$A$2:$E988,""Select C Where D = '""&amp;L521&amp;""'"")"),42.0)</f>
        <v>42</v>
      </c>
      <c r="L521" s="36" t="s">
        <v>273</v>
      </c>
      <c r="M521" s="38">
        <f t="shared" si="72"/>
        <v>1</v>
      </c>
      <c r="N521" s="39" t="s">
        <v>42</v>
      </c>
      <c r="O521" s="65"/>
      <c r="P521" s="50"/>
      <c r="Q521" s="35"/>
      <c r="R521" s="35" t="s">
        <v>2745</v>
      </c>
      <c r="S521" s="35" t="b">
        <v>0</v>
      </c>
      <c r="T521" s="35" t="b">
        <v>0</v>
      </c>
      <c r="U521" s="41" t="str">
        <f>IFERROR(__xludf.DUMMYFUNCTION("""["" &amp; JOIN("", "", ARRAYFORMULA("""""""" &amp; TRIM(SPLIT(A521, "","")) &amp; """""""")) &amp; ""]"""),"[""77084"", ""77094"", ""77406"", ""77407"", ""77423"", ""77441"", ""77449"", ""77450"", ""77464"", ""77476"", ""77485"", ""77493"", ""77494""]")</f>
        <v>["77084", "77094", "77406", "77407", "77423", "77441", "77449", "77450", "77464", "77476", "77485", "77493", "77494"]</v>
      </c>
      <c r="V521" s="52" t="s">
        <v>2739</v>
      </c>
      <c r="W521" s="52" t="s">
        <v>2740</v>
      </c>
      <c r="X521" s="43"/>
      <c r="Y521" s="44" t="str">
        <f>vlookup(G521,zip_codes!$B$6:$J988,3,false)</f>
        <v>Katy</v>
      </c>
      <c r="Z521" s="45" t="str">
        <f>vlookup(G521,zip_codes!$B$6:$J988,9,false)</f>
        <v>Cane Island, Katy (Old Town)</v>
      </c>
      <c r="AA521" s="44" t="str">
        <f>vlookup(B521,organizations!$B$1:$C988,2,false)</f>
        <v>Katy Christian Ministries</v>
      </c>
      <c r="AB521" s="46" t="s">
        <v>2741</v>
      </c>
      <c r="AC521" s="47" t="s">
        <v>520</v>
      </c>
      <c r="AD521" s="48" t="s">
        <v>148</v>
      </c>
      <c r="AE521" s="48" t="str">
        <f t="shared" si="69"/>
        <v>Katy Christian Ministries3506 Porter Road42</v>
      </c>
      <c r="AF521" s="48" t="str">
        <f t="shared" si="70"/>
        <v/>
      </c>
    </row>
    <row r="522" ht="66.75" customHeight="1">
      <c r="A522" s="82" t="s">
        <v>2746</v>
      </c>
      <c r="B522" s="35" t="s">
        <v>2733</v>
      </c>
      <c r="C522" s="36" t="s">
        <v>2734</v>
      </c>
      <c r="D522" s="36" t="s">
        <v>2735</v>
      </c>
      <c r="E522" s="36" t="s">
        <v>36</v>
      </c>
      <c r="F522" s="36" t="s">
        <v>37</v>
      </c>
      <c r="G522" s="35" t="s">
        <v>1091</v>
      </c>
      <c r="H522" s="35" t="s">
        <v>2747</v>
      </c>
      <c r="I522" s="35" t="s">
        <v>40</v>
      </c>
      <c r="J522" s="36" t="s">
        <v>2748</v>
      </c>
      <c r="K522" s="37">
        <f>IFERROR(__xludf.DUMMYFUNCTION("query(assistance!$A$2:$E988,""Select C Where D = '""&amp;L522&amp;""'"")"),56.0)</f>
        <v>56</v>
      </c>
      <c r="L522" s="36" t="s">
        <v>56</v>
      </c>
      <c r="M522" s="38">
        <f t="shared" si="72"/>
        <v>1</v>
      </c>
      <c r="N522" s="39" t="s">
        <v>42</v>
      </c>
      <c r="O522" s="57">
        <v>46070.0</v>
      </c>
      <c r="P522" s="35" t="s">
        <v>43</v>
      </c>
      <c r="Q522" s="35"/>
      <c r="R522" s="35" t="s">
        <v>2749</v>
      </c>
      <c r="S522" s="35" t="b">
        <v>0</v>
      </c>
      <c r="T522" s="35" t="b">
        <v>0</v>
      </c>
      <c r="U522" s="35" t="str">
        <f>IFERROR(__xludf.DUMMYFUNCTION("""["" &amp; JOIN("", "", ARRAYFORMULA("""""""" &amp; TRIM(SPLIT(A522,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 ""77053"", ""77406"", ""77407"", ""77417"", ""77430"", ""77441"", ""77444"", ""77451"", ""77459"", ""77461"", ""77464"", ""77469"", ""77471"", "&amp;"""77476"", ""77477"", ""77478"", ""77479"", ""77481"", ""77485"", ""77487"", ""77489"", ""77494"", ""77496"", ""77498"", ""77545"", ""77583"", ""77584"", ""77423"", ""77445"", ""77446"", ""77466"", ""77484"", ""77492""]")</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 "77423", "77445", "77446", "77466", "77484", "77492"]</v>
      </c>
      <c r="V522" s="42" t="s">
        <v>2750</v>
      </c>
      <c r="W522" s="52" t="s">
        <v>2740</v>
      </c>
      <c r="X522" s="43"/>
      <c r="Y522" s="44" t="str">
        <f>vlookup(G522,zip_codes!$B$6:$J988,3,false)</f>
        <v>Katy</v>
      </c>
      <c r="Z522" s="45" t="str">
        <f>vlookup(G522,zip_codes!$B$6:$J988,9,false)</f>
        <v>Cane Island, Katy (Old Town)</v>
      </c>
      <c r="AA522" s="44" t="str">
        <f>vlookup(B522,organizations!$B$1:$C988,2,false)</f>
        <v>Katy Christian Ministries</v>
      </c>
      <c r="AB522" s="46" t="s">
        <v>2741</v>
      </c>
      <c r="AC522" s="53" t="str">
        <f>PARSE_HOURS(I522)</f>
        <v>{"regular":[{"days":["Mo","Tu","We","Th","Fr"],"open":"09:00","close":"17:00"}]}</v>
      </c>
      <c r="AD522" s="48" t="s">
        <v>148</v>
      </c>
      <c r="AE522" s="48" t="str">
        <f t="shared" si="69"/>
        <v>Katy Christian Ministries3506 Porter Road56</v>
      </c>
      <c r="AF522" s="48"/>
    </row>
    <row r="523" ht="66.75" customHeight="1">
      <c r="A523" s="49" t="s">
        <v>2732</v>
      </c>
      <c r="B523" s="35" t="s">
        <v>2733</v>
      </c>
      <c r="C523" s="36" t="s">
        <v>2734</v>
      </c>
      <c r="D523" s="36" t="s">
        <v>2735</v>
      </c>
      <c r="E523" s="36" t="s">
        <v>36</v>
      </c>
      <c r="F523" s="36" t="s">
        <v>37</v>
      </c>
      <c r="G523" s="35" t="s">
        <v>1091</v>
      </c>
      <c r="H523" s="35" t="s">
        <v>2736</v>
      </c>
      <c r="I523" s="35" t="s">
        <v>2737</v>
      </c>
      <c r="J523" s="35"/>
      <c r="K523" s="37">
        <f>IFERROR(__xludf.DUMMYFUNCTION("query(assistance!$A$2:$E988,""Select C Where D = '""&amp;L523&amp;""'"")"),64.0)</f>
        <v>64</v>
      </c>
      <c r="L523" s="36" t="s">
        <v>817</v>
      </c>
      <c r="M523" s="38">
        <f t="shared" si="72"/>
        <v>1</v>
      </c>
      <c r="N523" s="39" t="s">
        <v>42</v>
      </c>
      <c r="O523" s="65"/>
      <c r="P523" s="50"/>
      <c r="Q523" s="35"/>
      <c r="R523" s="35" t="s">
        <v>1450</v>
      </c>
      <c r="S523" s="35" t="b">
        <v>0</v>
      </c>
      <c r="T523" s="35" t="b">
        <v>0</v>
      </c>
      <c r="U523" s="41" t="str">
        <f>IFERROR(__xludf.DUMMYFUNCTION("""["" &amp; JOIN("", "", ARRAYFORMULA("""""""" &amp; TRIM(SPLIT(A523, "","")) &amp; """""""")) &amp; ""]"""),"[""77084"", ""77094"", ""77406"", ""77407"", ""77423"", ""77441"", ""77449"", ""77450"", ""77464"", ""77476"", ""77485"", ""77493"", ""77494""]")</f>
        <v>["77084", "77094", "77406", "77407", "77423", "77441", "77449", "77450", "77464", "77476", "77485", "77493", "77494"]</v>
      </c>
      <c r="V523" s="52" t="s">
        <v>2739</v>
      </c>
      <c r="W523" s="52" t="s">
        <v>2740</v>
      </c>
      <c r="X523" s="43"/>
      <c r="Y523" s="44" t="str">
        <f>vlookup(G523,zip_codes!$B$6:$J988,3,false)</f>
        <v>Katy</v>
      </c>
      <c r="Z523" s="45" t="str">
        <f>vlookup(G523,zip_codes!$B$6:$J988,9,false)</f>
        <v>Cane Island, Katy (Old Town)</v>
      </c>
      <c r="AA523" s="44" t="str">
        <f>vlookup(B523,organizations!$B$1:$C988,2,false)</f>
        <v>Katy Christian Ministries</v>
      </c>
      <c r="AB523" s="46" t="s">
        <v>2741</v>
      </c>
      <c r="AC523" s="47" t="s">
        <v>621</v>
      </c>
      <c r="AD523" s="48" t="s">
        <v>148</v>
      </c>
      <c r="AE523" s="48" t="str">
        <f t="shared" si="69"/>
        <v>Katy Christian Ministries3506 Porter Road64</v>
      </c>
      <c r="AF523" s="48" t="str">
        <f t="shared" ref="AF523:AF576" si="73">if(AE523=AE522,"XXX","")</f>
        <v/>
      </c>
    </row>
    <row r="524" ht="66.75" customHeight="1">
      <c r="A524" s="49" t="s">
        <v>50</v>
      </c>
      <c r="B524" s="35" t="s">
        <v>2751</v>
      </c>
      <c r="C524" s="36" t="s">
        <v>2752</v>
      </c>
      <c r="D524" s="36"/>
      <c r="E524" s="36" t="s">
        <v>148</v>
      </c>
      <c r="F524" s="36" t="s">
        <v>37</v>
      </c>
      <c r="G524" s="35" t="s">
        <v>1091</v>
      </c>
      <c r="H524" s="35" t="s">
        <v>2753</v>
      </c>
      <c r="I524" s="35" t="s">
        <v>67</v>
      </c>
      <c r="J524" s="35"/>
      <c r="K524" s="37">
        <f>IFERROR(__xludf.DUMMYFUNCTION("query(assistance!$A$2:$E988,""Select C Where D = '""&amp;L524&amp;""'"")"),24.0)</f>
        <v>24</v>
      </c>
      <c r="L524" s="36" t="s">
        <v>405</v>
      </c>
      <c r="M524" s="39">
        <f>if(N524="Inactive",3,if(N524="Limited", 2, if(N524="Closed", 4, 1)))</f>
        <v>3</v>
      </c>
      <c r="N524" s="51" t="s">
        <v>973</v>
      </c>
      <c r="O524" s="40">
        <v>45851.0</v>
      </c>
      <c r="P524" s="35" t="s">
        <v>2754</v>
      </c>
      <c r="Q524" s="35"/>
      <c r="R524" s="35" t="s">
        <v>2755</v>
      </c>
      <c r="S524" s="35" t="b">
        <v>0</v>
      </c>
      <c r="T524" s="35" t="b">
        <v>0</v>
      </c>
      <c r="U524" s="41" t="str">
        <f>IFERROR(__xludf.DUMMYFUNCTION("""["" &amp; JOIN("", "", ARRAYFORMULA("""""""" &amp; TRIM(SPLIT(A524, "","")) &amp; """""""")) &amp; ""]"""),"[""99999""]")</f>
        <v>["99999"]</v>
      </c>
      <c r="V524" s="52" t="s">
        <v>2756</v>
      </c>
      <c r="W524" s="43"/>
      <c r="X524" s="43"/>
      <c r="Y524" s="44" t="str">
        <f>vlookup(G524,zip_codes!$B$6:$J988,3,false)</f>
        <v>Katy</v>
      </c>
      <c r="Z524" s="45" t="str">
        <f>vlookup(G524,zip_codes!$B$6:$J988,9,false)</f>
        <v>Cane Island, Katy (Old Town)</v>
      </c>
      <c r="AA524" s="44" t="str">
        <f>vlookup(B524,organizations!$B$1:$C988,2,false)</f>
        <v>Keturah's Haven</v>
      </c>
      <c r="AB524" s="46" t="s">
        <v>2757</v>
      </c>
      <c r="AC524" s="47" t="s">
        <v>73</v>
      </c>
      <c r="AD524" s="48" t="s">
        <v>148</v>
      </c>
      <c r="AE524" s="48" t="str">
        <f t="shared" si="69"/>
        <v>Keturah's Haven2215 Porter Road24</v>
      </c>
      <c r="AF524" s="48" t="str">
        <f t="shared" si="73"/>
        <v/>
      </c>
    </row>
    <row r="525" ht="66.75" customHeight="1">
      <c r="A525" s="34" t="s">
        <v>2758</v>
      </c>
      <c r="B525" s="35" t="s">
        <v>2759</v>
      </c>
      <c r="C525" s="36" t="s">
        <v>2760</v>
      </c>
      <c r="D525" s="36" t="s">
        <v>2761</v>
      </c>
      <c r="E525" s="36" t="s">
        <v>256</v>
      </c>
      <c r="F525" s="36" t="s">
        <v>37</v>
      </c>
      <c r="G525" s="35" t="s">
        <v>2762</v>
      </c>
      <c r="H525" s="35" t="s">
        <v>2763</v>
      </c>
      <c r="I525" s="35" t="s">
        <v>959</v>
      </c>
      <c r="J525" s="35" t="s">
        <v>89</v>
      </c>
      <c r="K525" s="37">
        <f>IFERROR(__xludf.DUMMYFUNCTION("query(assistance!$A$2:$E988,""Select C Where D = '""&amp;L525&amp;""'"")"),13.0)</f>
        <v>13</v>
      </c>
      <c r="L525" s="36" t="s">
        <v>240</v>
      </c>
      <c r="M525" s="38">
        <f t="shared" ref="M525:M581" si="74">if(N525="Inactive",3,if(N525="Limited", 2, 1))</f>
        <v>1</v>
      </c>
      <c r="N525" s="51" t="s">
        <v>42</v>
      </c>
      <c r="O525" s="40">
        <v>46019.0</v>
      </c>
      <c r="P525" s="35" t="s">
        <v>43</v>
      </c>
      <c r="Q525" s="35"/>
      <c r="R525" s="35" t="s">
        <v>2764</v>
      </c>
      <c r="S525" s="35" t="b">
        <v>0</v>
      </c>
      <c r="T525" s="35" t="b">
        <v>0</v>
      </c>
      <c r="U525" s="41" t="str">
        <f>IFERROR(__xludf.DUMMYFUNCTION("""["" &amp; JOIN("", "", ARRAYFORMULA("""""""" &amp; TRIM(SPLIT(A525, "","")) &amp; """""""")) &amp; ""]"""),"[""77302"", ""77354"", ""77355"", ""77362"", ""77375"", ""77380"", ""77381"", ""77382"", ""77385"", ""77386""]")</f>
        <v>["77302", "77354", "77355", "77362", "77375", "77380", "77381", "77382", "77385", "77386"]</v>
      </c>
      <c r="V525" s="42" t="s">
        <v>2765</v>
      </c>
      <c r="W525" s="42" t="s">
        <v>2766</v>
      </c>
      <c r="X525" s="43"/>
      <c r="Y525" s="44" t="str">
        <f>vlookup(G525,zip_codes!$B$6:$J988,3,false)</f>
        <v>Magnolia</v>
      </c>
      <c r="Z525" s="45" t="str">
        <f>vlookup(G525,zip_codes!$B$6:$J988,9,false)</f>
        <v>Magnolia</v>
      </c>
      <c r="AA525" s="44" t="str">
        <f>vlookup(B525,organizations!$B$1:$C988,2,false)</f>
        <v>Kids' Meals</v>
      </c>
      <c r="AB525" s="55" t="s">
        <v>2767</v>
      </c>
      <c r="AC525" s="47" t="s">
        <v>961</v>
      </c>
      <c r="AD525" s="48" t="s">
        <v>256</v>
      </c>
      <c r="AE525" s="48" t="str">
        <f t="shared" si="69"/>
        <v>Kids' Meals5517 FM 148813</v>
      </c>
      <c r="AF525" s="48" t="str">
        <f t="shared" si="73"/>
        <v/>
      </c>
    </row>
    <row r="526" ht="66.75" customHeight="1">
      <c r="A526" s="34" t="s">
        <v>2768</v>
      </c>
      <c r="B526" s="35" t="s">
        <v>2759</v>
      </c>
      <c r="C526" s="36" t="s">
        <v>2769</v>
      </c>
      <c r="D526" s="36"/>
      <c r="E526" s="36" t="s">
        <v>36</v>
      </c>
      <c r="F526" s="36" t="s">
        <v>37</v>
      </c>
      <c r="G526" s="35" t="s">
        <v>694</v>
      </c>
      <c r="H526" s="35" t="s">
        <v>2763</v>
      </c>
      <c r="I526" s="35" t="s">
        <v>959</v>
      </c>
      <c r="J526" s="35" t="s">
        <v>89</v>
      </c>
      <c r="K526" s="37">
        <f>IFERROR(__xludf.DUMMYFUNCTION("query(assistance!$A$2:$E988,""Select C Where D = '""&amp;L526&amp;""'"")"),13.0)</f>
        <v>13</v>
      </c>
      <c r="L526" s="36" t="s">
        <v>240</v>
      </c>
      <c r="M526" s="38">
        <f t="shared" si="74"/>
        <v>1</v>
      </c>
      <c r="N526" s="51" t="s">
        <v>42</v>
      </c>
      <c r="O526" s="40">
        <v>46019.0</v>
      </c>
      <c r="P526" s="35" t="s">
        <v>43</v>
      </c>
      <c r="Q526" s="35"/>
      <c r="R526" s="35" t="s">
        <v>2764</v>
      </c>
      <c r="S526" s="35" t="b">
        <v>0</v>
      </c>
      <c r="T526" s="35" t="b">
        <v>0</v>
      </c>
      <c r="U526" s="41" t="str">
        <f>IFERROR(__xludf.DUMMYFUNCTION("""["" &amp; JOIN("", "", ARRAYFORMULA("""""""" &amp; TRIM(SPLIT(A526, "","")) &amp; """""""")) &amp; ""]"""),"[""77003"", ""77004"", ""77007"", ""77008"", ""77009"", ""77011"", ""77012"", ""77016"", ""77018"", ""77020"", ""77021"", ""77022"", ""77028"", ""77029"", ""77033"", ""77035"", ""77036"", ""77037"", ""77038"", ""77039"", ""77040"", ""77041"", ""77045"", "&amp;"""77051"", ""77055"", ""77060"", ""77063"", ""77071"", ""77074"", ""77076"", ""77078"", ""77080"", ""77087"", ""77088"", ""77091"", ""77093"", ""77096"", ""77547""]")</f>
        <v>["77003", "77004", "77007", "77008", "77009", "77011", "77012", "77016", "77018", "77020", "77021", "77022", "77028", "77029", "77033", "77035", "77036", "77037", "77038", "77039", "77040", "77041", "77045", "77051", "77055", "77060", "77063", "77071", "77074", "77076", "77078", "77080", "77087", "77088", "77091", "77093", "77096", "77547"]</v>
      </c>
      <c r="V526" s="42" t="s">
        <v>2765</v>
      </c>
      <c r="W526" s="42" t="s">
        <v>2770</v>
      </c>
      <c r="X526" s="43"/>
      <c r="Y526" s="44" t="str">
        <f>vlookup(G526,zip_codes!$B$6:$J988,3,false)</f>
        <v>Houston</v>
      </c>
      <c r="Z526" s="45" t="str">
        <f>vlookup(G526,zip_codes!$B$6:$J988,9,false)</f>
        <v>Northwest Houston, Spring Branch Central</v>
      </c>
      <c r="AA526" s="44" t="str">
        <f>vlookup(B526,organizations!$B$1:$C988,2,false)</f>
        <v>Kids' Meals</v>
      </c>
      <c r="AB526" s="55" t="s">
        <v>2771</v>
      </c>
      <c r="AC526" s="47" t="s">
        <v>961</v>
      </c>
      <c r="AD526" s="48" t="s">
        <v>697</v>
      </c>
      <c r="AE526" s="48" t="str">
        <f t="shared" si="69"/>
        <v>Kids' Meals8790 Hammerly Blvd13</v>
      </c>
      <c r="AF526" s="48" t="str">
        <f t="shared" si="73"/>
        <v/>
      </c>
    </row>
    <row r="527" ht="66.75" customHeight="1">
      <c r="A527" s="49" t="s">
        <v>50</v>
      </c>
      <c r="B527" s="35" t="s">
        <v>2772</v>
      </c>
      <c r="C527" s="36" t="s">
        <v>2773</v>
      </c>
      <c r="D527" s="36"/>
      <c r="E527" s="36" t="s">
        <v>36</v>
      </c>
      <c r="F527" s="36" t="s">
        <v>37</v>
      </c>
      <c r="G527" s="35" t="s">
        <v>2138</v>
      </c>
      <c r="H527" s="35" t="s">
        <v>2774</v>
      </c>
      <c r="I527" s="35" t="s">
        <v>272</v>
      </c>
      <c r="J527" s="50"/>
      <c r="K527" s="37">
        <f>IFERROR(__xludf.DUMMYFUNCTION("query(assistance!$A$2:$E988,""Select C Where D = '""&amp;L527&amp;""'"")"),31.0)</f>
        <v>31</v>
      </c>
      <c r="L527" s="36" t="s">
        <v>90</v>
      </c>
      <c r="M527" s="38">
        <f t="shared" si="74"/>
        <v>1</v>
      </c>
      <c r="N527" s="39" t="s">
        <v>42</v>
      </c>
      <c r="O527" s="57">
        <v>45948.0</v>
      </c>
      <c r="P527" s="35" t="s">
        <v>43</v>
      </c>
      <c r="Q527" s="35"/>
      <c r="R527" s="35" t="s">
        <v>2775</v>
      </c>
      <c r="S527" s="35" t="b">
        <v>0</v>
      </c>
      <c r="T527" s="35" t="b">
        <v>0</v>
      </c>
      <c r="U527" s="41" t="str">
        <f>IFERROR(__xludf.DUMMYFUNCTION("""["" &amp; JOIN("", "", ARRAYFORMULA("""""""" &amp; TRIM(SPLIT(A527, "","")) &amp; """""""")) &amp; ""]"""),"[""99999""]")</f>
        <v>["99999"]</v>
      </c>
      <c r="V527" s="52" t="s">
        <v>2776</v>
      </c>
      <c r="W527" s="42" t="s">
        <v>2777</v>
      </c>
      <c r="X527" s="43"/>
      <c r="Y527" s="44" t="str">
        <f>vlookup(G527,zip_codes!$B$6:$J988,3,false)</f>
        <v>Houston</v>
      </c>
      <c r="Z527" s="45" t="str">
        <f>vlookup(G527,zip_codes!$B$6:$J988,9,false)</f>
        <v>Alief</v>
      </c>
      <c r="AA527" s="44" t="str">
        <f>vlookup(B527,organizations!$B$1:$C988,2,false)</f>
        <v>Legacy Community Health</v>
      </c>
      <c r="AB527" s="55" t="s">
        <v>2778</v>
      </c>
      <c r="AC527" s="47" t="s">
        <v>278</v>
      </c>
      <c r="AD527" s="48" t="s">
        <v>345</v>
      </c>
      <c r="AE527" s="48" t="str">
        <f t="shared" si="69"/>
        <v>Legacy Health - Alief Bissonnet OB/GYN12345 Bissonnet Street31</v>
      </c>
      <c r="AF527" s="48" t="str">
        <f t="shared" si="73"/>
        <v/>
      </c>
    </row>
    <row r="528" ht="66.75" customHeight="1">
      <c r="A528" s="49" t="s">
        <v>50</v>
      </c>
      <c r="B528" s="35" t="s">
        <v>2779</v>
      </c>
      <c r="C528" s="36" t="s">
        <v>566</v>
      </c>
      <c r="D528" s="36" t="s">
        <v>2780</v>
      </c>
      <c r="E528" s="36" t="s">
        <v>36</v>
      </c>
      <c r="F528" s="36" t="s">
        <v>37</v>
      </c>
      <c r="G528" s="35" t="s">
        <v>567</v>
      </c>
      <c r="H528" s="35" t="s">
        <v>2781</v>
      </c>
      <c r="I528" s="35" t="s">
        <v>272</v>
      </c>
      <c r="J528" s="50"/>
      <c r="K528" s="37">
        <f>IFERROR(__xludf.DUMMYFUNCTION("query(assistance!$A$2:$E988,""Select C Where D = '""&amp;L528&amp;""'"")"),31.0)</f>
        <v>31</v>
      </c>
      <c r="L528" s="36" t="s">
        <v>90</v>
      </c>
      <c r="M528" s="38">
        <f t="shared" si="74"/>
        <v>1</v>
      </c>
      <c r="N528" s="39" t="s">
        <v>42</v>
      </c>
      <c r="O528" s="57">
        <v>45948.0</v>
      </c>
      <c r="P528" s="35" t="s">
        <v>43</v>
      </c>
      <c r="Q528" s="35"/>
      <c r="R528" s="35" t="s">
        <v>2782</v>
      </c>
      <c r="S528" s="35" t="b">
        <v>0</v>
      </c>
      <c r="T528" s="35" t="b">
        <v>0</v>
      </c>
      <c r="U528" s="41" t="str">
        <f>IFERROR(__xludf.DUMMYFUNCTION("""["" &amp; JOIN("", "", ARRAYFORMULA("""""""" &amp; TRIM(SPLIT(A528, "","")) &amp; """""""")) &amp; ""]"""),"[""99999""]")</f>
        <v>["99999"]</v>
      </c>
      <c r="V528" s="52" t="s">
        <v>2776</v>
      </c>
      <c r="W528" s="42" t="s">
        <v>2783</v>
      </c>
      <c r="X528" s="43"/>
      <c r="Y528" s="44" t="str">
        <f>vlookup(G528,zip_codes!$B$6:$J988,3,false)</f>
        <v>Houston</v>
      </c>
      <c r="Z528" s="45" t="str">
        <f>vlookup(G528,zip_codes!$B$6:$J988,9,false)</f>
        <v>Braeburn, Robindell, Sharpstown</v>
      </c>
      <c r="AA528" s="44" t="str">
        <f>vlookup(B528,organizations!$B$1:$C988,2,false)</f>
        <v>Legacy Community Health</v>
      </c>
      <c r="AB528" s="55" t="s">
        <v>2784</v>
      </c>
      <c r="AC528" s="47" t="s">
        <v>278</v>
      </c>
      <c r="AD528" s="48" t="s">
        <v>572</v>
      </c>
      <c r="AE528" s="48" t="str">
        <f t="shared" si="69"/>
        <v>Legacy Health - BakerRipley6500 Rookin Street31</v>
      </c>
      <c r="AF528" s="48" t="str">
        <f t="shared" si="73"/>
        <v/>
      </c>
    </row>
    <row r="529" ht="66.75" customHeight="1">
      <c r="A529" s="49" t="s">
        <v>50</v>
      </c>
      <c r="B529" s="35" t="s">
        <v>2779</v>
      </c>
      <c r="C529" s="36" t="s">
        <v>566</v>
      </c>
      <c r="D529" s="36" t="s">
        <v>2780</v>
      </c>
      <c r="E529" s="36" t="s">
        <v>36</v>
      </c>
      <c r="F529" s="36" t="s">
        <v>37</v>
      </c>
      <c r="G529" s="35" t="s">
        <v>567</v>
      </c>
      <c r="H529" s="35" t="s">
        <v>2781</v>
      </c>
      <c r="I529" s="35" t="s">
        <v>272</v>
      </c>
      <c r="J529" s="50"/>
      <c r="K529" s="37">
        <f>IFERROR(__xludf.DUMMYFUNCTION("query(assistance!$A$2:$E988,""Select C Where D = '""&amp;L529&amp;""'"")"),32.0)</f>
        <v>32</v>
      </c>
      <c r="L529" s="36" t="s">
        <v>208</v>
      </c>
      <c r="M529" s="38">
        <f t="shared" si="74"/>
        <v>1</v>
      </c>
      <c r="N529" s="39" t="s">
        <v>42</v>
      </c>
      <c r="O529" s="57">
        <v>46049.0</v>
      </c>
      <c r="P529" s="35" t="s">
        <v>43</v>
      </c>
      <c r="Q529" s="35"/>
      <c r="R529" s="35" t="s">
        <v>2785</v>
      </c>
      <c r="S529" s="35" t="b">
        <v>1</v>
      </c>
      <c r="T529" s="35" t="b">
        <v>0</v>
      </c>
      <c r="U529" s="41" t="str">
        <f>IFERROR(__xludf.DUMMYFUNCTION("""["" &amp; JOIN("", "", ARRAYFORMULA("""""""" &amp; TRIM(SPLIT(A529, "","")) &amp; """""""")) &amp; ""]"""),"[""99999""]")</f>
        <v>["99999"]</v>
      </c>
      <c r="V529" s="52" t="s">
        <v>2776</v>
      </c>
      <c r="W529" s="42" t="s">
        <v>2783</v>
      </c>
      <c r="X529" s="43"/>
      <c r="Y529" s="44" t="str">
        <f>vlookup(G529,zip_codes!$B$6:$J988,3,false)</f>
        <v>Houston</v>
      </c>
      <c r="Z529" s="45" t="str">
        <f>vlookup(G529,zip_codes!$B$6:$J988,9,false)</f>
        <v>Braeburn, Robindell, Sharpstown</v>
      </c>
      <c r="AA529" s="44" t="str">
        <f>vlookup(B529,organizations!$B$1:$C988,2,false)</f>
        <v>Legacy Community Health</v>
      </c>
      <c r="AB529" s="55" t="s">
        <v>2784</v>
      </c>
      <c r="AC529" s="47" t="s">
        <v>278</v>
      </c>
      <c r="AD529" s="48" t="s">
        <v>572</v>
      </c>
      <c r="AE529" s="48" t="str">
        <f t="shared" si="69"/>
        <v>Legacy Health - BakerRipley6500 Rookin Street32</v>
      </c>
      <c r="AF529" s="48" t="str">
        <f t="shared" si="73"/>
        <v/>
      </c>
    </row>
    <row r="530" ht="66.75" customHeight="1">
      <c r="A530" s="49" t="s">
        <v>50</v>
      </c>
      <c r="B530" s="35" t="s">
        <v>2779</v>
      </c>
      <c r="C530" s="36" t="s">
        <v>566</v>
      </c>
      <c r="D530" s="36" t="s">
        <v>2780</v>
      </c>
      <c r="E530" s="36" t="s">
        <v>36</v>
      </c>
      <c r="F530" s="36" t="s">
        <v>37</v>
      </c>
      <c r="G530" s="35" t="s">
        <v>567</v>
      </c>
      <c r="H530" s="35" t="s">
        <v>2781</v>
      </c>
      <c r="I530" s="35" t="s">
        <v>272</v>
      </c>
      <c r="J530" s="50"/>
      <c r="K530" s="37">
        <f>IFERROR(__xludf.DUMMYFUNCTION("query(assistance!$A$2:$E988,""Select C Where D = '""&amp;L530&amp;""'"")"),33.0)</f>
        <v>33</v>
      </c>
      <c r="L530" s="36" t="s">
        <v>333</v>
      </c>
      <c r="M530" s="38">
        <f t="shared" si="74"/>
        <v>1</v>
      </c>
      <c r="N530" s="39" t="s">
        <v>42</v>
      </c>
      <c r="O530" s="57">
        <v>45948.0</v>
      </c>
      <c r="P530" s="35" t="s">
        <v>43</v>
      </c>
      <c r="Q530" s="35"/>
      <c r="R530" s="35" t="s">
        <v>2786</v>
      </c>
      <c r="S530" s="35" t="b">
        <v>0</v>
      </c>
      <c r="T530" s="35" t="b">
        <v>0</v>
      </c>
      <c r="U530" s="41" t="str">
        <f>IFERROR(__xludf.DUMMYFUNCTION("""["" &amp; JOIN("", "", ARRAYFORMULA("""""""" &amp; TRIM(SPLIT(A530, "","")) &amp; """""""")) &amp; ""]"""),"[""99999""]")</f>
        <v>["99999"]</v>
      </c>
      <c r="V530" s="52" t="s">
        <v>2776</v>
      </c>
      <c r="W530" s="42" t="s">
        <v>2783</v>
      </c>
      <c r="X530" s="43"/>
      <c r="Y530" s="44" t="str">
        <f>vlookup(G530,zip_codes!$B$6:$J988,3,false)</f>
        <v>Houston</v>
      </c>
      <c r="Z530" s="45" t="str">
        <f>vlookup(G530,zip_codes!$B$6:$J988,9,false)</f>
        <v>Braeburn, Robindell, Sharpstown</v>
      </c>
      <c r="AA530" s="44" t="str">
        <f>vlookup(B530,organizations!$B$1:$C988,2,false)</f>
        <v>Legacy Community Health</v>
      </c>
      <c r="AB530" s="55" t="s">
        <v>2784</v>
      </c>
      <c r="AC530" s="47" t="s">
        <v>278</v>
      </c>
      <c r="AD530" s="48" t="s">
        <v>572</v>
      </c>
      <c r="AE530" s="48" t="str">
        <f t="shared" si="69"/>
        <v>Legacy Health - BakerRipley6500 Rookin Street33</v>
      </c>
      <c r="AF530" s="48" t="str">
        <f t="shared" si="73"/>
        <v/>
      </c>
    </row>
    <row r="531" ht="66.75" customHeight="1">
      <c r="A531" s="49" t="s">
        <v>50</v>
      </c>
      <c r="B531" s="35" t="s">
        <v>2787</v>
      </c>
      <c r="C531" s="36" t="s">
        <v>2788</v>
      </c>
      <c r="D531" s="36"/>
      <c r="E531" s="36" t="s">
        <v>36</v>
      </c>
      <c r="F531" s="36" t="s">
        <v>37</v>
      </c>
      <c r="G531" s="35" t="s">
        <v>2789</v>
      </c>
      <c r="H531" s="35" t="s">
        <v>2790</v>
      </c>
      <c r="I531" s="35" t="s">
        <v>2791</v>
      </c>
      <c r="J531" s="50"/>
      <c r="K531" s="37">
        <f>IFERROR(__xludf.DUMMYFUNCTION("query(assistance!$A$2:$E988,""Select C Where D = '""&amp;L531&amp;""'"")"),31.0)</f>
        <v>31</v>
      </c>
      <c r="L531" s="36" t="s">
        <v>90</v>
      </c>
      <c r="M531" s="38">
        <f t="shared" si="74"/>
        <v>1</v>
      </c>
      <c r="N531" s="39" t="s">
        <v>42</v>
      </c>
      <c r="O531" s="57">
        <v>45948.0</v>
      </c>
      <c r="P531" s="35" t="s">
        <v>43</v>
      </c>
      <c r="Q531" s="35"/>
      <c r="R531" s="35" t="s">
        <v>2792</v>
      </c>
      <c r="S531" s="35" t="b">
        <v>0</v>
      </c>
      <c r="T531" s="35" t="b">
        <v>0</v>
      </c>
      <c r="U531" s="41" t="str">
        <f>IFERROR(__xludf.DUMMYFUNCTION("""["" &amp; JOIN("", "", ARRAYFORMULA("""""""" &amp; TRIM(SPLIT(A531, "","")) &amp; """""""")) &amp; ""]"""),"[""99999""]")</f>
        <v>["99999"]</v>
      </c>
      <c r="V531" s="52" t="s">
        <v>2776</v>
      </c>
      <c r="W531" s="42" t="s">
        <v>2793</v>
      </c>
      <c r="X531" s="43"/>
      <c r="Y531" s="44" t="str">
        <f>vlookup(G531,zip_codes!$B$6:$J988,3,false)</f>
        <v>Baytown</v>
      </c>
      <c r="Z531" s="45" t="str">
        <f>vlookup(G531,zip_codes!$B$6:$J988,9,false)</f>
        <v>Baytown, Baytown (North), Highland Farms</v>
      </c>
      <c r="AA531" s="44" t="str">
        <f>vlookup(B531,organizations!$B$1:$C988,2,false)</f>
        <v>Legacy Community Health</v>
      </c>
      <c r="AB531" s="55" t="s">
        <v>2794</v>
      </c>
      <c r="AC531" s="47" t="s">
        <v>2795</v>
      </c>
      <c r="AD531" s="48" t="s">
        <v>774</v>
      </c>
      <c r="AE531" s="48" t="str">
        <f t="shared" si="69"/>
        <v>Legacy Health - Baytown Garth3509 Garth Road31</v>
      </c>
      <c r="AF531" s="48" t="str">
        <f t="shared" si="73"/>
        <v/>
      </c>
    </row>
    <row r="532" ht="66.75" customHeight="1">
      <c r="A532" s="49" t="s">
        <v>50</v>
      </c>
      <c r="B532" s="35" t="s">
        <v>2787</v>
      </c>
      <c r="C532" s="36" t="s">
        <v>2788</v>
      </c>
      <c r="D532" s="36"/>
      <c r="E532" s="36" t="s">
        <v>36</v>
      </c>
      <c r="F532" s="36" t="s">
        <v>37</v>
      </c>
      <c r="G532" s="35" t="s">
        <v>2789</v>
      </c>
      <c r="H532" s="35" t="s">
        <v>2790</v>
      </c>
      <c r="I532" s="35" t="s">
        <v>2791</v>
      </c>
      <c r="J532" s="50"/>
      <c r="K532" s="37">
        <f>IFERROR(__xludf.DUMMYFUNCTION("query(assistance!$A$2:$E988,""Select C Where D = '""&amp;L532&amp;""'"")"),33.0)</f>
        <v>33</v>
      </c>
      <c r="L532" s="36" t="s">
        <v>333</v>
      </c>
      <c r="M532" s="38">
        <f t="shared" si="74"/>
        <v>1</v>
      </c>
      <c r="N532" s="39" t="s">
        <v>42</v>
      </c>
      <c r="O532" s="57">
        <v>45948.0</v>
      </c>
      <c r="P532" s="35" t="s">
        <v>43</v>
      </c>
      <c r="Q532" s="35"/>
      <c r="R532" s="35" t="s">
        <v>2786</v>
      </c>
      <c r="S532" s="35" t="b">
        <v>0</v>
      </c>
      <c r="T532" s="35" t="b">
        <v>0</v>
      </c>
      <c r="U532" s="41" t="str">
        <f>IFERROR(__xludf.DUMMYFUNCTION("""["" &amp; JOIN("", "", ARRAYFORMULA("""""""" &amp; TRIM(SPLIT(A532, "","")) &amp; """""""")) &amp; ""]"""),"[""99999""]")</f>
        <v>["99999"]</v>
      </c>
      <c r="V532" s="52" t="s">
        <v>2776</v>
      </c>
      <c r="W532" s="42" t="s">
        <v>2793</v>
      </c>
      <c r="X532" s="43"/>
      <c r="Y532" s="44" t="str">
        <f>vlookup(G532,zip_codes!$B$6:$J988,3,false)</f>
        <v>Baytown</v>
      </c>
      <c r="Z532" s="45" t="str">
        <f>vlookup(G532,zip_codes!$B$6:$J988,9,false)</f>
        <v>Baytown, Baytown (North), Highland Farms</v>
      </c>
      <c r="AA532" s="44" t="str">
        <f>vlookup(B532,organizations!$B$1:$C988,2,false)</f>
        <v>Legacy Community Health</v>
      </c>
      <c r="AB532" s="55" t="s">
        <v>2794</v>
      </c>
      <c r="AC532" s="47" t="s">
        <v>2795</v>
      </c>
      <c r="AD532" s="48" t="s">
        <v>774</v>
      </c>
      <c r="AE532" s="48" t="str">
        <f t="shared" si="69"/>
        <v>Legacy Health - Baytown Garth3509 Garth Road33</v>
      </c>
      <c r="AF532" s="48" t="str">
        <f t="shared" si="73"/>
        <v/>
      </c>
    </row>
    <row r="533" ht="66.75" customHeight="1">
      <c r="A533" s="49" t="s">
        <v>50</v>
      </c>
      <c r="B533" s="35" t="s">
        <v>2796</v>
      </c>
      <c r="C533" s="36" t="s">
        <v>2797</v>
      </c>
      <c r="D533" s="36"/>
      <c r="E533" s="36" t="s">
        <v>36</v>
      </c>
      <c r="F533" s="36" t="s">
        <v>37</v>
      </c>
      <c r="G533" s="35" t="s">
        <v>2138</v>
      </c>
      <c r="H533" s="35" t="s">
        <v>2774</v>
      </c>
      <c r="I533" s="35" t="s">
        <v>272</v>
      </c>
      <c r="J533" s="50"/>
      <c r="K533" s="37">
        <f>IFERROR(__xludf.DUMMYFUNCTION("query(assistance!$A$2:$E988,""Select C Where D = '""&amp;L533&amp;""'"")"),31.0)</f>
        <v>31</v>
      </c>
      <c r="L533" s="36" t="s">
        <v>90</v>
      </c>
      <c r="M533" s="38">
        <f t="shared" si="74"/>
        <v>1</v>
      </c>
      <c r="N533" s="39" t="s">
        <v>42</v>
      </c>
      <c r="O533" s="57">
        <v>45948.0</v>
      </c>
      <c r="P533" s="35" t="s">
        <v>43</v>
      </c>
      <c r="Q533" s="35"/>
      <c r="R533" s="35" t="s">
        <v>2798</v>
      </c>
      <c r="S533" s="35" t="b">
        <v>0</v>
      </c>
      <c r="T533" s="35" t="b">
        <v>0</v>
      </c>
      <c r="U533" s="41" t="str">
        <f>IFERROR(__xludf.DUMMYFUNCTION("""["" &amp; JOIN("", "", ARRAYFORMULA("""""""" &amp; TRIM(SPLIT(A533, "","")) &amp; """""""")) &amp; ""]"""),"[""99999""]")</f>
        <v>["99999"]</v>
      </c>
      <c r="V533" s="52" t="s">
        <v>2776</v>
      </c>
      <c r="W533" s="42" t="s">
        <v>2799</v>
      </c>
      <c r="X533" s="43"/>
      <c r="Y533" s="44" t="str">
        <f>vlookup(G533,zip_codes!$B$6:$J988,3,false)</f>
        <v>Houston</v>
      </c>
      <c r="Z533" s="45" t="str">
        <f>vlookup(G533,zip_codes!$B$6:$J988,9,false)</f>
        <v>Alief</v>
      </c>
      <c r="AA533" s="44" t="str">
        <f>vlookup(B533,organizations!$B$1:$C988,2,false)</f>
        <v>Legacy Community Health</v>
      </c>
      <c r="AB533" s="55" t="s">
        <v>2800</v>
      </c>
      <c r="AC533" s="47" t="s">
        <v>278</v>
      </c>
      <c r="AD533" s="48" t="s">
        <v>345</v>
      </c>
      <c r="AE533" s="48" t="str">
        <f t="shared" si="69"/>
        <v>Legacy Health - Bissonnet Pediatrics12667 Bissonnet Street31</v>
      </c>
      <c r="AF533" s="48" t="str">
        <f t="shared" si="73"/>
        <v/>
      </c>
    </row>
    <row r="534" ht="66.75" customHeight="1">
      <c r="A534" s="49" t="s">
        <v>50</v>
      </c>
      <c r="B534" s="35" t="s">
        <v>2796</v>
      </c>
      <c r="C534" s="36" t="s">
        <v>2797</v>
      </c>
      <c r="D534" s="36"/>
      <c r="E534" s="36" t="s">
        <v>36</v>
      </c>
      <c r="F534" s="36" t="s">
        <v>37</v>
      </c>
      <c r="G534" s="35" t="s">
        <v>2138</v>
      </c>
      <c r="H534" s="35" t="s">
        <v>2774</v>
      </c>
      <c r="I534" s="35" t="s">
        <v>272</v>
      </c>
      <c r="J534" s="50"/>
      <c r="K534" s="37">
        <f>IFERROR(__xludf.DUMMYFUNCTION("query(assistance!$A$2:$E988,""Select C Where D = '""&amp;L534&amp;""'"")"),33.0)</f>
        <v>33</v>
      </c>
      <c r="L534" s="36" t="s">
        <v>333</v>
      </c>
      <c r="M534" s="38">
        <f t="shared" si="74"/>
        <v>1</v>
      </c>
      <c r="N534" s="39" t="s">
        <v>42</v>
      </c>
      <c r="O534" s="57">
        <v>45948.0</v>
      </c>
      <c r="P534" s="35" t="s">
        <v>43</v>
      </c>
      <c r="Q534" s="35"/>
      <c r="R534" s="35" t="s">
        <v>2786</v>
      </c>
      <c r="S534" s="35" t="b">
        <v>0</v>
      </c>
      <c r="T534" s="35" t="b">
        <v>0</v>
      </c>
      <c r="U534" s="41" t="str">
        <f>IFERROR(__xludf.DUMMYFUNCTION("""["" &amp; JOIN("", "", ARRAYFORMULA("""""""" &amp; TRIM(SPLIT(A534, "","")) &amp; """""""")) &amp; ""]"""),"[""99999""]")</f>
        <v>["99999"]</v>
      </c>
      <c r="V534" s="52" t="s">
        <v>2776</v>
      </c>
      <c r="W534" s="42" t="s">
        <v>2799</v>
      </c>
      <c r="X534" s="43"/>
      <c r="Y534" s="44" t="str">
        <f>vlookup(G534,zip_codes!$B$6:$J988,3,false)</f>
        <v>Houston</v>
      </c>
      <c r="Z534" s="45" t="str">
        <f>vlookup(G534,zip_codes!$B$6:$J988,9,false)</f>
        <v>Alief</v>
      </c>
      <c r="AA534" s="44" t="str">
        <f>vlookup(B534,organizations!$B$1:$C988,2,false)</f>
        <v>Legacy Community Health</v>
      </c>
      <c r="AB534" s="55" t="s">
        <v>2800</v>
      </c>
      <c r="AC534" s="47" t="s">
        <v>278</v>
      </c>
      <c r="AD534" s="48" t="s">
        <v>345</v>
      </c>
      <c r="AE534" s="48" t="str">
        <f t="shared" si="69"/>
        <v>Legacy Health - Bissonnet Pediatrics12667 Bissonnet Street33</v>
      </c>
      <c r="AF534" s="48" t="str">
        <f t="shared" si="73"/>
        <v/>
      </c>
    </row>
    <row r="535" ht="66.75" customHeight="1">
      <c r="A535" s="49" t="s">
        <v>50</v>
      </c>
      <c r="B535" s="35" t="s">
        <v>2801</v>
      </c>
      <c r="C535" s="36" t="s">
        <v>2802</v>
      </c>
      <c r="D535" s="36"/>
      <c r="E535" s="36" t="s">
        <v>36</v>
      </c>
      <c r="F535" s="36" t="s">
        <v>37</v>
      </c>
      <c r="G535" s="35" t="s">
        <v>1464</v>
      </c>
      <c r="H535" s="35" t="s">
        <v>2803</v>
      </c>
      <c r="I535" s="35" t="s">
        <v>272</v>
      </c>
      <c r="J535" s="50"/>
      <c r="K535" s="37">
        <f>IFERROR(__xludf.DUMMYFUNCTION("query(assistance!$A$2:$E988,""Select C Where D = '""&amp;L535&amp;""'"")"),31.0)</f>
        <v>31</v>
      </c>
      <c r="L535" s="36" t="s">
        <v>90</v>
      </c>
      <c r="M535" s="38">
        <f t="shared" si="74"/>
        <v>1</v>
      </c>
      <c r="N535" s="39" t="s">
        <v>42</v>
      </c>
      <c r="O535" s="57">
        <v>45948.0</v>
      </c>
      <c r="P535" s="35" t="s">
        <v>43</v>
      </c>
      <c r="Q535" s="35"/>
      <c r="R535" s="35" t="s">
        <v>2804</v>
      </c>
      <c r="S535" s="35" t="b">
        <v>0</v>
      </c>
      <c r="T535" s="35" t="b">
        <v>0</v>
      </c>
      <c r="U535" s="41" t="str">
        <f>IFERROR(__xludf.DUMMYFUNCTION("""["" &amp; JOIN("", "", ARRAYFORMULA("""""""" &amp; TRIM(SPLIT(A535, "","")) &amp; """""""")) &amp; ""]"""),"[""99999""]")</f>
        <v>["99999"]</v>
      </c>
      <c r="V535" s="52" t="s">
        <v>2776</v>
      </c>
      <c r="W535" s="42" t="s">
        <v>2805</v>
      </c>
      <c r="X535" s="43"/>
      <c r="Y535" s="44" t="str">
        <f>vlookup(G535,zip_codes!$B$6:$J988,3,false)</f>
        <v>Deer Park</v>
      </c>
      <c r="Z535" s="45" t="str">
        <f>vlookup(G535,zip_codes!$B$6:$J988,9,false)</f>
        <v>Deer Park, Deer Park Gardens</v>
      </c>
      <c r="AA535" s="44" t="str">
        <f>vlookup(B535,organizations!$B$1:$C988,2,false)</f>
        <v>Legacy Community Health</v>
      </c>
      <c r="AB535" s="55" t="s">
        <v>2806</v>
      </c>
      <c r="AC535" s="47" t="s">
        <v>278</v>
      </c>
      <c r="AD535" s="48" t="s">
        <v>1467</v>
      </c>
      <c r="AE535" s="48" t="str">
        <f t="shared" si="69"/>
        <v>Legacy Health - Deer Park3430 Center Street31</v>
      </c>
      <c r="AF535" s="48" t="str">
        <f t="shared" si="73"/>
        <v/>
      </c>
    </row>
    <row r="536" ht="66.75" customHeight="1">
      <c r="A536" s="49" t="s">
        <v>50</v>
      </c>
      <c r="B536" s="35" t="s">
        <v>2801</v>
      </c>
      <c r="C536" s="36" t="s">
        <v>2802</v>
      </c>
      <c r="D536" s="36"/>
      <c r="E536" s="36" t="s">
        <v>36</v>
      </c>
      <c r="F536" s="36" t="s">
        <v>37</v>
      </c>
      <c r="G536" s="35" t="s">
        <v>1464</v>
      </c>
      <c r="H536" s="35" t="s">
        <v>2803</v>
      </c>
      <c r="I536" s="35" t="s">
        <v>272</v>
      </c>
      <c r="J536" s="50"/>
      <c r="K536" s="37">
        <f>IFERROR(__xludf.DUMMYFUNCTION("query(assistance!$A$2:$E988,""Select C Where D = '""&amp;L536&amp;""'"")"),33.0)</f>
        <v>33</v>
      </c>
      <c r="L536" s="36" t="s">
        <v>333</v>
      </c>
      <c r="M536" s="38">
        <f t="shared" si="74"/>
        <v>1</v>
      </c>
      <c r="N536" s="39" t="s">
        <v>42</v>
      </c>
      <c r="O536" s="57">
        <v>45948.0</v>
      </c>
      <c r="P536" s="35" t="s">
        <v>43</v>
      </c>
      <c r="Q536" s="35"/>
      <c r="R536" s="35" t="s">
        <v>2786</v>
      </c>
      <c r="S536" s="35" t="b">
        <v>0</v>
      </c>
      <c r="T536" s="35" t="b">
        <v>0</v>
      </c>
      <c r="U536" s="41" t="str">
        <f>IFERROR(__xludf.DUMMYFUNCTION("""["" &amp; JOIN("", "", ARRAYFORMULA("""""""" &amp; TRIM(SPLIT(A536, "","")) &amp; """""""")) &amp; ""]"""),"[""99999""]")</f>
        <v>["99999"]</v>
      </c>
      <c r="V536" s="52" t="s">
        <v>2776</v>
      </c>
      <c r="W536" s="42" t="s">
        <v>2805</v>
      </c>
      <c r="X536" s="43"/>
      <c r="Y536" s="44" t="str">
        <f>vlookup(G536,zip_codes!$B$6:$J988,3,false)</f>
        <v>Deer Park</v>
      </c>
      <c r="Z536" s="45" t="str">
        <f>vlookup(G536,zip_codes!$B$6:$J988,9,false)</f>
        <v>Deer Park, Deer Park Gardens</v>
      </c>
      <c r="AA536" s="44" t="str">
        <f>vlookup(B536,organizations!$B$1:$C988,2,false)</f>
        <v>Legacy Community Health</v>
      </c>
      <c r="AB536" s="55" t="s">
        <v>2806</v>
      </c>
      <c r="AC536" s="47" t="s">
        <v>278</v>
      </c>
      <c r="AD536" s="48" t="s">
        <v>1467</v>
      </c>
      <c r="AE536" s="48" t="str">
        <f t="shared" si="69"/>
        <v>Legacy Health - Deer Park3430 Center Street33</v>
      </c>
      <c r="AF536" s="48" t="str">
        <f t="shared" si="73"/>
        <v/>
      </c>
    </row>
    <row r="537" ht="66.75" customHeight="1">
      <c r="A537" s="49" t="s">
        <v>50</v>
      </c>
      <c r="B537" s="35" t="s">
        <v>2807</v>
      </c>
      <c r="C537" s="36" t="s">
        <v>2808</v>
      </c>
      <c r="D537" s="36"/>
      <c r="E537" s="36" t="s">
        <v>36</v>
      </c>
      <c r="F537" s="36" t="s">
        <v>37</v>
      </c>
      <c r="G537" s="35" t="s">
        <v>846</v>
      </c>
      <c r="H537" s="35" t="s">
        <v>2809</v>
      </c>
      <c r="I537" s="35" t="s">
        <v>2810</v>
      </c>
      <c r="J537" s="50"/>
      <c r="K537" s="37">
        <f>IFERROR(__xludf.DUMMYFUNCTION("query(assistance!$A$2:$E988,""Select C Where D = '""&amp;L537&amp;""'"")"),31.0)</f>
        <v>31</v>
      </c>
      <c r="L537" s="36" t="s">
        <v>90</v>
      </c>
      <c r="M537" s="38">
        <f t="shared" si="74"/>
        <v>1</v>
      </c>
      <c r="N537" s="39" t="s">
        <v>42</v>
      </c>
      <c r="O537" s="57">
        <v>45948.0</v>
      </c>
      <c r="P537" s="35" t="s">
        <v>43</v>
      </c>
      <c r="Q537" s="35"/>
      <c r="R537" s="35" t="s">
        <v>2811</v>
      </c>
      <c r="S537" s="35" t="b">
        <v>0</v>
      </c>
      <c r="T537" s="35" t="b">
        <v>0</v>
      </c>
      <c r="U537" s="41" t="str">
        <f>IFERROR(__xludf.DUMMYFUNCTION("""["" &amp; JOIN("", "", ARRAYFORMULA("""""""" &amp; TRIM(SPLIT(A537, "","")) &amp; """""""")) &amp; ""]"""),"[""99999""]")</f>
        <v>["99999"]</v>
      </c>
      <c r="V537" s="52" t="s">
        <v>2776</v>
      </c>
      <c r="W537" s="42" t="s">
        <v>2812</v>
      </c>
      <c r="X537" s="43"/>
      <c r="Y537" s="44" t="str">
        <f>vlookup(G537,zip_codes!$B$6:$J988,3,false)</f>
        <v>Houston</v>
      </c>
      <c r="Z537" s="45" t="str">
        <f>vlookup(G537,zip_codes!$B$6:$J988,9,false)</f>
        <v>Denver Harbor / Port Houston, Fifth Ward, Northside</v>
      </c>
      <c r="AA537" s="44" t="str">
        <f>vlookup(B537,organizations!$B$1:$C988,2,false)</f>
        <v>Legacy Community Health</v>
      </c>
      <c r="AB537" s="55" t="s">
        <v>2813</v>
      </c>
      <c r="AC537" s="47" t="s">
        <v>2814</v>
      </c>
      <c r="AD537" s="48" t="s">
        <v>356</v>
      </c>
      <c r="AE537" s="48" t="str">
        <f t="shared" si="69"/>
        <v>Legacy Health - Fifth Ward Lyons3811 Lyons Avenue31</v>
      </c>
      <c r="AF537" s="48" t="str">
        <f t="shared" si="73"/>
        <v/>
      </c>
    </row>
    <row r="538" ht="66.75" customHeight="1">
      <c r="A538" s="49" t="s">
        <v>50</v>
      </c>
      <c r="B538" s="35" t="s">
        <v>2807</v>
      </c>
      <c r="C538" s="36" t="s">
        <v>2808</v>
      </c>
      <c r="D538" s="36"/>
      <c r="E538" s="36" t="s">
        <v>36</v>
      </c>
      <c r="F538" s="36" t="s">
        <v>37</v>
      </c>
      <c r="G538" s="35" t="s">
        <v>846</v>
      </c>
      <c r="H538" s="35" t="s">
        <v>2809</v>
      </c>
      <c r="I538" s="35" t="s">
        <v>2810</v>
      </c>
      <c r="J538" s="50"/>
      <c r="K538" s="37">
        <f>IFERROR(__xludf.DUMMYFUNCTION("query(assistance!$A$2:$E988,""Select C Where D = '""&amp;L538&amp;""'"")"),32.0)</f>
        <v>32</v>
      </c>
      <c r="L538" s="36" t="s">
        <v>208</v>
      </c>
      <c r="M538" s="38">
        <f t="shared" si="74"/>
        <v>1</v>
      </c>
      <c r="N538" s="39" t="s">
        <v>42</v>
      </c>
      <c r="O538" s="57">
        <v>46049.0</v>
      </c>
      <c r="P538" s="35" t="s">
        <v>43</v>
      </c>
      <c r="Q538" s="35"/>
      <c r="R538" s="35" t="s">
        <v>2815</v>
      </c>
      <c r="S538" s="35" t="b">
        <v>1</v>
      </c>
      <c r="T538" s="35" t="b">
        <v>0</v>
      </c>
      <c r="U538" s="41" t="str">
        <f>IFERROR(__xludf.DUMMYFUNCTION("""["" &amp; JOIN("", "", ARRAYFORMULA("""""""" &amp; TRIM(SPLIT(A538, "","")) &amp; """""""")) &amp; ""]"""),"[""99999""]")</f>
        <v>["99999"]</v>
      </c>
      <c r="V538" s="52" t="s">
        <v>2776</v>
      </c>
      <c r="W538" s="42" t="s">
        <v>2812</v>
      </c>
      <c r="X538" s="43"/>
      <c r="Y538" s="44" t="str">
        <f>vlookup(G538,zip_codes!$B$6:$J988,3,false)</f>
        <v>Houston</v>
      </c>
      <c r="Z538" s="45" t="str">
        <f>vlookup(G538,zip_codes!$B$6:$J988,9,false)</f>
        <v>Denver Harbor / Port Houston, Fifth Ward, Northside</v>
      </c>
      <c r="AA538" s="44" t="str">
        <f>vlookup(B538,organizations!$B$1:$C988,2,false)</f>
        <v>Legacy Community Health</v>
      </c>
      <c r="AB538" s="55" t="s">
        <v>2813</v>
      </c>
      <c r="AC538" s="47" t="s">
        <v>2814</v>
      </c>
      <c r="AD538" s="48" t="s">
        <v>356</v>
      </c>
      <c r="AE538" s="48" t="str">
        <f t="shared" si="69"/>
        <v>Legacy Health - Fifth Ward Lyons3811 Lyons Avenue32</v>
      </c>
      <c r="AF538" s="48" t="str">
        <f t="shared" si="73"/>
        <v/>
      </c>
    </row>
    <row r="539" ht="66.75" customHeight="1">
      <c r="A539" s="49" t="s">
        <v>50</v>
      </c>
      <c r="B539" s="35" t="s">
        <v>2807</v>
      </c>
      <c r="C539" s="36" t="s">
        <v>2808</v>
      </c>
      <c r="D539" s="36"/>
      <c r="E539" s="36" t="s">
        <v>36</v>
      </c>
      <c r="F539" s="36" t="s">
        <v>37</v>
      </c>
      <c r="G539" s="35" t="s">
        <v>846</v>
      </c>
      <c r="H539" s="35" t="s">
        <v>2809</v>
      </c>
      <c r="I539" s="35" t="s">
        <v>2810</v>
      </c>
      <c r="J539" s="50"/>
      <c r="K539" s="37">
        <f>IFERROR(__xludf.DUMMYFUNCTION("query(assistance!$A$2:$E988,""Select C Where D = '""&amp;L539&amp;""'"")"),33.0)</f>
        <v>33</v>
      </c>
      <c r="L539" s="36" t="s">
        <v>333</v>
      </c>
      <c r="M539" s="38">
        <f t="shared" si="74"/>
        <v>1</v>
      </c>
      <c r="N539" s="39" t="s">
        <v>42</v>
      </c>
      <c r="O539" s="57">
        <v>45948.0</v>
      </c>
      <c r="P539" s="35" t="s">
        <v>43</v>
      </c>
      <c r="Q539" s="35"/>
      <c r="R539" s="35" t="s">
        <v>2786</v>
      </c>
      <c r="S539" s="35" t="b">
        <v>0</v>
      </c>
      <c r="T539" s="35" t="b">
        <v>0</v>
      </c>
      <c r="U539" s="41" t="str">
        <f>IFERROR(__xludf.DUMMYFUNCTION("""["" &amp; JOIN("", "", ARRAYFORMULA("""""""" &amp; TRIM(SPLIT(A539, "","")) &amp; """""""")) &amp; ""]"""),"[""99999""]")</f>
        <v>["99999"]</v>
      </c>
      <c r="V539" s="52" t="s">
        <v>2776</v>
      </c>
      <c r="W539" s="42" t="s">
        <v>2812</v>
      </c>
      <c r="X539" s="43"/>
      <c r="Y539" s="44" t="str">
        <f>vlookup(G539,zip_codes!$B$6:$J988,3,false)</f>
        <v>Houston</v>
      </c>
      <c r="Z539" s="45" t="str">
        <f>vlookup(G539,zip_codes!$B$6:$J988,9,false)</f>
        <v>Denver Harbor / Port Houston, Fifth Ward, Northside</v>
      </c>
      <c r="AA539" s="44" t="str">
        <f>vlookup(B539,organizations!$B$1:$C988,2,false)</f>
        <v>Legacy Community Health</v>
      </c>
      <c r="AB539" s="55" t="s">
        <v>2813</v>
      </c>
      <c r="AC539" s="47" t="s">
        <v>2814</v>
      </c>
      <c r="AD539" s="48" t="s">
        <v>356</v>
      </c>
      <c r="AE539" s="48" t="str">
        <f t="shared" si="69"/>
        <v>Legacy Health - Fifth Ward Lyons3811 Lyons Avenue33</v>
      </c>
      <c r="AF539" s="48" t="str">
        <f t="shared" si="73"/>
        <v/>
      </c>
    </row>
    <row r="540" ht="66.75" customHeight="1">
      <c r="A540" s="49" t="s">
        <v>50</v>
      </c>
      <c r="B540" s="35" t="s">
        <v>2816</v>
      </c>
      <c r="C540" s="36" t="s">
        <v>2817</v>
      </c>
      <c r="D540" s="36"/>
      <c r="E540" s="36" t="s">
        <v>36</v>
      </c>
      <c r="F540" s="36" t="s">
        <v>37</v>
      </c>
      <c r="G540" s="35" t="s">
        <v>2818</v>
      </c>
      <c r="H540" s="35" t="s">
        <v>2819</v>
      </c>
      <c r="I540" s="35" t="s">
        <v>332</v>
      </c>
      <c r="J540" s="50"/>
      <c r="K540" s="37">
        <f>IFERROR(__xludf.DUMMYFUNCTION("query(assistance!$A$2:$E988,""Select C Where D = '""&amp;L540&amp;""'"")"),31.0)</f>
        <v>31</v>
      </c>
      <c r="L540" s="36" t="s">
        <v>90</v>
      </c>
      <c r="M540" s="38">
        <f t="shared" si="74"/>
        <v>1</v>
      </c>
      <c r="N540" s="39" t="s">
        <v>42</v>
      </c>
      <c r="O540" s="57">
        <v>45948.0</v>
      </c>
      <c r="P540" s="35" t="s">
        <v>43</v>
      </c>
      <c r="Q540" s="35"/>
      <c r="R540" s="35" t="s">
        <v>2820</v>
      </c>
      <c r="S540" s="35" t="b">
        <v>0</v>
      </c>
      <c r="T540" s="35" t="b">
        <v>0</v>
      </c>
      <c r="U540" s="41" t="str">
        <f>IFERROR(__xludf.DUMMYFUNCTION("""["" &amp; JOIN("", "", ARRAYFORMULA("""""""" &amp; TRIM(SPLIT(A540, "","")) &amp; """""""")) &amp; ""]"""),"[""99999""]")</f>
        <v>["99999"]</v>
      </c>
      <c r="V540" s="52" t="s">
        <v>2776</v>
      </c>
      <c r="W540" s="42" t="s">
        <v>2821</v>
      </c>
      <c r="X540" s="43"/>
      <c r="Y540" s="44" t="str">
        <f>vlookup(G540,zip_codes!$B$6:$J988,3,false)</f>
        <v>Houston</v>
      </c>
      <c r="Z540" s="45" t="str">
        <f>vlookup(G540,zip_codes!$B$6:$J988,9,false)</f>
        <v>Cloverleaf, Northeast Houston, Northshore</v>
      </c>
      <c r="AA540" s="44" t="str">
        <f>vlookup(B540,organizations!$B$1:$C988,2,false)</f>
        <v>Legacy Community Health</v>
      </c>
      <c r="AB540" s="55" t="s">
        <v>2822</v>
      </c>
      <c r="AC540" s="47" t="s">
        <v>335</v>
      </c>
      <c r="AD540" s="48" t="s">
        <v>1216</v>
      </c>
      <c r="AE540" s="48" t="str">
        <f t="shared" si="69"/>
        <v>Legacy Health - Galena Park13940 Bonham Street31</v>
      </c>
      <c r="AF540" s="48" t="str">
        <f t="shared" si="73"/>
        <v/>
      </c>
    </row>
    <row r="541" ht="66.75" customHeight="1">
      <c r="A541" s="49" t="s">
        <v>50</v>
      </c>
      <c r="B541" s="35" t="s">
        <v>2816</v>
      </c>
      <c r="C541" s="36" t="s">
        <v>2817</v>
      </c>
      <c r="D541" s="36"/>
      <c r="E541" s="36" t="s">
        <v>36</v>
      </c>
      <c r="F541" s="36" t="s">
        <v>37</v>
      </c>
      <c r="G541" s="35" t="s">
        <v>2818</v>
      </c>
      <c r="H541" s="35" t="s">
        <v>2819</v>
      </c>
      <c r="I541" s="35" t="s">
        <v>332</v>
      </c>
      <c r="J541" s="50"/>
      <c r="K541" s="37">
        <f>IFERROR(__xludf.DUMMYFUNCTION("query(assistance!$A$2:$E988,""Select C Where D = '""&amp;L541&amp;""'"")"),32.0)</f>
        <v>32</v>
      </c>
      <c r="L541" s="36" t="s">
        <v>208</v>
      </c>
      <c r="M541" s="38">
        <f t="shared" si="74"/>
        <v>1</v>
      </c>
      <c r="N541" s="39" t="s">
        <v>42</v>
      </c>
      <c r="O541" s="57">
        <v>46049.0</v>
      </c>
      <c r="P541" s="35" t="s">
        <v>43</v>
      </c>
      <c r="Q541" s="35"/>
      <c r="R541" s="35" t="s">
        <v>2785</v>
      </c>
      <c r="S541" s="35" t="b">
        <v>1</v>
      </c>
      <c r="T541" s="35" t="b">
        <v>0</v>
      </c>
      <c r="U541" s="41" t="str">
        <f>IFERROR(__xludf.DUMMYFUNCTION("""["" &amp; JOIN("", "", ARRAYFORMULA("""""""" &amp; TRIM(SPLIT(A541, "","")) &amp; """""""")) &amp; ""]"""),"[""99999""]")</f>
        <v>["99999"]</v>
      </c>
      <c r="V541" s="52" t="s">
        <v>2776</v>
      </c>
      <c r="W541" s="42" t="s">
        <v>2821</v>
      </c>
      <c r="X541" s="43"/>
      <c r="Y541" s="44" t="str">
        <f>vlookup(G541,zip_codes!$B$6:$J988,3,false)</f>
        <v>Houston</v>
      </c>
      <c r="Z541" s="45" t="str">
        <f>vlookup(G541,zip_codes!$B$6:$J988,9,false)</f>
        <v>Cloverleaf, Northeast Houston, Northshore</v>
      </c>
      <c r="AA541" s="44" t="str">
        <f>vlookup(B541,organizations!$B$1:$C988,2,false)</f>
        <v>Legacy Community Health</v>
      </c>
      <c r="AB541" s="55" t="s">
        <v>2822</v>
      </c>
      <c r="AC541" s="47" t="s">
        <v>335</v>
      </c>
      <c r="AD541" s="48" t="s">
        <v>1216</v>
      </c>
      <c r="AE541" s="48" t="str">
        <f t="shared" si="69"/>
        <v>Legacy Health - Galena Park13940 Bonham Street32</v>
      </c>
      <c r="AF541" s="48" t="str">
        <f t="shared" si="73"/>
        <v/>
      </c>
    </row>
    <row r="542" ht="66.75" customHeight="1">
      <c r="A542" s="49" t="s">
        <v>50</v>
      </c>
      <c r="B542" s="35" t="s">
        <v>2823</v>
      </c>
      <c r="C542" s="36" t="s">
        <v>2824</v>
      </c>
      <c r="D542" s="36"/>
      <c r="E542" s="36" t="s">
        <v>36</v>
      </c>
      <c r="F542" s="36" t="s">
        <v>37</v>
      </c>
      <c r="G542" s="35" t="s">
        <v>676</v>
      </c>
      <c r="H542" s="35" t="s">
        <v>2825</v>
      </c>
      <c r="I542" s="35" t="s">
        <v>272</v>
      </c>
      <c r="J542" s="50"/>
      <c r="K542" s="37">
        <f>IFERROR(__xludf.DUMMYFUNCTION("query(assistance!$A$2:$E988,""Select C Where D = '""&amp;L542&amp;""'"")"),31.0)</f>
        <v>31</v>
      </c>
      <c r="L542" s="36" t="s">
        <v>90</v>
      </c>
      <c r="M542" s="38">
        <f t="shared" si="74"/>
        <v>1</v>
      </c>
      <c r="N542" s="39" t="s">
        <v>42</v>
      </c>
      <c r="O542" s="57">
        <v>45948.0</v>
      </c>
      <c r="P542" s="35" t="s">
        <v>43</v>
      </c>
      <c r="Q542" s="35"/>
      <c r="R542" s="35" t="s">
        <v>2826</v>
      </c>
      <c r="S542" s="35" t="b">
        <v>0</v>
      </c>
      <c r="T542" s="35" t="b">
        <v>0</v>
      </c>
      <c r="U542" s="41" t="str">
        <f>IFERROR(__xludf.DUMMYFUNCTION("""["" &amp; JOIN("", "", ARRAYFORMULA("""""""" &amp; TRIM(SPLIT(A542, "","")) &amp; """""""")) &amp; ""]"""),"[""99999""]")</f>
        <v>["99999"]</v>
      </c>
      <c r="V542" s="52" t="s">
        <v>2776</v>
      </c>
      <c r="W542" s="42" t="s">
        <v>2827</v>
      </c>
      <c r="X542" s="43"/>
      <c r="Y542" s="44" t="str">
        <f>vlookup(G542,zip_codes!$B$6:$J988,3,false)</f>
        <v>Houston</v>
      </c>
      <c r="Z542" s="45" t="str">
        <f>vlookup(G542,zip_codes!$B$6:$J988,9,false)</f>
        <v>Gulfton</v>
      </c>
      <c r="AA542" s="44" t="str">
        <f>vlookup(B542,organizations!$B$1:$C988,2,false)</f>
        <v>Legacy Community Health</v>
      </c>
      <c r="AB542" s="55" t="s">
        <v>2828</v>
      </c>
      <c r="AC542" s="47" t="s">
        <v>278</v>
      </c>
      <c r="AD542" s="48" t="s">
        <v>680</v>
      </c>
      <c r="AE542" s="48" t="str">
        <f t="shared" si="69"/>
        <v>Legacy Health - Gulfton Dashwood5420 Dashwood Drive31</v>
      </c>
      <c r="AF542" s="48" t="str">
        <f t="shared" si="73"/>
        <v/>
      </c>
    </row>
    <row r="543" ht="66.75" customHeight="1">
      <c r="A543" s="49" t="s">
        <v>50</v>
      </c>
      <c r="B543" s="35" t="s">
        <v>2823</v>
      </c>
      <c r="C543" s="36" t="s">
        <v>2824</v>
      </c>
      <c r="D543" s="36"/>
      <c r="E543" s="36" t="s">
        <v>36</v>
      </c>
      <c r="F543" s="36" t="s">
        <v>37</v>
      </c>
      <c r="G543" s="35" t="s">
        <v>676</v>
      </c>
      <c r="H543" s="35" t="s">
        <v>2825</v>
      </c>
      <c r="I543" s="35" t="s">
        <v>272</v>
      </c>
      <c r="J543" s="50"/>
      <c r="K543" s="37">
        <f>IFERROR(__xludf.DUMMYFUNCTION("query(assistance!$A$2:$E988,""Select C Where D = '""&amp;L543&amp;""'"")"),33.0)</f>
        <v>33</v>
      </c>
      <c r="L543" s="36" t="s">
        <v>333</v>
      </c>
      <c r="M543" s="38">
        <f t="shared" si="74"/>
        <v>1</v>
      </c>
      <c r="N543" s="39" t="s">
        <v>42</v>
      </c>
      <c r="O543" s="57">
        <v>45948.0</v>
      </c>
      <c r="P543" s="35" t="s">
        <v>43</v>
      </c>
      <c r="Q543" s="35"/>
      <c r="R543" s="35" t="s">
        <v>2786</v>
      </c>
      <c r="S543" s="35" t="b">
        <v>0</v>
      </c>
      <c r="T543" s="35" t="b">
        <v>0</v>
      </c>
      <c r="U543" s="41" t="str">
        <f>IFERROR(__xludf.DUMMYFUNCTION("""["" &amp; JOIN("", "", ARRAYFORMULA("""""""" &amp; TRIM(SPLIT(A543, "","")) &amp; """""""")) &amp; ""]"""),"[""99999""]")</f>
        <v>["99999"]</v>
      </c>
      <c r="V543" s="52" t="s">
        <v>2776</v>
      </c>
      <c r="W543" s="42" t="s">
        <v>2827</v>
      </c>
      <c r="X543" s="43"/>
      <c r="Y543" s="44" t="str">
        <f>vlookup(G543,zip_codes!$B$6:$J988,3,false)</f>
        <v>Houston</v>
      </c>
      <c r="Z543" s="45" t="str">
        <f>vlookup(G543,zip_codes!$B$6:$J988,9,false)</f>
        <v>Gulfton</v>
      </c>
      <c r="AA543" s="44" t="str">
        <f>vlookup(B543,organizations!$B$1:$C988,2,false)</f>
        <v>Legacy Community Health</v>
      </c>
      <c r="AB543" s="55" t="s">
        <v>2828</v>
      </c>
      <c r="AC543" s="47" t="s">
        <v>278</v>
      </c>
      <c r="AD543" s="48" t="s">
        <v>680</v>
      </c>
      <c r="AE543" s="48" t="str">
        <f t="shared" si="69"/>
        <v>Legacy Health - Gulfton Dashwood5420 Dashwood Drive33</v>
      </c>
      <c r="AF543" s="48" t="str">
        <f t="shared" si="73"/>
        <v/>
      </c>
    </row>
    <row r="544" ht="66.75" customHeight="1">
      <c r="A544" s="49" t="s">
        <v>50</v>
      </c>
      <c r="B544" s="35" t="s">
        <v>2829</v>
      </c>
      <c r="C544" s="36" t="s">
        <v>2830</v>
      </c>
      <c r="D544" s="36"/>
      <c r="E544" s="36" t="s">
        <v>36</v>
      </c>
      <c r="F544" s="36" t="s">
        <v>37</v>
      </c>
      <c r="G544" s="35" t="s">
        <v>158</v>
      </c>
      <c r="H544" s="35" t="s">
        <v>2831</v>
      </c>
      <c r="I544" s="35" t="s">
        <v>272</v>
      </c>
      <c r="J544" s="50"/>
      <c r="K544" s="37">
        <f>IFERROR(__xludf.DUMMYFUNCTION("query(assistance!$A$2:$E988,""Select C Where D = '""&amp;L544&amp;""'"")"),31.0)</f>
        <v>31</v>
      </c>
      <c r="L544" s="36" t="s">
        <v>90</v>
      </c>
      <c r="M544" s="38">
        <f t="shared" si="74"/>
        <v>1</v>
      </c>
      <c r="N544" s="39" t="s">
        <v>42</v>
      </c>
      <c r="O544" s="57">
        <v>45948.0</v>
      </c>
      <c r="P544" s="35" t="s">
        <v>43</v>
      </c>
      <c r="Q544" s="35"/>
      <c r="R544" s="35" t="s">
        <v>2832</v>
      </c>
      <c r="S544" s="35" t="b">
        <v>0</v>
      </c>
      <c r="T544" s="35" t="b">
        <v>0</v>
      </c>
      <c r="U544" s="41" t="str">
        <f>IFERROR(__xludf.DUMMYFUNCTION("""["" &amp; JOIN("", "", ARRAYFORMULA("""""""" &amp; TRIM(SPLIT(A544, "","")) &amp; """""""")) &amp; ""]"""),"[""99999""]")</f>
        <v>["99999"]</v>
      </c>
      <c r="V544" s="52" t="s">
        <v>2776</v>
      </c>
      <c r="W544" s="42" t="s">
        <v>2833</v>
      </c>
      <c r="X544" s="43"/>
      <c r="Y544" s="44" t="str">
        <f>vlookup(G544,zip_codes!$B$6:$J988,3,false)</f>
        <v>Missouri City</v>
      </c>
      <c r="Z544" s="45" t="str">
        <f>vlookup(G544,zip_codes!$B$6:$J988,9,false)</f>
        <v>Missouri City, Olde Missouri City Market Place, Quail Green South, Quail Valley, Sta-mo Annex</v>
      </c>
      <c r="AA544" s="44" t="str">
        <f>vlookup(B544,organizations!$B$1:$C988,2,false)</f>
        <v>Legacy Community Health</v>
      </c>
      <c r="AB544" s="55" t="s">
        <v>2834</v>
      </c>
      <c r="AC544" s="47" t="s">
        <v>278</v>
      </c>
      <c r="AD544" s="48" t="s">
        <v>2835</v>
      </c>
      <c r="AE544" s="48" t="str">
        <f t="shared" si="69"/>
        <v>Legacy Health - Missouri City3021 Texas Parkway31</v>
      </c>
      <c r="AF544" s="48" t="str">
        <f t="shared" si="73"/>
        <v/>
      </c>
    </row>
    <row r="545" ht="66.75" customHeight="1">
      <c r="A545" s="49" t="s">
        <v>50</v>
      </c>
      <c r="B545" s="35" t="s">
        <v>2829</v>
      </c>
      <c r="C545" s="36" t="s">
        <v>2830</v>
      </c>
      <c r="D545" s="36"/>
      <c r="E545" s="36" t="s">
        <v>36</v>
      </c>
      <c r="F545" s="36" t="s">
        <v>37</v>
      </c>
      <c r="G545" s="35" t="s">
        <v>158</v>
      </c>
      <c r="H545" s="35" t="s">
        <v>2831</v>
      </c>
      <c r="I545" s="35" t="s">
        <v>272</v>
      </c>
      <c r="J545" s="50"/>
      <c r="K545" s="37">
        <f>IFERROR(__xludf.DUMMYFUNCTION("query(assistance!$A$2:$E988,""Select C Where D = '""&amp;L545&amp;""'"")"),33.0)</f>
        <v>33</v>
      </c>
      <c r="L545" s="36" t="s">
        <v>333</v>
      </c>
      <c r="M545" s="38">
        <f t="shared" si="74"/>
        <v>1</v>
      </c>
      <c r="N545" s="39" t="s">
        <v>42</v>
      </c>
      <c r="O545" s="57">
        <v>45948.0</v>
      </c>
      <c r="P545" s="35" t="s">
        <v>43</v>
      </c>
      <c r="Q545" s="35"/>
      <c r="R545" s="35" t="s">
        <v>2786</v>
      </c>
      <c r="S545" s="35" t="b">
        <v>0</v>
      </c>
      <c r="T545" s="35" t="b">
        <v>0</v>
      </c>
      <c r="U545" s="41" t="str">
        <f>IFERROR(__xludf.DUMMYFUNCTION("""["" &amp; JOIN("", "", ARRAYFORMULA("""""""" &amp; TRIM(SPLIT(A545, "","")) &amp; """""""")) &amp; ""]"""),"[""99999""]")</f>
        <v>["99999"]</v>
      </c>
      <c r="V545" s="52" t="s">
        <v>2776</v>
      </c>
      <c r="W545" s="42" t="s">
        <v>2833</v>
      </c>
      <c r="X545" s="43"/>
      <c r="Y545" s="44" t="str">
        <f>vlookup(G545,zip_codes!$B$6:$J988,3,false)</f>
        <v>Missouri City</v>
      </c>
      <c r="Z545" s="45" t="str">
        <f>vlookup(G545,zip_codes!$B$6:$J988,9,false)</f>
        <v>Missouri City, Olde Missouri City Market Place, Quail Green South, Quail Valley, Sta-mo Annex</v>
      </c>
      <c r="AA545" s="44" t="str">
        <f>vlookup(B545,organizations!$B$1:$C988,2,false)</f>
        <v>Legacy Community Health</v>
      </c>
      <c r="AB545" s="55" t="s">
        <v>2834</v>
      </c>
      <c r="AC545" s="47" t="s">
        <v>278</v>
      </c>
      <c r="AD545" s="48" t="s">
        <v>2835</v>
      </c>
      <c r="AE545" s="48" t="str">
        <f t="shared" si="69"/>
        <v>Legacy Health - Missouri City3021 Texas Parkway33</v>
      </c>
      <c r="AF545" s="48" t="str">
        <f t="shared" si="73"/>
        <v/>
      </c>
    </row>
    <row r="546" ht="66.75" customHeight="1">
      <c r="A546" s="49" t="s">
        <v>50</v>
      </c>
      <c r="B546" s="35" t="s">
        <v>2836</v>
      </c>
      <c r="C546" s="36" t="s">
        <v>2837</v>
      </c>
      <c r="D546" s="36"/>
      <c r="E546" s="36" t="s">
        <v>36</v>
      </c>
      <c r="F546" s="36" t="s">
        <v>37</v>
      </c>
      <c r="G546" s="35" t="s">
        <v>514</v>
      </c>
      <c r="H546" s="35" t="s">
        <v>2838</v>
      </c>
      <c r="I546" s="35" t="s">
        <v>2839</v>
      </c>
      <c r="J546" s="50"/>
      <c r="K546" s="37">
        <f>IFERROR(__xludf.DUMMYFUNCTION("query(assistance!$A$2:$E988,""Select C Where D = '""&amp;L546&amp;""'"")"),31.0)</f>
        <v>31</v>
      </c>
      <c r="L546" s="36" t="s">
        <v>90</v>
      </c>
      <c r="M546" s="38">
        <f t="shared" si="74"/>
        <v>1</v>
      </c>
      <c r="N546" s="39" t="s">
        <v>42</v>
      </c>
      <c r="O546" s="57">
        <v>45948.0</v>
      </c>
      <c r="P546" s="35" t="s">
        <v>43</v>
      </c>
      <c r="Q546" s="35"/>
      <c r="R546" s="35" t="s">
        <v>2840</v>
      </c>
      <c r="S546" s="35" t="b">
        <v>0</v>
      </c>
      <c r="T546" s="35" t="b">
        <v>0</v>
      </c>
      <c r="U546" s="41" t="str">
        <f>IFERROR(__xludf.DUMMYFUNCTION("""["" &amp; JOIN("", "", ARRAYFORMULA("""""""" &amp; TRIM(SPLIT(A546, "","")) &amp; """""""")) &amp; ""]"""),"[""99999""]")</f>
        <v>["99999"]</v>
      </c>
      <c r="V546" s="52" t="s">
        <v>2776</v>
      </c>
      <c r="W546" s="42" t="s">
        <v>2841</v>
      </c>
      <c r="X546" s="43"/>
      <c r="Y546" s="44" t="str">
        <f>vlookup(G546,zip_codes!$B$6:$J988,3,false)</f>
        <v>Houston</v>
      </c>
      <c r="Z546" s="45" t="str">
        <f>vlookup(G546,zip_codes!$B$6:$J988,9,false)</f>
        <v>Hyde Park, Montrose, South Central Houston</v>
      </c>
      <c r="AA546" s="44" t="str">
        <f>vlookup(B546,organizations!$B$1:$C988,2,false)</f>
        <v>Legacy Community Health</v>
      </c>
      <c r="AB546" s="55" t="s">
        <v>2842</v>
      </c>
      <c r="AC546" s="47" t="s">
        <v>2843</v>
      </c>
      <c r="AD546" s="48" t="s">
        <v>2844</v>
      </c>
      <c r="AE546" s="48" t="str">
        <f t="shared" si="69"/>
        <v>Legacy Health - Montrose1415 California Street31</v>
      </c>
      <c r="AF546" s="48" t="str">
        <f t="shared" si="73"/>
        <v/>
      </c>
    </row>
    <row r="547" ht="66.75" customHeight="1">
      <c r="A547" s="49" t="s">
        <v>50</v>
      </c>
      <c r="B547" s="35" t="s">
        <v>2836</v>
      </c>
      <c r="C547" s="36" t="s">
        <v>2837</v>
      </c>
      <c r="D547" s="36"/>
      <c r="E547" s="36" t="s">
        <v>36</v>
      </c>
      <c r="F547" s="36" t="s">
        <v>37</v>
      </c>
      <c r="G547" s="35" t="s">
        <v>514</v>
      </c>
      <c r="H547" s="35" t="s">
        <v>2838</v>
      </c>
      <c r="I547" s="35" t="s">
        <v>2839</v>
      </c>
      <c r="J547" s="50"/>
      <c r="K547" s="37">
        <f>IFERROR(__xludf.DUMMYFUNCTION("query(assistance!$A$2:$E988,""Select C Where D = '""&amp;L547&amp;""'"")"),32.0)</f>
        <v>32</v>
      </c>
      <c r="L547" s="36" t="s">
        <v>208</v>
      </c>
      <c r="M547" s="38">
        <f t="shared" si="74"/>
        <v>1</v>
      </c>
      <c r="N547" s="39" t="s">
        <v>42</v>
      </c>
      <c r="O547" s="57">
        <v>46049.0</v>
      </c>
      <c r="P547" s="35" t="s">
        <v>43</v>
      </c>
      <c r="Q547" s="35"/>
      <c r="R547" s="35" t="s">
        <v>2815</v>
      </c>
      <c r="S547" s="35" t="b">
        <v>1</v>
      </c>
      <c r="T547" s="35" t="b">
        <v>0</v>
      </c>
      <c r="U547" s="41" t="str">
        <f>IFERROR(__xludf.DUMMYFUNCTION("""["" &amp; JOIN("", "", ARRAYFORMULA("""""""" &amp; TRIM(SPLIT(A547, "","")) &amp; """""""")) &amp; ""]"""),"[""99999""]")</f>
        <v>["99999"]</v>
      </c>
      <c r="V547" s="52" t="s">
        <v>2776</v>
      </c>
      <c r="W547" s="42" t="s">
        <v>2841</v>
      </c>
      <c r="X547" s="43"/>
      <c r="Y547" s="44" t="str">
        <f>vlookup(G547,zip_codes!$B$6:$J988,3,false)</f>
        <v>Houston</v>
      </c>
      <c r="Z547" s="45" t="str">
        <f>vlookup(G547,zip_codes!$B$6:$J988,9,false)</f>
        <v>Hyde Park, Montrose, South Central Houston</v>
      </c>
      <c r="AA547" s="44" t="str">
        <f>vlookup(B547,organizations!$B$1:$C988,2,false)</f>
        <v>Legacy Community Health</v>
      </c>
      <c r="AB547" s="55" t="s">
        <v>2842</v>
      </c>
      <c r="AC547" s="47" t="s">
        <v>2843</v>
      </c>
      <c r="AD547" s="48" t="s">
        <v>2844</v>
      </c>
      <c r="AE547" s="48" t="str">
        <f t="shared" si="69"/>
        <v>Legacy Health - Montrose1415 California Street32</v>
      </c>
      <c r="AF547" s="48" t="str">
        <f t="shared" si="73"/>
        <v/>
      </c>
    </row>
    <row r="548" ht="66.75" customHeight="1">
      <c r="A548" s="49" t="s">
        <v>50</v>
      </c>
      <c r="B548" s="35" t="s">
        <v>2836</v>
      </c>
      <c r="C548" s="36" t="s">
        <v>2837</v>
      </c>
      <c r="D548" s="36"/>
      <c r="E548" s="36" t="s">
        <v>36</v>
      </c>
      <c r="F548" s="36" t="s">
        <v>37</v>
      </c>
      <c r="G548" s="35" t="s">
        <v>514</v>
      </c>
      <c r="H548" s="35" t="s">
        <v>2838</v>
      </c>
      <c r="I548" s="35" t="s">
        <v>2839</v>
      </c>
      <c r="J548" s="50"/>
      <c r="K548" s="37">
        <f>IFERROR(__xludf.DUMMYFUNCTION("query(assistance!$A$2:$E988,""Select C Where D = '""&amp;L548&amp;""'"")"),33.0)</f>
        <v>33</v>
      </c>
      <c r="L548" s="36" t="s">
        <v>333</v>
      </c>
      <c r="M548" s="38">
        <f t="shared" si="74"/>
        <v>1</v>
      </c>
      <c r="N548" s="39" t="s">
        <v>42</v>
      </c>
      <c r="O548" s="57">
        <v>45948.0</v>
      </c>
      <c r="P548" s="35" t="s">
        <v>43</v>
      </c>
      <c r="Q548" s="35"/>
      <c r="R548" s="35" t="s">
        <v>2786</v>
      </c>
      <c r="S548" s="35" t="b">
        <v>0</v>
      </c>
      <c r="T548" s="35" t="b">
        <v>0</v>
      </c>
      <c r="U548" s="41" t="str">
        <f>IFERROR(__xludf.DUMMYFUNCTION("""["" &amp; JOIN("", "", ARRAYFORMULA("""""""" &amp; TRIM(SPLIT(A548, "","")) &amp; """""""")) &amp; ""]"""),"[""99999""]")</f>
        <v>["99999"]</v>
      </c>
      <c r="V548" s="52" t="s">
        <v>2776</v>
      </c>
      <c r="W548" s="42" t="s">
        <v>2841</v>
      </c>
      <c r="X548" s="43"/>
      <c r="Y548" s="44" t="str">
        <f>vlookup(G548,zip_codes!$B$6:$J988,3,false)</f>
        <v>Houston</v>
      </c>
      <c r="Z548" s="45" t="str">
        <f>vlookup(G548,zip_codes!$B$6:$J988,9,false)</f>
        <v>Hyde Park, Montrose, South Central Houston</v>
      </c>
      <c r="AA548" s="44" t="str">
        <f>vlookup(B548,organizations!$B$1:$C988,2,false)</f>
        <v>Legacy Community Health</v>
      </c>
      <c r="AB548" s="55" t="s">
        <v>2842</v>
      </c>
      <c r="AC548" s="47" t="s">
        <v>2843</v>
      </c>
      <c r="AD548" s="48" t="s">
        <v>2844</v>
      </c>
      <c r="AE548" s="48" t="str">
        <f t="shared" si="69"/>
        <v>Legacy Health - Montrose1415 California Street33</v>
      </c>
      <c r="AF548" s="48" t="str">
        <f t="shared" si="73"/>
        <v/>
      </c>
    </row>
    <row r="549" ht="66.75" customHeight="1">
      <c r="A549" s="49" t="s">
        <v>50</v>
      </c>
      <c r="B549" s="35" t="s">
        <v>2845</v>
      </c>
      <c r="C549" s="36" t="s">
        <v>2846</v>
      </c>
      <c r="D549" s="36"/>
      <c r="E549" s="36" t="s">
        <v>36</v>
      </c>
      <c r="F549" s="36" t="s">
        <v>37</v>
      </c>
      <c r="G549" s="35" t="s">
        <v>65</v>
      </c>
      <c r="H549" s="35" t="s">
        <v>2847</v>
      </c>
      <c r="I549" s="35" t="s">
        <v>272</v>
      </c>
      <c r="J549" s="50"/>
      <c r="K549" s="37">
        <f>IFERROR(__xludf.DUMMYFUNCTION("query(assistance!$A$2:$E988,""Select C Where D = '""&amp;L549&amp;""'"")"),31.0)</f>
        <v>31</v>
      </c>
      <c r="L549" s="36" t="s">
        <v>90</v>
      </c>
      <c r="M549" s="38">
        <f t="shared" si="74"/>
        <v>1</v>
      </c>
      <c r="N549" s="39" t="s">
        <v>42</v>
      </c>
      <c r="O549" s="57">
        <v>45948.0</v>
      </c>
      <c r="P549" s="35" t="s">
        <v>43</v>
      </c>
      <c r="Q549" s="35"/>
      <c r="R549" s="35" t="s">
        <v>2848</v>
      </c>
      <c r="S549" s="35" t="b">
        <v>0</v>
      </c>
      <c r="T549" s="35" t="b">
        <v>0</v>
      </c>
      <c r="U549" s="41" t="str">
        <f>IFERROR(__xludf.DUMMYFUNCTION("""["" &amp; JOIN("", "", ARRAYFORMULA("""""""" &amp; TRIM(SPLIT(A549, "","")) &amp; """""""")) &amp; ""]"""),"[""99999""]")</f>
        <v>["99999"]</v>
      </c>
      <c r="V549" s="52" t="s">
        <v>2776</v>
      </c>
      <c r="W549" s="42" t="s">
        <v>2849</v>
      </c>
      <c r="X549" s="43"/>
      <c r="Y549" s="44" t="str">
        <f>vlookup(G549,zip_codes!$B$6:$J988,3,false)</f>
        <v>Houston</v>
      </c>
      <c r="Z549" s="45" t="str">
        <f>vlookup(G549,zip_codes!$B$6:$J988,9,false)</f>
        <v>Independence Heights, Northline, Northside / Northline</v>
      </c>
      <c r="AA549" s="44" t="str">
        <f>vlookup(B549,organizations!$B$1:$C988,2,false)</f>
        <v>Legacy Community Health</v>
      </c>
      <c r="AB549" s="55" t="s">
        <v>2850</v>
      </c>
      <c r="AC549" s="47" t="s">
        <v>278</v>
      </c>
      <c r="AD549" s="48" t="s">
        <v>74</v>
      </c>
      <c r="AE549" s="48" t="str">
        <f t="shared" si="69"/>
        <v>Legacy Health - Northline5598 A-1 North Fwy31</v>
      </c>
      <c r="AF549" s="48" t="str">
        <f t="shared" si="73"/>
        <v/>
      </c>
    </row>
    <row r="550" ht="66.75" customHeight="1">
      <c r="A550" s="49" t="s">
        <v>50</v>
      </c>
      <c r="B550" s="35" t="s">
        <v>2845</v>
      </c>
      <c r="C550" s="36" t="s">
        <v>2846</v>
      </c>
      <c r="D550" s="36"/>
      <c r="E550" s="36" t="s">
        <v>36</v>
      </c>
      <c r="F550" s="36" t="s">
        <v>37</v>
      </c>
      <c r="G550" s="35" t="s">
        <v>65</v>
      </c>
      <c r="H550" s="35" t="s">
        <v>2847</v>
      </c>
      <c r="I550" s="35" t="s">
        <v>272</v>
      </c>
      <c r="J550" s="50"/>
      <c r="K550" s="37">
        <f>IFERROR(__xludf.DUMMYFUNCTION("query(assistance!$A$2:$E988,""Select C Where D = '""&amp;L550&amp;""'"")"),33.0)</f>
        <v>33</v>
      </c>
      <c r="L550" s="36" t="s">
        <v>333</v>
      </c>
      <c r="M550" s="38">
        <f t="shared" si="74"/>
        <v>1</v>
      </c>
      <c r="N550" s="39" t="s">
        <v>42</v>
      </c>
      <c r="O550" s="57">
        <v>45948.0</v>
      </c>
      <c r="P550" s="35" t="s">
        <v>43</v>
      </c>
      <c r="Q550" s="35"/>
      <c r="R550" s="35" t="s">
        <v>2786</v>
      </c>
      <c r="S550" s="35" t="b">
        <v>0</v>
      </c>
      <c r="T550" s="35" t="b">
        <v>0</v>
      </c>
      <c r="U550" s="41" t="str">
        <f>IFERROR(__xludf.DUMMYFUNCTION("""["" &amp; JOIN("", "", ARRAYFORMULA("""""""" &amp; TRIM(SPLIT(A550, "","")) &amp; """""""")) &amp; ""]"""),"[""99999""]")</f>
        <v>["99999"]</v>
      </c>
      <c r="V550" s="52" t="s">
        <v>2776</v>
      </c>
      <c r="W550" s="42" t="s">
        <v>2849</v>
      </c>
      <c r="X550" s="43"/>
      <c r="Y550" s="44" t="str">
        <f>vlookup(G550,zip_codes!$B$6:$J988,3,false)</f>
        <v>Houston</v>
      </c>
      <c r="Z550" s="45" t="str">
        <f>vlookup(G550,zip_codes!$B$6:$J988,9,false)</f>
        <v>Independence Heights, Northline, Northside / Northline</v>
      </c>
      <c r="AA550" s="44" t="str">
        <f>vlookup(B550,organizations!$B$1:$C988,2,false)</f>
        <v>Legacy Community Health</v>
      </c>
      <c r="AB550" s="55" t="s">
        <v>2850</v>
      </c>
      <c r="AC550" s="47" t="s">
        <v>278</v>
      </c>
      <c r="AD550" s="48" t="s">
        <v>74</v>
      </c>
      <c r="AE550" s="48" t="str">
        <f t="shared" si="69"/>
        <v>Legacy Health - Northline5598 A-1 North Fwy33</v>
      </c>
      <c r="AF550" s="48" t="str">
        <f t="shared" si="73"/>
        <v/>
      </c>
    </row>
    <row r="551" ht="66.75" customHeight="1">
      <c r="A551" s="49" t="s">
        <v>50</v>
      </c>
      <c r="B551" s="35" t="s">
        <v>2851</v>
      </c>
      <c r="C551" s="36" t="s">
        <v>2852</v>
      </c>
      <c r="D551" s="36" t="s">
        <v>541</v>
      </c>
      <c r="E551" s="36" t="s">
        <v>36</v>
      </c>
      <c r="F551" s="36" t="s">
        <v>37</v>
      </c>
      <c r="G551" s="35" t="s">
        <v>2102</v>
      </c>
      <c r="H551" s="35" t="s">
        <v>2853</v>
      </c>
      <c r="I551" s="35" t="s">
        <v>272</v>
      </c>
      <c r="J551" s="50"/>
      <c r="K551" s="37">
        <f>IFERROR(__xludf.DUMMYFUNCTION("query(assistance!$A$2:$E988,""Select C Where D = '""&amp;L551&amp;""'"")"),31.0)</f>
        <v>31</v>
      </c>
      <c r="L551" s="36" t="s">
        <v>90</v>
      </c>
      <c r="M551" s="38">
        <f t="shared" si="74"/>
        <v>1</v>
      </c>
      <c r="N551" s="39" t="s">
        <v>42</v>
      </c>
      <c r="O551" s="57">
        <v>45948.0</v>
      </c>
      <c r="P551" s="35" t="s">
        <v>43</v>
      </c>
      <c r="Q551" s="35"/>
      <c r="R551" s="35" t="s">
        <v>2854</v>
      </c>
      <c r="S551" s="35" t="b">
        <v>0</v>
      </c>
      <c r="T551" s="35" t="b">
        <v>0</v>
      </c>
      <c r="U551" s="41" t="str">
        <f>IFERROR(__xludf.DUMMYFUNCTION("""["" &amp; JOIN("", "", ARRAYFORMULA("""""""" &amp; TRIM(SPLIT(A551, "","")) &amp; """""""")) &amp; ""]"""),"[""99999""]")</f>
        <v>["99999"]</v>
      </c>
      <c r="V551" s="52" t="s">
        <v>2776</v>
      </c>
      <c r="W551" s="42" t="s">
        <v>2855</v>
      </c>
      <c r="X551" s="43"/>
      <c r="Y551" s="44" t="str">
        <f>vlookup(G551,zip_codes!$B$6:$J988,3,false)</f>
        <v>Houston</v>
      </c>
      <c r="Z551" s="45" t="str">
        <f>vlookup(G551,zip_codes!$B$6:$J988,9,false)</f>
        <v>Lindale Park, Near Northside, Northside, Woodland Heights</v>
      </c>
      <c r="AA551" s="44" t="str">
        <f>vlookup(B551,organizations!$B$1:$C988,2,false)</f>
        <v>Legacy Community Health</v>
      </c>
      <c r="AB551" s="55" t="s">
        <v>2856</v>
      </c>
      <c r="AC551" s="47" t="s">
        <v>278</v>
      </c>
      <c r="AD551" s="48" t="s">
        <v>356</v>
      </c>
      <c r="AE551" s="48" t="str">
        <f t="shared" si="69"/>
        <v>Legacy Health - Northside Irvington3517 Irvington Blvd31</v>
      </c>
      <c r="AF551" s="48" t="str">
        <f t="shared" si="73"/>
        <v/>
      </c>
    </row>
    <row r="552" ht="66.75" customHeight="1">
      <c r="A552" s="49" t="s">
        <v>50</v>
      </c>
      <c r="B552" s="35" t="s">
        <v>2851</v>
      </c>
      <c r="C552" s="36" t="s">
        <v>2852</v>
      </c>
      <c r="D552" s="36" t="s">
        <v>541</v>
      </c>
      <c r="E552" s="36" t="s">
        <v>36</v>
      </c>
      <c r="F552" s="36" t="s">
        <v>37</v>
      </c>
      <c r="G552" s="35" t="s">
        <v>2102</v>
      </c>
      <c r="H552" s="35" t="s">
        <v>2853</v>
      </c>
      <c r="I552" s="35" t="s">
        <v>272</v>
      </c>
      <c r="J552" s="50"/>
      <c r="K552" s="37">
        <f>IFERROR(__xludf.DUMMYFUNCTION("query(assistance!$A$2:$E988,""Select C Where D = '""&amp;L552&amp;""'"")"),33.0)</f>
        <v>33</v>
      </c>
      <c r="L552" s="36" t="s">
        <v>333</v>
      </c>
      <c r="M552" s="38">
        <f t="shared" si="74"/>
        <v>1</v>
      </c>
      <c r="N552" s="39" t="s">
        <v>42</v>
      </c>
      <c r="O552" s="57">
        <v>45948.0</v>
      </c>
      <c r="P552" s="35" t="s">
        <v>43</v>
      </c>
      <c r="Q552" s="35"/>
      <c r="R552" s="35" t="s">
        <v>2786</v>
      </c>
      <c r="S552" s="35" t="b">
        <v>0</v>
      </c>
      <c r="T552" s="35" t="b">
        <v>0</v>
      </c>
      <c r="U552" s="41" t="str">
        <f>IFERROR(__xludf.DUMMYFUNCTION("""["" &amp; JOIN("", "", ARRAYFORMULA("""""""" &amp; TRIM(SPLIT(A552, "","")) &amp; """""""")) &amp; ""]"""),"[""99999""]")</f>
        <v>["99999"]</v>
      </c>
      <c r="V552" s="52" t="s">
        <v>2776</v>
      </c>
      <c r="W552" s="42" t="s">
        <v>2855</v>
      </c>
      <c r="X552" s="43"/>
      <c r="Y552" s="44" t="str">
        <f>vlookup(G552,zip_codes!$B$6:$J988,3,false)</f>
        <v>Houston</v>
      </c>
      <c r="Z552" s="45" t="str">
        <f>vlookup(G552,zip_codes!$B$6:$J988,9,false)</f>
        <v>Lindale Park, Near Northside, Northside, Woodland Heights</v>
      </c>
      <c r="AA552" s="44" t="str">
        <f>vlookup(B552,organizations!$B$1:$C988,2,false)</f>
        <v>Legacy Community Health</v>
      </c>
      <c r="AB552" s="55" t="s">
        <v>2856</v>
      </c>
      <c r="AC552" s="47" t="s">
        <v>278</v>
      </c>
      <c r="AD552" s="48" t="s">
        <v>356</v>
      </c>
      <c r="AE552" s="48" t="str">
        <f t="shared" si="69"/>
        <v>Legacy Health - Northside Irvington3517 Irvington Blvd33</v>
      </c>
      <c r="AF552" s="48" t="str">
        <f t="shared" si="73"/>
        <v/>
      </c>
    </row>
    <row r="553" ht="66.75" customHeight="1">
      <c r="A553" s="49" t="s">
        <v>50</v>
      </c>
      <c r="B553" s="35" t="s">
        <v>2857</v>
      </c>
      <c r="C553" s="36" t="s">
        <v>2858</v>
      </c>
      <c r="D553" s="36" t="s">
        <v>2859</v>
      </c>
      <c r="E553" s="36" t="s">
        <v>774</v>
      </c>
      <c r="F553" s="36" t="s">
        <v>37</v>
      </c>
      <c r="G553" s="35" t="s">
        <v>2789</v>
      </c>
      <c r="H553" s="35" t="s">
        <v>2790</v>
      </c>
      <c r="I553" s="35" t="s">
        <v>2860</v>
      </c>
      <c r="J553" s="50"/>
      <c r="K553" s="37">
        <f>IFERROR(__xludf.DUMMYFUNCTION("query(assistance!$A$2:$E988,""Select C Where D = '""&amp;L553&amp;""'"")"),31.0)</f>
        <v>31</v>
      </c>
      <c r="L553" s="36" t="s">
        <v>90</v>
      </c>
      <c r="M553" s="38">
        <f t="shared" si="74"/>
        <v>1</v>
      </c>
      <c r="N553" s="39" t="s">
        <v>42</v>
      </c>
      <c r="O553" s="57">
        <v>45948.0</v>
      </c>
      <c r="P553" s="35" t="s">
        <v>43</v>
      </c>
      <c r="Q553" s="35"/>
      <c r="R553" s="35" t="s">
        <v>2861</v>
      </c>
      <c r="S553" s="35" t="b">
        <v>0</v>
      </c>
      <c r="T553" s="35" t="b">
        <v>0</v>
      </c>
      <c r="U553" s="41" t="str">
        <f>IFERROR(__xludf.DUMMYFUNCTION("""["" &amp; JOIN("", "", ARRAYFORMULA("""""""" &amp; TRIM(SPLIT(A553, "","")) &amp; """""""")) &amp; ""]"""),"[""99999""]")</f>
        <v>["99999"]</v>
      </c>
      <c r="V553" s="52" t="s">
        <v>2776</v>
      </c>
      <c r="W553" s="42" t="s">
        <v>2862</v>
      </c>
      <c r="X553" s="43"/>
      <c r="Y553" s="44" t="str">
        <f>vlookup(G553,zip_codes!$B$6:$J988,3,false)</f>
        <v>Baytown</v>
      </c>
      <c r="Z553" s="45" t="str">
        <f>vlookup(G553,zip_codes!$B$6:$J988,9,false)</f>
        <v>Baytown, Baytown (North), Highland Farms</v>
      </c>
      <c r="AA553" s="44" t="str">
        <f>vlookup(B553,organizations!$B$1:$C988,2,false)</f>
        <v>Legacy Community Health</v>
      </c>
      <c r="AB553" s="55" t="s">
        <v>2863</v>
      </c>
      <c r="AC553" s="47" t="s">
        <v>2864</v>
      </c>
      <c r="AD553" s="48" t="s">
        <v>774</v>
      </c>
      <c r="AE553" s="48" t="str">
        <f t="shared" si="69"/>
        <v>Legacy Health - San Jacinto4301 Garth Road31</v>
      </c>
      <c r="AF553" s="48" t="str">
        <f t="shared" si="73"/>
        <v/>
      </c>
    </row>
    <row r="554" ht="66.75" customHeight="1">
      <c r="A554" s="49" t="s">
        <v>50</v>
      </c>
      <c r="B554" s="35" t="s">
        <v>2857</v>
      </c>
      <c r="C554" s="36" t="s">
        <v>2858</v>
      </c>
      <c r="D554" s="36" t="s">
        <v>2859</v>
      </c>
      <c r="E554" s="36" t="s">
        <v>774</v>
      </c>
      <c r="F554" s="36" t="s">
        <v>37</v>
      </c>
      <c r="G554" s="35" t="s">
        <v>2789</v>
      </c>
      <c r="H554" s="35" t="s">
        <v>2790</v>
      </c>
      <c r="I554" s="35" t="s">
        <v>2860</v>
      </c>
      <c r="J554" s="50"/>
      <c r="K554" s="37">
        <f>IFERROR(__xludf.DUMMYFUNCTION("query(assistance!$A$2:$E988,""Select C Where D = '""&amp;L554&amp;""'"")"),33.0)</f>
        <v>33</v>
      </c>
      <c r="L554" s="36" t="s">
        <v>333</v>
      </c>
      <c r="M554" s="38">
        <f t="shared" si="74"/>
        <v>1</v>
      </c>
      <c r="N554" s="39" t="s">
        <v>42</v>
      </c>
      <c r="O554" s="57">
        <v>45948.0</v>
      </c>
      <c r="P554" s="35" t="s">
        <v>43</v>
      </c>
      <c r="Q554" s="35"/>
      <c r="R554" s="35" t="s">
        <v>2786</v>
      </c>
      <c r="S554" s="35" t="b">
        <v>0</v>
      </c>
      <c r="T554" s="35" t="b">
        <v>0</v>
      </c>
      <c r="U554" s="41" t="str">
        <f>IFERROR(__xludf.DUMMYFUNCTION("""["" &amp; JOIN("", "", ARRAYFORMULA("""""""" &amp; TRIM(SPLIT(A554, "","")) &amp; """""""")) &amp; ""]"""),"[""99999""]")</f>
        <v>["99999"]</v>
      </c>
      <c r="V554" s="52" t="s">
        <v>2776</v>
      </c>
      <c r="W554" s="42" t="s">
        <v>2862</v>
      </c>
      <c r="X554" s="43"/>
      <c r="Y554" s="44" t="str">
        <f>vlookup(G554,zip_codes!$B$6:$J988,3,false)</f>
        <v>Baytown</v>
      </c>
      <c r="Z554" s="45" t="str">
        <f>vlookup(G554,zip_codes!$B$6:$J988,9,false)</f>
        <v>Baytown, Baytown (North), Highland Farms</v>
      </c>
      <c r="AA554" s="44" t="str">
        <f>vlookup(B554,organizations!$B$1:$C988,2,false)</f>
        <v>Legacy Community Health</v>
      </c>
      <c r="AB554" s="55" t="s">
        <v>2863</v>
      </c>
      <c r="AC554" s="47" t="s">
        <v>2864</v>
      </c>
      <c r="AD554" s="48" t="s">
        <v>774</v>
      </c>
      <c r="AE554" s="48" t="str">
        <f t="shared" si="69"/>
        <v>Legacy Health - San Jacinto4301 Garth Road33</v>
      </c>
      <c r="AF554" s="48" t="str">
        <f t="shared" si="73"/>
        <v/>
      </c>
    </row>
    <row r="555" ht="66.75" customHeight="1">
      <c r="A555" s="49" t="s">
        <v>50</v>
      </c>
      <c r="B555" s="35" t="s">
        <v>2865</v>
      </c>
      <c r="C555" s="36" t="s">
        <v>2866</v>
      </c>
      <c r="D555" s="36"/>
      <c r="E555" s="36" t="s">
        <v>36</v>
      </c>
      <c r="F555" s="36" t="s">
        <v>37</v>
      </c>
      <c r="G555" s="35" t="s">
        <v>77</v>
      </c>
      <c r="H555" s="35" t="s">
        <v>2867</v>
      </c>
      <c r="I555" s="35" t="s">
        <v>272</v>
      </c>
      <c r="J555" s="50"/>
      <c r="K555" s="37">
        <f>IFERROR(__xludf.DUMMYFUNCTION("query(assistance!$A$2:$E988,""Select C Where D = '""&amp;L555&amp;""'"")"),31.0)</f>
        <v>31</v>
      </c>
      <c r="L555" s="36" t="s">
        <v>90</v>
      </c>
      <c r="M555" s="38">
        <f t="shared" si="74"/>
        <v>1</v>
      </c>
      <c r="N555" s="39" t="s">
        <v>42</v>
      </c>
      <c r="O555" s="57">
        <v>45948.0</v>
      </c>
      <c r="P555" s="35" t="s">
        <v>43</v>
      </c>
      <c r="Q555" s="35"/>
      <c r="R555" s="35" t="s">
        <v>2868</v>
      </c>
      <c r="S555" s="35" t="b">
        <v>0</v>
      </c>
      <c r="T555" s="35" t="b">
        <v>0</v>
      </c>
      <c r="U555" s="41" t="str">
        <f>IFERROR(__xludf.DUMMYFUNCTION("""["" &amp; JOIN("", "", ARRAYFORMULA("""""""" &amp; TRIM(SPLIT(A555, "","")) &amp; """""""")) &amp; ""]"""),"[""99999""]")</f>
        <v>["99999"]</v>
      </c>
      <c r="V555" s="52" t="s">
        <v>2776</v>
      </c>
      <c r="W555" s="42" t="s">
        <v>2869</v>
      </c>
      <c r="X555" s="43"/>
      <c r="Y555" s="44" t="str">
        <f>vlookup(G555,zip_codes!$B$6:$J988,3,false)</f>
        <v>Houston</v>
      </c>
      <c r="Z555" s="45" t="str">
        <f>vlookup(G555,zip_codes!$B$6:$J988,9,false)</f>
        <v>Eastwood, Gulfgate Riverview / Pine Valley, Idylwood, Lawndale / Wayside, Magnolia Park, South Central Houston</v>
      </c>
      <c r="AA555" s="44" t="str">
        <f>vlookup(B555,organizations!$B$1:$C988,2,false)</f>
        <v>Legacy Community Health</v>
      </c>
      <c r="AB555" s="55" t="s">
        <v>2870</v>
      </c>
      <c r="AC555" s="47" t="s">
        <v>278</v>
      </c>
      <c r="AD555" s="48" t="s">
        <v>81</v>
      </c>
      <c r="AE555" s="48" t="str">
        <f t="shared" si="69"/>
        <v>Legacy Health - Santa Clara5616 Lawndale Street31</v>
      </c>
      <c r="AF555" s="48" t="str">
        <f t="shared" si="73"/>
        <v/>
      </c>
    </row>
    <row r="556" ht="66.75" customHeight="1">
      <c r="A556" s="49" t="s">
        <v>50</v>
      </c>
      <c r="B556" s="35" t="s">
        <v>2865</v>
      </c>
      <c r="C556" s="36" t="s">
        <v>2866</v>
      </c>
      <c r="D556" s="36"/>
      <c r="E556" s="36" t="s">
        <v>36</v>
      </c>
      <c r="F556" s="36" t="s">
        <v>37</v>
      </c>
      <c r="G556" s="35" t="s">
        <v>77</v>
      </c>
      <c r="H556" s="35" t="s">
        <v>2867</v>
      </c>
      <c r="I556" s="35" t="s">
        <v>272</v>
      </c>
      <c r="J556" s="50"/>
      <c r="K556" s="37">
        <f>IFERROR(__xludf.DUMMYFUNCTION("query(assistance!$A$2:$E988,""Select C Where D = '""&amp;L556&amp;""'"")"),33.0)</f>
        <v>33</v>
      </c>
      <c r="L556" s="36" t="s">
        <v>333</v>
      </c>
      <c r="M556" s="38">
        <f t="shared" si="74"/>
        <v>1</v>
      </c>
      <c r="N556" s="39" t="s">
        <v>42</v>
      </c>
      <c r="O556" s="57">
        <v>45948.0</v>
      </c>
      <c r="P556" s="35" t="s">
        <v>43</v>
      </c>
      <c r="Q556" s="35"/>
      <c r="R556" s="35" t="s">
        <v>2786</v>
      </c>
      <c r="S556" s="35" t="b">
        <v>0</v>
      </c>
      <c r="T556" s="35" t="b">
        <v>0</v>
      </c>
      <c r="U556" s="41" t="str">
        <f>IFERROR(__xludf.DUMMYFUNCTION("""["" &amp; JOIN("", "", ARRAYFORMULA("""""""" &amp; TRIM(SPLIT(A556, "","")) &amp; """""""")) &amp; ""]"""),"[""99999""]")</f>
        <v>["99999"]</v>
      </c>
      <c r="V556" s="52" t="s">
        <v>2776</v>
      </c>
      <c r="W556" s="42" t="s">
        <v>2869</v>
      </c>
      <c r="X556" s="43"/>
      <c r="Y556" s="44" t="str">
        <f>vlookup(G556,zip_codes!$B$6:$J988,3,false)</f>
        <v>Houston</v>
      </c>
      <c r="Z556" s="45" t="str">
        <f>vlookup(G556,zip_codes!$B$6:$J988,9,false)</f>
        <v>Eastwood, Gulfgate Riverview / Pine Valley, Idylwood, Lawndale / Wayside, Magnolia Park, South Central Houston</v>
      </c>
      <c r="AA556" s="44" t="str">
        <f>vlookup(B556,organizations!$B$1:$C988,2,false)</f>
        <v>Legacy Community Health</v>
      </c>
      <c r="AB556" s="55" t="s">
        <v>2870</v>
      </c>
      <c r="AC556" s="47" t="s">
        <v>278</v>
      </c>
      <c r="AD556" s="48" t="s">
        <v>81</v>
      </c>
      <c r="AE556" s="48" t="str">
        <f t="shared" si="69"/>
        <v>Legacy Health - Santa Clara5616 Lawndale Street33</v>
      </c>
      <c r="AF556" s="48" t="str">
        <f t="shared" si="73"/>
        <v/>
      </c>
    </row>
    <row r="557" ht="66.75" customHeight="1">
      <c r="A557" s="49" t="s">
        <v>50</v>
      </c>
      <c r="B557" s="35" t="s">
        <v>2871</v>
      </c>
      <c r="C557" s="36" t="s">
        <v>2872</v>
      </c>
      <c r="D557" s="36"/>
      <c r="E557" s="36" t="s">
        <v>36</v>
      </c>
      <c r="F557" s="36" t="s">
        <v>37</v>
      </c>
      <c r="G557" s="35" t="s">
        <v>567</v>
      </c>
      <c r="H557" s="35" t="s">
        <v>2873</v>
      </c>
      <c r="I557" s="35" t="s">
        <v>2874</v>
      </c>
      <c r="J557" s="50"/>
      <c r="K557" s="37">
        <f>IFERROR(__xludf.DUMMYFUNCTION("query(assistance!$A$2:$E988,""Select C Where D = '""&amp;L557&amp;""'"")"),31.0)</f>
        <v>31</v>
      </c>
      <c r="L557" s="36" t="s">
        <v>90</v>
      </c>
      <c r="M557" s="38">
        <f t="shared" si="74"/>
        <v>1</v>
      </c>
      <c r="N557" s="39" t="s">
        <v>42</v>
      </c>
      <c r="O557" s="57">
        <v>45948.0</v>
      </c>
      <c r="P557" s="35" t="s">
        <v>43</v>
      </c>
      <c r="Q557" s="35"/>
      <c r="R557" s="35" t="s">
        <v>2875</v>
      </c>
      <c r="S557" s="35" t="b">
        <v>0</v>
      </c>
      <c r="T557" s="35" t="b">
        <v>0</v>
      </c>
      <c r="U557" s="41" t="str">
        <f>IFERROR(__xludf.DUMMYFUNCTION("""["" &amp; JOIN("", "", ARRAYFORMULA("""""""" &amp; TRIM(SPLIT(A557, "","")) &amp; """""""")) &amp; ""]"""),"[""99999""]")</f>
        <v>["99999"]</v>
      </c>
      <c r="V557" s="52" t="s">
        <v>2776</v>
      </c>
      <c r="W557" s="42" t="s">
        <v>2876</v>
      </c>
      <c r="X557" s="43"/>
      <c r="Y557" s="44" t="str">
        <f>vlookup(G557,zip_codes!$B$6:$J988,3,false)</f>
        <v>Houston</v>
      </c>
      <c r="Z557" s="45" t="str">
        <f>vlookup(G557,zip_codes!$B$6:$J988,9,false)</f>
        <v>Braeburn, Robindell, Sharpstown</v>
      </c>
      <c r="AA557" s="44" t="str">
        <f>vlookup(B557,organizations!$B$1:$C988,2,false)</f>
        <v>Legacy Community Health</v>
      </c>
      <c r="AB557" s="55" t="s">
        <v>2877</v>
      </c>
      <c r="AC557" s="47" t="s">
        <v>2878</v>
      </c>
      <c r="AD557" s="48" t="s">
        <v>572</v>
      </c>
      <c r="AE557" s="48" t="str">
        <f t="shared" si="69"/>
        <v>Legacy Health - Southwest6441 High Star Drive31</v>
      </c>
      <c r="AF557" s="48" t="str">
        <f t="shared" si="73"/>
        <v/>
      </c>
    </row>
    <row r="558" ht="66.75" customHeight="1">
      <c r="A558" s="49" t="s">
        <v>50</v>
      </c>
      <c r="B558" s="35" t="s">
        <v>2879</v>
      </c>
      <c r="C558" s="36" t="s">
        <v>2880</v>
      </c>
      <c r="D558" s="36"/>
      <c r="E558" s="36" t="s">
        <v>36</v>
      </c>
      <c r="F558" s="36" t="s">
        <v>37</v>
      </c>
      <c r="G558" s="35" t="s">
        <v>201</v>
      </c>
      <c r="H558" s="35" t="s">
        <v>2881</v>
      </c>
      <c r="I558" s="35" t="s">
        <v>272</v>
      </c>
      <c r="J558" s="50"/>
      <c r="K558" s="37">
        <f>IFERROR(__xludf.DUMMYFUNCTION("query(assistance!$A$2:$E988,""Select C Where D = '""&amp;L558&amp;""'"")"),31.0)</f>
        <v>31</v>
      </c>
      <c r="L558" s="36" t="s">
        <v>90</v>
      </c>
      <c r="M558" s="38">
        <f t="shared" si="74"/>
        <v>1</v>
      </c>
      <c r="N558" s="39" t="s">
        <v>42</v>
      </c>
      <c r="O558" s="57">
        <v>45948.0</v>
      </c>
      <c r="P558" s="35" t="s">
        <v>43</v>
      </c>
      <c r="Q558" s="35"/>
      <c r="R558" s="35" t="s">
        <v>2882</v>
      </c>
      <c r="S558" s="35" t="b">
        <v>0</v>
      </c>
      <c r="T558" s="35" t="b">
        <v>0</v>
      </c>
      <c r="U558" s="41" t="str">
        <f>IFERROR(__xludf.DUMMYFUNCTION("""["" &amp; JOIN("", "", ARRAYFORMULA("""""""" &amp; TRIM(SPLIT(A558, "","")) &amp; """""""")) &amp; ""]"""),"[""99999""]")</f>
        <v>["99999"]</v>
      </c>
      <c r="V558" s="52" t="s">
        <v>2776</v>
      </c>
      <c r="W558" s="42" t="s">
        <v>2883</v>
      </c>
      <c r="X558" s="43"/>
      <c r="Y558" s="44" t="str">
        <f>vlookup(G558,zip_codes!$B$6:$J988,3,false)</f>
        <v>Stafford</v>
      </c>
      <c r="Z558" s="45" t="str">
        <f>vlookup(G558,zip_codes!$B$6:$J988,9,false)</f>
        <v>Clark Plaza One, Corporate Bus Park, Greenbriar Southwest, Stafford, The Fountains</v>
      </c>
      <c r="AA558" s="44" t="str">
        <f>vlookup(B558,organizations!$B$1:$C988,2,false)</f>
        <v>Legacy Community Health</v>
      </c>
      <c r="AB558" s="55" t="s">
        <v>2884</v>
      </c>
      <c r="AC558" s="47" t="s">
        <v>278</v>
      </c>
      <c r="AD558" s="48" t="s">
        <v>2885</v>
      </c>
      <c r="AE558" s="48" t="str">
        <f t="shared" si="69"/>
        <v>Legacy Health - Stafford Fountains12540 Sugardale Drive31</v>
      </c>
      <c r="AF558" s="48" t="str">
        <f t="shared" si="73"/>
        <v/>
      </c>
    </row>
    <row r="559" ht="66.75" customHeight="1">
      <c r="A559" s="49" t="s">
        <v>50</v>
      </c>
      <c r="B559" s="35" t="s">
        <v>2879</v>
      </c>
      <c r="C559" s="36" t="s">
        <v>2880</v>
      </c>
      <c r="D559" s="36"/>
      <c r="E559" s="36" t="s">
        <v>36</v>
      </c>
      <c r="F559" s="36" t="s">
        <v>37</v>
      </c>
      <c r="G559" s="35" t="s">
        <v>201</v>
      </c>
      <c r="H559" s="35" t="s">
        <v>2881</v>
      </c>
      <c r="I559" s="35" t="s">
        <v>272</v>
      </c>
      <c r="J559" s="50"/>
      <c r="K559" s="37">
        <f>IFERROR(__xludf.DUMMYFUNCTION("query(assistance!$A$2:$E988,""Select C Where D = '""&amp;L559&amp;""'"")"),33.0)</f>
        <v>33</v>
      </c>
      <c r="L559" s="36" t="s">
        <v>333</v>
      </c>
      <c r="M559" s="38">
        <f t="shared" si="74"/>
        <v>1</v>
      </c>
      <c r="N559" s="39" t="s">
        <v>42</v>
      </c>
      <c r="O559" s="57">
        <v>45948.0</v>
      </c>
      <c r="P559" s="35" t="s">
        <v>43</v>
      </c>
      <c r="Q559" s="35"/>
      <c r="R559" s="35" t="s">
        <v>2786</v>
      </c>
      <c r="S559" s="35" t="b">
        <v>0</v>
      </c>
      <c r="T559" s="35" t="b">
        <v>0</v>
      </c>
      <c r="U559" s="41" t="str">
        <f>IFERROR(__xludf.DUMMYFUNCTION("""["" &amp; JOIN("", "", ARRAYFORMULA("""""""" &amp; TRIM(SPLIT(A559, "","")) &amp; """""""")) &amp; ""]"""),"[""99999""]")</f>
        <v>["99999"]</v>
      </c>
      <c r="V559" s="52" t="s">
        <v>2776</v>
      </c>
      <c r="W559" s="42" t="s">
        <v>2883</v>
      </c>
      <c r="X559" s="43"/>
      <c r="Y559" s="44" t="str">
        <f>vlookup(G559,zip_codes!$B$6:$J988,3,false)</f>
        <v>Stafford</v>
      </c>
      <c r="Z559" s="45" t="str">
        <f>vlookup(G559,zip_codes!$B$6:$J988,9,false)</f>
        <v>Clark Plaza One, Corporate Bus Park, Greenbriar Southwest, Stafford, The Fountains</v>
      </c>
      <c r="AA559" s="44" t="str">
        <f>vlookup(B559,organizations!$B$1:$C988,2,false)</f>
        <v>Legacy Community Health</v>
      </c>
      <c r="AB559" s="55" t="s">
        <v>2884</v>
      </c>
      <c r="AC559" s="47" t="s">
        <v>278</v>
      </c>
      <c r="AD559" s="48" t="s">
        <v>2885</v>
      </c>
      <c r="AE559" s="48" t="str">
        <f t="shared" si="69"/>
        <v>Legacy Health - Stafford Fountains12540 Sugardale Drive33</v>
      </c>
      <c r="AF559" s="48" t="str">
        <f t="shared" si="73"/>
        <v/>
      </c>
    </row>
    <row r="560" ht="66.75" customHeight="1">
      <c r="A560" s="49" t="s">
        <v>50</v>
      </c>
      <c r="B560" s="35" t="s">
        <v>2886</v>
      </c>
      <c r="C560" s="36" t="s">
        <v>2887</v>
      </c>
      <c r="D560" s="36"/>
      <c r="E560" s="36" t="s">
        <v>36</v>
      </c>
      <c r="F560" s="36" t="s">
        <v>37</v>
      </c>
      <c r="G560" s="35" t="s">
        <v>749</v>
      </c>
      <c r="H560" s="35" t="s">
        <v>2888</v>
      </c>
      <c r="I560" s="35" t="s">
        <v>332</v>
      </c>
      <c r="J560" s="50"/>
      <c r="K560" s="37">
        <f>IFERROR(__xludf.DUMMYFUNCTION("query(assistance!$A$2:$E988,""Select C Where D = '""&amp;L560&amp;""'"")"),31.0)</f>
        <v>31</v>
      </c>
      <c r="L560" s="36" t="s">
        <v>90</v>
      </c>
      <c r="M560" s="38">
        <f t="shared" si="74"/>
        <v>1</v>
      </c>
      <c r="N560" s="39" t="s">
        <v>42</v>
      </c>
      <c r="O560" s="57">
        <v>45948.0</v>
      </c>
      <c r="P560" s="35" t="s">
        <v>43</v>
      </c>
      <c r="Q560" s="35"/>
      <c r="R560" s="35" t="s">
        <v>2889</v>
      </c>
      <c r="S560" s="35" t="b">
        <v>0</v>
      </c>
      <c r="T560" s="35" t="b">
        <v>0</v>
      </c>
      <c r="U560" s="41" t="str">
        <f>IFERROR(__xludf.DUMMYFUNCTION("""["" &amp; JOIN("", "", ARRAYFORMULA("""""""" &amp; TRIM(SPLIT(A560, "","")) &amp; """""""")) &amp; ""]"""),"[""99999""]")</f>
        <v>["99999"]</v>
      </c>
      <c r="V560" s="52" t="s">
        <v>2776</v>
      </c>
      <c r="W560" s="42" t="s">
        <v>2890</v>
      </c>
      <c r="X560" s="43"/>
      <c r="Y560" s="44" t="str">
        <f>vlookup(G560,zip_codes!$B$6:$J988,3,false)</f>
        <v>Houston</v>
      </c>
      <c r="Z560" s="45" t="str">
        <f>vlookup(G560,zip_codes!$B$6:$J988,9,false)</f>
        <v>East Downtown, Downtown Houston, Houston Museum District, Midtown, Museum District, South Central Houston, South Side, Third Ward, University Place</v>
      </c>
      <c r="AA560" s="44" t="str">
        <f>vlookup(B560,organizations!$B$1:$C988,2,false)</f>
        <v>Legacy Community Health</v>
      </c>
      <c r="AB560" s="55" t="s">
        <v>2891</v>
      </c>
      <c r="AC560" s="47" t="s">
        <v>335</v>
      </c>
      <c r="AD560" s="48" t="s">
        <v>49</v>
      </c>
      <c r="AE560" s="48" t="str">
        <f t="shared" si="69"/>
        <v>Legacy Health - Third Ward2222 Cleburne Street31</v>
      </c>
      <c r="AF560" s="48" t="str">
        <f t="shared" si="73"/>
        <v/>
      </c>
    </row>
    <row r="561" ht="66.75" customHeight="1">
      <c r="A561" s="49" t="s">
        <v>50</v>
      </c>
      <c r="B561" s="35" t="s">
        <v>2892</v>
      </c>
      <c r="C561" s="36" t="s">
        <v>2893</v>
      </c>
      <c r="D561" s="36" t="s">
        <v>2735</v>
      </c>
      <c r="E561" s="36" t="s">
        <v>36</v>
      </c>
      <c r="F561" s="36" t="s">
        <v>37</v>
      </c>
      <c r="G561" s="35" t="s">
        <v>514</v>
      </c>
      <c r="H561" s="35" t="s">
        <v>2894</v>
      </c>
      <c r="I561" s="35" t="s">
        <v>2895</v>
      </c>
      <c r="J561" s="50"/>
      <c r="K561" s="37">
        <f>IFERROR(__xludf.DUMMYFUNCTION("query(assistance!$A$2:$E988,""Select C Where D = '""&amp;L561&amp;""'"")"),31.0)</f>
        <v>31</v>
      </c>
      <c r="L561" s="36" t="s">
        <v>90</v>
      </c>
      <c r="M561" s="38">
        <f t="shared" si="74"/>
        <v>1</v>
      </c>
      <c r="N561" s="39" t="s">
        <v>42</v>
      </c>
      <c r="O561" s="57">
        <v>45948.0</v>
      </c>
      <c r="P561" s="35" t="s">
        <v>43</v>
      </c>
      <c r="Q561" s="35"/>
      <c r="R561" s="35" t="s">
        <v>2896</v>
      </c>
      <c r="S561" s="35" t="b">
        <v>0</v>
      </c>
      <c r="T561" s="35" t="b">
        <v>0</v>
      </c>
      <c r="U561" s="41" t="str">
        <f>IFERROR(__xludf.DUMMYFUNCTION("""["" &amp; JOIN("", "", ARRAYFORMULA("""""""" &amp; TRIM(SPLIT(A561, "","")) &amp; """""""")) &amp; ""]"""),"[""99999""]")</f>
        <v>["99999"]</v>
      </c>
      <c r="V561" s="52" t="s">
        <v>2776</v>
      </c>
      <c r="W561" s="42" t="s">
        <v>2897</v>
      </c>
      <c r="X561" s="43"/>
      <c r="Y561" s="44" t="str">
        <f>vlookup(G561,zip_codes!$B$6:$J988,3,false)</f>
        <v>Houston</v>
      </c>
      <c r="Z561" s="45" t="str">
        <f>vlookup(G561,zip_codes!$B$6:$J988,9,false)</f>
        <v>Hyde Park, Montrose, South Central Houston</v>
      </c>
      <c r="AA561" s="44" t="str">
        <f>vlookup(B561,organizations!$B$1:$C988,2,false)</f>
        <v>Legacy Community Health</v>
      </c>
      <c r="AB561" s="55" t="s">
        <v>2898</v>
      </c>
      <c r="AC561" s="47" t="s">
        <v>2899</v>
      </c>
      <c r="AD561" s="48" t="s">
        <v>521</v>
      </c>
      <c r="AE561" s="48" t="str">
        <f t="shared" si="69"/>
        <v>Legacy Health - Wellness Bar120 Westheimer Road31</v>
      </c>
      <c r="AF561" s="48" t="str">
        <f t="shared" si="73"/>
        <v/>
      </c>
    </row>
    <row r="562" ht="66.75" customHeight="1">
      <c r="A562" s="49" t="s">
        <v>50</v>
      </c>
      <c r="B562" s="35" t="s">
        <v>2900</v>
      </c>
      <c r="C562" s="36" t="s">
        <v>2901</v>
      </c>
      <c r="D562" s="36"/>
      <c r="E562" s="36" t="s">
        <v>36</v>
      </c>
      <c r="F562" s="36" t="s">
        <v>37</v>
      </c>
      <c r="G562" s="35" t="s">
        <v>2902</v>
      </c>
      <c r="H562" s="35" t="s">
        <v>2903</v>
      </c>
      <c r="I562" s="35" t="s">
        <v>67</v>
      </c>
      <c r="J562" s="35"/>
      <c r="K562" s="37">
        <f>IFERROR(__xludf.DUMMYFUNCTION("query(assistance!$A$2:$E988,""Select C Where D = '""&amp;L562&amp;""'"")"),24.0)</f>
        <v>24</v>
      </c>
      <c r="L562" s="36" t="s">
        <v>405</v>
      </c>
      <c r="M562" s="38">
        <f t="shared" si="74"/>
        <v>1</v>
      </c>
      <c r="N562" s="39" t="s">
        <v>42</v>
      </c>
      <c r="O562" s="40">
        <v>45761.0</v>
      </c>
      <c r="P562" s="35" t="s">
        <v>406</v>
      </c>
      <c r="Q562" s="35"/>
      <c r="R562" s="35" t="s">
        <v>2904</v>
      </c>
      <c r="S562" s="35" t="b">
        <v>0</v>
      </c>
      <c r="T562" s="35" t="b">
        <v>0</v>
      </c>
      <c r="U562" s="41" t="str">
        <f>IFERROR(__xludf.DUMMYFUNCTION("""["" &amp; JOIN("", "", ARRAYFORMULA("""""""" &amp; TRIM(SPLIT(A562, "","")) &amp; """""""")) &amp; ""]"""),"[""99999""]")</f>
        <v>["99999"]</v>
      </c>
      <c r="V562" s="52" t="s">
        <v>2905</v>
      </c>
      <c r="W562" s="43"/>
      <c r="X562" s="43"/>
      <c r="Y562" s="44" t="str">
        <f>vlookup(G562,zip_codes!$B$6:$J988,3,false)</f>
        <v>Houston</v>
      </c>
      <c r="Z562" s="45" t="str">
        <f>vlookup(G562,zip_codes!$B$6:$J988,9,false)</f>
        <v>Edgebrook Area, Ellington, Southbelt</v>
      </c>
      <c r="AA562" s="44" t="str">
        <f>vlookup(B562,organizations!$B$1:$C988,2,false)</f>
        <v>Lifehouse Houston</v>
      </c>
      <c r="AB562" s="46" t="s">
        <v>2906</v>
      </c>
      <c r="AC562" s="47" t="s">
        <v>73</v>
      </c>
      <c r="AD562" s="48" t="s">
        <v>2907</v>
      </c>
      <c r="AE562" s="48" t="str">
        <f t="shared" si="69"/>
        <v>Lifehouse Houston2315 Minnesota Street24</v>
      </c>
      <c r="AF562" s="48" t="str">
        <f t="shared" si="73"/>
        <v/>
      </c>
    </row>
    <row r="563" ht="66.75" customHeight="1">
      <c r="A563" s="49" t="s">
        <v>50</v>
      </c>
      <c r="B563" s="35" t="s">
        <v>2908</v>
      </c>
      <c r="C563" s="36" t="s">
        <v>2909</v>
      </c>
      <c r="D563" s="36" t="s">
        <v>2910</v>
      </c>
      <c r="E563" s="36" t="s">
        <v>36</v>
      </c>
      <c r="F563" s="36" t="s">
        <v>37</v>
      </c>
      <c r="G563" s="35" t="s">
        <v>711</v>
      </c>
      <c r="H563" s="35" t="s">
        <v>2911</v>
      </c>
      <c r="I563" s="35" t="s">
        <v>67</v>
      </c>
      <c r="J563" s="36"/>
      <c r="K563" s="37">
        <f>IFERROR(__xludf.DUMMYFUNCTION("query(assistance!$A$2:$E988,""Select C Where D = '""&amp;L563&amp;""'"")"),31.0)</f>
        <v>31</v>
      </c>
      <c r="L563" s="36" t="s">
        <v>90</v>
      </c>
      <c r="M563" s="38">
        <f t="shared" si="74"/>
        <v>1</v>
      </c>
      <c r="N563" s="39" t="s">
        <v>42</v>
      </c>
      <c r="O563" s="57">
        <v>45816.0</v>
      </c>
      <c r="P563" s="35" t="s">
        <v>43</v>
      </c>
      <c r="Q563" s="35"/>
      <c r="R563" s="93" t="s">
        <v>2912</v>
      </c>
      <c r="S563" s="35" t="b">
        <v>0</v>
      </c>
      <c r="T563" s="35" t="b">
        <v>0</v>
      </c>
      <c r="U563" s="41" t="str">
        <f>IFERROR(__xludf.DUMMYFUNCTION("""["" &amp; JOIN("", "", ARRAYFORMULA("""""""" &amp; TRIM(SPLIT(A563, "","")) &amp; """""""")) &amp; ""]"""),"[""99999""]")</f>
        <v>["99999"]</v>
      </c>
      <c r="V563" s="42" t="s">
        <v>2913</v>
      </c>
      <c r="W563" s="42" t="s">
        <v>2914</v>
      </c>
      <c r="X563" s="43"/>
      <c r="Y563" s="44" t="str">
        <f>vlookup(G563,zip_codes!$B$6:$J988,3,false)</f>
        <v>Houston</v>
      </c>
      <c r="Z563" s="45" t="str">
        <f>vlookup(G563,zip_codes!$B$6:$J988,9,false)</f>
        <v>Hilshire Village, Montrose, Northwest Houston, Spring Branch East, Washington Avenue Coalition / Memorial Park</v>
      </c>
      <c r="AA563" s="44" t="str">
        <f>vlookup(B563,organizations!$B$1:$C988,2,false)</f>
        <v>Living Hope Wheelchair Association</v>
      </c>
      <c r="AB563" s="46" t="s">
        <v>2915</v>
      </c>
      <c r="AC563" s="47" t="s">
        <v>73</v>
      </c>
      <c r="AD563" s="48" t="s">
        <v>715</v>
      </c>
      <c r="AE563" s="48" t="str">
        <f t="shared" si="69"/>
        <v>Living Hope Wheelchair Association9500 Westview Drive31</v>
      </c>
      <c r="AF563" s="48" t="str">
        <f t="shared" si="73"/>
        <v/>
      </c>
    </row>
    <row r="564" ht="66.75" customHeight="1">
      <c r="A564" s="49" t="s">
        <v>50</v>
      </c>
      <c r="B564" s="35" t="s">
        <v>2916</v>
      </c>
      <c r="C564" s="36" t="s">
        <v>2917</v>
      </c>
      <c r="D564" s="36"/>
      <c r="E564" s="36" t="s">
        <v>36</v>
      </c>
      <c r="F564" s="36" t="s">
        <v>37</v>
      </c>
      <c r="G564" s="35" t="s">
        <v>270</v>
      </c>
      <c r="H564" s="35" t="s">
        <v>2918</v>
      </c>
      <c r="I564" s="35" t="s">
        <v>2919</v>
      </c>
      <c r="J564" s="35"/>
      <c r="K564" s="37">
        <f>IFERROR(__xludf.DUMMYFUNCTION("query(assistance!$A$2:$E988,""Select C Where D = '""&amp;L564&amp;""'"")"),35.0)</f>
        <v>35</v>
      </c>
      <c r="L564" s="36" t="s">
        <v>731</v>
      </c>
      <c r="M564" s="38">
        <f t="shared" si="74"/>
        <v>1</v>
      </c>
      <c r="N564" s="39" t="s">
        <v>42</v>
      </c>
      <c r="O564" s="65"/>
      <c r="P564" s="50"/>
      <c r="Q564" s="35"/>
      <c r="R564" s="35" t="s">
        <v>1356</v>
      </c>
      <c r="S564" s="35" t="b">
        <v>0</v>
      </c>
      <c r="T564" s="35" t="b">
        <v>0</v>
      </c>
      <c r="U564" s="41" t="str">
        <f>IFERROR(__xludf.DUMMYFUNCTION("""["" &amp; JOIN("", "", ARRAYFORMULA("""""""" &amp; TRIM(SPLIT(A564, "","")) &amp; """""""")) &amp; ""]"""),"[""99999""]")</f>
        <v>["99999"]</v>
      </c>
      <c r="V564" s="52" t="s">
        <v>2920</v>
      </c>
      <c r="W564" s="52" t="s">
        <v>2921</v>
      </c>
      <c r="X564" s="43"/>
      <c r="Y564" s="44" t="str">
        <f>vlookup(G564,zip_codes!$B$6:$J988,3,false)</f>
        <v>Houston</v>
      </c>
      <c r="Z564" s="45" t="str">
        <f>vlookup(G564,zip_codes!$B$6:$J988,9,false)</f>
        <v>Central Business District, Downtown Houston, East Downtown, South Central Houston, Theater District, University Place, Warehouse District</v>
      </c>
      <c r="AA564" s="44" t="str">
        <f>vlookup(B564,organizations!$B$1:$C988,2,false)</f>
        <v>Lonestar Legal Aid</v>
      </c>
      <c r="AB564" s="46" t="s">
        <v>2922</v>
      </c>
      <c r="AC564" s="47" t="s">
        <v>2923</v>
      </c>
      <c r="AD564" s="48" t="s">
        <v>279</v>
      </c>
      <c r="AE564" s="48" t="str">
        <f t="shared" si="69"/>
        <v>Lonestar Legal Aid1415 Fannin Street35</v>
      </c>
      <c r="AF564" s="48" t="str">
        <f t="shared" si="73"/>
        <v/>
      </c>
    </row>
    <row r="565" ht="66.75" customHeight="1">
      <c r="A565" s="49" t="s">
        <v>50</v>
      </c>
      <c r="B565" s="35" t="s">
        <v>2916</v>
      </c>
      <c r="C565" s="36" t="s">
        <v>2917</v>
      </c>
      <c r="D565" s="36"/>
      <c r="E565" s="36" t="s">
        <v>36</v>
      </c>
      <c r="F565" s="36" t="s">
        <v>37</v>
      </c>
      <c r="G565" s="35" t="s">
        <v>270</v>
      </c>
      <c r="H565" s="35" t="s">
        <v>2918</v>
      </c>
      <c r="I565" s="35" t="s">
        <v>2919</v>
      </c>
      <c r="J565" s="35"/>
      <c r="K565" s="37">
        <f>IFERROR(__xludf.DUMMYFUNCTION("query(assistance!$A$2:$E988,""Select C Where D = '""&amp;L565&amp;""'"")"),54.0)</f>
        <v>54</v>
      </c>
      <c r="L565" s="36" t="s">
        <v>291</v>
      </c>
      <c r="M565" s="38">
        <f t="shared" si="74"/>
        <v>1</v>
      </c>
      <c r="N565" s="39" t="s">
        <v>42</v>
      </c>
      <c r="O565" s="65"/>
      <c r="P565" s="50"/>
      <c r="Q565" s="35"/>
      <c r="R565" s="35" t="s">
        <v>2924</v>
      </c>
      <c r="S565" s="35" t="b">
        <v>0</v>
      </c>
      <c r="T565" s="35" t="b">
        <v>0</v>
      </c>
      <c r="U565" s="41" t="str">
        <f>IFERROR(__xludf.DUMMYFUNCTION("""["" &amp; JOIN("", "", ARRAYFORMULA("""""""" &amp; TRIM(SPLIT(A565, "","")) &amp; """""""")) &amp; ""]"""),"[""99999""]")</f>
        <v>["99999"]</v>
      </c>
      <c r="V565" s="52" t="s">
        <v>2920</v>
      </c>
      <c r="W565" s="52" t="s">
        <v>2921</v>
      </c>
      <c r="X565" s="43"/>
      <c r="Y565" s="44" t="str">
        <f>vlookup(G565,zip_codes!$B$6:$J988,3,false)</f>
        <v>Houston</v>
      </c>
      <c r="Z565" s="45" t="str">
        <f>vlookup(G565,zip_codes!$B$6:$J988,9,false)</f>
        <v>Central Business District, Downtown Houston, East Downtown, South Central Houston, Theater District, University Place, Warehouse District</v>
      </c>
      <c r="AA565" s="44" t="str">
        <f>vlookup(B565,organizations!$B$1:$C988,2,false)</f>
        <v>Lonestar Legal Aid</v>
      </c>
      <c r="AB565" s="46" t="s">
        <v>2922</v>
      </c>
      <c r="AC565" s="47" t="s">
        <v>2923</v>
      </c>
      <c r="AD565" s="48" t="s">
        <v>279</v>
      </c>
      <c r="AE565" s="48" t="str">
        <f t="shared" si="69"/>
        <v>Lonestar Legal Aid1415 Fannin Street54</v>
      </c>
      <c r="AF565" s="48" t="str">
        <f t="shared" si="73"/>
        <v/>
      </c>
    </row>
    <row r="566" ht="66.75" customHeight="1">
      <c r="A566" s="49" t="s">
        <v>50</v>
      </c>
      <c r="B566" s="35" t="s">
        <v>2925</v>
      </c>
      <c r="C566" s="36" t="s">
        <v>2926</v>
      </c>
      <c r="D566" s="36"/>
      <c r="E566" s="36" t="s">
        <v>36</v>
      </c>
      <c r="F566" s="36" t="s">
        <v>37</v>
      </c>
      <c r="G566" s="35" t="s">
        <v>749</v>
      </c>
      <c r="H566" s="35" t="s">
        <v>2927</v>
      </c>
      <c r="I566" s="35" t="s">
        <v>544</v>
      </c>
      <c r="J566" s="35"/>
      <c r="K566" s="37">
        <f>IFERROR(__xludf.DUMMYFUNCTION("query(assistance!$A$2:$E988,""Select C Where D = '""&amp;L566&amp;""'"")"),22.0)</f>
        <v>22</v>
      </c>
      <c r="L566" s="36" t="s">
        <v>1178</v>
      </c>
      <c r="M566" s="38">
        <f t="shared" si="74"/>
        <v>1</v>
      </c>
      <c r="N566" s="39" t="s">
        <v>42</v>
      </c>
      <c r="O566" s="57">
        <v>45941.0</v>
      </c>
      <c r="P566" s="35"/>
      <c r="Q566" s="35"/>
      <c r="R566" s="35" t="s">
        <v>2928</v>
      </c>
      <c r="S566" s="35" t="b">
        <v>0</v>
      </c>
      <c r="T566" s="35" t="b">
        <v>0</v>
      </c>
      <c r="U566" s="41" t="str">
        <f>IFERROR(__xludf.DUMMYFUNCTION("""["" &amp; JOIN("", "", ARRAYFORMULA("""""""" &amp; TRIM(SPLIT(A566, "","")) &amp; """""""")) &amp; ""]"""),"[""99999""]")</f>
        <v>["99999"]</v>
      </c>
      <c r="V566" s="42" t="s">
        <v>2929</v>
      </c>
      <c r="W566" s="42" t="s">
        <v>2930</v>
      </c>
      <c r="X566" s="43"/>
      <c r="Y566" s="44" t="str">
        <f>vlookup(G566,zip_codes!$B$6:$J988,3,false)</f>
        <v>Houston</v>
      </c>
      <c r="Z566" s="45" t="str">
        <f>vlookup(G566,zip_codes!$B$6:$J988,9,false)</f>
        <v>East Downtown, Downtown Houston, Houston Museum District, Midtown, Museum District, South Central Houston, South Side, Third Ward, University Place</v>
      </c>
      <c r="AA566" s="44" t="str">
        <f>vlookup(B566,organizations!$B$1:$C988,2,false)</f>
        <v>Lord of the Streets</v>
      </c>
      <c r="AB566" s="55" t="s">
        <v>2931</v>
      </c>
      <c r="AC566" s="47" t="s">
        <v>551</v>
      </c>
      <c r="AD566" s="48" t="s">
        <v>314</v>
      </c>
      <c r="AE566" s="48" t="str">
        <f t="shared" si="69"/>
        <v>Lord of the Streets3401 Fannin Street22</v>
      </c>
      <c r="AF566" s="48" t="str">
        <f t="shared" si="73"/>
        <v/>
      </c>
    </row>
    <row r="567" ht="66.75" customHeight="1">
      <c r="A567" s="49" t="s">
        <v>50</v>
      </c>
      <c r="B567" s="35" t="s">
        <v>2925</v>
      </c>
      <c r="C567" s="36" t="s">
        <v>2926</v>
      </c>
      <c r="D567" s="36"/>
      <c r="E567" s="36" t="s">
        <v>36</v>
      </c>
      <c r="F567" s="36" t="s">
        <v>37</v>
      </c>
      <c r="G567" s="35" t="s">
        <v>749</v>
      </c>
      <c r="H567" s="35" t="s">
        <v>2927</v>
      </c>
      <c r="I567" s="35" t="s">
        <v>544</v>
      </c>
      <c r="J567" s="35"/>
      <c r="K567" s="37">
        <f>IFERROR(__xludf.DUMMYFUNCTION("query(assistance!$A$2:$E988,""Select C Where D = '""&amp;L567&amp;""'"")"),32.0)</f>
        <v>32</v>
      </c>
      <c r="L567" s="36" t="s">
        <v>208</v>
      </c>
      <c r="M567" s="38">
        <f t="shared" si="74"/>
        <v>1</v>
      </c>
      <c r="N567" s="39" t="s">
        <v>42</v>
      </c>
      <c r="O567" s="57">
        <v>45941.0</v>
      </c>
      <c r="P567" s="35"/>
      <c r="Q567" s="35"/>
      <c r="R567" s="35" t="s">
        <v>2932</v>
      </c>
      <c r="S567" s="35" t="b">
        <v>1</v>
      </c>
      <c r="T567" s="35" t="b">
        <v>0</v>
      </c>
      <c r="U567" s="41" t="str">
        <f>IFERROR(__xludf.DUMMYFUNCTION("""["" &amp; JOIN("", "", ARRAYFORMULA("""""""" &amp; TRIM(SPLIT(A567, "","")) &amp; """""""")) &amp; ""]"""),"[""99999""]")</f>
        <v>["99999"]</v>
      </c>
      <c r="V567" s="42" t="s">
        <v>2929</v>
      </c>
      <c r="W567" s="42" t="s">
        <v>2930</v>
      </c>
      <c r="X567" s="43"/>
      <c r="Y567" s="44" t="str">
        <f>vlookup(G567,zip_codes!$B$6:$J988,3,false)</f>
        <v>Houston</v>
      </c>
      <c r="Z567" s="45" t="str">
        <f>vlookup(G567,zip_codes!$B$6:$J988,9,false)</f>
        <v>East Downtown, Downtown Houston, Houston Museum District, Midtown, Museum District, South Central Houston, South Side, Third Ward, University Place</v>
      </c>
      <c r="AA567" s="44" t="str">
        <f>vlookup(B567,organizations!$B$1:$C988,2,false)</f>
        <v>Lord of the Streets</v>
      </c>
      <c r="AB567" s="55" t="s">
        <v>2931</v>
      </c>
      <c r="AC567" s="47" t="s">
        <v>551</v>
      </c>
      <c r="AD567" s="48" t="s">
        <v>314</v>
      </c>
      <c r="AE567" s="48" t="str">
        <f t="shared" si="69"/>
        <v>Lord of the Streets3401 Fannin Street32</v>
      </c>
      <c r="AF567" s="48" t="str">
        <f t="shared" si="73"/>
        <v/>
      </c>
    </row>
    <row r="568" ht="66.75" customHeight="1">
      <c r="A568" s="49" t="s">
        <v>50</v>
      </c>
      <c r="B568" s="35" t="s">
        <v>2933</v>
      </c>
      <c r="C568" s="36" t="s">
        <v>2934</v>
      </c>
      <c r="D568" s="36"/>
      <c r="E568" s="36" t="s">
        <v>2935</v>
      </c>
      <c r="F568" s="36" t="s">
        <v>37</v>
      </c>
      <c r="G568" s="35" t="s">
        <v>2936</v>
      </c>
      <c r="H568" s="35" t="s">
        <v>2937</v>
      </c>
      <c r="I568" s="35" t="s">
        <v>2938</v>
      </c>
      <c r="J568" s="35" t="s">
        <v>2939</v>
      </c>
      <c r="K568" s="37">
        <f>IFERROR(__xludf.DUMMYFUNCTION("query(assistance!$A$2:$E988,""Select C Where D = '""&amp;L568&amp;""'"")"),63.0)</f>
        <v>63</v>
      </c>
      <c r="L568" s="36" t="s">
        <v>765</v>
      </c>
      <c r="M568" s="38">
        <f t="shared" si="74"/>
        <v>1</v>
      </c>
      <c r="N568" s="51" t="s">
        <v>42</v>
      </c>
      <c r="O568" s="40">
        <v>45925.0</v>
      </c>
      <c r="P568" s="40"/>
      <c r="Q568" s="35"/>
      <c r="R568" s="35" t="s">
        <v>2940</v>
      </c>
      <c r="S568" s="35" t="b">
        <v>0</v>
      </c>
      <c r="T568" s="35" t="b">
        <v>0</v>
      </c>
      <c r="U568" s="41" t="str">
        <f>IFERROR(__xludf.DUMMYFUNCTION("""["" &amp; JOIN("", "", ARRAYFORMULA("""""""" &amp; TRIM(SPLIT(A568, "","")) &amp; """""""")) &amp; ""]"""),"[""99999""]")</f>
        <v>["99999"]</v>
      </c>
      <c r="V568" s="91" t="s">
        <v>2941</v>
      </c>
      <c r="W568" s="69"/>
      <c r="X568" s="69"/>
      <c r="Y568" s="44" t="str">
        <f>vlookup(G568,zip_codes!$B$6:$J988,3,false)</f>
        <v>Irving</v>
      </c>
      <c r="Z568" s="45" t="str">
        <f>vlookup(G568,zip_codes!$B$6:$J988,9,false)</f>
        <v>Irving</v>
      </c>
      <c r="AA568" s="44" t="str">
        <f>vlookup(B568,organizations!$B$1:$C988,2,false)</f>
        <v>Low Cost Pet Vax</v>
      </c>
      <c r="AB568" s="55" t="s">
        <v>2942</v>
      </c>
      <c r="AC568" s="47" t="s">
        <v>2943</v>
      </c>
      <c r="AD568" s="58" t="s">
        <v>2935</v>
      </c>
      <c r="AE568" s="48" t="str">
        <f t="shared" si="69"/>
        <v>Low Cost Pet Vax3202 West Irving Blvd63</v>
      </c>
      <c r="AF568" s="48" t="str">
        <f t="shared" si="73"/>
        <v/>
      </c>
    </row>
    <row r="569" ht="66.75" customHeight="1">
      <c r="A569" s="49" t="s">
        <v>1187</v>
      </c>
      <c r="B569" s="35" t="s">
        <v>2944</v>
      </c>
      <c r="C569" s="36" t="s">
        <v>2945</v>
      </c>
      <c r="D569" s="36"/>
      <c r="E569" s="36" t="s">
        <v>1186</v>
      </c>
      <c r="F569" s="36" t="s">
        <v>37</v>
      </c>
      <c r="G569" s="35" t="s">
        <v>1187</v>
      </c>
      <c r="H569" s="35" t="s">
        <v>2946</v>
      </c>
      <c r="I569" s="35" t="s">
        <v>2947</v>
      </c>
      <c r="J569" s="35"/>
      <c r="K569" s="37">
        <f>IFERROR(__xludf.DUMMYFUNCTION("query(assistance!$A$2:$E988,""Select C Where D = '""&amp;L569&amp;""'"")"),11.0)</f>
        <v>11</v>
      </c>
      <c r="L569" s="36" t="s">
        <v>322</v>
      </c>
      <c r="M569" s="38">
        <f t="shared" si="74"/>
        <v>1</v>
      </c>
      <c r="N569" s="39" t="s">
        <v>42</v>
      </c>
      <c r="O569" s="40">
        <v>45853.0</v>
      </c>
      <c r="P569" s="35" t="s">
        <v>43</v>
      </c>
      <c r="Q569" s="86"/>
      <c r="R569" s="86" t="s">
        <v>2948</v>
      </c>
      <c r="S569" s="35" t="b">
        <v>0</v>
      </c>
      <c r="T569" s="35" t="b">
        <v>0</v>
      </c>
      <c r="U569" s="41" t="str">
        <f>IFERROR(__xludf.DUMMYFUNCTION("""["" &amp; JOIN("", "", ARRAYFORMULA("""""""" &amp; TRIM(SPLIT(A569, "","")) &amp; """""""")) &amp; ""]"""),"[""77539""]")</f>
        <v>["77539"]</v>
      </c>
      <c r="V569" s="94" t="s">
        <v>2949</v>
      </c>
      <c r="W569" s="42" t="s">
        <v>2950</v>
      </c>
      <c r="X569" s="43"/>
      <c r="Y569" s="44" t="str">
        <f>vlookup(G569,zip_codes!$B$6:$J988,3,false)</f>
        <v>Dickinson</v>
      </c>
      <c r="Z569" s="45" t="str">
        <f>vlookup(G569,zip_codes!$B$6:$J988,9,false)</f>
        <v>Dickinson</v>
      </c>
      <c r="AA569" s="44" t="str">
        <f>vlookup(B569,organizations!$B$1:$C988,2,false)</f>
        <v>M I Lewis Social Service Center</v>
      </c>
      <c r="AB569" s="55" t="s">
        <v>2951</v>
      </c>
      <c r="AC569" s="47" t="s">
        <v>2952</v>
      </c>
      <c r="AD569" s="48" t="s">
        <v>1186</v>
      </c>
      <c r="AE569" s="48" t="str">
        <f t="shared" si="69"/>
        <v>M I Lewis Social Service Center245 FM 517 E11</v>
      </c>
      <c r="AF569" s="48" t="str">
        <f t="shared" si="73"/>
        <v/>
      </c>
    </row>
    <row r="570" ht="66.75" customHeight="1">
      <c r="A570" s="49" t="s">
        <v>1187</v>
      </c>
      <c r="B570" s="35" t="s">
        <v>2944</v>
      </c>
      <c r="C570" s="36" t="s">
        <v>2945</v>
      </c>
      <c r="D570" s="36"/>
      <c r="E570" s="36" t="s">
        <v>1186</v>
      </c>
      <c r="F570" s="36" t="s">
        <v>37</v>
      </c>
      <c r="G570" s="35" t="s">
        <v>1187</v>
      </c>
      <c r="H570" s="35" t="s">
        <v>2946</v>
      </c>
      <c r="I570" s="35" t="s">
        <v>2947</v>
      </c>
      <c r="J570" s="35"/>
      <c r="K570" s="37">
        <f>IFERROR(__xludf.DUMMYFUNCTION("query(assistance!$A$2:$E988,""Select C Where D = '""&amp;L570&amp;""'"")"),12.0)</f>
        <v>12</v>
      </c>
      <c r="L570" s="36" t="s">
        <v>330</v>
      </c>
      <c r="M570" s="38">
        <f t="shared" si="74"/>
        <v>1</v>
      </c>
      <c r="N570" s="39" t="s">
        <v>42</v>
      </c>
      <c r="O570" s="40">
        <v>45853.0</v>
      </c>
      <c r="P570" s="35" t="s">
        <v>43</v>
      </c>
      <c r="Q570" s="86"/>
      <c r="R570" s="86" t="s">
        <v>2948</v>
      </c>
      <c r="S570" s="35" t="b">
        <v>0</v>
      </c>
      <c r="T570" s="35" t="b">
        <v>0</v>
      </c>
      <c r="U570" s="41" t="str">
        <f>IFERROR(__xludf.DUMMYFUNCTION("""["" &amp; JOIN("", "", ARRAYFORMULA("""""""" &amp; TRIM(SPLIT(A570, "","")) &amp; """""""")) &amp; ""]"""),"[""77539""]")</f>
        <v>["77539"]</v>
      </c>
      <c r="V570" s="94" t="s">
        <v>2949</v>
      </c>
      <c r="W570" s="42" t="s">
        <v>2950</v>
      </c>
      <c r="X570" s="43"/>
      <c r="Y570" s="44" t="str">
        <f>vlookup(G570,zip_codes!$B$6:$J988,3,false)</f>
        <v>Dickinson</v>
      </c>
      <c r="Z570" s="45" t="str">
        <f>vlookup(G570,zip_codes!$B$6:$J988,9,false)</f>
        <v>Dickinson</v>
      </c>
      <c r="AA570" s="44" t="str">
        <f>vlookup(B570,organizations!$B$1:$C988,2,false)</f>
        <v>M I Lewis Social Service Center</v>
      </c>
      <c r="AB570" s="55" t="s">
        <v>2951</v>
      </c>
      <c r="AC570" s="47" t="s">
        <v>2952</v>
      </c>
      <c r="AD570" s="48" t="s">
        <v>1186</v>
      </c>
      <c r="AE570" s="48" t="str">
        <f t="shared" si="69"/>
        <v>M I Lewis Social Service Center245 FM 517 E12</v>
      </c>
      <c r="AF570" s="48" t="str">
        <f t="shared" si="73"/>
        <v/>
      </c>
    </row>
    <row r="571" ht="66.75" customHeight="1">
      <c r="A571" s="49" t="s">
        <v>1187</v>
      </c>
      <c r="B571" s="35" t="s">
        <v>2944</v>
      </c>
      <c r="C571" s="36" t="s">
        <v>2945</v>
      </c>
      <c r="D571" s="36"/>
      <c r="E571" s="36" t="s">
        <v>1186</v>
      </c>
      <c r="F571" s="36" t="s">
        <v>37</v>
      </c>
      <c r="G571" s="35" t="s">
        <v>1187</v>
      </c>
      <c r="H571" s="35" t="s">
        <v>2946</v>
      </c>
      <c r="I571" s="35" t="s">
        <v>2947</v>
      </c>
      <c r="J571" s="35"/>
      <c r="K571" s="37">
        <f>IFERROR(__xludf.DUMMYFUNCTION("query(assistance!$A$2:$E988,""Select C Where D = '""&amp;L571&amp;""'"")"),13.0)</f>
        <v>13</v>
      </c>
      <c r="L571" s="36" t="s">
        <v>240</v>
      </c>
      <c r="M571" s="38">
        <f t="shared" si="74"/>
        <v>1</v>
      </c>
      <c r="N571" s="39" t="s">
        <v>42</v>
      </c>
      <c r="O571" s="40">
        <v>45853.0</v>
      </c>
      <c r="P571" s="35" t="s">
        <v>43</v>
      </c>
      <c r="Q571" s="86"/>
      <c r="R571" s="86" t="s">
        <v>2953</v>
      </c>
      <c r="S571" s="35" t="b">
        <v>0</v>
      </c>
      <c r="T571" s="35" t="b">
        <v>0</v>
      </c>
      <c r="U571" s="41" t="str">
        <f>IFERROR(__xludf.DUMMYFUNCTION("""["" &amp; JOIN("", "", ARRAYFORMULA("""""""" &amp; TRIM(SPLIT(A571, "","")) &amp; """""""")) &amp; ""]"""),"[""77539""]")</f>
        <v>["77539"]</v>
      </c>
      <c r="V571" s="94" t="s">
        <v>2954</v>
      </c>
      <c r="W571" s="42" t="s">
        <v>2950</v>
      </c>
      <c r="X571" s="43"/>
      <c r="Y571" s="44" t="str">
        <f>vlookup(G571,zip_codes!$B$6:$J988,3,false)</f>
        <v>Dickinson</v>
      </c>
      <c r="Z571" s="45" t="str">
        <f>vlookup(G571,zip_codes!$B$6:$J988,9,false)</f>
        <v>Dickinson</v>
      </c>
      <c r="AA571" s="44" t="str">
        <f>vlookup(B571,organizations!$B$1:$C988,2,false)</f>
        <v>M I Lewis Social Service Center</v>
      </c>
      <c r="AB571" s="55" t="s">
        <v>2951</v>
      </c>
      <c r="AC571" s="47" t="s">
        <v>2952</v>
      </c>
      <c r="AD571" s="48" t="s">
        <v>1186</v>
      </c>
      <c r="AE571" s="48" t="str">
        <f t="shared" si="69"/>
        <v>M I Lewis Social Service Center245 FM 517 E13</v>
      </c>
      <c r="AF571" s="48" t="str">
        <f t="shared" si="73"/>
        <v/>
      </c>
    </row>
    <row r="572" ht="66.75" customHeight="1">
      <c r="A572" s="49" t="s">
        <v>1187</v>
      </c>
      <c r="B572" s="35" t="s">
        <v>2944</v>
      </c>
      <c r="C572" s="36" t="s">
        <v>2945</v>
      </c>
      <c r="D572" s="36"/>
      <c r="E572" s="36" t="s">
        <v>1186</v>
      </c>
      <c r="F572" s="36" t="s">
        <v>37</v>
      </c>
      <c r="G572" s="35" t="s">
        <v>1187</v>
      </c>
      <c r="H572" s="35" t="s">
        <v>2946</v>
      </c>
      <c r="I572" s="35" t="s">
        <v>2947</v>
      </c>
      <c r="J572" s="35"/>
      <c r="K572" s="37">
        <f>IFERROR(__xludf.DUMMYFUNCTION("query(assistance!$A$2:$E988,""Select C Where D = '""&amp;L572&amp;""'"")"),61.0)</f>
        <v>61</v>
      </c>
      <c r="L572" s="36" t="s">
        <v>842</v>
      </c>
      <c r="M572" s="38">
        <f t="shared" si="74"/>
        <v>1</v>
      </c>
      <c r="N572" s="39" t="s">
        <v>42</v>
      </c>
      <c r="O572" s="40">
        <v>45853.0</v>
      </c>
      <c r="P572" s="35" t="s">
        <v>43</v>
      </c>
      <c r="Q572" s="35"/>
      <c r="R572" s="35" t="s">
        <v>2955</v>
      </c>
      <c r="S572" s="35" t="b">
        <v>0</v>
      </c>
      <c r="T572" s="35" t="b">
        <v>0</v>
      </c>
      <c r="U572" s="41" t="str">
        <f>IFERROR(__xludf.DUMMYFUNCTION("""["" &amp; JOIN("", "", ARRAYFORMULA("""""""" &amp; TRIM(SPLIT(A572, "","")) &amp; """""""")) &amp; ""]"""),"[""77539""]")</f>
        <v>["77539"]</v>
      </c>
      <c r="V572" s="42" t="s">
        <v>2956</v>
      </c>
      <c r="W572" s="42" t="s">
        <v>2950</v>
      </c>
      <c r="X572" s="43"/>
      <c r="Y572" s="44" t="str">
        <f>vlookup(G572,zip_codes!$B$6:$J988,3,false)</f>
        <v>Dickinson</v>
      </c>
      <c r="Z572" s="45" t="str">
        <f>vlookup(G572,zip_codes!$B$6:$J988,9,false)</f>
        <v>Dickinson</v>
      </c>
      <c r="AA572" s="44" t="str">
        <f>vlookup(B572,organizations!$B$1:$C988,2,false)</f>
        <v>M I Lewis Social Service Center</v>
      </c>
      <c r="AB572" s="55" t="s">
        <v>2951</v>
      </c>
      <c r="AC572" s="47" t="s">
        <v>2952</v>
      </c>
      <c r="AD572" s="48" t="s">
        <v>1186</v>
      </c>
      <c r="AE572" s="48" t="str">
        <f t="shared" si="69"/>
        <v>M I Lewis Social Service Center245 FM 517 E61</v>
      </c>
      <c r="AF572" s="48" t="str">
        <f t="shared" si="73"/>
        <v/>
      </c>
    </row>
    <row r="573" ht="66.75" customHeight="1">
      <c r="A573" s="49" t="s">
        <v>1187</v>
      </c>
      <c r="B573" s="35" t="s">
        <v>2944</v>
      </c>
      <c r="C573" s="36" t="s">
        <v>2945</v>
      </c>
      <c r="D573" s="36"/>
      <c r="E573" s="36" t="s">
        <v>1186</v>
      </c>
      <c r="F573" s="36" t="s">
        <v>37</v>
      </c>
      <c r="G573" s="35" t="s">
        <v>1187</v>
      </c>
      <c r="H573" s="35" t="s">
        <v>2946</v>
      </c>
      <c r="I573" s="35" t="s">
        <v>2947</v>
      </c>
      <c r="J573" s="35"/>
      <c r="K573" s="37">
        <f>IFERROR(__xludf.DUMMYFUNCTION("query(assistance!$A$2:$E988,""Select C Where D = '""&amp;L573&amp;""'"")"),65.0)</f>
        <v>65</v>
      </c>
      <c r="L573" s="36" t="s">
        <v>41</v>
      </c>
      <c r="M573" s="38">
        <f t="shared" si="74"/>
        <v>1</v>
      </c>
      <c r="N573" s="39" t="s">
        <v>42</v>
      </c>
      <c r="O573" s="40">
        <v>45853.0</v>
      </c>
      <c r="P573" s="35" t="s">
        <v>43</v>
      </c>
      <c r="Q573" s="35"/>
      <c r="R573" s="35" t="s">
        <v>2957</v>
      </c>
      <c r="S573" s="35" t="b">
        <v>0</v>
      </c>
      <c r="T573" s="35" t="b">
        <v>0</v>
      </c>
      <c r="U573" s="41" t="str">
        <f>IFERROR(__xludf.DUMMYFUNCTION("""["" &amp; JOIN("", "", ARRAYFORMULA("""""""" &amp; TRIM(SPLIT(A573, "","")) &amp; """""""")) &amp; ""]"""),"[""77539""]")</f>
        <v>["77539"]</v>
      </c>
      <c r="V573" s="42" t="s">
        <v>2958</v>
      </c>
      <c r="W573" s="42" t="s">
        <v>2950</v>
      </c>
      <c r="X573" s="43"/>
      <c r="Y573" s="44" t="str">
        <f>vlookup(G573,zip_codes!$B$6:$J988,3,false)</f>
        <v>Dickinson</v>
      </c>
      <c r="Z573" s="45" t="str">
        <f>vlookup(G573,zip_codes!$B$6:$J988,9,false)</f>
        <v>Dickinson</v>
      </c>
      <c r="AA573" s="44" t="str">
        <f>vlookup(B573,organizations!$B$1:$C988,2,false)</f>
        <v>M I Lewis Social Service Center</v>
      </c>
      <c r="AB573" s="55" t="s">
        <v>2951</v>
      </c>
      <c r="AC573" s="47" t="s">
        <v>2952</v>
      </c>
      <c r="AD573" s="48" t="s">
        <v>1186</v>
      </c>
      <c r="AE573" s="48" t="str">
        <f t="shared" si="69"/>
        <v>M I Lewis Social Service Center245 FM 517 E65</v>
      </c>
      <c r="AF573" s="48" t="str">
        <f t="shared" si="73"/>
        <v/>
      </c>
    </row>
    <row r="574" ht="66.75" customHeight="1">
      <c r="A574" s="49" t="s">
        <v>50</v>
      </c>
      <c r="B574" s="35" t="s">
        <v>2959</v>
      </c>
      <c r="C574" s="36" t="s">
        <v>2960</v>
      </c>
      <c r="D574" s="36"/>
      <c r="E574" s="36" t="s">
        <v>36</v>
      </c>
      <c r="F574" s="36" t="s">
        <v>37</v>
      </c>
      <c r="G574" s="35" t="s">
        <v>749</v>
      </c>
      <c r="H574" s="35" t="s">
        <v>2961</v>
      </c>
      <c r="I574" s="35" t="s">
        <v>2962</v>
      </c>
      <c r="J574" s="35"/>
      <c r="K574" s="37">
        <f>IFERROR(__xludf.DUMMYFUNCTION("query(assistance!$A$2:$E988,""Select C Where D = '""&amp;L574&amp;""'"")"),13.0)</f>
        <v>13</v>
      </c>
      <c r="L574" s="36" t="s">
        <v>240</v>
      </c>
      <c r="M574" s="38">
        <f t="shared" si="74"/>
        <v>1</v>
      </c>
      <c r="N574" s="39" t="s">
        <v>42</v>
      </c>
      <c r="O574" s="40">
        <v>45761.0</v>
      </c>
      <c r="P574" s="35" t="s">
        <v>406</v>
      </c>
      <c r="Q574" s="35"/>
      <c r="R574" s="35" t="s">
        <v>2963</v>
      </c>
      <c r="S574" s="35" t="b">
        <v>0</v>
      </c>
      <c r="T574" s="35" t="b">
        <v>0</v>
      </c>
      <c r="U574" s="41" t="str">
        <f>IFERROR(__xludf.DUMMYFUNCTION("""["" &amp; JOIN("", "", ARRAYFORMULA("""""""" &amp; TRIM(SPLIT(A574, "","")) &amp; """""""")) &amp; ""]"""),"[""99999""]")</f>
        <v>["99999"]</v>
      </c>
      <c r="V574" s="52" t="s">
        <v>2964</v>
      </c>
      <c r="W574" s="52" t="s">
        <v>2965</v>
      </c>
      <c r="X574" s="43"/>
      <c r="Y574" s="44" t="str">
        <f>vlookup(G574,zip_codes!$B$6:$J988,3,false)</f>
        <v>Houston</v>
      </c>
      <c r="Z574" s="45" t="str">
        <f>vlookup(G574,zip_codes!$B$6:$J988,9,false)</f>
        <v>East Downtown, Downtown Houston, Houston Museum District, Midtown, Museum District, South Central Houston, South Side, Third Ward, University Place</v>
      </c>
      <c r="AA574" s="44" t="str">
        <f>vlookup(B574,organizations!$B$1:$C988,2,false)</f>
        <v>Magnificat Houses</v>
      </c>
      <c r="AB574" s="46" t="s">
        <v>2966</v>
      </c>
      <c r="AC574" s="47" t="s">
        <v>2967</v>
      </c>
      <c r="AD574" s="48" t="s">
        <v>2968</v>
      </c>
      <c r="AE574" s="48" t="str">
        <f t="shared" si="69"/>
        <v>Magnificat Houses2009 Congress Street13</v>
      </c>
      <c r="AF574" s="48" t="str">
        <f t="shared" si="73"/>
        <v/>
      </c>
    </row>
    <row r="575" ht="66.75" customHeight="1">
      <c r="A575" s="49" t="s">
        <v>50</v>
      </c>
      <c r="B575" s="35" t="s">
        <v>2959</v>
      </c>
      <c r="C575" s="36" t="s">
        <v>2969</v>
      </c>
      <c r="D575" s="36"/>
      <c r="E575" s="36" t="s">
        <v>36</v>
      </c>
      <c r="F575" s="36" t="s">
        <v>37</v>
      </c>
      <c r="G575" s="35" t="s">
        <v>749</v>
      </c>
      <c r="H575" s="35" t="s">
        <v>2961</v>
      </c>
      <c r="I575" s="35" t="s">
        <v>67</v>
      </c>
      <c r="J575" s="35"/>
      <c r="K575" s="37">
        <f>IFERROR(__xludf.DUMMYFUNCTION("query(assistance!$A$2:$E988,""Select C Where D = '""&amp;L575&amp;""'"")"),21.0)</f>
        <v>21</v>
      </c>
      <c r="L575" s="36" t="s">
        <v>777</v>
      </c>
      <c r="M575" s="38">
        <f t="shared" si="74"/>
        <v>1</v>
      </c>
      <c r="N575" s="39" t="s">
        <v>42</v>
      </c>
      <c r="O575" s="40">
        <v>45761.0</v>
      </c>
      <c r="P575" s="35" t="s">
        <v>406</v>
      </c>
      <c r="Q575" s="35"/>
      <c r="R575" s="35" t="s">
        <v>2970</v>
      </c>
      <c r="S575" s="35" t="b">
        <v>0</v>
      </c>
      <c r="T575" s="35" t="b">
        <v>0</v>
      </c>
      <c r="U575" s="41" t="str">
        <f>IFERROR(__xludf.DUMMYFUNCTION("""["" &amp; JOIN("", "", ARRAYFORMULA("""""""" &amp; TRIM(SPLIT(A575, "","")) &amp; """""""")) &amp; ""]"""),"[""99999""]")</f>
        <v>["99999"]</v>
      </c>
      <c r="V575" s="52" t="s">
        <v>2971</v>
      </c>
      <c r="W575" s="52" t="s">
        <v>2972</v>
      </c>
      <c r="X575" s="43"/>
      <c r="Y575" s="44" t="str">
        <f>vlookup(G575,zip_codes!$B$6:$J988,3,false)</f>
        <v>Houston</v>
      </c>
      <c r="Z575" s="45" t="str">
        <f>vlookup(G575,zip_codes!$B$6:$J988,9,false)</f>
        <v>East Downtown, Downtown Houston, Houston Museum District, Midtown, Museum District, South Central Houston, South Side, Third Ward, University Place</v>
      </c>
      <c r="AA575" s="44" t="str">
        <f>vlookup(B575,organizations!$B$1:$C988,2,false)</f>
        <v>Magnificat Houses</v>
      </c>
      <c r="AB575" s="46" t="s">
        <v>2973</v>
      </c>
      <c r="AC575" s="47" t="s">
        <v>73</v>
      </c>
      <c r="AD575" s="48" t="s">
        <v>314</v>
      </c>
      <c r="AE575" s="48" t="str">
        <f t="shared" si="69"/>
        <v>Magnificat Houses1410 Elgin Street21</v>
      </c>
      <c r="AF575" s="48" t="str">
        <f t="shared" si="73"/>
        <v/>
      </c>
    </row>
    <row r="576" ht="66.75" customHeight="1">
      <c r="A576" s="49" t="s">
        <v>50</v>
      </c>
      <c r="B576" s="35" t="s">
        <v>2959</v>
      </c>
      <c r="C576" s="36" t="s">
        <v>2969</v>
      </c>
      <c r="D576" s="36"/>
      <c r="E576" s="36" t="s">
        <v>36</v>
      </c>
      <c r="F576" s="36" t="s">
        <v>37</v>
      </c>
      <c r="G576" s="35" t="s">
        <v>749</v>
      </c>
      <c r="H576" s="35" t="s">
        <v>2961</v>
      </c>
      <c r="I576" s="35" t="s">
        <v>2962</v>
      </c>
      <c r="J576" s="35"/>
      <c r="K576" s="37">
        <f>IFERROR(__xludf.DUMMYFUNCTION("query(assistance!$A$2:$E988,""Select C Where D = '""&amp;L576&amp;""'"")"),31.0)</f>
        <v>31</v>
      </c>
      <c r="L576" s="36" t="s">
        <v>90</v>
      </c>
      <c r="M576" s="38">
        <f t="shared" si="74"/>
        <v>1</v>
      </c>
      <c r="N576" s="39" t="s">
        <v>42</v>
      </c>
      <c r="O576" s="40">
        <v>45761.0</v>
      </c>
      <c r="P576" s="35" t="s">
        <v>406</v>
      </c>
      <c r="Q576" s="35"/>
      <c r="R576" s="35" t="s">
        <v>2974</v>
      </c>
      <c r="S576" s="35" t="b">
        <v>0</v>
      </c>
      <c r="T576" s="35" t="b">
        <v>0</v>
      </c>
      <c r="U576" s="41" t="str">
        <f>IFERROR(__xludf.DUMMYFUNCTION("""["" &amp; JOIN("", "", ARRAYFORMULA("""""""" &amp; TRIM(SPLIT(A576, "","")) &amp; """""""")) &amp; ""]"""),"[""99999""]")</f>
        <v>["99999"]</v>
      </c>
      <c r="V576" s="52" t="s">
        <v>2964</v>
      </c>
      <c r="W576" s="52" t="s">
        <v>2972</v>
      </c>
      <c r="X576" s="43"/>
      <c r="Y576" s="44" t="str">
        <f>vlookup(G576,zip_codes!$B$6:$J988,3,false)</f>
        <v>Houston</v>
      </c>
      <c r="Z576" s="45" t="str">
        <f>vlookup(G576,zip_codes!$B$6:$J988,9,false)</f>
        <v>East Downtown, Downtown Houston, Houston Museum District, Midtown, Museum District, South Central Houston, South Side, Third Ward, University Place</v>
      </c>
      <c r="AA576" s="44" t="str">
        <f>vlookup(B576,organizations!$B$1:$C988,2,false)</f>
        <v>Magnificat Houses</v>
      </c>
      <c r="AB576" s="46" t="s">
        <v>2973</v>
      </c>
      <c r="AC576" s="47" t="s">
        <v>2967</v>
      </c>
      <c r="AD576" s="48" t="s">
        <v>314</v>
      </c>
      <c r="AE576" s="48" t="str">
        <f t="shared" si="69"/>
        <v>Magnificat Houses1410 Elgin Street31</v>
      </c>
      <c r="AF576" s="48" t="str">
        <f t="shared" si="73"/>
        <v/>
      </c>
    </row>
    <row r="577" ht="66.75" customHeight="1">
      <c r="A577" s="34" t="s">
        <v>234</v>
      </c>
      <c r="B577" s="35" t="s">
        <v>2975</v>
      </c>
      <c r="C577" s="36" t="s">
        <v>1584</v>
      </c>
      <c r="D577" s="36"/>
      <c r="E577" s="36" t="s">
        <v>36</v>
      </c>
      <c r="F577" s="36" t="s">
        <v>37</v>
      </c>
      <c r="G577" s="56" t="s">
        <v>542</v>
      </c>
      <c r="H577" s="35" t="s">
        <v>2976</v>
      </c>
      <c r="I577" s="35" t="s">
        <v>131</v>
      </c>
      <c r="J577" s="35" t="s">
        <v>2977</v>
      </c>
      <c r="K577" s="37">
        <f>IFERROR(__xludf.DUMMYFUNCTION("query(assistance!$A$2:$E988,""Select C Where D = '""&amp;L577&amp;""'"")"),31.0)</f>
        <v>31</v>
      </c>
      <c r="L577" s="36" t="s">
        <v>90</v>
      </c>
      <c r="M577" s="38">
        <f t="shared" si="74"/>
        <v>1</v>
      </c>
      <c r="N577" s="39" t="s">
        <v>42</v>
      </c>
      <c r="O577" s="57">
        <v>46057.0</v>
      </c>
      <c r="P577" s="35" t="s">
        <v>43</v>
      </c>
      <c r="Q577" s="35"/>
      <c r="R577" s="35" t="s">
        <v>2978</v>
      </c>
      <c r="S577" s="35" t="b">
        <v>0</v>
      </c>
      <c r="T577" s="35" t="b">
        <v>0</v>
      </c>
      <c r="U577" s="41" t="str">
        <f>IFERROR(__xludf.DUMMYFUNCTION("""["" &amp; JOIN("", "", ARRAYFORMULA("""""""" &amp; TRIM(SPLIT(A577,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577" s="42" t="s">
        <v>2979</v>
      </c>
      <c r="W577" s="42" t="s">
        <v>2980</v>
      </c>
      <c r="X577" s="43"/>
      <c r="Y577" s="44" t="str">
        <f>vlookup(G577,zip_codes!$B$6:$J988,3,false)</f>
        <v>Houston</v>
      </c>
      <c r="Z577" s="45" t="str">
        <f>vlookup(G577,zip_codes!$B$6:$J988,9,false)</f>
        <v>Eastwood, Magnolia Park, Second Ward, South Central Houston</v>
      </c>
      <c r="AA577" s="44" t="str">
        <f>vlookup(B577,organizations!$B$1:$C988,2,false)</f>
        <v>City of Houston</v>
      </c>
      <c r="AB577" s="55" t="s">
        <v>2981</v>
      </c>
      <c r="AC577" s="47" t="str">
        <f t="shared" ref="AC577:AC581" si="75">PARSE_HOURS(I577)</f>
        <v>{"regular":[{"days":["Mo","Tu","We","Th"],"open":"08:00","close":"17:00"}]}</v>
      </c>
      <c r="AD577" s="48" t="s">
        <v>863</v>
      </c>
      <c r="AE577" s="48"/>
      <c r="AF577" s="48"/>
    </row>
    <row r="578" ht="66.75" customHeight="1">
      <c r="A578" s="34" t="s">
        <v>234</v>
      </c>
      <c r="B578" s="35" t="s">
        <v>2975</v>
      </c>
      <c r="C578" s="36" t="s">
        <v>1584</v>
      </c>
      <c r="D578" s="36"/>
      <c r="E578" s="36" t="s">
        <v>36</v>
      </c>
      <c r="F578" s="36" t="s">
        <v>37</v>
      </c>
      <c r="G578" s="56" t="s">
        <v>542</v>
      </c>
      <c r="H578" s="35" t="s">
        <v>2982</v>
      </c>
      <c r="I578" s="35" t="s">
        <v>2983</v>
      </c>
      <c r="J578" s="35"/>
      <c r="K578" s="37">
        <f>IFERROR(__xludf.DUMMYFUNCTION("query(assistance!$A$2:$E988,""Select C Where D = '""&amp;L578&amp;""'"")"),32.0)</f>
        <v>32</v>
      </c>
      <c r="L578" s="36" t="s">
        <v>208</v>
      </c>
      <c r="M578" s="38">
        <f t="shared" si="74"/>
        <v>1</v>
      </c>
      <c r="N578" s="39" t="s">
        <v>42</v>
      </c>
      <c r="O578" s="57">
        <v>46057.0</v>
      </c>
      <c r="P578" s="35" t="s">
        <v>43</v>
      </c>
      <c r="Q578" s="35"/>
      <c r="R578" s="35" t="s">
        <v>2984</v>
      </c>
      <c r="S578" s="35" t="b">
        <v>1</v>
      </c>
      <c r="T578" s="35" t="b">
        <v>0</v>
      </c>
      <c r="U578" s="41" t="str">
        <f>IFERROR(__xludf.DUMMYFUNCTION("""["" &amp; JOIN("", "", ARRAYFORMULA("""""""" &amp; TRIM(SPLIT(A578,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578" s="42" t="s">
        <v>2979</v>
      </c>
      <c r="W578" s="42" t="s">
        <v>2980</v>
      </c>
      <c r="X578" s="43"/>
      <c r="Y578" s="44" t="str">
        <f>vlookup(G578,zip_codes!$B$6:$J988,3,false)</f>
        <v>Houston</v>
      </c>
      <c r="Z578" s="45" t="str">
        <f>vlookup(G578,zip_codes!$B$6:$J988,9,false)</f>
        <v>Eastwood, Magnolia Park, Second Ward, South Central Houston</v>
      </c>
      <c r="AA578" s="44" t="str">
        <f>vlookup(B578,organizations!$B$1:$C988,2,false)</f>
        <v>City of Houston</v>
      </c>
      <c r="AB578" s="55" t="s">
        <v>2981</v>
      </c>
      <c r="AC578" s="47" t="str">
        <f t="shared" si="75"/>
        <v>{"regular":[{"days":["Mo"],"open":"08:00","close":"17:00"},{"days":["Tu","We","Th","Fr"],"open":"07:00","close":"16:00"}]}</v>
      </c>
      <c r="AD578" s="48" t="s">
        <v>863</v>
      </c>
      <c r="AE578" s="48"/>
      <c r="AF578" s="48"/>
    </row>
    <row r="579" ht="66.75" customHeight="1">
      <c r="A579" s="34" t="s">
        <v>234</v>
      </c>
      <c r="B579" s="35" t="s">
        <v>2975</v>
      </c>
      <c r="C579" s="36" t="s">
        <v>1584</v>
      </c>
      <c r="D579" s="36"/>
      <c r="E579" s="36" t="s">
        <v>36</v>
      </c>
      <c r="F579" s="36" t="s">
        <v>37</v>
      </c>
      <c r="G579" s="56" t="s">
        <v>542</v>
      </c>
      <c r="H579" s="35" t="s">
        <v>2985</v>
      </c>
      <c r="I579" s="35" t="s">
        <v>2986</v>
      </c>
      <c r="J579" s="35"/>
      <c r="K579" s="37">
        <f>IFERROR(__xludf.DUMMYFUNCTION("query(assistance!$A$2:$E988,""Select C Where D = '""&amp;L579&amp;""'"")"),35.0)</f>
        <v>35</v>
      </c>
      <c r="L579" s="36" t="s">
        <v>731</v>
      </c>
      <c r="M579" s="38">
        <f t="shared" si="74"/>
        <v>1</v>
      </c>
      <c r="N579" s="39" t="s">
        <v>42</v>
      </c>
      <c r="O579" s="57">
        <v>46057.0</v>
      </c>
      <c r="P579" s="35" t="s">
        <v>43</v>
      </c>
      <c r="Q579" s="35"/>
      <c r="R579" s="35" t="s">
        <v>2309</v>
      </c>
      <c r="S579" s="35" t="b">
        <v>0</v>
      </c>
      <c r="T579" s="35" t="b">
        <v>0</v>
      </c>
      <c r="U579" s="41" t="str">
        <f>IFERROR(__xludf.DUMMYFUNCTION("""["" &amp; JOIN("", "", ARRAYFORMULA("""""""" &amp; TRIM(SPLIT(A579,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579" s="42" t="s">
        <v>2979</v>
      </c>
      <c r="W579" s="42" t="s">
        <v>2980</v>
      </c>
      <c r="X579" s="43"/>
      <c r="Y579" s="44" t="str">
        <f>vlookup(G579,zip_codes!$B$6:$J988,3,false)</f>
        <v>Houston</v>
      </c>
      <c r="Z579" s="45" t="str">
        <f>vlookup(G579,zip_codes!$B$6:$J988,9,false)</f>
        <v>Eastwood, Magnolia Park, Second Ward, South Central Houston</v>
      </c>
      <c r="AA579" s="44" t="str">
        <f>vlookup(B579,organizations!$B$1:$C988,2,false)</f>
        <v>City of Houston</v>
      </c>
      <c r="AB579" s="55" t="s">
        <v>2981</v>
      </c>
      <c r="AC579" s="47" t="str">
        <f t="shared" si="75"/>
        <v>{"regular":[{"days":["Mo"],"open":"08:00","close":"16:00"}]}</v>
      </c>
      <c r="AD579" s="48" t="s">
        <v>863</v>
      </c>
      <c r="AE579" s="48"/>
      <c r="AF579" s="48"/>
    </row>
    <row r="580" ht="66.75" customHeight="1">
      <c r="A580" s="34" t="s">
        <v>234</v>
      </c>
      <c r="B580" s="35" t="s">
        <v>2975</v>
      </c>
      <c r="C580" s="36" t="s">
        <v>1584</v>
      </c>
      <c r="D580" s="36"/>
      <c r="E580" s="36" t="s">
        <v>36</v>
      </c>
      <c r="F580" s="36" t="s">
        <v>37</v>
      </c>
      <c r="G580" s="56" t="s">
        <v>542</v>
      </c>
      <c r="H580" s="35" t="s">
        <v>2987</v>
      </c>
      <c r="I580" s="35" t="s">
        <v>131</v>
      </c>
      <c r="J580" s="35"/>
      <c r="K580" s="37">
        <f>IFERROR(__xludf.DUMMYFUNCTION("query(assistance!$A$2:$E988,""Select C Where D = '""&amp;L580&amp;""'"")"),44.0)</f>
        <v>44</v>
      </c>
      <c r="L580" s="36" t="s">
        <v>102</v>
      </c>
      <c r="M580" s="38">
        <f t="shared" si="74"/>
        <v>1</v>
      </c>
      <c r="N580" s="39" t="s">
        <v>42</v>
      </c>
      <c r="O580" s="57">
        <v>46057.0</v>
      </c>
      <c r="P580" s="35" t="s">
        <v>43</v>
      </c>
      <c r="Q580" s="35"/>
      <c r="R580" s="35" t="s">
        <v>246</v>
      </c>
      <c r="S580" s="35" t="b">
        <v>0</v>
      </c>
      <c r="T580" s="35" t="b">
        <v>0</v>
      </c>
      <c r="U580" s="41" t="str">
        <f>IFERROR(__xludf.DUMMYFUNCTION("""["" &amp; JOIN("", "", ARRAYFORMULA("""""""" &amp; TRIM(SPLIT(A580,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580" s="42" t="s">
        <v>2979</v>
      </c>
      <c r="W580" s="42" t="s">
        <v>2980</v>
      </c>
      <c r="X580" s="43"/>
      <c r="Y580" s="44" t="str">
        <f>vlookup(G580,zip_codes!$B$6:$J988,3,false)</f>
        <v>Houston</v>
      </c>
      <c r="Z580" s="45" t="str">
        <f>vlookup(G580,zip_codes!$B$6:$J988,9,false)</f>
        <v>Eastwood, Magnolia Park, Second Ward, South Central Houston</v>
      </c>
      <c r="AA580" s="44" t="str">
        <f>vlookup(B580,organizations!$B$1:$C988,2,false)</f>
        <v>City of Houston</v>
      </c>
      <c r="AB580" s="55" t="s">
        <v>2981</v>
      </c>
      <c r="AC580" s="47" t="str">
        <f t="shared" si="75"/>
        <v>{"regular":[{"days":["Mo","Tu","We","Th"],"open":"08:00","close":"17:00"}]}</v>
      </c>
      <c r="AD580" s="48" t="s">
        <v>863</v>
      </c>
      <c r="AE580" s="48"/>
      <c r="AF580" s="48"/>
    </row>
    <row r="581" ht="66.75" customHeight="1">
      <c r="A581" s="34" t="s">
        <v>234</v>
      </c>
      <c r="B581" s="35" t="s">
        <v>2975</v>
      </c>
      <c r="C581" s="36" t="s">
        <v>1584</v>
      </c>
      <c r="D581" s="36"/>
      <c r="E581" s="36" t="s">
        <v>36</v>
      </c>
      <c r="F581" s="36" t="s">
        <v>37</v>
      </c>
      <c r="G581" s="56" t="s">
        <v>542</v>
      </c>
      <c r="H581" s="35" t="s">
        <v>2988</v>
      </c>
      <c r="I581" s="35" t="s">
        <v>2989</v>
      </c>
      <c r="J581" s="35"/>
      <c r="K581" s="37">
        <f>IFERROR(__xludf.DUMMYFUNCTION("query(assistance!$A$2:$E988,""Select C Where D = '""&amp;L581&amp;""'"")"),61.0)</f>
        <v>61</v>
      </c>
      <c r="L581" s="36" t="s">
        <v>842</v>
      </c>
      <c r="M581" s="38">
        <f t="shared" si="74"/>
        <v>1</v>
      </c>
      <c r="N581" s="39" t="s">
        <v>42</v>
      </c>
      <c r="O581" s="57">
        <v>46057.0</v>
      </c>
      <c r="P581" s="35" t="s">
        <v>43</v>
      </c>
      <c r="Q581" s="35"/>
      <c r="R581" s="35" t="s">
        <v>2990</v>
      </c>
      <c r="S581" s="35" t="b">
        <v>0</v>
      </c>
      <c r="T581" s="35" t="b">
        <v>0</v>
      </c>
      <c r="U581" s="41" t="str">
        <f>IFERROR(__xludf.DUMMYFUNCTION("""["" &amp; JOIN("", "", ARRAYFORMULA("""""""" &amp; TRIM(SPLIT(A581,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581" s="42" t="s">
        <v>2979</v>
      </c>
      <c r="W581" s="42" t="s">
        <v>2980</v>
      </c>
      <c r="X581" s="43"/>
      <c r="Y581" s="44" t="str">
        <f>vlookup(G581,zip_codes!$B$6:$J988,3,false)</f>
        <v>Houston</v>
      </c>
      <c r="Z581" s="45" t="str">
        <f>vlookup(G581,zip_codes!$B$6:$J988,9,false)</f>
        <v>Eastwood, Magnolia Park, Second Ward, South Central Houston</v>
      </c>
      <c r="AA581" s="44" t="str">
        <f>vlookup(B581,organizations!$B$1:$C988,2,false)</f>
        <v>City of Houston</v>
      </c>
      <c r="AB581" s="55" t="s">
        <v>2981</v>
      </c>
      <c r="AC581" s="47" t="str">
        <f t="shared" si="75"/>
        <v>{"special":[{"pattern":"2nd Mo","open":"08:00","close":"11:00"}]}</v>
      </c>
      <c r="AD581" s="48" t="s">
        <v>863</v>
      </c>
      <c r="AE581" s="48"/>
      <c r="AF581" s="48"/>
    </row>
    <row r="582" ht="66.75" customHeight="1">
      <c r="A582" s="49" t="s">
        <v>50</v>
      </c>
      <c r="B582" s="35" t="s">
        <v>2991</v>
      </c>
      <c r="C582" s="36" t="s">
        <v>2992</v>
      </c>
      <c r="D582" s="36"/>
      <c r="E582" s="36" t="s">
        <v>36</v>
      </c>
      <c r="F582" s="36" t="s">
        <v>37</v>
      </c>
      <c r="G582" s="35" t="s">
        <v>270</v>
      </c>
      <c r="H582" s="35" t="s">
        <v>1748</v>
      </c>
      <c r="I582" s="35" t="s">
        <v>2993</v>
      </c>
      <c r="J582" s="35"/>
      <c r="K582" s="37">
        <f>IFERROR(__xludf.DUMMYFUNCTION("query(assistance!$A$2:$E988,""Select C Where D = '""&amp;L582&amp;""'"")"),11.0)</f>
        <v>11</v>
      </c>
      <c r="L582" s="36" t="s">
        <v>322</v>
      </c>
      <c r="M582" s="39">
        <f t="shared" ref="M582:M583" si="76">if(N582="Inactive",3,if(N582="Limited", 2, if(N582="Closed", 4, 1)))</f>
        <v>4</v>
      </c>
      <c r="N582" s="51" t="s">
        <v>57</v>
      </c>
      <c r="O582" s="40">
        <v>45525.0</v>
      </c>
      <c r="P582" s="35" t="s">
        <v>2994</v>
      </c>
      <c r="Q582" s="50"/>
      <c r="R582" s="50"/>
      <c r="S582" s="35" t="b">
        <v>0</v>
      </c>
      <c r="T582" s="35" t="b">
        <v>0</v>
      </c>
      <c r="U582" s="41" t="str">
        <f>IFERROR(__xludf.DUMMYFUNCTION("""["" &amp; JOIN("", "", ARRAYFORMULA("""""""" &amp; TRIM(SPLIT(A582, "","")) &amp; """""""")) &amp; ""]"""),"[""99999""]")</f>
        <v>["99999"]</v>
      </c>
      <c r="V582" s="52" t="s">
        <v>2995</v>
      </c>
      <c r="W582" s="52" t="s">
        <v>2996</v>
      </c>
      <c r="X582" s="43"/>
      <c r="Y582" s="44" t="str">
        <f>vlookup(G582,zip_codes!$B$6:$J988,3,false)</f>
        <v>Houston</v>
      </c>
      <c r="Z582" s="45" t="str">
        <f>vlookup(G582,zip_codes!$B$6:$J988,9,false)</f>
        <v>Central Business District, Downtown Houston, East Downtown, South Central Houston, Theater District, University Place, Warehouse District</v>
      </c>
      <c r="AA582" s="44" t="str">
        <f>vlookup(B582,organizations!$B$1:$C988,2,false)</f>
        <v>Main Street Ministries</v>
      </c>
      <c r="AB582" s="46" t="s">
        <v>2997</v>
      </c>
      <c r="AC582" s="47" t="s">
        <v>2998</v>
      </c>
      <c r="AD582" s="48" t="s">
        <v>1754</v>
      </c>
      <c r="AE582" s="48" t="str">
        <f t="shared" ref="AE582:AE650" si="77">B582&amp;C582&amp;K582</f>
        <v>Main Street Ministries5100 Travis Street11</v>
      </c>
      <c r="AF582" s="48" t="str">
        <f t="shared" ref="AF582:AF650" si="78">if(AE582=AE581,"XXX","")</f>
        <v/>
      </c>
    </row>
    <row r="583" ht="66.75" customHeight="1">
      <c r="A583" s="49" t="s">
        <v>50</v>
      </c>
      <c r="B583" s="35" t="s">
        <v>2991</v>
      </c>
      <c r="C583" s="36" t="s">
        <v>2992</v>
      </c>
      <c r="D583" s="36"/>
      <c r="E583" s="36" t="s">
        <v>36</v>
      </c>
      <c r="F583" s="36" t="s">
        <v>37</v>
      </c>
      <c r="G583" s="35" t="s">
        <v>270</v>
      </c>
      <c r="H583" s="35" t="s">
        <v>1748</v>
      </c>
      <c r="I583" s="35" t="s">
        <v>2993</v>
      </c>
      <c r="J583" s="35"/>
      <c r="K583" s="37">
        <f>IFERROR(__xludf.DUMMYFUNCTION("query(assistance!$A$2:$E988,""Select C Where D = '""&amp;L583&amp;""'"")"),12.0)</f>
        <v>12</v>
      </c>
      <c r="L583" s="36" t="s">
        <v>330</v>
      </c>
      <c r="M583" s="39">
        <f t="shared" si="76"/>
        <v>4</v>
      </c>
      <c r="N583" s="51" t="s">
        <v>57</v>
      </c>
      <c r="O583" s="40">
        <v>45525.0</v>
      </c>
      <c r="P583" s="35" t="s">
        <v>2994</v>
      </c>
      <c r="Q583" s="50"/>
      <c r="R583" s="50"/>
      <c r="S583" s="35" t="b">
        <v>0</v>
      </c>
      <c r="T583" s="35" t="b">
        <v>0</v>
      </c>
      <c r="U583" s="41" t="str">
        <f>IFERROR(__xludf.DUMMYFUNCTION("""["" &amp; JOIN("", "", ARRAYFORMULA("""""""" &amp; TRIM(SPLIT(A583, "","")) &amp; """""""")) &amp; ""]"""),"[""99999""]")</f>
        <v>["99999"]</v>
      </c>
      <c r="V583" s="52" t="s">
        <v>2995</v>
      </c>
      <c r="W583" s="52" t="s">
        <v>2996</v>
      </c>
      <c r="X583" s="43"/>
      <c r="Y583" s="44" t="str">
        <f>vlookup(G583,zip_codes!$B$6:$J988,3,false)</f>
        <v>Houston</v>
      </c>
      <c r="Z583" s="45" t="str">
        <f>vlookup(G583,zip_codes!$B$6:$J988,9,false)</f>
        <v>Central Business District, Downtown Houston, East Downtown, South Central Houston, Theater District, University Place, Warehouse District</v>
      </c>
      <c r="AA583" s="44" t="str">
        <f>vlookup(B583,organizations!$B$1:$C988,2,false)</f>
        <v>Main Street Ministries</v>
      </c>
      <c r="AB583" s="46" t="s">
        <v>2997</v>
      </c>
      <c r="AC583" s="47" t="s">
        <v>2998</v>
      </c>
      <c r="AD583" s="48" t="s">
        <v>1754</v>
      </c>
      <c r="AE583" s="48" t="str">
        <f t="shared" si="77"/>
        <v>Main Street Ministries5100 Travis Street12</v>
      </c>
      <c r="AF583" s="48" t="str">
        <f t="shared" si="78"/>
        <v/>
      </c>
    </row>
    <row r="584" ht="66.75" customHeight="1">
      <c r="A584" s="49" t="s">
        <v>50</v>
      </c>
      <c r="B584" s="35" t="s">
        <v>2991</v>
      </c>
      <c r="C584" s="36" t="s">
        <v>2992</v>
      </c>
      <c r="D584" s="36"/>
      <c r="E584" s="36" t="s">
        <v>36</v>
      </c>
      <c r="F584" s="36" t="s">
        <v>37</v>
      </c>
      <c r="G584" s="35" t="s">
        <v>270</v>
      </c>
      <c r="H584" s="35" t="s">
        <v>1748</v>
      </c>
      <c r="I584" s="35" t="s">
        <v>1345</v>
      </c>
      <c r="J584" s="35"/>
      <c r="K584" s="37">
        <f>IFERROR(__xludf.DUMMYFUNCTION("query(assistance!$A$2:$E988,""Select C Where D = '""&amp;L584&amp;""'"")"),23.0)</f>
        <v>23</v>
      </c>
      <c r="L584" s="36" t="s">
        <v>2999</v>
      </c>
      <c r="M584" s="38">
        <f t="shared" ref="M584:M585" si="79">if(N584="Inactive",3,if(N584="Limited", 2, 1))</f>
        <v>1</v>
      </c>
      <c r="N584" s="39" t="s">
        <v>42</v>
      </c>
      <c r="O584" s="65"/>
      <c r="P584" s="50"/>
      <c r="Q584" s="35"/>
      <c r="R584" s="35" t="s">
        <v>3000</v>
      </c>
      <c r="S584" s="35" t="b">
        <v>0</v>
      </c>
      <c r="T584" s="35" t="b">
        <v>0</v>
      </c>
      <c r="U584" s="41" t="str">
        <f>IFERROR(__xludf.DUMMYFUNCTION("""["" &amp; JOIN("", "", ARRAYFORMULA("""""""" &amp; TRIM(SPLIT(A584, "","")) &amp; """""""")) &amp; ""]"""),"[""99999""]")</f>
        <v>["99999"]</v>
      </c>
      <c r="V584" s="52" t="s">
        <v>2995</v>
      </c>
      <c r="W584" s="52" t="s">
        <v>2996</v>
      </c>
      <c r="X584" s="43"/>
      <c r="Y584" s="44" t="str">
        <f>vlookup(G584,zip_codes!$B$6:$J988,3,false)</f>
        <v>Houston</v>
      </c>
      <c r="Z584" s="45" t="str">
        <f>vlookup(G584,zip_codes!$B$6:$J988,9,false)</f>
        <v>Central Business District, Downtown Houston, East Downtown, South Central Houston, Theater District, University Place, Warehouse District</v>
      </c>
      <c r="AA584" s="44" t="str">
        <f>vlookup(B584,organizations!$B$1:$C988,2,false)</f>
        <v>Main Street Ministries</v>
      </c>
      <c r="AB584" s="46" t="s">
        <v>2997</v>
      </c>
      <c r="AC584" s="47" t="s">
        <v>1348</v>
      </c>
      <c r="AD584" s="48" t="s">
        <v>1754</v>
      </c>
      <c r="AE584" s="48" t="str">
        <f t="shared" si="77"/>
        <v>Main Street Ministries5100 Travis Street23</v>
      </c>
      <c r="AF584" s="48" t="str">
        <f t="shared" si="78"/>
        <v/>
      </c>
    </row>
    <row r="585" ht="66.75" customHeight="1">
      <c r="A585" s="49" t="s">
        <v>50</v>
      </c>
      <c r="B585" s="35" t="s">
        <v>3001</v>
      </c>
      <c r="C585" s="36" t="s">
        <v>3002</v>
      </c>
      <c r="D585" s="36"/>
      <c r="E585" s="36" t="s">
        <v>166</v>
      </c>
      <c r="F585" s="36" t="s">
        <v>37</v>
      </c>
      <c r="G585" s="35" t="s">
        <v>167</v>
      </c>
      <c r="H585" s="35" t="s">
        <v>3003</v>
      </c>
      <c r="I585" s="35" t="s">
        <v>3004</v>
      </c>
      <c r="J585" s="35"/>
      <c r="K585" s="37">
        <f>IFERROR(__xludf.DUMMYFUNCTION("query(assistance!$A$2:$E988,""Select C Where D = '""&amp;L585&amp;""'"")"),13.0)</f>
        <v>13</v>
      </c>
      <c r="L585" s="36" t="s">
        <v>240</v>
      </c>
      <c r="M585" s="38">
        <f t="shared" si="79"/>
        <v>1</v>
      </c>
      <c r="N585" s="39" t="s">
        <v>42</v>
      </c>
      <c r="O585" s="40">
        <v>45761.0</v>
      </c>
      <c r="P585" s="35" t="s">
        <v>406</v>
      </c>
      <c r="Q585" s="35"/>
      <c r="R585" s="35" t="s">
        <v>3005</v>
      </c>
      <c r="S585" s="35" t="b">
        <v>0</v>
      </c>
      <c r="T585" s="35" t="b">
        <v>0</v>
      </c>
      <c r="U585" s="41" t="str">
        <f>IFERROR(__xludf.DUMMYFUNCTION("""["" &amp; JOIN("", "", ARRAYFORMULA("""""""" &amp; TRIM(SPLIT(A585, "","")) &amp; """""""")) &amp; ""]"""),"[""99999""]")</f>
        <v>["99999"]</v>
      </c>
      <c r="V585" s="52" t="s">
        <v>3006</v>
      </c>
      <c r="W585" s="52" t="s">
        <v>3007</v>
      </c>
      <c r="X585" s="43"/>
      <c r="Y585" s="44" t="str">
        <f>vlookup(G585,zip_codes!$B$6:$J988,3,false)</f>
        <v>Richmond</v>
      </c>
      <c r="Z585" s="45" t="str">
        <f>vlookup(G585,zip_codes!$B$6:$J988,9,false)</f>
        <v>Greatwood, Richmond</v>
      </c>
      <c r="AA585" s="44" t="str">
        <f>vlookup(B585,organizations!$B$1:$C988,2,false)</f>
        <v>Mamie George Community Center</v>
      </c>
      <c r="AB585" s="46" t="s">
        <v>3008</v>
      </c>
      <c r="AC585" s="47" t="s">
        <v>3009</v>
      </c>
      <c r="AD585" s="48" t="s">
        <v>166</v>
      </c>
      <c r="AE585" s="48" t="str">
        <f t="shared" si="77"/>
        <v>Mamie George Community Center1111 Collins Road13</v>
      </c>
      <c r="AF585" s="48" t="str">
        <f t="shared" si="78"/>
        <v/>
      </c>
    </row>
    <row r="586" ht="66.75" customHeight="1">
      <c r="A586" s="49" t="s">
        <v>3010</v>
      </c>
      <c r="B586" s="35" t="s">
        <v>3011</v>
      </c>
      <c r="C586" s="36" t="s">
        <v>3012</v>
      </c>
      <c r="D586" s="36"/>
      <c r="E586" s="36" t="s">
        <v>3013</v>
      </c>
      <c r="F586" s="36" t="s">
        <v>37</v>
      </c>
      <c r="G586" s="35" t="s">
        <v>3014</v>
      </c>
      <c r="H586" s="35" t="s">
        <v>3015</v>
      </c>
      <c r="I586" s="50"/>
      <c r="J586" s="64"/>
      <c r="K586" s="37">
        <f>IFERROR(__xludf.DUMMYFUNCTION("query(assistance!$A$2:$E988,""Select C Where D = '""&amp;L586&amp;""'"")"),11.0)</f>
        <v>11</v>
      </c>
      <c r="L586" s="36" t="s">
        <v>322</v>
      </c>
      <c r="M586" s="39">
        <f t="shared" ref="M586:M587" si="80">if(N586="Inactive",3,if(N586="Limited", 2, if(N586="Closed", 4, 1)))</f>
        <v>4</v>
      </c>
      <c r="N586" s="51" t="s">
        <v>57</v>
      </c>
      <c r="O586" s="40">
        <v>45519.0</v>
      </c>
      <c r="P586" s="35" t="s">
        <v>3016</v>
      </c>
      <c r="Q586" s="50"/>
      <c r="R586" s="50"/>
      <c r="S586" s="35" t="b">
        <v>0</v>
      </c>
      <c r="T586" s="35" t="b">
        <v>0</v>
      </c>
      <c r="U586" s="41" t="str">
        <f>IFERROR(__xludf.DUMMYFUNCTION("""["" &amp; JOIN("", "", ARRAYFORMULA("""""""" &amp; TRIM(SPLIT(A586, "","")) &amp; """""""")) &amp; ""]"""),"[""77511"", ""77546"", ""77581""]")</f>
        <v>["77511", "77546", "77581"]</v>
      </c>
      <c r="V586" s="52" t="s">
        <v>3017</v>
      </c>
      <c r="W586" s="52" t="s">
        <v>3018</v>
      </c>
      <c r="X586" s="43"/>
      <c r="Y586" s="44" t="str">
        <f>vlookup(G586,zip_codes!$B$6:$J988,3,false)</f>
        <v>Friendswood</v>
      </c>
      <c r="Z586" s="45" t="str">
        <f>vlookup(G586,zip_codes!$B$6:$J988,9,false)</f>
        <v>Friendswood</v>
      </c>
      <c r="AA586" s="44" t="str">
        <f>vlookup(B586,organizations!$B$1:$C988,2,false)</f>
        <v>Mary Queen Friendswood</v>
      </c>
      <c r="AB586" s="46" t="s">
        <v>3019</v>
      </c>
      <c r="AC586" s="53"/>
      <c r="AD586" s="48" t="s">
        <v>3013</v>
      </c>
      <c r="AE586" s="48" t="str">
        <f t="shared" si="77"/>
        <v>Mary Queen Friendswood606 Cedarwood Drive11</v>
      </c>
      <c r="AF586" s="48" t="str">
        <f t="shared" si="78"/>
        <v/>
      </c>
    </row>
    <row r="587" ht="66.75" customHeight="1">
      <c r="A587" s="49" t="s">
        <v>3010</v>
      </c>
      <c r="B587" s="35" t="s">
        <v>3011</v>
      </c>
      <c r="C587" s="36" t="s">
        <v>3012</v>
      </c>
      <c r="D587" s="36"/>
      <c r="E587" s="36" t="s">
        <v>3013</v>
      </c>
      <c r="F587" s="36" t="s">
        <v>37</v>
      </c>
      <c r="G587" s="35" t="s">
        <v>3014</v>
      </c>
      <c r="H587" s="35" t="s">
        <v>3015</v>
      </c>
      <c r="I587" s="50"/>
      <c r="J587" s="64"/>
      <c r="K587" s="37">
        <f>IFERROR(__xludf.DUMMYFUNCTION("query(assistance!$A$2:$E988,""Select C Where D = '""&amp;L587&amp;""'"")"),12.0)</f>
        <v>12</v>
      </c>
      <c r="L587" s="36" t="s">
        <v>330</v>
      </c>
      <c r="M587" s="39">
        <f t="shared" si="80"/>
        <v>4</v>
      </c>
      <c r="N587" s="51" t="s">
        <v>57</v>
      </c>
      <c r="O587" s="40">
        <v>45519.0</v>
      </c>
      <c r="P587" s="35" t="s">
        <v>3016</v>
      </c>
      <c r="Q587" s="50"/>
      <c r="R587" s="50"/>
      <c r="S587" s="35" t="b">
        <v>0</v>
      </c>
      <c r="T587" s="35" t="b">
        <v>0</v>
      </c>
      <c r="U587" s="41" t="str">
        <f>IFERROR(__xludf.DUMMYFUNCTION("""["" &amp; JOIN("", "", ARRAYFORMULA("""""""" &amp; TRIM(SPLIT(A587, "","")) &amp; """""""")) &amp; ""]"""),"[""77511"", ""77546"", ""77581""]")</f>
        <v>["77511", "77546", "77581"]</v>
      </c>
      <c r="V587" s="52" t="s">
        <v>3017</v>
      </c>
      <c r="W587" s="52" t="s">
        <v>3018</v>
      </c>
      <c r="X587" s="43"/>
      <c r="Y587" s="44" t="str">
        <f>vlookup(G587,zip_codes!$B$6:$J988,3,false)</f>
        <v>Friendswood</v>
      </c>
      <c r="Z587" s="45" t="str">
        <f>vlookup(G587,zip_codes!$B$6:$J988,9,false)</f>
        <v>Friendswood</v>
      </c>
      <c r="AA587" s="44" t="str">
        <f>vlookup(B587,organizations!$B$1:$C988,2,false)</f>
        <v>Mary Queen Friendswood</v>
      </c>
      <c r="AB587" s="46" t="s">
        <v>3019</v>
      </c>
      <c r="AC587" s="53"/>
      <c r="AD587" s="48" t="s">
        <v>3013</v>
      </c>
      <c r="AE587" s="48" t="str">
        <f t="shared" si="77"/>
        <v>Mary Queen Friendswood606 Cedarwood Drive12</v>
      </c>
      <c r="AF587" s="48" t="str">
        <f t="shared" si="78"/>
        <v/>
      </c>
    </row>
    <row r="588" ht="66.75" customHeight="1">
      <c r="A588" s="49" t="s">
        <v>3010</v>
      </c>
      <c r="B588" s="35" t="s">
        <v>3011</v>
      </c>
      <c r="C588" s="36" t="s">
        <v>3012</v>
      </c>
      <c r="D588" s="36"/>
      <c r="E588" s="36" t="s">
        <v>3013</v>
      </c>
      <c r="F588" s="36" t="s">
        <v>37</v>
      </c>
      <c r="G588" s="35" t="s">
        <v>3014</v>
      </c>
      <c r="H588" s="35" t="s">
        <v>3015</v>
      </c>
      <c r="I588" s="35" t="s">
        <v>1118</v>
      </c>
      <c r="J588" s="35"/>
      <c r="K588" s="37">
        <f>IFERROR(__xludf.DUMMYFUNCTION("query(assistance!$A$2:$E988,""Select C Where D = '""&amp;L588&amp;""'"")"),13.0)</f>
        <v>13</v>
      </c>
      <c r="L588" s="36" t="s">
        <v>240</v>
      </c>
      <c r="M588" s="38">
        <f t="shared" ref="M588:M672" si="81">if(N588="Inactive",3,if(N588="Limited", 2, 1))</f>
        <v>1</v>
      </c>
      <c r="N588" s="39" t="s">
        <v>42</v>
      </c>
      <c r="O588" s="65"/>
      <c r="P588" s="50"/>
      <c r="Q588" s="35"/>
      <c r="R588" s="35" t="s">
        <v>3020</v>
      </c>
      <c r="S588" s="35" t="b">
        <v>0</v>
      </c>
      <c r="T588" s="35" t="b">
        <v>0</v>
      </c>
      <c r="U588" s="41" t="str">
        <f>IFERROR(__xludf.DUMMYFUNCTION("""["" &amp; JOIN("", "", ARRAYFORMULA("""""""" &amp; TRIM(SPLIT(A588, "","")) &amp; """""""")) &amp; ""]"""),"[""77511"", ""77546"", ""77581""]")</f>
        <v>["77511", "77546", "77581"]</v>
      </c>
      <c r="V588" s="52" t="s">
        <v>3017</v>
      </c>
      <c r="W588" s="52" t="s">
        <v>3018</v>
      </c>
      <c r="X588" s="43"/>
      <c r="Y588" s="44" t="str">
        <f>vlookup(G588,zip_codes!$B$6:$J988,3,false)</f>
        <v>Friendswood</v>
      </c>
      <c r="Z588" s="45" t="str">
        <f>vlookup(G588,zip_codes!$B$6:$J988,9,false)</f>
        <v>Friendswood</v>
      </c>
      <c r="AA588" s="44" t="str">
        <f>vlookup(B588,organizations!$B$1:$C988,2,false)</f>
        <v>Mary Queen Friendswood</v>
      </c>
      <c r="AB588" s="46" t="s">
        <v>3019</v>
      </c>
      <c r="AC588" s="47" t="s">
        <v>1123</v>
      </c>
      <c r="AD588" s="48" t="s">
        <v>3013</v>
      </c>
      <c r="AE588" s="48" t="str">
        <f t="shared" si="77"/>
        <v>Mary Queen Friendswood606 Cedarwood Drive13</v>
      </c>
      <c r="AF588" s="48" t="str">
        <f t="shared" si="78"/>
        <v/>
      </c>
    </row>
    <row r="589" ht="66.75" customHeight="1">
      <c r="A589" s="49" t="s">
        <v>50</v>
      </c>
      <c r="B589" s="35" t="s">
        <v>3021</v>
      </c>
      <c r="C589" s="36" t="s">
        <v>3022</v>
      </c>
      <c r="D589" s="36"/>
      <c r="E589" s="36" t="s">
        <v>3023</v>
      </c>
      <c r="F589" s="36" t="s">
        <v>37</v>
      </c>
      <c r="G589" s="35" t="s">
        <v>3024</v>
      </c>
      <c r="H589" s="35" t="s">
        <v>3025</v>
      </c>
      <c r="I589" s="35"/>
      <c r="J589" s="35" t="s">
        <v>89</v>
      </c>
      <c r="K589" s="37">
        <f>IFERROR(__xludf.DUMMYFUNCTION("query(assistance!$A$2:$E988,""Select C Where D = '""&amp;L589&amp;""'"")"),11.0)</f>
        <v>11</v>
      </c>
      <c r="L589" s="36" t="s">
        <v>322</v>
      </c>
      <c r="M589" s="38">
        <f t="shared" si="81"/>
        <v>1</v>
      </c>
      <c r="N589" s="39" t="s">
        <v>42</v>
      </c>
      <c r="O589" s="57">
        <v>45974.0</v>
      </c>
      <c r="P589" s="35" t="s">
        <v>323</v>
      </c>
      <c r="Q589" s="35"/>
      <c r="R589" s="35" t="s">
        <v>3026</v>
      </c>
      <c r="S589" s="35" t="b">
        <v>0</v>
      </c>
      <c r="T589" s="35" t="b">
        <v>0</v>
      </c>
      <c r="U589" s="41" t="str">
        <f>IFERROR(__xludf.DUMMYFUNCTION("""["" &amp; JOIN("", "", ARRAYFORMULA("""""""" &amp; TRIM(SPLIT(A589, "","")) &amp; """""""")) &amp; ""]"""),"[""99999""]")</f>
        <v>["99999"]</v>
      </c>
      <c r="V589" s="42" t="s">
        <v>3027</v>
      </c>
      <c r="W589" s="52"/>
      <c r="X589" s="43"/>
      <c r="Y589" s="44" t="str">
        <f>vlookup(G589,zip_codes!$B$6:$J988,3,false)</f>
        <v>Keller</v>
      </c>
      <c r="Z589" s="45" t="str">
        <f>vlookup(G589,zip_codes!$B$6:$J988,9,false)</f>
        <v>Keller</v>
      </c>
      <c r="AA589" s="44" t="str">
        <f>vlookup(B589,organizations!$B$1:$C988,2,false)</f>
        <v>Masonic Children &amp; Family Services of Texas</v>
      </c>
      <c r="AB589" s="46" t="s">
        <v>3028</v>
      </c>
      <c r="AC589" s="53"/>
      <c r="AD589" s="48" t="s">
        <v>3023</v>
      </c>
      <c r="AE589" s="48" t="str">
        <f t="shared" si="77"/>
        <v>Masonic Children &amp; Family Services of Texas1240 Keller Pkwy, Suite 20011</v>
      </c>
      <c r="AF589" s="48" t="str">
        <f t="shared" si="78"/>
        <v/>
      </c>
    </row>
    <row r="590" ht="66.75" customHeight="1">
      <c r="A590" s="49" t="s">
        <v>50</v>
      </c>
      <c r="B590" s="35" t="s">
        <v>3021</v>
      </c>
      <c r="C590" s="36" t="s">
        <v>3022</v>
      </c>
      <c r="D590" s="36"/>
      <c r="E590" s="36" t="s">
        <v>3023</v>
      </c>
      <c r="F590" s="36" t="s">
        <v>37</v>
      </c>
      <c r="G590" s="35" t="s">
        <v>3024</v>
      </c>
      <c r="H590" s="35" t="s">
        <v>3025</v>
      </c>
      <c r="I590" s="35"/>
      <c r="J590" s="35" t="s">
        <v>89</v>
      </c>
      <c r="K590" s="37">
        <f>IFERROR(__xludf.DUMMYFUNCTION("query(assistance!$A$2:$E988,""Select C Where D = '""&amp;L590&amp;""'"")"),12.0)</f>
        <v>12</v>
      </c>
      <c r="L590" s="36" t="s">
        <v>330</v>
      </c>
      <c r="M590" s="38">
        <f t="shared" si="81"/>
        <v>1</v>
      </c>
      <c r="N590" s="39" t="s">
        <v>42</v>
      </c>
      <c r="O590" s="57">
        <v>45974.0</v>
      </c>
      <c r="P590" s="35" t="s">
        <v>323</v>
      </c>
      <c r="Q590" s="35"/>
      <c r="R590" s="35" t="s">
        <v>3026</v>
      </c>
      <c r="S590" s="35" t="b">
        <v>0</v>
      </c>
      <c r="T590" s="35" t="b">
        <v>0</v>
      </c>
      <c r="U590" s="41" t="str">
        <f>IFERROR(__xludf.DUMMYFUNCTION("""["" &amp; JOIN("", "", ARRAYFORMULA("""""""" &amp; TRIM(SPLIT(A590, "","")) &amp; """""""")) &amp; ""]"""),"[""99999""]")</f>
        <v>["99999"]</v>
      </c>
      <c r="V590" s="42" t="s">
        <v>3027</v>
      </c>
      <c r="W590" s="52"/>
      <c r="X590" s="43"/>
      <c r="Y590" s="44" t="str">
        <f>vlookup(G590,zip_codes!$B$6:$J988,3,false)</f>
        <v>Keller</v>
      </c>
      <c r="Z590" s="45" t="str">
        <f>vlookup(G590,zip_codes!$B$6:$J988,9,false)</f>
        <v>Keller</v>
      </c>
      <c r="AA590" s="44" t="str">
        <f>vlookup(B590,organizations!$B$1:$C988,2,false)</f>
        <v>Masonic Children &amp; Family Services of Texas</v>
      </c>
      <c r="AB590" s="46" t="s">
        <v>3028</v>
      </c>
      <c r="AC590" s="53"/>
      <c r="AD590" s="48" t="s">
        <v>3023</v>
      </c>
      <c r="AE590" s="48" t="str">
        <f t="shared" si="77"/>
        <v>Masonic Children &amp; Family Services of Texas1240 Keller Pkwy, Suite 20012</v>
      </c>
      <c r="AF590" s="48" t="str">
        <f t="shared" si="78"/>
        <v/>
      </c>
    </row>
    <row r="591" ht="66.75" customHeight="1">
      <c r="A591" s="49" t="s">
        <v>50</v>
      </c>
      <c r="B591" s="35" t="s">
        <v>3021</v>
      </c>
      <c r="C591" s="36" t="s">
        <v>3022</v>
      </c>
      <c r="D591" s="36"/>
      <c r="E591" s="36" t="s">
        <v>3023</v>
      </c>
      <c r="F591" s="36" t="s">
        <v>37</v>
      </c>
      <c r="G591" s="35" t="s">
        <v>3024</v>
      </c>
      <c r="H591" s="35" t="s">
        <v>3029</v>
      </c>
      <c r="I591" s="35"/>
      <c r="J591" s="35" t="s">
        <v>89</v>
      </c>
      <c r="K591" s="37">
        <f>IFERROR(__xludf.DUMMYFUNCTION("query(assistance!$A$2:$E988,""Select C Where D = '""&amp;L591&amp;""'"")"),36.0)</f>
        <v>36</v>
      </c>
      <c r="L591" s="36" t="s">
        <v>227</v>
      </c>
      <c r="M591" s="38">
        <f t="shared" si="81"/>
        <v>1</v>
      </c>
      <c r="N591" s="39" t="s">
        <v>42</v>
      </c>
      <c r="O591" s="57">
        <v>45974.0</v>
      </c>
      <c r="P591" s="35" t="s">
        <v>323</v>
      </c>
      <c r="Q591" s="35"/>
      <c r="R591" s="35" t="s">
        <v>3030</v>
      </c>
      <c r="S591" s="35" t="b">
        <v>0</v>
      </c>
      <c r="T591" s="35" t="b">
        <v>0</v>
      </c>
      <c r="U591" s="41" t="str">
        <f>IFERROR(__xludf.DUMMYFUNCTION("""["" &amp; JOIN("", "", ARRAYFORMULA("""""""" &amp; TRIM(SPLIT(A591, "","")) &amp; """""""")) &amp; ""]"""),"[""99999""]")</f>
        <v>["99999"]</v>
      </c>
      <c r="V591" s="42" t="s">
        <v>3027</v>
      </c>
      <c r="W591" s="52"/>
      <c r="X591" s="43"/>
      <c r="Y591" s="44" t="str">
        <f>vlookup(G591,zip_codes!$B$6:$J988,3,false)</f>
        <v>Keller</v>
      </c>
      <c r="Z591" s="45" t="str">
        <f>vlookup(G591,zip_codes!$B$6:$J988,9,false)</f>
        <v>Keller</v>
      </c>
      <c r="AA591" s="44" t="str">
        <f>vlookup(B591,organizations!$B$1:$C988,2,false)</f>
        <v>Masonic Children &amp; Family Services of Texas</v>
      </c>
      <c r="AB591" s="46" t="s">
        <v>3028</v>
      </c>
      <c r="AC591" s="53"/>
      <c r="AD591" s="48" t="s">
        <v>3023</v>
      </c>
      <c r="AE591" s="48" t="str">
        <f t="shared" si="77"/>
        <v>Masonic Children &amp; Family Services of Texas1240 Keller Pkwy, Suite 20036</v>
      </c>
      <c r="AF591" s="48" t="str">
        <f t="shared" si="78"/>
        <v/>
      </c>
    </row>
    <row r="592" ht="66.75" customHeight="1">
      <c r="A592" s="49" t="s">
        <v>50</v>
      </c>
      <c r="B592" s="35" t="s">
        <v>3021</v>
      </c>
      <c r="C592" s="36" t="s">
        <v>3022</v>
      </c>
      <c r="D592" s="36"/>
      <c r="E592" s="36" t="s">
        <v>3023</v>
      </c>
      <c r="F592" s="36" t="s">
        <v>37</v>
      </c>
      <c r="G592" s="35" t="s">
        <v>3024</v>
      </c>
      <c r="H592" s="35" t="s">
        <v>3025</v>
      </c>
      <c r="I592" s="35"/>
      <c r="J592" s="35" t="s">
        <v>89</v>
      </c>
      <c r="K592" s="37">
        <f>IFERROR(__xludf.DUMMYFUNCTION("query(assistance!$A$2:$E988,""Select C Where D = '""&amp;L592&amp;""'"")"),43.0)</f>
        <v>43</v>
      </c>
      <c r="L592" s="36" t="s">
        <v>68</v>
      </c>
      <c r="M592" s="38">
        <f t="shared" si="81"/>
        <v>1</v>
      </c>
      <c r="N592" s="39" t="s">
        <v>42</v>
      </c>
      <c r="O592" s="57">
        <v>45974.0</v>
      </c>
      <c r="P592" s="35" t="s">
        <v>323</v>
      </c>
      <c r="Q592" s="35"/>
      <c r="R592" s="35" t="s">
        <v>3031</v>
      </c>
      <c r="S592" s="35" t="b">
        <v>0</v>
      </c>
      <c r="T592" s="35" t="b">
        <v>0</v>
      </c>
      <c r="U592" s="41" t="str">
        <f>IFERROR(__xludf.DUMMYFUNCTION("""["" &amp; JOIN("", "", ARRAYFORMULA("""""""" &amp; TRIM(SPLIT(A592, "","")) &amp; """""""")) &amp; ""]"""),"[""99999""]")</f>
        <v>["99999"]</v>
      </c>
      <c r="V592" s="42" t="s">
        <v>3027</v>
      </c>
      <c r="W592" s="52"/>
      <c r="X592" s="43"/>
      <c r="Y592" s="44" t="str">
        <f>vlookup(G592,zip_codes!$B$6:$J988,3,false)</f>
        <v>Keller</v>
      </c>
      <c r="Z592" s="45" t="str">
        <f>vlookup(G592,zip_codes!$B$6:$J988,9,false)</f>
        <v>Keller</v>
      </c>
      <c r="AA592" s="44" t="str">
        <f>vlookup(B592,organizations!$B$1:$C988,2,false)</f>
        <v>Masonic Children &amp; Family Services of Texas</v>
      </c>
      <c r="AB592" s="46" t="s">
        <v>3028</v>
      </c>
      <c r="AC592" s="53"/>
      <c r="AD592" s="48" t="s">
        <v>3023</v>
      </c>
      <c r="AE592" s="48" t="str">
        <f t="shared" si="77"/>
        <v>Masonic Children &amp; Family Services of Texas1240 Keller Pkwy, Suite 20043</v>
      </c>
      <c r="AF592" s="48" t="str">
        <f t="shared" si="78"/>
        <v/>
      </c>
    </row>
    <row r="593" ht="66.75" customHeight="1">
      <c r="A593" s="71" t="s">
        <v>266</v>
      </c>
      <c r="B593" s="35" t="s">
        <v>3032</v>
      </c>
      <c r="C593" s="36" t="s">
        <v>3033</v>
      </c>
      <c r="D593" s="36"/>
      <c r="E593" s="36" t="s">
        <v>36</v>
      </c>
      <c r="F593" s="36" t="s">
        <v>37</v>
      </c>
      <c r="G593" s="56" t="s">
        <v>270</v>
      </c>
      <c r="H593" s="35" t="s">
        <v>3034</v>
      </c>
      <c r="I593" s="35" t="s">
        <v>272</v>
      </c>
      <c r="J593" s="35" t="s">
        <v>3035</v>
      </c>
      <c r="K593" s="37">
        <f>IFERROR(__xludf.DUMMYFUNCTION("query(assistance!$A$2:$E988,""Select C Where D = '""&amp;L593&amp;""'"")"),44.0)</f>
        <v>44</v>
      </c>
      <c r="L593" s="36" t="s">
        <v>102</v>
      </c>
      <c r="M593" s="38">
        <f t="shared" si="81"/>
        <v>1</v>
      </c>
      <c r="N593" s="39" t="s">
        <v>42</v>
      </c>
      <c r="O593" s="57">
        <v>46050.0</v>
      </c>
      <c r="P593" s="35" t="s">
        <v>43</v>
      </c>
      <c r="Q593" s="35"/>
      <c r="R593" s="35" t="s">
        <v>3036</v>
      </c>
      <c r="S593" s="35" t="b">
        <v>0</v>
      </c>
      <c r="T593" s="35" t="b">
        <v>0</v>
      </c>
      <c r="U593" s="41" t="str">
        <f>IFERROR(__xludf.DUMMYFUNCTION("""["" &amp; JOIN("", "", ARRAYFORMULA("""""""" &amp; TRIM(SPLIT(A593,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593" s="42" t="s">
        <v>3037</v>
      </c>
      <c r="W593" s="42" t="s">
        <v>3038</v>
      </c>
      <c r="X593" s="43"/>
      <c r="Y593" s="44" t="str">
        <f>vlookup(G593,zip_codes!$B$6:$J988,3,false)</f>
        <v>Houston</v>
      </c>
      <c r="Z593" s="45" t="str">
        <f>vlookup(G593,zip_codes!$B$6:$J988,9,false)</f>
        <v>Central Business District, Downtown Houston, East Downtown, South Central Houston, Theater District, University Place, Warehouse District</v>
      </c>
      <c r="AA593" s="44" t="str">
        <f>vlookup(B593,organizations!$B$1:$C988,2,false)</f>
        <v>Harris County Public Health</v>
      </c>
      <c r="AB593" s="55" t="s">
        <v>3039</v>
      </c>
      <c r="AC593" s="47" t="s">
        <v>278</v>
      </c>
      <c r="AD593" s="58" t="s">
        <v>279</v>
      </c>
      <c r="AE593" s="48" t="str">
        <f t="shared" si="77"/>
        <v>Maternal &amp; Child Health Program1111 Fannin Street44</v>
      </c>
      <c r="AF593" s="48" t="str">
        <f t="shared" si="78"/>
        <v/>
      </c>
    </row>
    <row r="594" ht="66.75" customHeight="1">
      <c r="A594" s="49" t="s">
        <v>3040</v>
      </c>
      <c r="B594" s="35" t="s">
        <v>3041</v>
      </c>
      <c r="C594" s="36" t="s">
        <v>3042</v>
      </c>
      <c r="D594" s="36"/>
      <c r="E594" s="36" t="s">
        <v>36</v>
      </c>
      <c r="F594" s="36" t="s">
        <v>37</v>
      </c>
      <c r="G594" s="35" t="s">
        <v>694</v>
      </c>
      <c r="H594" s="35" t="s">
        <v>3043</v>
      </c>
      <c r="I594" s="35" t="s">
        <v>3044</v>
      </c>
      <c r="J594" s="35"/>
      <c r="K594" s="37">
        <f>IFERROR(__xludf.DUMMYFUNCTION("query(assistance!$A$2:$E988,""Select C Where D = '""&amp;L594&amp;""'"")"),11.0)</f>
        <v>11</v>
      </c>
      <c r="L594" s="36" t="s">
        <v>322</v>
      </c>
      <c r="M594" s="38">
        <f t="shared" si="81"/>
        <v>1</v>
      </c>
      <c r="N594" s="39" t="s">
        <v>42</v>
      </c>
      <c r="O594" s="95">
        <v>45853.0</v>
      </c>
      <c r="P594" s="35" t="s">
        <v>1564</v>
      </c>
      <c r="Q594" s="35"/>
      <c r="R594" s="35" t="s">
        <v>3045</v>
      </c>
      <c r="S594" s="35" t="b">
        <v>0</v>
      </c>
      <c r="T594" s="35" t="b">
        <v>0</v>
      </c>
      <c r="U594" s="41" t="str">
        <f>IFERROR(__xludf.DUMMYFUNCTION("""["" &amp; JOIN("", "", ARRAYFORMULA("""""""" &amp; TRIM(SPLIT(A594, "","")) &amp; """""""")) &amp; ""]"""),"[""77008"", ""77009"", ""77018"", ""77022"", ""77024"", ""77037"", ""77039"", ""77040"", ""77041"", ""77043"", ""77055"", ""77076"", ""77088"", ""77091"", ""77092""]")</f>
        <v>["77008", "77009", "77018", "77022", "77024", "77037", "77039", "77040", "77041", "77043", "77055", "77076", "77088", "77091", "77092"]</v>
      </c>
      <c r="V594" s="52" t="s">
        <v>3046</v>
      </c>
      <c r="W594" s="52" t="s">
        <v>3047</v>
      </c>
      <c r="X594" s="43"/>
      <c r="Y594" s="44" t="str">
        <f>vlookup(G594,zip_codes!$B$6:$J988,3,false)</f>
        <v>Houston</v>
      </c>
      <c r="Z594" s="45" t="str">
        <f>vlookup(G594,zip_codes!$B$6:$J988,9,false)</f>
        <v>Northwest Houston, Spring Branch Central</v>
      </c>
      <c r="AA594" s="44" t="str">
        <f>vlookup(B594,organizations!$B$1:$C988,2,false)</f>
        <v>Memorial Assistance Ministries</v>
      </c>
      <c r="AB594" s="46" t="s">
        <v>3048</v>
      </c>
      <c r="AC594" s="47" t="s">
        <v>3049</v>
      </c>
      <c r="AD594" s="48" t="s">
        <v>715</v>
      </c>
      <c r="AE594" s="48" t="str">
        <f t="shared" si="77"/>
        <v>Memorial Assistance Ministries (MAM)1625 Blalock Road11</v>
      </c>
      <c r="AF594" s="48" t="str">
        <f t="shared" si="78"/>
        <v/>
      </c>
    </row>
    <row r="595" ht="66.75" customHeight="1">
      <c r="A595" s="49" t="s">
        <v>3040</v>
      </c>
      <c r="B595" s="35" t="s">
        <v>3041</v>
      </c>
      <c r="C595" s="36" t="s">
        <v>3042</v>
      </c>
      <c r="D595" s="36"/>
      <c r="E595" s="36" t="s">
        <v>36</v>
      </c>
      <c r="F595" s="36" t="s">
        <v>37</v>
      </c>
      <c r="G595" s="35" t="s">
        <v>694</v>
      </c>
      <c r="H595" s="35" t="s">
        <v>3043</v>
      </c>
      <c r="I595" s="35" t="s">
        <v>3044</v>
      </c>
      <c r="J595" s="35"/>
      <c r="K595" s="37">
        <f>IFERROR(__xludf.DUMMYFUNCTION("query(assistance!$A$2:$E988,""Select C Where D = '""&amp;L595&amp;""'"")"),12.0)</f>
        <v>12</v>
      </c>
      <c r="L595" s="36" t="s">
        <v>330</v>
      </c>
      <c r="M595" s="38">
        <f t="shared" si="81"/>
        <v>1</v>
      </c>
      <c r="N595" s="39" t="s">
        <v>42</v>
      </c>
      <c r="O595" s="95">
        <v>45848.0</v>
      </c>
      <c r="P595" s="35" t="s">
        <v>1564</v>
      </c>
      <c r="Q595" s="35"/>
      <c r="R595" s="35" t="s">
        <v>3045</v>
      </c>
      <c r="S595" s="35" t="b">
        <v>0</v>
      </c>
      <c r="T595" s="35" t="b">
        <v>0</v>
      </c>
      <c r="U595" s="41" t="str">
        <f>IFERROR(__xludf.DUMMYFUNCTION("""["" &amp; JOIN("", "", ARRAYFORMULA("""""""" &amp; TRIM(SPLIT(A595, "","")) &amp; """""""")) &amp; ""]"""),"[""77008"", ""77009"", ""77018"", ""77022"", ""77024"", ""77037"", ""77039"", ""77040"", ""77041"", ""77043"", ""77055"", ""77076"", ""77088"", ""77091"", ""77092""]")</f>
        <v>["77008", "77009", "77018", "77022", "77024", "77037", "77039", "77040", "77041", "77043", "77055", "77076", "77088", "77091", "77092"]</v>
      </c>
      <c r="V595" s="52" t="s">
        <v>3046</v>
      </c>
      <c r="W595" s="52" t="s">
        <v>3047</v>
      </c>
      <c r="X595" s="43"/>
      <c r="Y595" s="44" t="str">
        <f>vlookup(G595,zip_codes!$B$6:$J988,3,false)</f>
        <v>Houston</v>
      </c>
      <c r="Z595" s="45" t="str">
        <f>vlookup(G595,zip_codes!$B$6:$J988,9,false)</f>
        <v>Northwest Houston, Spring Branch Central</v>
      </c>
      <c r="AA595" s="44" t="str">
        <f>vlookup(B595,organizations!$B$1:$C988,2,false)</f>
        <v>Memorial Assistance Ministries</v>
      </c>
      <c r="AB595" s="46" t="s">
        <v>3048</v>
      </c>
      <c r="AC595" s="47" t="s">
        <v>3049</v>
      </c>
      <c r="AD595" s="48" t="s">
        <v>715</v>
      </c>
      <c r="AE595" s="48" t="str">
        <f t="shared" si="77"/>
        <v>Memorial Assistance Ministries (MAM)1625 Blalock Road12</v>
      </c>
      <c r="AF595" s="48" t="str">
        <f t="shared" si="78"/>
        <v/>
      </c>
    </row>
    <row r="596" ht="66.75" customHeight="1">
      <c r="A596" s="49" t="s">
        <v>3040</v>
      </c>
      <c r="B596" s="35" t="s">
        <v>3041</v>
      </c>
      <c r="C596" s="36" t="s">
        <v>3042</v>
      </c>
      <c r="D596" s="36"/>
      <c r="E596" s="36" t="s">
        <v>36</v>
      </c>
      <c r="F596" s="36" t="s">
        <v>37</v>
      </c>
      <c r="G596" s="35" t="s">
        <v>694</v>
      </c>
      <c r="H596" s="35" t="s">
        <v>3043</v>
      </c>
      <c r="I596" s="35" t="s">
        <v>3050</v>
      </c>
      <c r="J596" s="35"/>
      <c r="K596" s="37">
        <f>IFERROR(__xludf.DUMMYFUNCTION("query(assistance!$A$2:$E988,""Select C Where D = '""&amp;L596&amp;""'"")"),14.0)</f>
        <v>14</v>
      </c>
      <c r="L596" s="36" t="s">
        <v>391</v>
      </c>
      <c r="M596" s="38">
        <f t="shared" si="81"/>
        <v>1</v>
      </c>
      <c r="N596" s="39" t="s">
        <v>42</v>
      </c>
      <c r="O596" s="95">
        <v>45853.0</v>
      </c>
      <c r="P596" s="35" t="s">
        <v>1564</v>
      </c>
      <c r="Q596" s="35"/>
      <c r="R596" s="35" t="s">
        <v>3051</v>
      </c>
      <c r="S596" s="35" t="b">
        <v>0</v>
      </c>
      <c r="T596" s="35" t="b">
        <v>0</v>
      </c>
      <c r="U596" s="41" t="str">
        <f>IFERROR(__xludf.DUMMYFUNCTION("""["" &amp; JOIN("", "", ARRAYFORMULA("""""""" &amp; TRIM(SPLIT(A596, "","")) &amp; """""""")) &amp; ""]"""),"[""77008"", ""77009"", ""77018"", ""77022"", ""77024"", ""77037"", ""77039"", ""77040"", ""77041"", ""77043"", ""77055"", ""77076"", ""77088"", ""77091"", ""77092""]")</f>
        <v>["77008", "77009", "77018", "77022", "77024", "77037", "77039", "77040", "77041", "77043", "77055", "77076", "77088", "77091", "77092"]</v>
      </c>
      <c r="V596" s="52" t="s">
        <v>3046</v>
      </c>
      <c r="W596" s="52" t="s">
        <v>3047</v>
      </c>
      <c r="X596" s="43"/>
      <c r="Y596" s="44" t="str">
        <f>vlookup(G596,zip_codes!$B$6:$J988,3,false)</f>
        <v>Houston</v>
      </c>
      <c r="Z596" s="45" t="str">
        <f>vlookup(G596,zip_codes!$B$6:$J988,9,false)</f>
        <v>Northwest Houston, Spring Branch Central</v>
      </c>
      <c r="AA596" s="44" t="str">
        <f>vlookup(B596,organizations!$B$1:$C988,2,false)</f>
        <v>Memorial Assistance Ministries</v>
      </c>
      <c r="AB596" s="46" t="s">
        <v>3048</v>
      </c>
      <c r="AC596" s="47" t="s">
        <v>3052</v>
      </c>
      <c r="AD596" s="48" t="s">
        <v>715</v>
      </c>
      <c r="AE596" s="48" t="str">
        <f t="shared" si="77"/>
        <v>Memorial Assistance Ministries (MAM)1625 Blalock Road14</v>
      </c>
      <c r="AF596" s="48" t="str">
        <f t="shared" si="78"/>
        <v/>
      </c>
    </row>
    <row r="597" ht="66.75" customHeight="1">
      <c r="A597" s="49" t="s">
        <v>50</v>
      </c>
      <c r="B597" s="35" t="s">
        <v>3041</v>
      </c>
      <c r="C597" s="36" t="s">
        <v>3042</v>
      </c>
      <c r="D597" s="36"/>
      <c r="E597" s="36" t="s">
        <v>36</v>
      </c>
      <c r="F597" s="36" t="s">
        <v>37</v>
      </c>
      <c r="G597" s="35" t="s">
        <v>694</v>
      </c>
      <c r="H597" s="35" t="s">
        <v>3043</v>
      </c>
      <c r="I597" s="35" t="s">
        <v>3044</v>
      </c>
      <c r="J597" s="35"/>
      <c r="K597" s="37">
        <f>IFERROR(__xludf.DUMMYFUNCTION("query(assistance!$A$2:$E988,""Select C Where D = '""&amp;L597&amp;""'"")"),31.0)</f>
        <v>31</v>
      </c>
      <c r="L597" s="36" t="s">
        <v>90</v>
      </c>
      <c r="M597" s="38">
        <f t="shared" si="81"/>
        <v>1</v>
      </c>
      <c r="N597" s="39" t="s">
        <v>42</v>
      </c>
      <c r="O597" s="95">
        <v>46049.0</v>
      </c>
      <c r="P597" s="35" t="s">
        <v>43</v>
      </c>
      <c r="Q597" s="35"/>
      <c r="R597" s="35" t="s">
        <v>3053</v>
      </c>
      <c r="S597" s="35" t="b">
        <v>0</v>
      </c>
      <c r="T597" s="35" t="b">
        <v>0</v>
      </c>
      <c r="U597" s="41" t="str">
        <f>IFERROR(__xludf.DUMMYFUNCTION("""["" &amp; JOIN("", "", ARRAYFORMULA("""""""" &amp; TRIM(SPLIT(A597, "","")) &amp; """""""")) &amp; ""]"""),"[""99999""]")</f>
        <v>["99999"]</v>
      </c>
      <c r="V597" s="52" t="s">
        <v>3046</v>
      </c>
      <c r="W597" s="52" t="s">
        <v>3047</v>
      </c>
      <c r="X597" s="43"/>
      <c r="Y597" s="44" t="str">
        <f>vlookup(G597,zip_codes!$B$6:$J988,3,false)</f>
        <v>Houston</v>
      </c>
      <c r="Z597" s="45" t="str">
        <f>vlookup(G597,zip_codes!$B$6:$J988,9,false)</f>
        <v>Northwest Houston, Spring Branch Central</v>
      </c>
      <c r="AA597" s="44" t="str">
        <f>vlookup(B597,organizations!$B$1:$C988,2,false)</f>
        <v>Memorial Assistance Ministries</v>
      </c>
      <c r="AB597" s="46" t="s">
        <v>3048</v>
      </c>
      <c r="AC597" s="47" t="s">
        <v>3049</v>
      </c>
      <c r="AD597" s="48" t="s">
        <v>715</v>
      </c>
      <c r="AE597" s="48" t="str">
        <f t="shared" si="77"/>
        <v>Memorial Assistance Ministries (MAM)1625 Blalock Road31</v>
      </c>
      <c r="AF597" s="48" t="str">
        <f t="shared" si="78"/>
        <v/>
      </c>
    </row>
    <row r="598" ht="66.75" customHeight="1">
      <c r="A598" s="49" t="s">
        <v>50</v>
      </c>
      <c r="B598" s="35" t="s">
        <v>3041</v>
      </c>
      <c r="C598" s="36" t="s">
        <v>3042</v>
      </c>
      <c r="D598" s="36"/>
      <c r="E598" s="36" t="s">
        <v>36</v>
      </c>
      <c r="F598" s="36" t="s">
        <v>37</v>
      </c>
      <c r="G598" s="35" t="s">
        <v>694</v>
      </c>
      <c r="H598" s="35" t="s">
        <v>3043</v>
      </c>
      <c r="I598" s="35" t="s">
        <v>3044</v>
      </c>
      <c r="J598" s="35"/>
      <c r="K598" s="37">
        <f>IFERROR(__xludf.DUMMYFUNCTION("query(assistance!$A$2:$E988,""Select C Where D = '""&amp;L598&amp;""'"")"),32.0)</f>
        <v>32</v>
      </c>
      <c r="L598" s="36" t="s">
        <v>208</v>
      </c>
      <c r="M598" s="38">
        <f t="shared" si="81"/>
        <v>1</v>
      </c>
      <c r="N598" s="39" t="s">
        <v>42</v>
      </c>
      <c r="O598" s="95">
        <v>46049.0</v>
      </c>
      <c r="P598" s="35" t="s">
        <v>43</v>
      </c>
      <c r="Q598" s="35"/>
      <c r="R598" s="35" t="s">
        <v>3054</v>
      </c>
      <c r="S598" s="35" t="b">
        <v>1</v>
      </c>
      <c r="T598" s="35" t="b">
        <v>0</v>
      </c>
      <c r="U598" s="41" t="str">
        <f>IFERROR(__xludf.DUMMYFUNCTION("""["" &amp; JOIN("", "", ARRAYFORMULA("""""""" &amp; TRIM(SPLIT(A598, "","")) &amp; """""""")) &amp; ""]"""),"[""99999""]")</f>
        <v>["99999"]</v>
      </c>
      <c r="V598" s="52" t="s">
        <v>3046</v>
      </c>
      <c r="W598" s="52" t="s">
        <v>3047</v>
      </c>
      <c r="X598" s="43"/>
      <c r="Y598" s="44" t="str">
        <f>vlookup(G598,zip_codes!$B$6:$J988,3,false)</f>
        <v>Houston</v>
      </c>
      <c r="Z598" s="45" t="str">
        <f>vlookup(G598,zip_codes!$B$6:$J988,9,false)</f>
        <v>Northwest Houston, Spring Branch Central</v>
      </c>
      <c r="AA598" s="44" t="str">
        <f>vlookup(B598,organizations!$B$1:$C988,2,false)</f>
        <v>Memorial Assistance Ministries</v>
      </c>
      <c r="AB598" s="46" t="s">
        <v>3048</v>
      </c>
      <c r="AC598" s="47" t="s">
        <v>3049</v>
      </c>
      <c r="AD598" s="48" t="s">
        <v>715</v>
      </c>
      <c r="AE598" s="48" t="str">
        <f t="shared" si="77"/>
        <v>Memorial Assistance Ministries (MAM)1625 Blalock Road32</v>
      </c>
      <c r="AF598" s="48" t="str">
        <f t="shared" si="78"/>
        <v/>
      </c>
    </row>
    <row r="599" ht="66.75" customHeight="1">
      <c r="A599" s="49" t="s">
        <v>3040</v>
      </c>
      <c r="B599" s="35" t="s">
        <v>3041</v>
      </c>
      <c r="C599" s="36" t="s">
        <v>3042</v>
      </c>
      <c r="D599" s="36"/>
      <c r="E599" s="36" t="s">
        <v>36</v>
      </c>
      <c r="F599" s="36" t="s">
        <v>37</v>
      </c>
      <c r="G599" s="35" t="s">
        <v>694</v>
      </c>
      <c r="H599" s="35" t="s">
        <v>3055</v>
      </c>
      <c r="I599" s="35" t="s">
        <v>3044</v>
      </c>
      <c r="J599" s="35" t="s">
        <v>298</v>
      </c>
      <c r="K599" s="37">
        <f>IFERROR(__xludf.DUMMYFUNCTION("query(assistance!$A$2:$E988,""Select C Where D = '""&amp;L599&amp;""'"")"),33.0)</f>
        <v>33</v>
      </c>
      <c r="L599" s="36" t="s">
        <v>333</v>
      </c>
      <c r="M599" s="38">
        <f t="shared" si="81"/>
        <v>1</v>
      </c>
      <c r="N599" s="39" t="s">
        <v>42</v>
      </c>
      <c r="O599" s="95">
        <v>46049.0</v>
      </c>
      <c r="P599" s="35" t="s">
        <v>43</v>
      </c>
      <c r="Q599" s="35"/>
      <c r="R599" s="35" t="s">
        <v>3056</v>
      </c>
      <c r="S599" s="35" t="b">
        <v>0</v>
      </c>
      <c r="T599" s="35" t="b">
        <v>0</v>
      </c>
      <c r="U599" s="41" t="str">
        <f>IFERROR(__xludf.DUMMYFUNCTION("""["" &amp; JOIN("", "", ARRAYFORMULA("""""""" &amp; TRIM(SPLIT(A599, "","")) &amp; """""""")) &amp; ""]"""),"[""77008"", ""77009"", ""77018"", ""77022"", ""77024"", ""77037"", ""77039"", ""77040"", ""77041"", ""77043"", ""77055"", ""77076"", ""77088"", ""77091"", ""77092""]")</f>
        <v>["77008", "77009", "77018", "77022", "77024", "77037", "77039", "77040", "77041", "77043", "77055", "77076", "77088", "77091", "77092"]</v>
      </c>
      <c r="V599" s="52" t="s">
        <v>3046</v>
      </c>
      <c r="W599" s="52" t="s">
        <v>3047</v>
      </c>
      <c r="X599" s="43"/>
      <c r="Y599" s="44" t="str">
        <f>vlookup(G599,zip_codes!$B$6:$J988,3,false)</f>
        <v>Houston</v>
      </c>
      <c r="Z599" s="45" t="str">
        <f>vlookup(G599,zip_codes!$B$6:$J988,9,false)</f>
        <v>Northwest Houston, Spring Branch Central</v>
      </c>
      <c r="AA599" s="44" t="str">
        <f>vlookup(B599,organizations!$B$1:$C988,2,false)</f>
        <v>Memorial Assistance Ministries</v>
      </c>
      <c r="AB599" s="46" t="s">
        <v>3048</v>
      </c>
      <c r="AC599" s="47" t="s">
        <v>3049</v>
      </c>
      <c r="AD599" s="48" t="s">
        <v>715</v>
      </c>
      <c r="AE599" s="48" t="str">
        <f t="shared" si="77"/>
        <v>Memorial Assistance Ministries (MAM)1625 Blalock Road33</v>
      </c>
      <c r="AF599" s="48" t="str">
        <f t="shared" si="78"/>
        <v/>
      </c>
    </row>
    <row r="600" ht="66.75" customHeight="1">
      <c r="A600" s="49" t="s">
        <v>50</v>
      </c>
      <c r="B600" s="35" t="s">
        <v>3041</v>
      </c>
      <c r="C600" s="36" t="s">
        <v>3042</v>
      </c>
      <c r="D600" s="36"/>
      <c r="E600" s="36" t="s">
        <v>36</v>
      </c>
      <c r="F600" s="36" t="s">
        <v>37</v>
      </c>
      <c r="G600" s="35" t="s">
        <v>694</v>
      </c>
      <c r="H600" s="35" t="s">
        <v>3043</v>
      </c>
      <c r="I600" s="35" t="s">
        <v>3044</v>
      </c>
      <c r="J600" s="35"/>
      <c r="K600" s="37">
        <f>IFERROR(__xludf.DUMMYFUNCTION("query(assistance!$A$2:$E988,""Select C Where D = '""&amp;L600&amp;""'"")"),35.0)</f>
        <v>35</v>
      </c>
      <c r="L600" s="36" t="s">
        <v>731</v>
      </c>
      <c r="M600" s="38">
        <f t="shared" si="81"/>
        <v>1</v>
      </c>
      <c r="N600" s="39" t="s">
        <v>42</v>
      </c>
      <c r="O600" s="95">
        <v>45853.0</v>
      </c>
      <c r="P600" s="35" t="s">
        <v>1564</v>
      </c>
      <c r="Q600" s="35"/>
      <c r="R600" s="35" t="s">
        <v>3057</v>
      </c>
      <c r="S600" s="35" t="b">
        <v>0</v>
      </c>
      <c r="T600" s="35" t="b">
        <v>0</v>
      </c>
      <c r="U600" s="41" t="str">
        <f>IFERROR(__xludf.DUMMYFUNCTION("""["" &amp; JOIN("", "", ARRAYFORMULA("""""""" &amp; TRIM(SPLIT(A600, "","")) &amp; """""""")) &amp; ""]"""),"[""99999""]")</f>
        <v>["99999"]</v>
      </c>
      <c r="V600" s="52" t="s">
        <v>3046</v>
      </c>
      <c r="W600" s="52" t="s">
        <v>3047</v>
      </c>
      <c r="X600" s="43"/>
      <c r="Y600" s="44" t="str">
        <f>vlookup(G600,zip_codes!$B$6:$J988,3,false)</f>
        <v>Houston</v>
      </c>
      <c r="Z600" s="45" t="str">
        <f>vlookup(G600,zip_codes!$B$6:$J988,9,false)</f>
        <v>Northwest Houston, Spring Branch Central</v>
      </c>
      <c r="AA600" s="44" t="str">
        <f>vlookup(B600,organizations!$B$1:$C988,2,false)</f>
        <v>Memorial Assistance Ministries</v>
      </c>
      <c r="AB600" s="46" t="s">
        <v>3048</v>
      </c>
      <c r="AC600" s="47" t="s">
        <v>3049</v>
      </c>
      <c r="AD600" s="48" t="s">
        <v>715</v>
      </c>
      <c r="AE600" s="48" t="str">
        <f t="shared" si="77"/>
        <v>Memorial Assistance Ministries (MAM)1625 Blalock Road35</v>
      </c>
      <c r="AF600" s="48" t="str">
        <f t="shared" si="78"/>
        <v/>
      </c>
    </row>
    <row r="601" ht="66.75" customHeight="1">
      <c r="A601" s="49" t="s">
        <v>3040</v>
      </c>
      <c r="B601" s="35" t="s">
        <v>3041</v>
      </c>
      <c r="C601" s="36" t="s">
        <v>3042</v>
      </c>
      <c r="D601" s="36"/>
      <c r="E601" s="36" t="s">
        <v>36</v>
      </c>
      <c r="F601" s="36" t="s">
        <v>37</v>
      </c>
      <c r="G601" s="35" t="s">
        <v>694</v>
      </c>
      <c r="H601" s="35" t="s">
        <v>3043</v>
      </c>
      <c r="I601" s="35" t="s">
        <v>3044</v>
      </c>
      <c r="J601" s="35"/>
      <c r="K601" s="37">
        <f>IFERROR(__xludf.DUMMYFUNCTION("query(assistance!$A$2:$E988,""Select C Where D = '""&amp;L601&amp;""'"")"),36.0)</f>
        <v>36</v>
      </c>
      <c r="L601" s="36" t="s">
        <v>227</v>
      </c>
      <c r="M601" s="38">
        <f t="shared" si="81"/>
        <v>1</v>
      </c>
      <c r="N601" s="39" t="s">
        <v>42</v>
      </c>
      <c r="O601" s="95">
        <v>45853.0</v>
      </c>
      <c r="P601" s="35" t="s">
        <v>1564</v>
      </c>
      <c r="Q601" s="35"/>
      <c r="R601" s="35" t="s">
        <v>3058</v>
      </c>
      <c r="S601" s="35" t="b">
        <v>0</v>
      </c>
      <c r="T601" s="35" t="b">
        <v>0</v>
      </c>
      <c r="U601" s="41" t="str">
        <f>IFERROR(__xludf.DUMMYFUNCTION("""["" &amp; JOIN("", "", ARRAYFORMULA("""""""" &amp; TRIM(SPLIT(A601, "","")) &amp; """""""")) &amp; ""]"""),"[""77008"", ""77009"", ""77018"", ""77022"", ""77024"", ""77037"", ""77039"", ""77040"", ""77041"", ""77043"", ""77055"", ""77076"", ""77088"", ""77091"", ""77092""]")</f>
        <v>["77008", "77009", "77018", "77022", "77024", "77037", "77039", "77040", "77041", "77043", "77055", "77076", "77088", "77091", "77092"]</v>
      </c>
      <c r="V601" s="52" t="s">
        <v>3046</v>
      </c>
      <c r="W601" s="52" t="s">
        <v>3047</v>
      </c>
      <c r="X601" s="43"/>
      <c r="Y601" s="44" t="str">
        <f>vlookup(G601,zip_codes!$B$6:$J988,3,false)</f>
        <v>Houston</v>
      </c>
      <c r="Z601" s="45" t="str">
        <f>vlookup(G601,zip_codes!$B$6:$J988,9,false)</f>
        <v>Northwest Houston, Spring Branch Central</v>
      </c>
      <c r="AA601" s="44" t="str">
        <f>vlookup(B601,organizations!$B$1:$C988,2,false)</f>
        <v>Memorial Assistance Ministries</v>
      </c>
      <c r="AB601" s="46" t="s">
        <v>3048</v>
      </c>
      <c r="AC601" s="47" t="s">
        <v>3049</v>
      </c>
      <c r="AD601" s="48" t="s">
        <v>715</v>
      </c>
      <c r="AE601" s="48" t="str">
        <f t="shared" si="77"/>
        <v>Memorial Assistance Ministries (MAM)1625 Blalock Road36</v>
      </c>
      <c r="AF601" s="48" t="str">
        <f t="shared" si="78"/>
        <v/>
      </c>
    </row>
    <row r="602" ht="66.75" customHeight="1">
      <c r="A602" s="49" t="s">
        <v>50</v>
      </c>
      <c r="B602" s="35" t="s">
        <v>3041</v>
      </c>
      <c r="C602" s="36" t="s">
        <v>3042</v>
      </c>
      <c r="D602" s="36"/>
      <c r="E602" s="36" t="s">
        <v>36</v>
      </c>
      <c r="F602" s="36" t="s">
        <v>37</v>
      </c>
      <c r="G602" s="35" t="s">
        <v>694</v>
      </c>
      <c r="H602" s="35" t="s">
        <v>3043</v>
      </c>
      <c r="I602" s="35" t="s">
        <v>3044</v>
      </c>
      <c r="J602" s="35"/>
      <c r="K602" s="37">
        <f>IFERROR(__xludf.DUMMYFUNCTION("query(assistance!$A$2:$E988,""Select C Where D = '""&amp;L602&amp;""'"")"),51.0)</f>
        <v>51</v>
      </c>
      <c r="L602" s="36" t="s">
        <v>468</v>
      </c>
      <c r="M602" s="38">
        <f t="shared" si="81"/>
        <v>1</v>
      </c>
      <c r="N602" s="39" t="s">
        <v>42</v>
      </c>
      <c r="O602" s="95">
        <v>45853.0</v>
      </c>
      <c r="P602" s="35" t="s">
        <v>1564</v>
      </c>
      <c r="Q602" s="35"/>
      <c r="R602" s="35" t="s">
        <v>3059</v>
      </c>
      <c r="S602" s="35" t="b">
        <v>0</v>
      </c>
      <c r="T602" s="35" t="b">
        <v>0</v>
      </c>
      <c r="U602" s="41" t="str">
        <f>IFERROR(__xludf.DUMMYFUNCTION("""["" &amp; JOIN("", "", ARRAYFORMULA("""""""" &amp; TRIM(SPLIT(A602, "","")) &amp; """""""")) &amp; ""]"""),"[""99999""]")</f>
        <v>["99999"]</v>
      </c>
      <c r="V602" s="52" t="s">
        <v>3046</v>
      </c>
      <c r="W602" s="52" t="s">
        <v>3047</v>
      </c>
      <c r="X602" s="43"/>
      <c r="Y602" s="44" t="str">
        <f>vlookup(G602,zip_codes!$B$6:$J988,3,false)</f>
        <v>Houston</v>
      </c>
      <c r="Z602" s="45" t="str">
        <f>vlookup(G602,zip_codes!$B$6:$J988,9,false)</f>
        <v>Northwest Houston, Spring Branch Central</v>
      </c>
      <c r="AA602" s="44" t="str">
        <f>vlookup(B602,organizations!$B$1:$C988,2,false)</f>
        <v>Memorial Assistance Ministries</v>
      </c>
      <c r="AB602" s="46" t="s">
        <v>3048</v>
      </c>
      <c r="AC602" s="47" t="s">
        <v>3049</v>
      </c>
      <c r="AD602" s="48" t="s">
        <v>715</v>
      </c>
      <c r="AE602" s="48" t="str">
        <f t="shared" si="77"/>
        <v>Memorial Assistance Ministries (MAM)1625 Blalock Road51</v>
      </c>
      <c r="AF602" s="48" t="str">
        <f t="shared" si="78"/>
        <v/>
      </c>
    </row>
    <row r="603" ht="66.75" customHeight="1">
      <c r="A603" s="49" t="s">
        <v>3040</v>
      </c>
      <c r="B603" s="35" t="s">
        <v>3041</v>
      </c>
      <c r="C603" s="36" t="s">
        <v>3042</v>
      </c>
      <c r="D603" s="36"/>
      <c r="E603" s="36" t="s">
        <v>36</v>
      </c>
      <c r="F603" s="36" t="s">
        <v>37</v>
      </c>
      <c r="G603" s="35" t="s">
        <v>694</v>
      </c>
      <c r="H603" s="35" t="s">
        <v>3043</v>
      </c>
      <c r="I603" s="35" t="s">
        <v>3044</v>
      </c>
      <c r="J603" s="35"/>
      <c r="K603" s="37">
        <f>IFERROR(__xludf.DUMMYFUNCTION("query(assistance!$A$2:$E988,""Select C Where D = '""&amp;L603&amp;""'"")"),64.0)</f>
        <v>64</v>
      </c>
      <c r="L603" s="36" t="s">
        <v>817</v>
      </c>
      <c r="M603" s="38">
        <f t="shared" si="81"/>
        <v>1</v>
      </c>
      <c r="N603" s="39" t="s">
        <v>42</v>
      </c>
      <c r="O603" s="95">
        <v>45853.0</v>
      </c>
      <c r="P603" s="35" t="s">
        <v>1564</v>
      </c>
      <c r="Q603" s="35"/>
      <c r="R603" s="35" t="s">
        <v>3060</v>
      </c>
      <c r="S603" s="35" t="b">
        <v>0</v>
      </c>
      <c r="T603" s="35" t="b">
        <v>0</v>
      </c>
      <c r="U603" s="41" t="str">
        <f>IFERROR(__xludf.DUMMYFUNCTION("""["" &amp; JOIN("", "", ARRAYFORMULA("""""""" &amp; TRIM(SPLIT(A603, "","")) &amp; """""""")) &amp; ""]"""),"[""77008"", ""77009"", ""77018"", ""77022"", ""77024"", ""77037"", ""77039"", ""77040"", ""77041"", ""77043"", ""77055"", ""77076"", ""77088"", ""77091"", ""77092""]")</f>
        <v>["77008", "77009", "77018", "77022", "77024", "77037", "77039", "77040", "77041", "77043", "77055", "77076", "77088", "77091", "77092"]</v>
      </c>
      <c r="V603" s="52" t="s">
        <v>3046</v>
      </c>
      <c r="W603" s="52" t="s">
        <v>3047</v>
      </c>
      <c r="X603" s="43"/>
      <c r="Y603" s="44" t="str">
        <f>vlookup(G603,zip_codes!$B$6:$J988,3,false)</f>
        <v>Houston</v>
      </c>
      <c r="Z603" s="45" t="str">
        <f>vlookup(G603,zip_codes!$B$6:$J988,9,false)</f>
        <v>Northwest Houston, Spring Branch Central</v>
      </c>
      <c r="AA603" s="44" t="str">
        <f>vlookup(B603,organizations!$B$1:$C988,2,false)</f>
        <v>Memorial Assistance Ministries</v>
      </c>
      <c r="AB603" s="46" t="s">
        <v>3048</v>
      </c>
      <c r="AC603" s="47" t="s">
        <v>3049</v>
      </c>
      <c r="AD603" s="48" t="s">
        <v>715</v>
      </c>
      <c r="AE603" s="48" t="str">
        <f t="shared" si="77"/>
        <v>Memorial Assistance Ministries (MAM)1625 Blalock Road64</v>
      </c>
      <c r="AF603" s="48" t="str">
        <f t="shared" si="78"/>
        <v/>
      </c>
    </row>
    <row r="604" ht="66.75" customHeight="1">
      <c r="A604" s="34" t="s">
        <v>3061</v>
      </c>
      <c r="B604" s="35" t="s">
        <v>3062</v>
      </c>
      <c r="C604" s="36" t="s">
        <v>3063</v>
      </c>
      <c r="D604" s="36"/>
      <c r="E604" s="36" t="s">
        <v>36</v>
      </c>
      <c r="F604" s="36" t="s">
        <v>37</v>
      </c>
      <c r="G604" s="35" t="s">
        <v>3064</v>
      </c>
      <c r="H604" s="35" t="s">
        <v>3065</v>
      </c>
      <c r="I604" s="35" t="s">
        <v>1130</v>
      </c>
      <c r="J604" s="35" t="s">
        <v>3066</v>
      </c>
      <c r="K604" s="37">
        <f>IFERROR(__xludf.DUMMYFUNCTION("query(assistance!$A$2:$E988,""Select C Where D = '""&amp;L604&amp;""'"")"),13.0)</f>
        <v>13</v>
      </c>
      <c r="L604" s="36" t="s">
        <v>240</v>
      </c>
      <c r="M604" s="38">
        <f t="shared" si="81"/>
        <v>1</v>
      </c>
      <c r="N604" s="51" t="s">
        <v>42</v>
      </c>
      <c r="O604" s="40">
        <v>45884.0</v>
      </c>
      <c r="P604" s="35" t="s">
        <v>43</v>
      </c>
      <c r="Q604" s="35"/>
      <c r="R604" s="35" t="s">
        <v>3067</v>
      </c>
      <c r="S604" s="35" t="b">
        <v>0</v>
      </c>
      <c r="T604" s="35" t="b">
        <v>0</v>
      </c>
      <c r="U604" s="41" t="str">
        <f>IFERROR(__xludf.DUMMYFUNCTION("""["" &amp; JOIN("", "", ARRAYFORMULA("""""""" &amp; TRIM(SPLIT(A604, "","")) &amp; """""""")) &amp; ""]"""),"[""77041"", ""77043"", ""77079"", ""77084"", ""77094"", ""77095"", ""77433"", ""77449""]")</f>
        <v>["77041", "77043", "77079", "77084", "77094", "77095", "77433", "77449"]</v>
      </c>
      <c r="V604" s="42" t="s">
        <v>3068</v>
      </c>
      <c r="W604" s="42" t="s">
        <v>3069</v>
      </c>
      <c r="X604" s="43"/>
      <c r="Y604" s="44" t="str">
        <f>vlookup(G604,zip_codes!$B$6:$J988,3,false)</f>
        <v>Houston</v>
      </c>
      <c r="Z604" s="45" t="str">
        <f>vlookup(G604,zip_codes!$B$6:$J988,9,false)</f>
        <v>Addicks Park Ten, Bear Creek, Copperfield</v>
      </c>
      <c r="AA604" s="44" t="str">
        <f>vlookup(B604,organizations!$B$1:$C988,2,false)</f>
        <v>Mesa-Outreach Inc</v>
      </c>
      <c r="AB604" s="55" t="s">
        <v>3070</v>
      </c>
      <c r="AC604" s="47" t="s">
        <v>1135</v>
      </c>
      <c r="AD604" s="58" t="s">
        <v>3071</v>
      </c>
      <c r="AE604" s="48" t="str">
        <f t="shared" si="77"/>
        <v>Mesa-Outreach Inc16000 Rippling Water Drive13</v>
      </c>
      <c r="AF604" s="48" t="str">
        <f t="shared" si="78"/>
        <v/>
      </c>
    </row>
    <row r="605" ht="66.75" customHeight="1">
      <c r="A605" s="49" t="s">
        <v>50</v>
      </c>
      <c r="B605" s="35" t="s">
        <v>3072</v>
      </c>
      <c r="C605" s="36" t="s">
        <v>3073</v>
      </c>
      <c r="D605" s="36"/>
      <c r="E605" s="36" t="s">
        <v>36</v>
      </c>
      <c r="F605" s="36" t="s">
        <v>37</v>
      </c>
      <c r="G605" s="35" t="s">
        <v>3074</v>
      </c>
      <c r="H605" s="35" t="s">
        <v>3075</v>
      </c>
      <c r="I605" s="35" t="s">
        <v>3076</v>
      </c>
      <c r="J605" s="35" t="s">
        <v>89</v>
      </c>
      <c r="K605" s="37">
        <f>IFERROR(__xludf.DUMMYFUNCTION("query(assistance!$A$2:$E988,""Select C Where D = '""&amp;L605&amp;""'"")"),13.0)</f>
        <v>13</v>
      </c>
      <c r="L605" s="36" t="s">
        <v>240</v>
      </c>
      <c r="M605" s="38">
        <f t="shared" si="81"/>
        <v>1</v>
      </c>
      <c r="N605" s="51" t="s">
        <v>42</v>
      </c>
      <c r="O605" s="40">
        <v>45813.0</v>
      </c>
      <c r="P605" s="35" t="s">
        <v>43</v>
      </c>
      <c r="Q605" s="35"/>
      <c r="R605" s="35" t="s">
        <v>3077</v>
      </c>
      <c r="S605" s="35" t="b">
        <v>0</v>
      </c>
      <c r="T605" s="35" t="b">
        <v>0</v>
      </c>
      <c r="U605" s="41" t="str">
        <f>IFERROR(__xludf.DUMMYFUNCTION("""["" &amp; JOIN("", "", ARRAYFORMULA("""""""" &amp; TRIM(SPLIT(A605, "","")) &amp; """""""")) &amp; ""]"""),"[""99999""]")</f>
        <v>["99999"]</v>
      </c>
      <c r="V605" s="42" t="s">
        <v>3078</v>
      </c>
      <c r="W605" s="42" t="s">
        <v>3079</v>
      </c>
      <c r="X605" s="43"/>
      <c r="Y605" s="44" t="str">
        <f>vlookup(G605,zip_codes!$B$6:$J988,3,false)</f>
        <v>Houston</v>
      </c>
      <c r="Z605" s="45" t="str">
        <f>vlookup(G605,zip_codes!$B$6:$J988,9,false)</f>
        <v>Alief, Mission Bend</v>
      </c>
      <c r="AA605" s="44" t="str">
        <f>vlookup(B605,organizations!$B$1:$C988,2,false)</f>
        <v>Mission Bells Food Pantry</v>
      </c>
      <c r="AB605" s="46" t="s">
        <v>3080</v>
      </c>
      <c r="AC605" s="47" t="s">
        <v>3081</v>
      </c>
      <c r="AD605" s="58" t="s">
        <v>3082</v>
      </c>
      <c r="AE605" s="48" t="str">
        <f t="shared" si="77"/>
        <v>Mission Bells Food Pantry15325 Bellaire Blvd13</v>
      </c>
      <c r="AF605" s="48" t="str">
        <f t="shared" si="78"/>
        <v/>
      </c>
    </row>
    <row r="606" ht="66.75" customHeight="1">
      <c r="A606" s="49" t="s">
        <v>3083</v>
      </c>
      <c r="B606" s="35" t="s">
        <v>3084</v>
      </c>
      <c r="C606" s="36" t="s">
        <v>3085</v>
      </c>
      <c r="D606" s="36"/>
      <c r="E606" s="36" t="s">
        <v>3086</v>
      </c>
      <c r="F606" s="36" t="s">
        <v>37</v>
      </c>
      <c r="G606" s="35" t="s">
        <v>3087</v>
      </c>
      <c r="H606" s="35" t="s">
        <v>3088</v>
      </c>
      <c r="I606" s="35" t="s">
        <v>3089</v>
      </c>
      <c r="J606" s="35"/>
      <c r="K606" s="37">
        <f>IFERROR(__xludf.DUMMYFUNCTION("query(assistance!$A$2:$E988,""Select C Where D = '""&amp;L606&amp;""'"")"),13.0)</f>
        <v>13</v>
      </c>
      <c r="L606" s="36" t="s">
        <v>240</v>
      </c>
      <c r="M606" s="38">
        <f t="shared" si="81"/>
        <v>1</v>
      </c>
      <c r="N606" s="39" t="s">
        <v>42</v>
      </c>
      <c r="O606" s="65"/>
      <c r="P606" s="50"/>
      <c r="Q606" s="35"/>
      <c r="R606" s="35" t="s">
        <v>3090</v>
      </c>
      <c r="S606" s="35" t="b">
        <v>0</v>
      </c>
      <c r="T606" s="35" t="b">
        <v>0</v>
      </c>
      <c r="U606" s="41" t="str">
        <f>IFERROR(__xludf.DUMMYFUNCTION("""["" &amp; JOIN("", "", ARRAYFORMULA("""""""" &amp; TRIM(SPLIT(A606, "","")) &amp; """""""")) &amp; ""]"""),"[""77302"", ""77303"", ""77306"", ""77327"", ""77328"", ""77336"", ""77339"", ""77345"", ""77357"", ""77365"", ""77372""]")</f>
        <v>["77302", "77303", "77306", "77327", "77328", "77336", "77339", "77345", "77357", "77365", "77372"]</v>
      </c>
      <c r="V606" s="52" t="s">
        <v>3091</v>
      </c>
      <c r="W606" s="52" t="s">
        <v>3092</v>
      </c>
      <c r="X606" s="43"/>
      <c r="Y606" s="44" t="str">
        <f>vlookup(G606,zip_codes!$B$6:$J988,3,false)</f>
        <v>New Caney</v>
      </c>
      <c r="Z606" s="45" t="str">
        <f>vlookup(G606,zip_codes!$B$6:$J988,9,false)</f>
        <v>New Caney</v>
      </c>
      <c r="AA606" s="44" t="str">
        <f>vlookup(B606,organizations!$B$1:$C988,2,false)</f>
        <v>Mission Northeast</v>
      </c>
      <c r="AB606" s="46" t="s">
        <v>3093</v>
      </c>
      <c r="AC606" s="47" t="s">
        <v>3094</v>
      </c>
      <c r="AD606" s="48" t="s">
        <v>3086</v>
      </c>
      <c r="AE606" s="48" t="str">
        <f t="shared" si="77"/>
        <v>Mission Northeast22098 Loop 49413</v>
      </c>
      <c r="AF606" s="48" t="str">
        <f t="shared" si="78"/>
        <v/>
      </c>
    </row>
    <row r="607" ht="66.75" customHeight="1">
      <c r="A607" s="49" t="s">
        <v>3083</v>
      </c>
      <c r="B607" s="35" t="s">
        <v>3084</v>
      </c>
      <c r="C607" s="36" t="s">
        <v>3085</v>
      </c>
      <c r="D607" s="36"/>
      <c r="E607" s="36" t="s">
        <v>3086</v>
      </c>
      <c r="F607" s="36" t="s">
        <v>37</v>
      </c>
      <c r="G607" s="35" t="s">
        <v>3087</v>
      </c>
      <c r="H607" s="35" t="s">
        <v>3088</v>
      </c>
      <c r="I607" s="35" t="s">
        <v>3089</v>
      </c>
      <c r="J607" s="35"/>
      <c r="K607" s="37">
        <f>IFERROR(__xludf.DUMMYFUNCTION("query(assistance!$A$2:$E988,""Select C Where D = '""&amp;L607&amp;""'"")"),51.0)</f>
        <v>51</v>
      </c>
      <c r="L607" s="36" t="s">
        <v>468</v>
      </c>
      <c r="M607" s="38">
        <f t="shared" si="81"/>
        <v>1</v>
      </c>
      <c r="N607" s="39" t="s">
        <v>42</v>
      </c>
      <c r="O607" s="65"/>
      <c r="P607" s="50"/>
      <c r="Q607" s="35"/>
      <c r="R607" s="35" t="s">
        <v>3095</v>
      </c>
      <c r="S607" s="35" t="b">
        <v>0</v>
      </c>
      <c r="T607" s="35" t="b">
        <v>0</v>
      </c>
      <c r="U607" s="41" t="str">
        <f>IFERROR(__xludf.DUMMYFUNCTION("""["" &amp; JOIN("", "", ARRAYFORMULA("""""""" &amp; TRIM(SPLIT(A607, "","")) &amp; """""""")) &amp; ""]"""),"[""77302"", ""77303"", ""77306"", ""77327"", ""77328"", ""77336"", ""77339"", ""77345"", ""77357"", ""77365"", ""77372""]")</f>
        <v>["77302", "77303", "77306", "77327", "77328", "77336", "77339", "77345", "77357", "77365", "77372"]</v>
      </c>
      <c r="V607" s="52" t="s">
        <v>3091</v>
      </c>
      <c r="W607" s="52" t="s">
        <v>3092</v>
      </c>
      <c r="X607" s="43"/>
      <c r="Y607" s="44" t="str">
        <f>vlookup(G607,zip_codes!$B$6:$J988,3,false)</f>
        <v>New Caney</v>
      </c>
      <c r="Z607" s="45" t="str">
        <f>vlookup(G607,zip_codes!$B$6:$J988,9,false)</f>
        <v>New Caney</v>
      </c>
      <c r="AA607" s="44" t="str">
        <f>vlookup(B607,organizations!$B$1:$C988,2,false)</f>
        <v>Mission Northeast</v>
      </c>
      <c r="AB607" s="46" t="s">
        <v>3093</v>
      </c>
      <c r="AC607" s="47" t="s">
        <v>3094</v>
      </c>
      <c r="AD607" s="48" t="s">
        <v>3086</v>
      </c>
      <c r="AE607" s="48" t="str">
        <f t="shared" si="77"/>
        <v>Mission Northeast22098 Loop 49451</v>
      </c>
      <c r="AF607" s="48" t="str">
        <f t="shared" si="78"/>
        <v/>
      </c>
    </row>
    <row r="608" ht="66.75" customHeight="1">
      <c r="A608" s="49" t="s">
        <v>3083</v>
      </c>
      <c r="B608" s="35" t="s">
        <v>3084</v>
      </c>
      <c r="C608" s="36" t="s">
        <v>3085</v>
      </c>
      <c r="D608" s="36"/>
      <c r="E608" s="36" t="s">
        <v>3086</v>
      </c>
      <c r="F608" s="36" t="s">
        <v>37</v>
      </c>
      <c r="G608" s="35" t="s">
        <v>3087</v>
      </c>
      <c r="H608" s="35" t="s">
        <v>3088</v>
      </c>
      <c r="I608" s="35" t="s">
        <v>3089</v>
      </c>
      <c r="J608" s="35"/>
      <c r="K608" s="37">
        <f>IFERROR(__xludf.DUMMYFUNCTION("query(assistance!$A$2:$E988,""Select C Where D = '""&amp;L608&amp;""'"")"),52.0)</f>
        <v>52</v>
      </c>
      <c r="L608" s="36" t="s">
        <v>336</v>
      </c>
      <c r="M608" s="38">
        <f t="shared" si="81"/>
        <v>1</v>
      </c>
      <c r="N608" s="39" t="s">
        <v>42</v>
      </c>
      <c r="O608" s="65"/>
      <c r="P608" s="50"/>
      <c r="Q608" s="35"/>
      <c r="R608" s="35" t="s">
        <v>3096</v>
      </c>
      <c r="S608" s="35" t="b">
        <v>0</v>
      </c>
      <c r="T608" s="35" t="b">
        <v>0</v>
      </c>
      <c r="U608" s="41" t="str">
        <f>IFERROR(__xludf.DUMMYFUNCTION("""["" &amp; JOIN("", "", ARRAYFORMULA("""""""" &amp; TRIM(SPLIT(A608, "","")) &amp; """""""")) &amp; ""]"""),"[""77302"", ""77303"", ""77306"", ""77327"", ""77328"", ""77336"", ""77339"", ""77345"", ""77357"", ""77365"", ""77372""]")</f>
        <v>["77302", "77303", "77306", "77327", "77328", "77336", "77339", "77345", "77357", "77365", "77372"]</v>
      </c>
      <c r="V608" s="52" t="s">
        <v>3091</v>
      </c>
      <c r="W608" s="52" t="s">
        <v>3092</v>
      </c>
      <c r="X608" s="43"/>
      <c r="Y608" s="44" t="str">
        <f>vlookup(G608,zip_codes!$B$6:$J988,3,false)</f>
        <v>New Caney</v>
      </c>
      <c r="Z608" s="45" t="str">
        <f>vlookup(G608,zip_codes!$B$6:$J988,9,false)</f>
        <v>New Caney</v>
      </c>
      <c r="AA608" s="44" t="str">
        <f>vlookup(B608,organizations!$B$1:$C988,2,false)</f>
        <v>Mission Northeast</v>
      </c>
      <c r="AB608" s="46" t="s">
        <v>3093</v>
      </c>
      <c r="AC608" s="47" t="s">
        <v>3094</v>
      </c>
      <c r="AD608" s="48" t="s">
        <v>3086</v>
      </c>
      <c r="AE608" s="48" t="str">
        <f t="shared" si="77"/>
        <v>Mission Northeast22098 Loop 49452</v>
      </c>
      <c r="AF608" s="48" t="str">
        <f t="shared" si="78"/>
        <v/>
      </c>
    </row>
    <row r="609" ht="66.75" customHeight="1">
      <c r="A609" s="49" t="s">
        <v>3083</v>
      </c>
      <c r="B609" s="35" t="s">
        <v>3084</v>
      </c>
      <c r="C609" s="36" t="s">
        <v>3085</v>
      </c>
      <c r="D609" s="36"/>
      <c r="E609" s="36" t="s">
        <v>3086</v>
      </c>
      <c r="F609" s="36" t="s">
        <v>37</v>
      </c>
      <c r="G609" s="35" t="s">
        <v>3087</v>
      </c>
      <c r="H609" s="35" t="s">
        <v>3088</v>
      </c>
      <c r="I609" s="35" t="s">
        <v>3089</v>
      </c>
      <c r="J609" s="35"/>
      <c r="K609" s="37">
        <f>IFERROR(__xludf.DUMMYFUNCTION("query(assistance!$A$2:$E988,""Select C Where D = '""&amp;L609&amp;""'"")"),62.0)</f>
        <v>62</v>
      </c>
      <c r="L609" s="36" t="s">
        <v>1112</v>
      </c>
      <c r="M609" s="38">
        <f t="shared" si="81"/>
        <v>1</v>
      </c>
      <c r="N609" s="39" t="s">
        <v>42</v>
      </c>
      <c r="O609" s="65"/>
      <c r="P609" s="50"/>
      <c r="Q609" s="35"/>
      <c r="R609" s="35" t="s">
        <v>3097</v>
      </c>
      <c r="S609" s="35" t="b">
        <v>0</v>
      </c>
      <c r="T609" s="35" t="b">
        <v>0</v>
      </c>
      <c r="U609" s="41" t="str">
        <f>IFERROR(__xludf.DUMMYFUNCTION("""["" &amp; JOIN("", "", ARRAYFORMULA("""""""" &amp; TRIM(SPLIT(A609, "","")) &amp; """""""")) &amp; ""]"""),"[""77302"", ""77303"", ""77306"", ""77327"", ""77328"", ""77336"", ""77339"", ""77345"", ""77357"", ""77365"", ""77372""]")</f>
        <v>["77302", "77303", "77306", "77327", "77328", "77336", "77339", "77345", "77357", "77365", "77372"]</v>
      </c>
      <c r="V609" s="52" t="s">
        <v>3091</v>
      </c>
      <c r="W609" s="52" t="s">
        <v>3092</v>
      </c>
      <c r="X609" s="43"/>
      <c r="Y609" s="44" t="str">
        <f>vlookup(G609,zip_codes!$B$6:$J988,3,false)</f>
        <v>New Caney</v>
      </c>
      <c r="Z609" s="45" t="str">
        <f>vlookup(G609,zip_codes!$B$6:$J988,9,false)</f>
        <v>New Caney</v>
      </c>
      <c r="AA609" s="44" t="str">
        <f>vlookup(B609,organizations!$B$1:$C988,2,false)</f>
        <v>Mission Northeast</v>
      </c>
      <c r="AB609" s="46" t="s">
        <v>3093</v>
      </c>
      <c r="AC609" s="47" t="s">
        <v>3094</v>
      </c>
      <c r="AD609" s="48" t="s">
        <v>3086</v>
      </c>
      <c r="AE609" s="48" t="str">
        <f t="shared" si="77"/>
        <v>Mission Northeast22098 Loop 49462</v>
      </c>
      <c r="AF609" s="48" t="str">
        <f t="shared" si="78"/>
        <v/>
      </c>
    </row>
    <row r="610" ht="66.75" customHeight="1">
      <c r="A610" s="49" t="s">
        <v>3083</v>
      </c>
      <c r="B610" s="35" t="s">
        <v>3084</v>
      </c>
      <c r="C610" s="36" t="s">
        <v>3085</v>
      </c>
      <c r="D610" s="36"/>
      <c r="E610" s="36" t="s">
        <v>3086</v>
      </c>
      <c r="F610" s="36" t="s">
        <v>37</v>
      </c>
      <c r="G610" s="35" t="s">
        <v>3087</v>
      </c>
      <c r="H610" s="35" t="s">
        <v>3088</v>
      </c>
      <c r="I610" s="35" t="s">
        <v>3089</v>
      </c>
      <c r="J610" s="35"/>
      <c r="K610" s="37">
        <f>IFERROR(__xludf.DUMMYFUNCTION("query(assistance!$A$2:$E988,""Select C Where D = '""&amp;L610&amp;""'"")"),64.0)</f>
        <v>64</v>
      </c>
      <c r="L610" s="36" t="s">
        <v>817</v>
      </c>
      <c r="M610" s="38">
        <f t="shared" si="81"/>
        <v>1</v>
      </c>
      <c r="N610" s="39" t="s">
        <v>42</v>
      </c>
      <c r="O610" s="65"/>
      <c r="P610" s="50"/>
      <c r="Q610" s="35"/>
      <c r="R610" s="35" t="s">
        <v>1450</v>
      </c>
      <c r="S610" s="35" t="b">
        <v>0</v>
      </c>
      <c r="T610" s="35" t="b">
        <v>0</v>
      </c>
      <c r="U610" s="41" t="str">
        <f>IFERROR(__xludf.DUMMYFUNCTION("""["" &amp; JOIN("", "", ARRAYFORMULA("""""""" &amp; TRIM(SPLIT(A610, "","")) &amp; """""""")) &amp; ""]"""),"[""77302"", ""77303"", ""77306"", ""77327"", ""77328"", ""77336"", ""77339"", ""77345"", ""77357"", ""77365"", ""77372""]")</f>
        <v>["77302", "77303", "77306", "77327", "77328", "77336", "77339", "77345", "77357", "77365", "77372"]</v>
      </c>
      <c r="V610" s="52" t="s">
        <v>3091</v>
      </c>
      <c r="W610" s="52" t="s">
        <v>3092</v>
      </c>
      <c r="X610" s="43"/>
      <c r="Y610" s="44" t="str">
        <f>vlookup(G610,zip_codes!$B$6:$J988,3,false)</f>
        <v>New Caney</v>
      </c>
      <c r="Z610" s="45" t="str">
        <f>vlookup(G610,zip_codes!$B$6:$J988,9,false)</f>
        <v>New Caney</v>
      </c>
      <c r="AA610" s="44" t="str">
        <f>vlookup(B610,organizations!$B$1:$C988,2,false)</f>
        <v>Mission Northeast</v>
      </c>
      <c r="AB610" s="46" t="s">
        <v>3093</v>
      </c>
      <c r="AC610" s="47" t="s">
        <v>3094</v>
      </c>
      <c r="AD610" s="48" t="s">
        <v>3086</v>
      </c>
      <c r="AE610" s="48" t="str">
        <f t="shared" si="77"/>
        <v>Mission Northeast22098 Loop 49464</v>
      </c>
      <c r="AF610" s="48" t="str">
        <f t="shared" si="78"/>
        <v/>
      </c>
    </row>
    <row r="611" ht="66.75" customHeight="1">
      <c r="A611" s="49" t="s">
        <v>50</v>
      </c>
      <c r="B611" s="35" t="s">
        <v>3098</v>
      </c>
      <c r="C611" s="36" t="s">
        <v>3099</v>
      </c>
      <c r="D611" s="36"/>
      <c r="E611" s="36" t="s">
        <v>36</v>
      </c>
      <c r="F611" s="36" t="s">
        <v>37</v>
      </c>
      <c r="G611" s="35" t="s">
        <v>3100</v>
      </c>
      <c r="H611" s="35" t="s">
        <v>3101</v>
      </c>
      <c r="I611" s="35" t="s">
        <v>40</v>
      </c>
      <c r="J611" s="35"/>
      <c r="K611" s="37">
        <f>IFERROR(__xludf.DUMMYFUNCTION("query(assistance!$A$2:$E988,""Select C Where D = '""&amp;L611&amp;""'"")"),21.0)</f>
        <v>21</v>
      </c>
      <c r="L611" s="36" t="s">
        <v>777</v>
      </c>
      <c r="M611" s="38">
        <f t="shared" si="81"/>
        <v>1</v>
      </c>
      <c r="N611" s="39" t="s">
        <v>42</v>
      </c>
      <c r="O611" s="65"/>
      <c r="P611" s="50"/>
      <c r="Q611" s="35"/>
      <c r="R611" s="35" t="s">
        <v>3102</v>
      </c>
      <c r="S611" s="35" t="b">
        <v>0</v>
      </c>
      <c r="T611" s="35" t="b">
        <v>0</v>
      </c>
      <c r="U611" s="41" t="str">
        <f>IFERROR(__xludf.DUMMYFUNCTION("""["" &amp; JOIN("", "", ARRAYFORMULA("""""""" &amp; TRIM(SPLIT(A611, "","")) &amp; """""""")) &amp; ""]"""),"[""99999""]")</f>
        <v>["99999"]</v>
      </c>
      <c r="V611" s="52" t="s">
        <v>3103</v>
      </c>
      <c r="W611" s="43"/>
      <c r="X611" s="43"/>
      <c r="Y611" s="44" t="str">
        <f>vlookup(G611,zip_codes!$B$6:$J988,3,false)</f>
        <v>Houston</v>
      </c>
      <c r="Z611" s="45" t="str">
        <f>vlookup(G611,zip_codes!$B$6:$J988,9,false)</f>
        <v>Northwest Houston, Spring Branch North</v>
      </c>
      <c r="AA611" s="44" t="str">
        <f>vlookup(B611,organizations!$B$1:$C988,2,false)</f>
        <v>Mission of Yahweh</v>
      </c>
      <c r="AB611" s="46" t="s">
        <v>3104</v>
      </c>
      <c r="AC611" s="47" t="s">
        <v>48</v>
      </c>
      <c r="AD611" s="48" t="s">
        <v>715</v>
      </c>
      <c r="AE611" s="48" t="str">
        <f t="shared" si="77"/>
        <v>Mission of Yahweh10247 Algiers Road21</v>
      </c>
      <c r="AF611" s="48" t="str">
        <f t="shared" si="78"/>
        <v/>
      </c>
    </row>
    <row r="612" ht="66.75" customHeight="1">
      <c r="A612" s="49" t="s">
        <v>50</v>
      </c>
      <c r="B612" s="35" t="s">
        <v>3098</v>
      </c>
      <c r="C612" s="36" t="s">
        <v>3099</v>
      </c>
      <c r="D612" s="36"/>
      <c r="E612" s="36" t="s">
        <v>36</v>
      </c>
      <c r="F612" s="36" t="s">
        <v>37</v>
      </c>
      <c r="G612" s="35" t="s">
        <v>3100</v>
      </c>
      <c r="H612" s="35" t="s">
        <v>3101</v>
      </c>
      <c r="I612" s="35" t="s">
        <v>40</v>
      </c>
      <c r="J612" s="35"/>
      <c r="K612" s="37">
        <f>IFERROR(__xludf.DUMMYFUNCTION("query(assistance!$A$2:$E988,""Select C Where D = '""&amp;L612&amp;""'"")"),64.0)</f>
        <v>64</v>
      </c>
      <c r="L612" s="36" t="s">
        <v>817</v>
      </c>
      <c r="M612" s="38">
        <f t="shared" si="81"/>
        <v>1</v>
      </c>
      <c r="N612" s="39" t="s">
        <v>42</v>
      </c>
      <c r="O612" s="65"/>
      <c r="P612" s="50"/>
      <c r="Q612" s="35"/>
      <c r="R612" s="35" t="s">
        <v>3105</v>
      </c>
      <c r="S612" s="35" t="b">
        <v>0</v>
      </c>
      <c r="T612" s="35" t="b">
        <v>0</v>
      </c>
      <c r="U612" s="41" t="str">
        <f>IFERROR(__xludf.DUMMYFUNCTION("""["" &amp; JOIN("", "", ARRAYFORMULA("""""""" &amp; TRIM(SPLIT(A612, "","")) &amp; """""""")) &amp; ""]"""),"[""99999""]")</f>
        <v>["99999"]</v>
      </c>
      <c r="V612" s="52" t="s">
        <v>3103</v>
      </c>
      <c r="W612" s="43"/>
      <c r="X612" s="43"/>
      <c r="Y612" s="44" t="str">
        <f>vlookup(G612,zip_codes!$B$6:$J988,3,false)</f>
        <v>Houston</v>
      </c>
      <c r="Z612" s="45" t="str">
        <f>vlookup(G612,zip_codes!$B$6:$J988,9,false)</f>
        <v>Northwest Houston, Spring Branch North</v>
      </c>
      <c r="AA612" s="44" t="str">
        <f>vlookup(B612,organizations!$B$1:$C988,2,false)</f>
        <v>Mission of Yahweh</v>
      </c>
      <c r="AB612" s="46" t="s">
        <v>3104</v>
      </c>
      <c r="AC612" s="47" t="s">
        <v>48</v>
      </c>
      <c r="AD612" s="48" t="s">
        <v>715</v>
      </c>
      <c r="AE612" s="48" t="str">
        <f t="shared" si="77"/>
        <v>Mission of Yahweh10247 Algiers Road64</v>
      </c>
      <c r="AF612" s="48" t="str">
        <f t="shared" si="78"/>
        <v/>
      </c>
    </row>
    <row r="613" ht="66.75" customHeight="1">
      <c r="A613" s="34" t="s">
        <v>266</v>
      </c>
      <c r="B613" s="35" t="s">
        <v>3106</v>
      </c>
      <c r="C613" s="36" t="s">
        <v>3107</v>
      </c>
      <c r="D613" s="36"/>
      <c r="E613" s="36" t="s">
        <v>36</v>
      </c>
      <c r="F613" s="36" t="s">
        <v>37</v>
      </c>
      <c r="G613" s="56" t="s">
        <v>1737</v>
      </c>
      <c r="H613" s="35" t="s">
        <v>3108</v>
      </c>
      <c r="I613" s="35" t="s">
        <v>3109</v>
      </c>
      <c r="J613" s="35" t="s">
        <v>3110</v>
      </c>
      <c r="K613" s="37">
        <f>IFERROR(__xludf.DUMMYFUNCTION("query(assistance!$A$2:$E988,""Select C Where D = '""&amp;L613&amp;""'"")"),32.0)</f>
        <v>32</v>
      </c>
      <c r="L613" s="36" t="s">
        <v>208</v>
      </c>
      <c r="M613" s="38">
        <f t="shared" si="81"/>
        <v>1</v>
      </c>
      <c r="N613" s="39" t="s">
        <v>42</v>
      </c>
      <c r="O613" s="57">
        <v>46050.0</v>
      </c>
      <c r="P613" s="35" t="s">
        <v>424</v>
      </c>
      <c r="Q613" s="35"/>
      <c r="R613" s="35" t="s">
        <v>3111</v>
      </c>
      <c r="S613" s="35" t="b">
        <v>1</v>
      </c>
      <c r="T613" s="35" t="b">
        <v>0</v>
      </c>
      <c r="U613" s="41" t="str">
        <f>IFERROR(__xludf.DUMMYFUNCTION("""["" &amp; JOIN("", "", ARRAYFORMULA("""""""" &amp; TRIM(SPLIT(A613,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613" s="42" t="s">
        <v>3112</v>
      </c>
      <c r="W613" s="42" t="s">
        <v>3113</v>
      </c>
      <c r="X613" s="43"/>
      <c r="Y613" s="44" t="str">
        <f>vlookup(G613,zip_codes!$B$6:$J988,3,false)</f>
        <v>Houston</v>
      </c>
      <c r="Z613" s="45" t="str">
        <f>vlookup(G613,zip_codes!$B$6:$J988,9,false)</f>
        <v>Eastex, Jensen, Northeast Houston</v>
      </c>
      <c r="AA613" s="44" t="str">
        <f>vlookup(B613,organizations!$B$1:$C988,2,false)</f>
        <v>Harris County Public Health</v>
      </c>
      <c r="AB613" s="55" t="s">
        <v>3114</v>
      </c>
      <c r="AC613" s="47" t="s">
        <v>3115</v>
      </c>
      <c r="AD613" s="58" t="s">
        <v>1216</v>
      </c>
      <c r="AE613" s="48" t="str">
        <f t="shared" si="77"/>
        <v>Mobile Dental Unit10918 1/2 Bentley Street32</v>
      </c>
      <c r="AF613" s="48" t="str">
        <f t="shared" si="78"/>
        <v/>
      </c>
    </row>
    <row r="614" ht="66.75" customHeight="1">
      <c r="A614" s="34" t="s">
        <v>266</v>
      </c>
      <c r="B614" s="35" t="s">
        <v>3106</v>
      </c>
      <c r="C614" s="36" t="s">
        <v>3116</v>
      </c>
      <c r="D614" s="36"/>
      <c r="E614" s="36" t="s">
        <v>488</v>
      </c>
      <c r="F614" s="36" t="s">
        <v>37</v>
      </c>
      <c r="G614" s="56" t="s">
        <v>489</v>
      </c>
      <c r="H614" s="35" t="s">
        <v>3108</v>
      </c>
      <c r="I614" s="35" t="s">
        <v>3117</v>
      </c>
      <c r="J614" s="35" t="s">
        <v>3110</v>
      </c>
      <c r="K614" s="37">
        <f>IFERROR(__xludf.DUMMYFUNCTION("query(assistance!$A$2:$E988,""Select C Where D = '""&amp;L614&amp;""'"")"),32.0)</f>
        <v>32</v>
      </c>
      <c r="L614" s="36" t="s">
        <v>208</v>
      </c>
      <c r="M614" s="38">
        <f t="shared" si="81"/>
        <v>1</v>
      </c>
      <c r="N614" s="39" t="s">
        <v>42</v>
      </c>
      <c r="O614" s="57">
        <v>46050.0</v>
      </c>
      <c r="P614" s="35" t="s">
        <v>424</v>
      </c>
      <c r="Q614" s="35"/>
      <c r="R614" s="35" t="s">
        <v>3118</v>
      </c>
      <c r="S614" s="35" t="b">
        <v>1</v>
      </c>
      <c r="T614" s="35" t="b">
        <v>0</v>
      </c>
      <c r="U614" s="41" t="str">
        <f>IFERROR(__xludf.DUMMYFUNCTION("""["" &amp; JOIN("", "", ARRAYFORMULA("""""""" &amp; TRIM(SPLIT(A614,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614" s="42" t="s">
        <v>3112</v>
      </c>
      <c r="W614" s="42" t="s">
        <v>3119</v>
      </c>
      <c r="X614" s="43"/>
      <c r="Y614" s="44" t="str">
        <f>vlookup(G614,zip_codes!$B$6:$J988,3,false)</f>
        <v>Humble</v>
      </c>
      <c r="Z614" s="45" t="str">
        <f>vlookup(G614,zip_codes!$B$6:$J988,9,false)</f>
        <v>Humble, Humble (Old Town), Northshire</v>
      </c>
      <c r="AA614" s="44" t="str">
        <f>vlookup(B614,organizations!$B$1:$C988,2,false)</f>
        <v>Harris County Public Health</v>
      </c>
      <c r="AB614" s="55" t="s">
        <v>3120</v>
      </c>
      <c r="AC614" s="47" t="s">
        <v>3121</v>
      </c>
      <c r="AD614" s="58" t="s">
        <v>488</v>
      </c>
      <c r="AE614" s="48" t="str">
        <f t="shared" si="77"/>
        <v>Mobile Dental Unit1503 S Houston Avenue32</v>
      </c>
      <c r="AF614" s="48" t="str">
        <f t="shared" si="78"/>
        <v/>
      </c>
    </row>
    <row r="615" ht="66.75" customHeight="1">
      <c r="A615" s="34" t="s">
        <v>266</v>
      </c>
      <c r="B615" s="35" t="s">
        <v>3106</v>
      </c>
      <c r="C615" s="36" t="s">
        <v>3122</v>
      </c>
      <c r="D615" s="36"/>
      <c r="E615" s="36" t="s">
        <v>36</v>
      </c>
      <c r="F615" s="36" t="s">
        <v>37</v>
      </c>
      <c r="G615" s="56" t="s">
        <v>1414</v>
      </c>
      <c r="H615" s="35" t="s">
        <v>3108</v>
      </c>
      <c r="I615" s="35" t="s">
        <v>3123</v>
      </c>
      <c r="J615" s="35" t="s">
        <v>3110</v>
      </c>
      <c r="K615" s="37">
        <f>IFERROR(__xludf.DUMMYFUNCTION("query(assistance!$A$2:$E988,""Select C Where D = '""&amp;L615&amp;""'"")"),32.0)</f>
        <v>32</v>
      </c>
      <c r="L615" s="36" t="s">
        <v>208</v>
      </c>
      <c r="M615" s="38">
        <f t="shared" si="81"/>
        <v>1</v>
      </c>
      <c r="N615" s="39" t="s">
        <v>42</v>
      </c>
      <c r="O615" s="57">
        <v>46050.0</v>
      </c>
      <c r="P615" s="35" t="s">
        <v>424</v>
      </c>
      <c r="Q615" s="35"/>
      <c r="R615" s="35" t="s">
        <v>3124</v>
      </c>
      <c r="S615" s="35" t="b">
        <v>1</v>
      </c>
      <c r="T615" s="35" t="b">
        <v>0</v>
      </c>
      <c r="U615" s="41" t="str">
        <f>IFERROR(__xludf.DUMMYFUNCTION("""["" &amp; JOIN("", "", ARRAYFORMULA("""""""" &amp; TRIM(SPLIT(A615,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615" s="54" t="s">
        <v>3112</v>
      </c>
      <c r="W615" s="42" t="s">
        <v>3125</v>
      </c>
      <c r="X615" s="43"/>
      <c r="Y615" s="44" t="str">
        <f>vlookup(G615,zip_codes!$B$6:$J988,3,false)</f>
        <v>Houston</v>
      </c>
      <c r="Z615" s="45" t="str">
        <f>vlookup(G615,zip_codes!$B$6:$J988,9,false)</f>
        <v>Fairbanks / Northwest Crossing, Jersey Village, Northside, Oak Hollow</v>
      </c>
      <c r="AA615" s="44" t="str">
        <f>vlookup(B615,organizations!$B$1:$C988,2,false)</f>
        <v>Harris County Public Health</v>
      </c>
      <c r="AB615" s="55" t="s">
        <v>3126</v>
      </c>
      <c r="AC615" s="47" t="s">
        <v>3127</v>
      </c>
      <c r="AD615" s="58" t="s">
        <v>1422</v>
      </c>
      <c r="AE615" s="48" t="str">
        <f t="shared" si="77"/>
        <v>Mobile Dental Unit7122 Gessner Road32</v>
      </c>
      <c r="AF615" s="48" t="str">
        <f t="shared" si="78"/>
        <v/>
      </c>
    </row>
    <row r="616" ht="66.75" customHeight="1">
      <c r="A616" s="34" t="s">
        <v>266</v>
      </c>
      <c r="B616" s="35" t="s">
        <v>3106</v>
      </c>
      <c r="C616" s="36" t="s">
        <v>3128</v>
      </c>
      <c r="D616" s="36"/>
      <c r="E616" s="36" t="s">
        <v>729</v>
      </c>
      <c r="F616" s="36" t="s">
        <v>37</v>
      </c>
      <c r="G616" s="56" t="s">
        <v>3129</v>
      </c>
      <c r="H616" s="35" t="s">
        <v>3108</v>
      </c>
      <c r="I616" s="35" t="s">
        <v>3130</v>
      </c>
      <c r="J616" s="35" t="s">
        <v>3110</v>
      </c>
      <c r="K616" s="37">
        <f>IFERROR(__xludf.DUMMYFUNCTION("query(assistance!$A$2:$E988,""Select C Where D = '""&amp;L616&amp;""'"")"),32.0)</f>
        <v>32</v>
      </c>
      <c r="L616" s="36" t="s">
        <v>208</v>
      </c>
      <c r="M616" s="38">
        <f t="shared" si="81"/>
        <v>1</v>
      </c>
      <c r="N616" s="39" t="s">
        <v>42</v>
      </c>
      <c r="O616" s="57">
        <v>46050.0</v>
      </c>
      <c r="P616" s="35" t="s">
        <v>424</v>
      </c>
      <c r="Q616" s="35"/>
      <c r="R616" s="35" t="s">
        <v>3131</v>
      </c>
      <c r="S616" s="35" t="b">
        <v>1</v>
      </c>
      <c r="T616" s="35" t="b">
        <v>0</v>
      </c>
      <c r="U616" s="41" t="str">
        <f>IFERROR(__xludf.DUMMYFUNCTION("""["" &amp; JOIN("", "", ARRAYFORMULA("""""""" &amp; TRIM(SPLIT(A616,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616" s="42" t="s">
        <v>3112</v>
      </c>
      <c r="W616" s="42" t="s">
        <v>3132</v>
      </c>
      <c r="X616" s="43"/>
      <c r="Y616" s="44" t="str">
        <f>vlookup(G616,zip_codes!$B$6:$J988,3,false)</f>
        <v>Pasadena</v>
      </c>
      <c r="Z616" s="45" t="str">
        <f>vlookup(G616,zip_codes!$B$6:$J988,9,false)</f>
        <v>Pasadena</v>
      </c>
      <c r="AA616" s="44" t="str">
        <f>vlookup(B616,organizations!$B$1:$C988,2,false)</f>
        <v>Harris County Public Health</v>
      </c>
      <c r="AB616" s="55" t="s">
        <v>3133</v>
      </c>
      <c r="AC616" s="47" t="s">
        <v>3134</v>
      </c>
      <c r="AD616" s="58" t="s">
        <v>729</v>
      </c>
      <c r="AE616" s="48" t="str">
        <f t="shared" si="77"/>
        <v>Mobile Dental Unit7340 Spencer Highway32</v>
      </c>
      <c r="AF616" s="48" t="str">
        <f t="shared" si="78"/>
        <v/>
      </c>
    </row>
    <row r="617" ht="66.75" customHeight="1">
      <c r="A617" s="49" t="s">
        <v>50</v>
      </c>
      <c r="B617" s="35" t="s">
        <v>3135</v>
      </c>
      <c r="C617" s="36" t="s">
        <v>3136</v>
      </c>
      <c r="D617" s="36"/>
      <c r="E617" s="36" t="s">
        <v>989</v>
      </c>
      <c r="F617" s="36" t="s">
        <v>37</v>
      </c>
      <c r="G617" s="35" t="s">
        <v>1336</v>
      </c>
      <c r="H617" s="35" t="s">
        <v>3137</v>
      </c>
      <c r="I617" s="35" t="s">
        <v>516</v>
      </c>
      <c r="J617" s="35"/>
      <c r="K617" s="37">
        <f>IFERROR(__xludf.DUMMYFUNCTION("query(assistance!$A$2:$E988,""Select C Where D = '""&amp;L617&amp;""'"")"),41.0)</f>
        <v>41</v>
      </c>
      <c r="L617" s="36" t="s">
        <v>788</v>
      </c>
      <c r="M617" s="38">
        <f t="shared" si="81"/>
        <v>1</v>
      </c>
      <c r="N617" s="39" t="s">
        <v>42</v>
      </c>
      <c r="O617" s="65"/>
      <c r="P617" s="50"/>
      <c r="Q617" s="35"/>
      <c r="R617" s="35" t="s">
        <v>3138</v>
      </c>
      <c r="S617" s="35" t="b">
        <v>0</v>
      </c>
      <c r="T617" s="35" t="b">
        <v>0</v>
      </c>
      <c r="U617" s="41" t="str">
        <f>IFERROR(__xludf.DUMMYFUNCTION("""["" &amp; JOIN("", "", ARRAYFORMULA("""""""" &amp; TRIM(SPLIT(A617, "","")) &amp; """""""")) &amp; ""]"""),"[""99999""]")</f>
        <v>["99999"]</v>
      </c>
      <c r="V617" s="52" t="s">
        <v>3139</v>
      </c>
      <c r="W617" s="43"/>
      <c r="X617" s="43"/>
      <c r="Y617" s="44" t="str">
        <f>vlookup(G617,zip_codes!$B$6:$J988,3,false)</f>
        <v>Conroe</v>
      </c>
      <c r="Z617" s="45" t="str">
        <f>vlookup(G617,zip_codes!$B$6:$J988,9,false)</f>
        <v>Conroe (Central/Downtown), Panorama Village</v>
      </c>
      <c r="AA617" s="44" t="str">
        <f>vlookup(B617,organizations!$B$1:$C988,2,false)</f>
        <v>Montgomery County Women's Center</v>
      </c>
      <c r="AB617" s="46" t="s">
        <v>3140</v>
      </c>
      <c r="AC617" s="47" t="s">
        <v>520</v>
      </c>
      <c r="AD617" s="48" t="s">
        <v>989</v>
      </c>
      <c r="AE617" s="48" t="str">
        <f t="shared" si="77"/>
        <v>Montgomery County Women's Center1401 Airport Road41</v>
      </c>
      <c r="AF617" s="48" t="str">
        <f t="shared" si="78"/>
        <v/>
      </c>
    </row>
    <row r="618" ht="66.75" customHeight="1">
      <c r="A618" s="49" t="s">
        <v>50</v>
      </c>
      <c r="B618" s="35" t="s">
        <v>3141</v>
      </c>
      <c r="C618" s="36" t="s">
        <v>3142</v>
      </c>
      <c r="D618" s="36"/>
      <c r="E618" s="36" t="s">
        <v>36</v>
      </c>
      <c r="F618" s="36" t="s">
        <v>37</v>
      </c>
      <c r="G618" s="35" t="s">
        <v>514</v>
      </c>
      <c r="H618" s="35" t="s">
        <v>3143</v>
      </c>
      <c r="I618" s="35" t="s">
        <v>3144</v>
      </c>
      <c r="J618" s="35"/>
      <c r="K618" s="37">
        <f>IFERROR(__xludf.DUMMYFUNCTION("query(assistance!$A$2:$E988,""Select C Where D = '""&amp;L618&amp;""'"")"),22.0)</f>
        <v>22</v>
      </c>
      <c r="L618" s="36" t="s">
        <v>1178</v>
      </c>
      <c r="M618" s="38">
        <f t="shared" si="81"/>
        <v>1</v>
      </c>
      <c r="N618" s="39" t="s">
        <v>42</v>
      </c>
      <c r="O618" s="40">
        <v>45801.0</v>
      </c>
      <c r="P618" s="35" t="s">
        <v>43</v>
      </c>
      <c r="Q618" s="35"/>
      <c r="R618" s="35" t="s">
        <v>3145</v>
      </c>
      <c r="S618" s="35" t="b">
        <v>0</v>
      </c>
      <c r="T618" s="35" t="b">
        <v>0</v>
      </c>
      <c r="U618" s="41" t="str">
        <f>IFERROR(__xludf.DUMMYFUNCTION("""["" &amp; JOIN("", "", ARRAYFORMULA("""""""" &amp; TRIM(SPLIT(A618, "","")) &amp; """""""")) &amp; ""]"""),"[""99999""]")</f>
        <v>["99999"]</v>
      </c>
      <c r="V618" s="42" t="s">
        <v>3146</v>
      </c>
      <c r="W618" s="42" t="s">
        <v>3147</v>
      </c>
      <c r="X618" s="43"/>
      <c r="Y618" s="44" t="str">
        <f>vlookup(G618,zip_codes!$B$6:$J988,3,false)</f>
        <v>Houston</v>
      </c>
      <c r="Z618" s="45" t="str">
        <f>vlookup(G618,zip_codes!$B$6:$J988,9,false)</f>
        <v>Hyde Park, Montrose, South Central Houston</v>
      </c>
      <c r="AA618" s="44" t="str">
        <f>vlookup(B618,organizations!$B$1:$C988,2,false)</f>
        <v>Montrose Grace Place</v>
      </c>
      <c r="AB618" s="46" t="s">
        <v>3148</v>
      </c>
      <c r="AC618" s="47" t="s">
        <v>3149</v>
      </c>
      <c r="AD618" s="48" t="s">
        <v>2844</v>
      </c>
      <c r="AE618" s="48" t="str">
        <f t="shared" si="77"/>
        <v>Montrose Grace Place2515 Waugh Drive22</v>
      </c>
      <c r="AF618" s="48" t="str">
        <f t="shared" si="78"/>
        <v/>
      </c>
    </row>
    <row r="619" ht="66.75" customHeight="1">
      <c r="A619" s="49" t="s">
        <v>50</v>
      </c>
      <c r="B619" s="35" t="s">
        <v>3150</v>
      </c>
      <c r="C619" s="36" t="s">
        <v>3151</v>
      </c>
      <c r="D619" s="36"/>
      <c r="E619" s="36" t="s">
        <v>36</v>
      </c>
      <c r="F619" s="36" t="s">
        <v>37</v>
      </c>
      <c r="G619" s="35" t="s">
        <v>1023</v>
      </c>
      <c r="H619" s="35" t="s">
        <v>3152</v>
      </c>
      <c r="I619" s="35" t="s">
        <v>1130</v>
      </c>
      <c r="J619" s="35"/>
      <c r="K619" s="37">
        <f>IFERROR(__xludf.DUMMYFUNCTION("query(assistance!$A$2:$E988,""Select C Where D = '""&amp;L619&amp;""'"")"),23.0)</f>
        <v>23</v>
      </c>
      <c r="L619" s="36" t="s">
        <v>2999</v>
      </c>
      <c r="M619" s="38">
        <f t="shared" si="81"/>
        <v>1</v>
      </c>
      <c r="N619" s="39" t="s">
        <v>42</v>
      </c>
      <c r="O619" s="40">
        <v>45800.0</v>
      </c>
      <c r="P619" s="35" t="s">
        <v>43</v>
      </c>
      <c r="Q619" s="35"/>
      <c r="R619" s="35" t="s">
        <v>3153</v>
      </c>
      <c r="S619" s="35" t="b">
        <v>0</v>
      </c>
      <c r="T619" s="35" t="b">
        <v>0</v>
      </c>
      <c r="U619" s="41" t="str">
        <f>IFERROR(__xludf.DUMMYFUNCTION("""["" &amp; JOIN("", "", ARRAYFORMULA("""""""" &amp; TRIM(SPLIT(A619, "","")) &amp; """""""")) &amp; ""]"""),"[""99999""]")</f>
        <v>["99999"]</v>
      </c>
      <c r="V619" s="42" t="s">
        <v>3154</v>
      </c>
      <c r="W619" s="42" t="s">
        <v>3155</v>
      </c>
      <c r="X619" s="43"/>
      <c r="Y619" s="44" t="str">
        <f>vlookup(G619,zip_codes!$B$6:$J988,3,false)</f>
        <v>Houston</v>
      </c>
      <c r="Z619" s="45" t="str">
        <f>vlookup(G619,zip_codes!$B$6:$J988,9,false)</f>
        <v>Downtown Houston, Memorial Park, Rice Military, Sawyer Heights, Washington Avenue Coalition / Memorial Park, Washington Corridor</v>
      </c>
      <c r="AA619" s="44" t="str">
        <f>vlookup(B619,organizations!$B$1:$C988,2,false)</f>
        <v>Moving Waters Ecclesia</v>
      </c>
      <c r="AB619" s="46" t="s">
        <v>3156</v>
      </c>
      <c r="AC619" s="47" t="s">
        <v>1135</v>
      </c>
      <c r="AD619" s="48" t="s">
        <v>1296</v>
      </c>
      <c r="AE619" s="48" t="str">
        <f t="shared" si="77"/>
        <v>Moving Waters Ecclesia1100 Elder Street23</v>
      </c>
      <c r="AF619" s="48" t="str">
        <f t="shared" si="78"/>
        <v/>
      </c>
    </row>
    <row r="620" ht="66.75" customHeight="1">
      <c r="A620" s="49" t="s">
        <v>50</v>
      </c>
      <c r="B620" s="35" t="s">
        <v>3157</v>
      </c>
      <c r="C620" s="36" t="s">
        <v>1611</v>
      </c>
      <c r="D620" s="36"/>
      <c r="E620" s="36" t="s">
        <v>36</v>
      </c>
      <c r="F620" s="36" t="s">
        <v>37</v>
      </c>
      <c r="G620" s="35" t="s">
        <v>749</v>
      </c>
      <c r="H620" s="35" t="s">
        <v>3152</v>
      </c>
      <c r="I620" s="35" t="s">
        <v>3158</v>
      </c>
      <c r="J620" s="35"/>
      <c r="K620" s="37">
        <f>IFERROR(__xludf.DUMMYFUNCTION("query(assistance!$A$2:$E988,""Select C Where D = '""&amp;L620&amp;""'"")"),23.0)</f>
        <v>23</v>
      </c>
      <c r="L620" s="36" t="s">
        <v>2999</v>
      </c>
      <c r="M620" s="38">
        <f t="shared" si="81"/>
        <v>1</v>
      </c>
      <c r="N620" s="39" t="s">
        <v>42</v>
      </c>
      <c r="O620" s="40">
        <v>45800.0</v>
      </c>
      <c r="P620" s="35" t="s">
        <v>43</v>
      </c>
      <c r="Q620" s="35"/>
      <c r="R620" s="35" t="s">
        <v>3159</v>
      </c>
      <c r="S620" s="35" t="b">
        <v>0</v>
      </c>
      <c r="T620" s="35" t="b">
        <v>0</v>
      </c>
      <c r="U620" s="41" t="str">
        <f>IFERROR(__xludf.DUMMYFUNCTION("""["" &amp; JOIN("", "", ARRAYFORMULA("""""""" &amp; TRIM(SPLIT(A620, "","")) &amp; """""""")) &amp; ""]"""),"[""99999""]")</f>
        <v>["99999"]</v>
      </c>
      <c r="V620" s="42" t="s">
        <v>3154</v>
      </c>
      <c r="W620" s="42" t="s">
        <v>3160</v>
      </c>
      <c r="X620" s="43"/>
      <c r="Y620" s="44" t="str">
        <f>vlookup(G620,zip_codes!$B$6:$J988,3,false)</f>
        <v>Houston</v>
      </c>
      <c r="Z620" s="45" t="str">
        <f>vlookup(G620,zip_codes!$B$6:$J988,9,false)</f>
        <v>East Downtown, Downtown Houston, Houston Museum District, Midtown, Museum District, South Central Houston, South Side, Third Ward, University Place</v>
      </c>
      <c r="AA620" s="44" t="str">
        <f>vlookup(B620,organizations!$B$1:$C988,2,false)</f>
        <v>Moving Waters Emergency Aid Coalition</v>
      </c>
      <c r="AB620" s="46" t="s">
        <v>1617</v>
      </c>
      <c r="AC620" s="47" t="s">
        <v>3161</v>
      </c>
      <c r="AD620" s="48" t="s">
        <v>1456</v>
      </c>
      <c r="AE620" s="48" t="str">
        <f t="shared" si="77"/>
        <v>Moving Waters Emergency Aid Coalition5401 Fannin Street23</v>
      </c>
      <c r="AF620" s="48" t="str">
        <f t="shared" si="78"/>
        <v/>
      </c>
    </row>
    <row r="621" ht="66.75" customHeight="1">
      <c r="A621" s="49" t="s">
        <v>50</v>
      </c>
      <c r="B621" s="35" t="s">
        <v>3162</v>
      </c>
      <c r="C621" s="36" t="s">
        <v>3163</v>
      </c>
      <c r="D621" s="36"/>
      <c r="E621" s="36" t="s">
        <v>36</v>
      </c>
      <c r="F621" s="36" t="s">
        <v>37</v>
      </c>
      <c r="G621" s="35" t="s">
        <v>533</v>
      </c>
      <c r="H621" s="35" t="s">
        <v>3152</v>
      </c>
      <c r="I621" s="35" t="s">
        <v>3164</v>
      </c>
      <c r="J621" s="35" t="s">
        <v>3165</v>
      </c>
      <c r="K621" s="37">
        <f>IFERROR(__xludf.DUMMYFUNCTION("query(assistance!$A$2:$E988,""Select C Where D = '""&amp;L621&amp;""'"")"),23.0)</f>
        <v>23</v>
      </c>
      <c r="L621" s="36" t="s">
        <v>2999</v>
      </c>
      <c r="M621" s="38">
        <f t="shared" si="81"/>
        <v>1</v>
      </c>
      <c r="N621" s="39" t="s">
        <v>42</v>
      </c>
      <c r="O621" s="40">
        <v>45800.0</v>
      </c>
      <c r="P621" s="35" t="s">
        <v>43</v>
      </c>
      <c r="Q621" s="35"/>
      <c r="R621" s="35" t="s">
        <v>3166</v>
      </c>
      <c r="S621" s="35" t="b">
        <v>0</v>
      </c>
      <c r="T621" s="35" t="b">
        <v>0</v>
      </c>
      <c r="U621" s="41" t="str">
        <f>IFERROR(__xludf.DUMMYFUNCTION("""["" &amp; JOIN("", "", ARRAYFORMULA("""""""" &amp; TRIM(SPLIT(A621, "","")) &amp; """""""")) &amp; ""]"""),"[""99999""]")</f>
        <v>["99999"]</v>
      </c>
      <c r="V621" s="42" t="s">
        <v>3154</v>
      </c>
      <c r="W621" s="42" t="s">
        <v>3167</v>
      </c>
      <c r="X621" s="43"/>
      <c r="Y621" s="44" t="str">
        <f>vlookup(G621,zip_codes!$B$6:$J988,3,false)</f>
        <v>Houston</v>
      </c>
      <c r="Z621" s="45" t="str">
        <f>vlookup(G621,zip_codes!$B$6:$J988,9,false)</f>
        <v>Cypress Station, Ella Crossing, Westador</v>
      </c>
      <c r="AA621" s="44" t="str">
        <f>vlookup(B621,organizations!$B$1:$C988,2,false)</f>
        <v>Moving Waters Northwest Assistance Ministries</v>
      </c>
      <c r="AB621" s="46" t="s">
        <v>3168</v>
      </c>
      <c r="AC621" s="47" t="s">
        <v>3169</v>
      </c>
      <c r="AD621" s="58" t="s">
        <v>2370</v>
      </c>
      <c r="AE621" s="48" t="str">
        <f t="shared" si="77"/>
        <v>Moving Waters Northwest Assistance Ministries15555 Kuykendahl Road23</v>
      </c>
      <c r="AF621" s="48" t="str">
        <f t="shared" si="78"/>
        <v/>
      </c>
    </row>
    <row r="622" ht="66.75" customHeight="1">
      <c r="A622" s="49" t="s">
        <v>50</v>
      </c>
      <c r="B622" s="35" t="s">
        <v>3170</v>
      </c>
      <c r="C622" s="36" t="s">
        <v>3171</v>
      </c>
      <c r="D622" s="36"/>
      <c r="E622" s="36" t="s">
        <v>36</v>
      </c>
      <c r="F622" s="36" t="s">
        <v>37</v>
      </c>
      <c r="G622" s="35" t="s">
        <v>1023</v>
      </c>
      <c r="H622" s="35" t="s">
        <v>3152</v>
      </c>
      <c r="I622" s="35" t="s">
        <v>3172</v>
      </c>
      <c r="J622" s="35" t="s">
        <v>1031</v>
      </c>
      <c r="K622" s="37">
        <f>IFERROR(__xludf.DUMMYFUNCTION("query(assistance!$A$2:$E988,""Select C Where D = '""&amp;L622&amp;""'"")"),23.0)</f>
        <v>23</v>
      </c>
      <c r="L622" s="36" t="s">
        <v>2999</v>
      </c>
      <c r="M622" s="38">
        <f t="shared" si="81"/>
        <v>1</v>
      </c>
      <c r="N622" s="39" t="s">
        <v>42</v>
      </c>
      <c r="O622" s="40">
        <v>45800.0</v>
      </c>
      <c r="P622" s="35" t="s">
        <v>43</v>
      </c>
      <c r="Q622" s="35"/>
      <c r="R622" s="35" t="s">
        <v>3173</v>
      </c>
      <c r="S622" s="35" t="b">
        <v>0</v>
      </c>
      <c r="T622" s="35" t="b">
        <v>0</v>
      </c>
      <c r="U622" s="41" t="str">
        <f>IFERROR(__xludf.DUMMYFUNCTION("""["" &amp; JOIN("", "", ARRAYFORMULA("""""""" &amp; TRIM(SPLIT(A622, "","")) &amp; """""""")) &amp; ""]"""),"[""99999""]")</f>
        <v>["99999"]</v>
      </c>
      <c r="V622" s="42" t="s">
        <v>3154</v>
      </c>
      <c r="W622" s="42" t="s">
        <v>3174</v>
      </c>
      <c r="X622" s="43"/>
      <c r="Y622" s="44" t="str">
        <f>vlookup(G622,zip_codes!$B$6:$J988,3,false)</f>
        <v>Houston</v>
      </c>
      <c r="Z622" s="45" t="str">
        <f>vlookup(G622,zip_codes!$B$6:$J988,9,false)</f>
        <v>Downtown Houston, Memorial Park, Rice Military, Sawyer Heights, Washington Avenue Coalition / Memorial Park, Washington Corridor</v>
      </c>
      <c r="AA622" s="44" t="str">
        <f>vlookup(B622,organizations!$B$1:$C988,2,false)</f>
        <v>Moving Waters St Joseph Catholic Church</v>
      </c>
      <c r="AB622" s="46" t="s">
        <v>3175</v>
      </c>
      <c r="AC622" s="47" t="s">
        <v>3176</v>
      </c>
      <c r="AD622" s="48" t="s">
        <v>1296</v>
      </c>
      <c r="AE622" s="48" t="str">
        <f t="shared" si="77"/>
        <v>Moving Waters St Joseph Catholic Church1505 Kane Street23</v>
      </c>
      <c r="AF622" s="48" t="str">
        <f t="shared" si="78"/>
        <v/>
      </c>
    </row>
    <row r="623" ht="66.75" customHeight="1">
      <c r="A623" s="34" t="s">
        <v>3177</v>
      </c>
      <c r="B623" s="35" t="s">
        <v>3178</v>
      </c>
      <c r="C623" s="36" t="s">
        <v>3179</v>
      </c>
      <c r="D623" s="36"/>
      <c r="E623" s="36" t="s">
        <v>36</v>
      </c>
      <c r="F623" s="36" t="s">
        <v>37</v>
      </c>
      <c r="G623" s="35" t="s">
        <v>2138</v>
      </c>
      <c r="H623" s="35" t="s">
        <v>3180</v>
      </c>
      <c r="I623" s="35" t="s">
        <v>3181</v>
      </c>
      <c r="J623" s="35"/>
      <c r="K623" s="37">
        <f>IFERROR(__xludf.DUMMYFUNCTION("query(assistance!$A$2:$E988,""Select C Where D = '""&amp;L623&amp;""'"")"),11.0)</f>
        <v>11</v>
      </c>
      <c r="L623" s="36" t="s">
        <v>322</v>
      </c>
      <c r="M623" s="38">
        <f t="shared" si="81"/>
        <v>1</v>
      </c>
      <c r="N623" s="39" t="s">
        <v>42</v>
      </c>
      <c r="O623" s="57">
        <v>45815.0</v>
      </c>
      <c r="P623" s="35" t="s">
        <v>43</v>
      </c>
      <c r="Q623" s="35"/>
      <c r="R623" s="35" t="s">
        <v>3182</v>
      </c>
      <c r="S623" s="35" t="b">
        <v>0</v>
      </c>
      <c r="T623" s="35" t="b">
        <v>0</v>
      </c>
      <c r="U623" s="41" t="str">
        <f>IFERROR(__xludf.DUMMYFUNCTION("""["" &amp; JOIN("", "", ARRAYFORMULA("""""""" &amp; TRIM(SPLIT(A623,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V623" s="52" t="s">
        <v>3183</v>
      </c>
      <c r="W623" s="52" t="s">
        <v>3184</v>
      </c>
      <c r="X623" s="43"/>
      <c r="Y623" s="44" t="str">
        <f>vlookup(G623,zip_codes!$B$6:$J988,3,false)</f>
        <v>Houston</v>
      </c>
      <c r="Z623" s="45" t="str">
        <f>vlookup(G623,zip_codes!$B$6:$J988,9,false)</f>
        <v>Alief</v>
      </c>
      <c r="AA623" s="44" t="str">
        <f>vlookup(B623,organizations!$B$1:$C988,2,false)</f>
        <v>My Brother's Keeper</v>
      </c>
      <c r="AB623" s="46" t="s">
        <v>3185</v>
      </c>
      <c r="AC623" s="47" t="s">
        <v>3186</v>
      </c>
      <c r="AD623" s="48" t="s">
        <v>345</v>
      </c>
      <c r="AE623" s="48" t="str">
        <f t="shared" si="77"/>
        <v>My Brother's Keeper12621 Bissonnet Street11</v>
      </c>
      <c r="AF623" s="48" t="str">
        <f t="shared" si="78"/>
        <v/>
      </c>
    </row>
    <row r="624" ht="66.75" customHeight="1">
      <c r="A624" s="34" t="s">
        <v>3177</v>
      </c>
      <c r="B624" s="35" t="s">
        <v>3178</v>
      </c>
      <c r="C624" s="36" t="s">
        <v>3179</v>
      </c>
      <c r="D624" s="36"/>
      <c r="E624" s="36" t="s">
        <v>36</v>
      </c>
      <c r="F624" s="36" t="s">
        <v>37</v>
      </c>
      <c r="G624" s="35" t="s">
        <v>2138</v>
      </c>
      <c r="H624" s="35" t="s">
        <v>3180</v>
      </c>
      <c r="I624" s="35" t="s">
        <v>3181</v>
      </c>
      <c r="J624" s="35"/>
      <c r="K624" s="37">
        <f>IFERROR(__xludf.DUMMYFUNCTION("query(assistance!$A$2:$E988,""Select C Where D = '""&amp;L624&amp;""'"")"),12.0)</f>
        <v>12</v>
      </c>
      <c r="L624" s="36" t="s">
        <v>330</v>
      </c>
      <c r="M624" s="38">
        <f t="shared" si="81"/>
        <v>1</v>
      </c>
      <c r="N624" s="39" t="s">
        <v>42</v>
      </c>
      <c r="O624" s="57">
        <v>45815.0</v>
      </c>
      <c r="P624" s="35" t="s">
        <v>43</v>
      </c>
      <c r="Q624" s="35"/>
      <c r="R624" s="35" t="s">
        <v>3187</v>
      </c>
      <c r="S624" s="35" t="b">
        <v>0</v>
      </c>
      <c r="T624" s="35" t="b">
        <v>0</v>
      </c>
      <c r="U624" s="41" t="str">
        <f>IFERROR(__xludf.DUMMYFUNCTION("""["" &amp; JOIN("", "", ARRAYFORMULA("""""""" &amp; TRIM(SPLIT(A624,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V624" s="52" t="s">
        <v>3183</v>
      </c>
      <c r="W624" s="52" t="s">
        <v>3184</v>
      </c>
      <c r="X624" s="43"/>
      <c r="Y624" s="44" t="str">
        <f>vlookup(G624,zip_codes!$B$6:$J988,3,false)</f>
        <v>Houston</v>
      </c>
      <c r="Z624" s="45" t="str">
        <f>vlookup(G624,zip_codes!$B$6:$J988,9,false)</f>
        <v>Alief</v>
      </c>
      <c r="AA624" s="44" t="str">
        <f>vlookup(B624,organizations!$B$1:$C988,2,false)</f>
        <v>My Brother's Keeper</v>
      </c>
      <c r="AB624" s="46" t="s">
        <v>3185</v>
      </c>
      <c r="AC624" s="47" t="s">
        <v>3186</v>
      </c>
      <c r="AD624" s="48" t="s">
        <v>345</v>
      </c>
      <c r="AE624" s="48" t="str">
        <f t="shared" si="77"/>
        <v>My Brother's Keeper12621 Bissonnet Street12</v>
      </c>
      <c r="AF624" s="48" t="str">
        <f t="shared" si="78"/>
        <v/>
      </c>
    </row>
    <row r="625" ht="66.75" customHeight="1">
      <c r="A625" s="34" t="s">
        <v>3177</v>
      </c>
      <c r="B625" s="35" t="s">
        <v>3178</v>
      </c>
      <c r="C625" s="36" t="s">
        <v>3179</v>
      </c>
      <c r="D625" s="36"/>
      <c r="E625" s="36" t="s">
        <v>36</v>
      </c>
      <c r="F625" s="36" t="s">
        <v>37</v>
      </c>
      <c r="G625" s="35" t="s">
        <v>2138</v>
      </c>
      <c r="H625" s="35" t="s">
        <v>3180</v>
      </c>
      <c r="I625" s="35" t="s">
        <v>3181</v>
      </c>
      <c r="J625" s="35"/>
      <c r="K625" s="37">
        <f>IFERROR(__xludf.DUMMYFUNCTION("query(assistance!$A$2:$E988,""Select C Where D = '""&amp;L625&amp;""'"")"),13.0)</f>
        <v>13</v>
      </c>
      <c r="L625" s="36" t="s">
        <v>240</v>
      </c>
      <c r="M625" s="38">
        <f t="shared" si="81"/>
        <v>1</v>
      </c>
      <c r="N625" s="39" t="s">
        <v>42</v>
      </c>
      <c r="O625" s="57">
        <v>45815.0</v>
      </c>
      <c r="P625" s="35" t="s">
        <v>43</v>
      </c>
      <c r="Q625" s="35"/>
      <c r="R625" s="35" t="s">
        <v>3188</v>
      </c>
      <c r="S625" s="35" t="b">
        <v>0</v>
      </c>
      <c r="T625" s="35" t="b">
        <v>0</v>
      </c>
      <c r="U625" s="41" t="str">
        <f>IFERROR(__xludf.DUMMYFUNCTION("""["" &amp; JOIN("", "", ARRAYFORMULA("""""""" &amp; TRIM(SPLIT(A625,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V625" s="52" t="s">
        <v>3183</v>
      </c>
      <c r="W625" s="52" t="s">
        <v>3184</v>
      </c>
      <c r="X625" s="43"/>
      <c r="Y625" s="44" t="str">
        <f>vlookup(G625,zip_codes!$B$6:$J988,3,false)</f>
        <v>Houston</v>
      </c>
      <c r="Z625" s="45" t="str">
        <f>vlookup(G625,zip_codes!$B$6:$J988,9,false)</f>
        <v>Alief</v>
      </c>
      <c r="AA625" s="44" t="str">
        <f>vlookup(B625,organizations!$B$1:$C988,2,false)</f>
        <v>My Brother's Keeper</v>
      </c>
      <c r="AB625" s="46" t="s">
        <v>3185</v>
      </c>
      <c r="AC625" s="47" t="s">
        <v>3186</v>
      </c>
      <c r="AD625" s="48" t="s">
        <v>345</v>
      </c>
      <c r="AE625" s="48" t="str">
        <f t="shared" si="77"/>
        <v>My Brother's Keeper12621 Bissonnet Street13</v>
      </c>
      <c r="AF625" s="48" t="str">
        <f t="shared" si="78"/>
        <v/>
      </c>
    </row>
    <row r="626" ht="66.75" customHeight="1">
      <c r="A626" s="34" t="s">
        <v>3177</v>
      </c>
      <c r="B626" s="35" t="s">
        <v>3178</v>
      </c>
      <c r="C626" s="36" t="s">
        <v>3179</v>
      </c>
      <c r="D626" s="36"/>
      <c r="E626" s="36" t="s">
        <v>36</v>
      </c>
      <c r="F626" s="36" t="s">
        <v>37</v>
      </c>
      <c r="G626" s="35" t="s">
        <v>2138</v>
      </c>
      <c r="H626" s="35" t="s">
        <v>3180</v>
      </c>
      <c r="I626" s="35" t="s">
        <v>3181</v>
      </c>
      <c r="J626" s="35"/>
      <c r="K626" s="37">
        <f>IFERROR(__xludf.DUMMYFUNCTION("query(assistance!$A$2:$E988,""Select C Where D = '""&amp;L626&amp;""'"")"),43.0)</f>
        <v>43</v>
      </c>
      <c r="L626" s="36" t="s">
        <v>68</v>
      </c>
      <c r="M626" s="38">
        <f t="shared" si="81"/>
        <v>1</v>
      </c>
      <c r="N626" s="39" t="s">
        <v>42</v>
      </c>
      <c r="O626" s="65"/>
      <c r="P626" s="50"/>
      <c r="Q626" s="35"/>
      <c r="R626" s="35" t="s">
        <v>3189</v>
      </c>
      <c r="S626" s="35" t="b">
        <v>0</v>
      </c>
      <c r="T626" s="35" t="b">
        <v>0</v>
      </c>
      <c r="U626" s="41" t="str">
        <f>IFERROR(__xludf.DUMMYFUNCTION("""["" &amp; JOIN("", "", ARRAYFORMULA("""""""" &amp; TRIM(SPLIT(A626,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V626" s="52" t="s">
        <v>3183</v>
      </c>
      <c r="W626" s="52" t="s">
        <v>3184</v>
      </c>
      <c r="X626" s="43"/>
      <c r="Y626" s="44" t="str">
        <f>vlookup(G626,zip_codes!$B$6:$J988,3,false)</f>
        <v>Houston</v>
      </c>
      <c r="Z626" s="45" t="str">
        <f>vlookup(G626,zip_codes!$B$6:$J988,9,false)</f>
        <v>Alief</v>
      </c>
      <c r="AA626" s="44" t="str">
        <f>vlookup(B626,organizations!$B$1:$C988,2,false)</f>
        <v>My Brother's Keeper</v>
      </c>
      <c r="AB626" s="46" t="s">
        <v>3185</v>
      </c>
      <c r="AC626" s="47" t="s">
        <v>3186</v>
      </c>
      <c r="AD626" s="48" t="s">
        <v>345</v>
      </c>
      <c r="AE626" s="48" t="str">
        <f t="shared" si="77"/>
        <v>My Brother's Keeper12621 Bissonnet Street43</v>
      </c>
      <c r="AF626" s="48" t="str">
        <f t="shared" si="78"/>
        <v/>
      </c>
    </row>
    <row r="627" ht="66.75" customHeight="1">
      <c r="A627" s="34" t="s">
        <v>3177</v>
      </c>
      <c r="B627" s="35" t="s">
        <v>3178</v>
      </c>
      <c r="C627" s="36" t="s">
        <v>3179</v>
      </c>
      <c r="D627" s="36"/>
      <c r="E627" s="36" t="s">
        <v>36</v>
      </c>
      <c r="F627" s="36" t="s">
        <v>37</v>
      </c>
      <c r="G627" s="35" t="s">
        <v>2138</v>
      </c>
      <c r="H627" s="35" t="s">
        <v>3180</v>
      </c>
      <c r="I627" s="35" t="s">
        <v>3181</v>
      </c>
      <c r="J627" s="35"/>
      <c r="K627" s="37">
        <f>IFERROR(__xludf.DUMMYFUNCTION("query(assistance!$A$2:$E988,""Select C Where D = '""&amp;L627&amp;""'"")"),51.0)</f>
        <v>51</v>
      </c>
      <c r="L627" s="36" t="s">
        <v>468</v>
      </c>
      <c r="M627" s="38">
        <f t="shared" si="81"/>
        <v>1</v>
      </c>
      <c r="N627" s="39" t="s">
        <v>42</v>
      </c>
      <c r="O627" s="65"/>
      <c r="P627" s="50"/>
      <c r="Q627" s="35"/>
      <c r="R627" s="35" t="s">
        <v>3190</v>
      </c>
      <c r="S627" s="35" t="b">
        <v>0</v>
      </c>
      <c r="T627" s="35" t="b">
        <v>0</v>
      </c>
      <c r="U627" s="41" t="str">
        <f>IFERROR(__xludf.DUMMYFUNCTION("""["" &amp; JOIN("", "", ARRAYFORMULA("""""""" &amp; TRIM(SPLIT(A627,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V627" s="52" t="s">
        <v>3183</v>
      </c>
      <c r="W627" s="52" t="s">
        <v>3184</v>
      </c>
      <c r="X627" s="43"/>
      <c r="Y627" s="44" t="str">
        <f>vlookup(G627,zip_codes!$B$6:$J988,3,false)</f>
        <v>Houston</v>
      </c>
      <c r="Z627" s="45" t="str">
        <f>vlookup(G627,zip_codes!$B$6:$J988,9,false)</f>
        <v>Alief</v>
      </c>
      <c r="AA627" s="44" t="str">
        <f>vlookup(B627,organizations!$B$1:$C988,2,false)</f>
        <v>My Brother's Keeper</v>
      </c>
      <c r="AB627" s="46" t="s">
        <v>3185</v>
      </c>
      <c r="AC627" s="47" t="s">
        <v>3186</v>
      </c>
      <c r="AD627" s="48" t="s">
        <v>345</v>
      </c>
      <c r="AE627" s="48" t="str">
        <f t="shared" si="77"/>
        <v>My Brother's Keeper12621 Bissonnet Street51</v>
      </c>
      <c r="AF627" s="48" t="str">
        <f t="shared" si="78"/>
        <v/>
      </c>
    </row>
    <row r="628" ht="66.75" customHeight="1">
      <c r="A628" s="34" t="s">
        <v>3177</v>
      </c>
      <c r="B628" s="35" t="s">
        <v>3178</v>
      </c>
      <c r="C628" s="36" t="s">
        <v>3179</v>
      </c>
      <c r="D628" s="36"/>
      <c r="E628" s="36" t="s">
        <v>36</v>
      </c>
      <c r="F628" s="36" t="s">
        <v>37</v>
      </c>
      <c r="G628" s="35" t="s">
        <v>2138</v>
      </c>
      <c r="H628" s="35" t="s">
        <v>3180</v>
      </c>
      <c r="I628" s="35" t="s">
        <v>3181</v>
      </c>
      <c r="J628" s="35"/>
      <c r="K628" s="37">
        <f>IFERROR(__xludf.DUMMYFUNCTION("query(assistance!$A$2:$E988,""Select C Where D = '""&amp;L628&amp;""'"")"),64.0)</f>
        <v>64</v>
      </c>
      <c r="L628" s="36" t="s">
        <v>817</v>
      </c>
      <c r="M628" s="38">
        <f t="shared" si="81"/>
        <v>1</v>
      </c>
      <c r="N628" s="39" t="s">
        <v>42</v>
      </c>
      <c r="O628" s="57">
        <v>45815.0</v>
      </c>
      <c r="P628" s="35" t="s">
        <v>43</v>
      </c>
      <c r="Q628" s="35"/>
      <c r="R628" s="35" t="s">
        <v>3191</v>
      </c>
      <c r="S628" s="35" t="b">
        <v>0</v>
      </c>
      <c r="T628" s="35" t="b">
        <v>0</v>
      </c>
      <c r="U628" s="41" t="str">
        <f>IFERROR(__xludf.DUMMYFUNCTION("""["" &amp; JOIN("", "", ARRAYFORMULA("""""""" &amp; TRIM(SPLIT(A628,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 ""77336"", ""77338"", ""77339"", ""77345"", ""77346"", ""77347"", ""77357"", ""77365"", ""77373"", ""77375"", ""77377"", ""77379"", ""77383"", ""77387"", ""77388"", ""77389"&amp;""", ""77393"", ""77396"", ""77401"", ""77406"", ""77407"", ""77410"", ""77417"", ""77429"", ""77430"", ""77433"", ""77441"", ""77444"", ""77447"", ""77449"", ""77450"", ""77451"", ""77459"", ""77461"", ""77464"", ""77469"", ""77471"", ""77476"", ""77477"""&amp;", ""77478"", ""77479"", ""77481"", ""77485"", ""77487"", ""77489"", ""77493"", ""77494"", ""77496"", ""77498"", ""77501"", ""77502"", ""77503"", ""77504"", ""77505"", ""77506"", ""77507"", ""77508"", ""77520"", ""77521"", ""77530"", ""77532"", ""77535"", "&amp;"""77536"", ""77545"", ""77546"", ""77547"", ""77562"", ""77571"", ""77581"", ""77583"", ""77584"",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 "77336", "77338", "77339", "77345", "77346", "77347", "77357", "77365", "77373", "77375", "77377", "77379", "77383", "77387", "77388", "77389", "77393", "77396", "77401", "77406", "77407", "77410", "77417", "77429", "77430", "77433", "77441", "77444", "77447", "77449", "77450", "77451", "77459", "77461", "77464", "77469", "77471", "77476", "77477", "77478", "77479", "77481", "77485", "77487", "77489", "77493", "77494", "77496", "77498", "77501", "77502", "77503", "77504", "77505", "77506", "77507", "77508", "77520", "77521", "77530", "77532", "77535", "77536", "77545", "77546", "77547", "77562", "77571", "77581", "77583", "77584", "77586", "77587", "77598"]</v>
      </c>
      <c r="V628" s="52" t="s">
        <v>3183</v>
      </c>
      <c r="W628" s="52" t="s">
        <v>3184</v>
      </c>
      <c r="X628" s="43"/>
      <c r="Y628" s="44" t="str">
        <f>vlookup(G628,zip_codes!$B$6:$J988,3,false)</f>
        <v>Houston</v>
      </c>
      <c r="Z628" s="45" t="str">
        <f>vlookup(G628,zip_codes!$B$6:$J988,9,false)</f>
        <v>Alief</v>
      </c>
      <c r="AA628" s="44" t="str">
        <f>vlookup(B628,organizations!$B$1:$C988,2,false)</f>
        <v>My Brother's Keeper</v>
      </c>
      <c r="AB628" s="46" t="s">
        <v>3185</v>
      </c>
      <c r="AC628" s="47" t="s">
        <v>3186</v>
      </c>
      <c r="AD628" s="48" t="s">
        <v>345</v>
      </c>
      <c r="AE628" s="48" t="str">
        <f t="shared" si="77"/>
        <v>My Brother's Keeper12621 Bissonnet Street64</v>
      </c>
      <c r="AF628" s="48" t="str">
        <f t="shared" si="78"/>
        <v/>
      </c>
    </row>
    <row r="629" ht="66.75" customHeight="1">
      <c r="A629" s="49" t="s">
        <v>50</v>
      </c>
      <c r="B629" s="35" t="s">
        <v>3192</v>
      </c>
      <c r="C629" s="36" t="s">
        <v>2485</v>
      </c>
      <c r="D629" s="36" t="s">
        <v>693</v>
      </c>
      <c r="E629" s="36" t="s">
        <v>36</v>
      </c>
      <c r="F629" s="36" t="s">
        <v>37</v>
      </c>
      <c r="G629" s="35" t="s">
        <v>711</v>
      </c>
      <c r="H629" s="35" t="s">
        <v>3193</v>
      </c>
      <c r="I629" s="35" t="s">
        <v>272</v>
      </c>
      <c r="J629" s="35"/>
      <c r="K629" s="37">
        <f>IFERROR(__xludf.DUMMYFUNCTION("query(assistance!$A$2:$E988,""Select C Where D = '""&amp;L629&amp;""'"")"),44.0)</f>
        <v>44</v>
      </c>
      <c r="L629" s="36" t="s">
        <v>102</v>
      </c>
      <c r="M629" s="38">
        <f t="shared" si="81"/>
        <v>1</v>
      </c>
      <c r="N629" s="51" t="s">
        <v>42</v>
      </c>
      <c r="O629" s="40">
        <v>45884.0</v>
      </c>
      <c r="P629" s="35" t="s">
        <v>43</v>
      </c>
      <c r="Q629" s="35"/>
      <c r="R629" s="35" t="s">
        <v>3194</v>
      </c>
      <c r="S629" s="35" t="b">
        <v>0</v>
      </c>
      <c r="T629" s="35" t="b">
        <v>0</v>
      </c>
      <c r="U629" s="41" t="str">
        <f>IFERROR(__xludf.DUMMYFUNCTION("""["" &amp; JOIN("", "", ARRAYFORMULA("""""""" &amp; TRIM(SPLIT(A629, "","")) &amp; """""""")) &amp; ""]"""),"[""99999""]")</f>
        <v>["99999"]</v>
      </c>
      <c r="V629" s="42" t="s">
        <v>3195</v>
      </c>
      <c r="W629" s="42" t="s">
        <v>3196</v>
      </c>
      <c r="X629" s="43"/>
      <c r="Y629" s="44" t="str">
        <f>vlookup(G629,zip_codes!$B$6:$J988,3,false)</f>
        <v>Houston</v>
      </c>
      <c r="Z629" s="45" t="str">
        <f>vlookup(G629,zip_codes!$B$6:$J988,9,false)</f>
        <v>Hilshire Village, Montrose, Northwest Houston, Spring Branch East, Washington Avenue Coalition / Memorial Park</v>
      </c>
      <c r="AA629" s="44" t="str">
        <f>vlookup(B629,organizations!$B$1:$C988,2,false)</f>
        <v>Nabor House Community</v>
      </c>
      <c r="AB629" s="55" t="s">
        <v>3197</v>
      </c>
      <c r="AC629" s="47" t="s">
        <v>278</v>
      </c>
      <c r="AD629" s="48" t="s">
        <v>715</v>
      </c>
      <c r="AE629" s="48" t="str">
        <f t="shared" si="77"/>
        <v>Nabor House Community - Spring Branch8009 Long Point Road44</v>
      </c>
      <c r="AF629" s="48" t="str">
        <f t="shared" si="78"/>
        <v/>
      </c>
    </row>
    <row r="630" ht="66.75" customHeight="1">
      <c r="A630" s="49" t="s">
        <v>50</v>
      </c>
      <c r="B630" s="35" t="s">
        <v>3198</v>
      </c>
      <c r="C630" s="36" t="s">
        <v>3199</v>
      </c>
      <c r="D630" s="36"/>
      <c r="E630" s="36" t="s">
        <v>36</v>
      </c>
      <c r="F630" s="36" t="s">
        <v>37</v>
      </c>
      <c r="G630" s="35" t="s">
        <v>3200</v>
      </c>
      <c r="H630" s="35" t="s">
        <v>3201</v>
      </c>
      <c r="I630" s="35" t="s">
        <v>272</v>
      </c>
      <c r="J630" s="35"/>
      <c r="K630" s="37">
        <f>IFERROR(__xludf.DUMMYFUNCTION("query(assistance!$A$2:$E988,""Select C Where D = '""&amp;L630&amp;""'"")"),44.0)</f>
        <v>44</v>
      </c>
      <c r="L630" s="36" t="s">
        <v>102</v>
      </c>
      <c r="M630" s="38">
        <f t="shared" si="81"/>
        <v>1</v>
      </c>
      <c r="N630" s="51" t="s">
        <v>42</v>
      </c>
      <c r="O630" s="40">
        <v>45884.0</v>
      </c>
      <c r="P630" s="35" t="s">
        <v>43</v>
      </c>
      <c r="Q630" s="35"/>
      <c r="R630" s="35" t="s">
        <v>3194</v>
      </c>
      <c r="S630" s="35" t="b">
        <v>0</v>
      </c>
      <c r="T630" s="35" t="b">
        <v>0</v>
      </c>
      <c r="U630" s="41" t="str">
        <f>IFERROR(__xludf.DUMMYFUNCTION("""["" &amp; JOIN("", "", ARRAYFORMULA("""""""" &amp; TRIM(SPLIT(A630, "","")) &amp; """""""")) &amp; ""]"""),"[""99999""]")</f>
        <v>["99999"]</v>
      </c>
      <c r="V630" s="42" t="s">
        <v>3195</v>
      </c>
      <c r="W630" s="42" t="s">
        <v>3202</v>
      </c>
      <c r="X630" s="43"/>
      <c r="Y630" s="44" t="str">
        <f>vlookup(G630,zip_codes!$B$6:$J988,3,false)</f>
        <v>Houston</v>
      </c>
      <c r="Z630" s="45" t="str">
        <f>vlookup(G630,zip_codes!$B$6:$J988,9,false)</f>
        <v>Fleetwood, Memorial</v>
      </c>
      <c r="AA630" s="44" t="str">
        <f>vlookup(B630,organizations!$B$1:$C988,2,false)</f>
        <v>Nabor House Community</v>
      </c>
      <c r="AB630" s="55" t="s">
        <v>3203</v>
      </c>
      <c r="AC630" s="47" t="s">
        <v>278</v>
      </c>
      <c r="AD630" s="48" t="s">
        <v>3204</v>
      </c>
      <c r="AE630" s="48" t="str">
        <f t="shared" si="77"/>
        <v>Nabor House Community - St Thomas Presbyterian14100 Memorial Drive44</v>
      </c>
      <c r="AF630" s="48" t="str">
        <f t="shared" si="78"/>
        <v/>
      </c>
    </row>
    <row r="631" ht="66.75" customHeight="1">
      <c r="A631" s="49" t="s">
        <v>50</v>
      </c>
      <c r="B631" s="35" t="s">
        <v>3205</v>
      </c>
      <c r="C631" s="36" t="s">
        <v>3206</v>
      </c>
      <c r="D631" s="36" t="s">
        <v>1847</v>
      </c>
      <c r="E631" s="36" t="s">
        <v>3207</v>
      </c>
      <c r="F631" s="36" t="s">
        <v>1698</v>
      </c>
      <c r="G631" s="56" t="s">
        <v>3208</v>
      </c>
      <c r="H631" s="35" t="s">
        <v>3209</v>
      </c>
      <c r="I631" s="35" t="s">
        <v>3210</v>
      </c>
      <c r="J631" s="35" t="s">
        <v>89</v>
      </c>
      <c r="K631" s="37">
        <f>IFERROR(__xludf.DUMMYFUNCTION("query(assistance!$A$2:$E988,""Select C Where D = '""&amp;L631&amp;""'"")"),36.0)</f>
        <v>36</v>
      </c>
      <c r="L631" s="36" t="s">
        <v>227</v>
      </c>
      <c r="M631" s="38">
        <f t="shared" si="81"/>
        <v>1</v>
      </c>
      <c r="N631" s="39" t="s">
        <v>42</v>
      </c>
      <c r="O631" s="40">
        <v>6693457.0</v>
      </c>
      <c r="P631" s="35" t="s">
        <v>43</v>
      </c>
      <c r="Q631" s="35"/>
      <c r="R631" s="35" t="s">
        <v>3211</v>
      </c>
      <c r="S631" s="35" t="b">
        <v>0</v>
      </c>
      <c r="T631" s="35" t="b">
        <v>0</v>
      </c>
      <c r="U631" s="41" t="str">
        <f>IFERROR(__xludf.DUMMYFUNCTION("""["" &amp; JOIN("", "", ARRAYFORMULA("""""""" &amp; TRIM(SPLIT(A631, "","")) &amp; """""""")) &amp; ""]"""),"[""99999""]")</f>
        <v>["99999"]</v>
      </c>
      <c r="V631" s="42" t="s">
        <v>3212</v>
      </c>
      <c r="W631" s="42" t="s">
        <v>3213</v>
      </c>
      <c r="X631" s="43"/>
      <c r="Y631" s="44" t="str">
        <f>vlookup(G631,zip_codes!$B$2:$J988,3,false)</f>
        <v>Norwell</v>
      </c>
      <c r="Z631" s="45" t="str">
        <f>vlookup(G631,zip_codes!$B$6:$J988,9,false)</f>
        <v>#N/A</v>
      </c>
      <c r="AA631" s="44" t="str">
        <f>vlookup(B631,organizations!$B$1:$C988,2,false)</f>
        <v>National Organization for Rare Disorders (NORD)</v>
      </c>
      <c r="AB631" s="55" t="s">
        <v>3214</v>
      </c>
      <c r="AC631" s="61" t="s">
        <v>3215</v>
      </c>
      <c r="AD631" s="58" t="s">
        <v>3207</v>
      </c>
      <c r="AE631" s="48" t="str">
        <f t="shared" si="77"/>
        <v>National Organization for Rare Disorders (NORD)120 Longwater Drive36</v>
      </c>
      <c r="AF631" s="48" t="str">
        <f t="shared" si="78"/>
        <v/>
      </c>
    </row>
    <row r="632" ht="66.75" customHeight="1">
      <c r="A632" s="49" t="s">
        <v>50</v>
      </c>
      <c r="B632" s="35" t="s">
        <v>3216</v>
      </c>
      <c r="C632" s="36" t="s">
        <v>3217</v>
      </c>
      <c r="D632" s="36"/>
      <c r="E632" s="36" t="s">
        <v>3218</v>
      </c>
      <c r="F632" s="36" t="s">
        <v>1698</v>
      </c>
      <c r="G632" s="56" t="s">
        <v>3219</v>
      </c>
      <c r="H632" s="35" t="s">
        <v>3220</v>
      </c>
      <c r="I632" s="35" t="s">
        <v>40</v>
      </c>
      <c r="J632" s="35"/>
      <c r="K632" s="37">
        <f>IFERROR(__xludf.DUMMYFUNCTION("query(assistance!$A$2:$E988,""Select C Where D = '""&amp;L632&amp;""'"")"),65.0)</f>
        <v>65</v>
      </c>
      <c r="L632" s="36" t="s">
        <v>41</v>
      </c>
      <c r="M632" s="38">
        <f t="shared" si="81"/>
        <v>1</v>
      </c>
      <c r="N632" s="39" t="s">
        <v>42</v>
      </c>
      <c r="O632" s="57">
        <v>46045.0</v>
      </c>
      <c r="P632" s="35" t="s">
        <v>43</v>
      </c>
      <c r="Q632" s="35"/>
      <c r="R632" s="35" t="s">
        <v>3221</v>
      </c>
      <c r="S632" s="35" t="b">
        <v>0</v>
      </c>
      <c r="T632" s="35" t="b">
        <v>0</v>
      </c>
      <c r="U632" s="41" t="str">
        <f>IFERROR(__xludf.DUMMYFUNCTION("""["" &amp; JOIN("", "", ARRAYFORMULA("""""""" &amp; TRIM(SPLIT(A632, "","")) &amp; """""""")) &amp; ""]"""),"[""99999""]")</f>
        <v>["99999"]</v>
      </c>
      <c r="V632" s="59" t="s">
        <v>3222</v>
      </c>
      <c r="W632" s="42" t="s">
        <v>3223</v>
      </c>
      <c r="X632" s="43"/>
      <c r="Y632" s="44" t="str">
        <f>vlookup(G632,zip_codes!$B$2:$J988,3,false)</f>
        <v>Gloucester</v>
      </c>
      <c r="Z632" s="45" t="str">
        <f>vlookup(G632,zip_codes!$B$6:$J988,9,false)</f>
        <v>#N/A</v>
      </c>
      <c r="AA632" s="44" t="str">
        <f>vlookup(B632,organizations!$B$1:$C988,2,false)</f>
        <v>NeedyMeds</v>
      </c>
      <c r="AB632" s="55" t="s">
        <v>3224</v>
      </c>
      <c r="AC632" s="47" t="s">
        <v>73</v>
      </c>
      <c r="AD632" s="58" t="s">
        <v>3225</v>
      </c>
      <c r="AE632" s="48" t="str">
        <f t="shared" si="77"/>
        <v>NeedyMeds50 Whittemore Street65</v>
      </c>
      <c r="AF632" s="48" t="str">
        <f t="shared" si="78"/>
        <v/>
      </c>
    </row>
    <row r="633" ht="66.75" customHeight="1">
      <c r="A633" s="74" t="s">
        <v>50</v>
      </c>
      <c r="B633" s="35" t="s">
        <v>3226</v>
      </c>
      <c r="C633" s="36" t="s">
        <v>3227</v>
      </c>
      <c r="D633" s="36"/>
      <c r="E633" s="36" t="s">
        <v>36</v>
      </c>
      <c r="F633" s="36" t="s">
        <v>37</v>
      </c>
      <c r="G633" s="35" t="s">
        <v>857</v>
      </c>
      <c r="H633" s="35" t="s">
        <v>3228</v>
      </c>
      <c r="I633" s="35" t="s">
        <v>959</v>
      </c>
      <c r="J633" s="35"/>
      <c r="K633" s="37">
        <f>IFERROR(__xludf.DUMMYFUNCTION("query(assistance!$A$2:$E988,""Select C Where D = '""&amp;L633&amp;""'"")"),24.0)</f>
        <v>24</v>
      </c>
      <c r="L633" s="36" t="s">
        <v>405</v>
      </c>
      <c r="M633" s="38">
        <f t="shared" si="81"/>
        <v>1</v>
      </c>
      <c r="N633" s="51" t="s">
        <v>42</v>
      </c>
      <c r="O633" s="57">
        <v>45793.0</v>
      </c>
      <c r="P633" s="35" t="s">
        <v>43</v>
      </c>
      <c r="Q633" s="35"/>
      <c r="R633" s="35" t="s">
        <v>3229</v>
      </c>
      <c r="S633" s="35" t="b">
        <v>0</v>
      </c>
      <c r="T633" s="35" t="b">
        <v>0</v>
      </c>
      <c r="U633" s="41" t="str">
        <f>IFERROR(__xludf.DUMMYFUNCTION("""["" &amp; JOIN("", "", ARRAYFORMULA("""""""" &amp; TRIM(SPLIT(A633, "","")) &amp; """""""")) &amp; ""]"""),"[""99999""]")</f>
        <v>["99999"]</v>
      </c>
      <c r="V633" s="42" t="s">
        <v>3230</v>
      </c>
      <c r="W633" s="42" t="s">
        <v>3231</v>
      </c>
      <c r="X633" s="43"/>
      <c r="Y633" s="44" t="str">
        <f>vlookup(G633,zip_codes!$B$6:$J988,3,false)</f>
        <v>Houston</v>
      </c>
      <c r="Z633" s="45" t="str">
        <f>vlookup(G633,zip_codes!$B$6:$J988,9,false)</f>
        <v>Greater East End, Harrisburg, Magnolia Park</v>
      </c>
      <c r="AA633" s="44" t="str">
        <f>vlookup(B633,organizations!$B$1:$C988,2,false)</f>
        <v>New Hope Housing</v>
      </c>
      <c r="AB633" s="46" t="s">
        <v>3232</v>
      </c>
      <c r="AC633" s="47" t="s">
        <v>961</v>
      </c>
      <c r="AD633" s="48" t="s">
        <v>863</v>
      </c>
      <c r="AE633" s="48" t="str">
        <f t="shared" si="77"/>
        <v>New Hope Housing Avenue C7520 Avenue C24</v>
      </c>
      <c r="AF633" s="48" t="str">
        <f t="shared" si="78"/>
        <v/>
      </c>
    </row>
    <row r="634" ht="66.75" customHeight="1">
      <c r="A634" s="74" t="s">
        <v>50</v>
      </c>
      <c r="B634" s="35" t="s">
        <v>3233</v>
      </c>
      <c r="C634" s="36" t="s">
        <v>3234</v>
      </c>
      <c r="D634" s="36"/>
      <c r="E634" s="36" t="s">
        <v>36</v>
      </c>
      <c r="F634" s="36" t="s">
        <v>37</v>
      </c>
      <c r="G634" s="35" t="s">
        <v>542</v>
      </c>
      <c r="H634" s="35" t="s">
        <v>3235</v>
      </c>
      <c r="I634" s="35" t="s">
        <v>959</v>
      </c>
      <c r="J634" s="35"/>
      <c r="K634" s="37">
        <f>IFERROR(__xludf.DUMMYFUNCTION("query(assistance!$A$2:$E988,""Select C Where D = '""&amp;L634&amp;""'"")"),24.0)</f>
        <v>24</v>
      </c>
      <c r="L634" s="36" t="s">
        <v>405</v>
      </c>
      <c r="M634" s="38">
        <f t="shared" si="81"/>
        <v>1</v>
      </c>
      <c r="N634" s="51" t="s">
        <v>42</v>
      </c>
      <c r="O634" s="57">
        <v>45793.0</v>
      </c>
      <c r="P634" s="35" t="s">
        <v>43</v>
      </c>
      <c r="Q634" s="35"/>
      <c r="R634" s="35" t="s">
        <v>3236</v>
      </c>
      <c r="S634" s="35" t="b">
        <v>0</v>
      </c>
      <c r="T634" s="35" t="b">
        <v>0</v>
      </c>
      <c r="U634" s="41" t="str">
        <f>IFERROR(__xludf.DUMMYFUNCTION("""["" &amp; JOIN("", "", ARRAYFORMULA("""""""" &amp; TRIM(SPLIT(A634, "","")) &amp; """""""")) &amp; ""]"""),"[""99999""]")</f>
        <v>["99999"]</v>
      </c>
      <c r="V634" s="42" t="s">
        <v>3230</v>
      </c>
      <c r="W634" s="42" t="s">
        <v>3237</v>
      </c>
      <c r="X634" s="43"/>
      <c r="Y634" s="44" t="str">
        <f>vlookup(G634,zip_codes!$B$6:$J988,3,false)</f>
        <v>Houston</v>
      </c>
      <c r="Z634" s="45" t="str">
        <f>vlookup(G634,zip_codes!$B$6:$J988,9,false)</f>
        <v>Eastwood, Magnolia Park, Second Ward, South Central Houston</v>
      </c>
      <c r="AA634" s="44" t="str">
        <f>vlookup(B634,organizations!$B$1:$C988,2,false)</f>
        <v>New Hope Housing</v>
      </c>
      <c r="AB634" s="46" t="s">
        <v>3238</v>
      </c>
      <c r="AC634" s="47" t="s">
        <v>961</v>
      </c>
      <c r="AD634" s="48" t="s">
        <v>314</v>
      </c>
      <c r="AE634" s="48" t="str">
        <f t="shared" si="77"/>
        <v>New Hope Housing Avenue J5220 Avenue J24</v>
      </c>
      <c r="AF634" s="48" t="str">
        <f t="shared" si="78"/>
        <v/>
      </c>
    </row>
    <row r="635" ht="66.75" customHeight="1">
      <c r="A635" s="74" t="s">
        <v>50</v>
      </c>
      <c r="B635" s="35" t="s">
        <v>3239</v>
      </c>
      <c r="C635" s="36" t="s">
        <v>875</v>
      </c>
      <c r="D635" s="36"/>
      <c r="E635" s="36" t="s">
        <v>36</v>
      </c>
      <c r="F635" s="36" t="s">
        <v>37</v>
      </c>
      <c r="G635" s="35" t="s">
        <v>876</v>
      </c>
      <c r="H635" s="35" t="s">
        <v>3240</v>
      </c>
      <c r="I635" s="35" t="s">
        <v>959</v>
      </c>
      <c r="J635" s="35"/>
      <c r="K635" s="37">
        <f>IFERROR(__xludf.DUMMYFUNCTION("query(assistance!$A$2:$E988,""Select C Where D = '""&amp;L635&amp;""'"")"),24.0)</f>
        <v>24</v>
      </c>
      <c r="L635" s="36" t="s">
        <v>405</v>
      </c>
      <c r="M635" s="38">
        <f t="shared" si="81"/>
        <v>1</v>
      </c>
      <c r="N635" s="51" t="s">
        <v>42</v>
      </c>
      <c r="O635" s="57">
        <v>45793.0</v>
      </c>
      <c r="P635" s="35" t="s">
        <v>43</v>
      </c>
      <c r="Q635" s="35"/>
      <c r="R635" s="35" t="s">
        <v>3241</v>
      </c>
      <c r="S635" s="35" t="b">
        <v>0</v>
      </c>
      <c r="T635" s="35" t="b">
        <v>0</v>
      </c>
      <c r="U635" s="41" t="str">
        <f>IFERROR(__xludf.DUMMYFUNCTION("""["" &amp; JOIN("", "", ARRAYFORMULA("""""""" &amp; TRIM(SPLIT(A635, "","")) &amp; """""""")) &amp; ""]"""),"[""99999""]")</f>
        <v>["99999"]</v>
      </c>
      <c r="V635" s="42" t="s">
        <v>3230</v>
      </c>
      <c r="W635" s="42" t="s">
        <v>3242</v>
      </c>
      <c r="X635" s="43"/>
      <c r="Y635" s="44" t="str">
        <f>vlookup(G635,zip_codes!$B$6:$J988,3,false)</f>
        <v>Houston</v>
      </c>
      <c r="Z635" s="45" t="str">
        <f>vlookup(G635,zip_codes!$B$6:$J988,9,false)</f>
        <v>Independence Heights, Northline, Northside / Northline</v>
      </c>
      <c r="AA635" s="44" t="str">
        <f>vlookup(B635,organizations!$B$1:$C988,2,false)</f>
        <v>New Hope Housing</v>
      </c>
      <c r="AB635" s="46" t="s">
        <v>878</v>
      </c>
      <c r="AC635" s="47" t="s">
        <v>961</v>
      </c>
      <c r="AD635" s="48" t="s">
        <v>74</v>
      </c>
      <c r="AE635" s="48" t="str">
        <f t="shared" si="77"/>
        <v>New Hope Housing Berry8855 McGallion Road24</v>
      </c>
      <c r="AF635" s="48" t="str">
        <f t="shared" si="78"/>
        <v/>
      </c>
    </row>
    <row r="636" ht="66.75" customHeight="1">
      <c r="A636" s="74" t="s">
        <v>50</v>
      </c>
      <c r="B636" s="35" t="s">
        <v>3243</v>
      </c>
      <c r="C636" s="36" t="s">
        <v>3244</v>
      </c>
      <c r="D636" s="36"/>
      <c r="E636" s="36" t="s">
        <v>36</v>
      </c>
      <c r="F636" s="36" t="s">
        <v>37</v>
      </c>
      <c r="G636" s="35" t="s">
        <v>77</v>
      </c>
      <c r="H636" s="35" t="s">
        <v>3245</v>
      </c>
      <c r="I636" s="35" t="s">
        <v>959</v>
      </c>
      <c r="J636" s="35"/>
      <c r="K636" s="37">
        <f>IFERROR(__xludf.DUMMYFUNCTION("query(assistance!$A$2:$E988,""Select C Where D = '""&amp;L636&amp;""'"")"),24.0)</f>
        <v>24</v>
      </c>
      <c r="L636" s="36" t="s">
        <v>405</v>
      </c>
      <c r="M636" s="38">
        <f t="shared" si="81"/>
        <v>1</v>
      </c>
      <c r="N636" s="51" t="s">
        <v>42</v>
      </c>
      <c r="O636" s="57">
        <v>45793.0</v>
      </c>
      <c r="P636" s="35" t="s">
        <v>43</v>
      </c>
      <c r="Q636" s="35"/>
      <c r="R636" s="35" t="s">
        <v>3236</v>
      </c>
      <c r="S636" s="35" t="b">
        <v>0</v>
      </c>
      <c r="T636" s="35" t="b">
        <v>0</v>
      </c>
      <c r="U636" s="41" t="str">
        <f>IFERROR(__xludf.DUMMYFUNCTION("""["" &amp; JOIN("", "", ARRAYFORMULA("""""""" &amp; TRIM(SPLIT(A636, "","")) &amp; """""""")) &amp; ""]"""),"[""99999""]")</f>
        <v>["99999"]</v>
      </c>
      <c r="V636" s="42" t="s">
        <v>3230</v>
      </c>
      <c r="W636" s="42" t="s">
        <v>3246</v>
      </c>
      <c r="X636" s="43"/>
      <c r="Y636" s="44" t="str">
        <f>vlookup(G636,zip_codes!$B$6:$J988,3,false)</f>
        <v>Houston</v>
      </c>
      <c r="Z636" s="45" t="str">
        <f>vlookup(G636,zip_codes!$B$6:$J988,9,false)</f>
        <v>Eastwood, Gulfgate Riverview / Pine Valley, Idylwood, Lawndale / Wayside, Magnolia Park, South Central Houston</v>
      </c>
      <c r="AA636" s="44" t="str">
        <f>vlookup(B636,organizations!$B$1:$C988,2,false)</f>
        <v>New Hope Housing</v>
      </c>
      <c r="AB636" s="46" t="s">
        <v>3247</v>
      </c>
      <c r="AC636" s="47" t="s">
        <v>961</v>
      </c>
      <c r="AD636" s="48" t="s">
        <v>472</v>
      </c>
      <c r="AE636" s="48" t="str">
        <f t="shared" si="77"/>
        <v>New Hope Housing Brays Crossing6311 Gulf Freeway24</v>
      </c>
      <c r="AF636" s="48" t="str">
        <f t="shared" si="78"/>
        <v/>
      </c>
    </row>
    <row r="637" ht="66.75" customHeight="1">
      <c r="A637" s="74" t="s">
        <v>50</v>
      </c>
      <c r="B637" s="35" t="s">
        <v>3248</v>
      </c>
      <c r="C637" s="36" t="s">
        <v>3249</v>
      </c>
      <c r="D637" s="36"/>
      <c r="E637" s="36" t="s">
        <v>36</v>
      </c>
      <c r="F637" s="36" t="s">
        <v>37</v>
      </c>
      <c r="G637" s="35" t="s">
        <v>557</v>
      </c>
      <c r="H637" s="35" t="s">
        <v>3250</v>
      </c>
      <c r="I637" s="35" t="s">
        <v>959</v>
      </c>
      <c r="J637" s="35"/>
      <c r="K637" s="37">
        <f>IFERROR(__xludf.DUMMYFUNCTION("query(assistance!$A$2:$E988,""Select C Where D = '""&amp;L637&amp;""'"")"),24.0)</f>
        <v>24</v>
      </c>
      <c r="L637" s="36" t="s">
        <v>405</v>
      </c>
      <c r="M637" s="38">
        <f t="shared" si="81"/>
        <v>1</v>
      </c>
      <c r="N637" s="51" t="s">
        <v>42</v>
      </c>
      <c r="O637" s="57">
        <v>45793.0</v>
      </c>
      <c r="P637" s="35" t="s">
        <v>43</v>
      </c>
      <c r="Q637" s="35"/>
      <c r="R637" s="35" t="s">
        <v>3236</v>
      </c>
      <c r="S637" s="35" t="b">
        <v>0</v>
      </c>
      <c r="T637" s="35" t="b">
        <v>0</v>
      </c>
      <c r="U637" s="41" t="str">
        <f>IFERROR(__xludf.DUMMYFUNCTION("""["" &amp; JOIN("", "", ARRAYFORMULA("""""""" &amp; TRIM(SPLIT(A637, "","")) &amp; """""""")) &amp; ""]"""),"[""99999""]")</f>
        <v>["99999"]</v>
      </c>
      <c r="V637" s="42" t="s">
        <v>3230</v>
      </c>
      <c r="W637" s="42" t="s">
        <v>3251</v>
      </c>
      <c r="X637" s="43"/>
      <c r="Y637" s="44" t="str">
        <f>vlookup(G637,zip_codes!$B$6:$J988,3,false)</f>
        <v>Houston</v>
      </c>
      <c r="Z637" s="45" t="str">
        <f>vlookup(G637,zip_codes!$B$6:$J988,9,false)</f>
        <v>East Downtown, Downtown Houston, Second Ward, South Central Houston, South Side</v>
      </c>
      <c r="AA637" s="44" t="str">
        <f>vlookup(B637,organizations!$B$1:$C988,2,false)</f>
        <v>New Hope Housing</v>
      </c>
      <c r="AB637" s="46" t="s">
        <v>3252</v>
      </c>
      <c r="AC637" s="47" t="s">
        <v>961</v>
      </c>
      <c r="AD637" s="48" t="s">
        <v>314</v>
      </c>
      <c r="AE637" s="48" t="str">
        <f t="shared" si="77"/>
        <v>New Hope Housing Canal2821 Canal Street24</v>
      </c>
      <c r="AF637" s="48" t="str">
        <f t="shared" si="78"/>
        <v/>
      </c>
    </row>
    <row r="638" ht="66.75" customHeight="1">
      <c r="A638" s="74" t="s">
        <v>50</v>
      </c>
      <c r="B638" s="35" t="s">
        <v>3253</v>
      </c>
      <c r="C638" s="36" t="s">
        <v>3254</v>
      </c>
      <c r="D638" s="36"/>
      <c r="E638" s="36" t="s">
        <v>36</v>
      </c>
      <c r="F638" s="36" t="s">
        <v>37</v>
      </c>
      <c r="G638" s="35" t="s">
        <v>270</v>
      </c>
      <c r="H638" s="35" t="s">
        <v>3255</v>
      </c>
      <c r="I638" s="35" t="s">
        <v>959</v>
      </c>
      <c r="J638" s="35"/>
      <c r="K638" s="37">
        <f>IFERROR(__xludf.DUMMYFUNCTION("query(assistance!$A$2:$E988,""Select C Where D = '""&amp;L638&amp;""'"")"),24.0)</f>
        <v>24</v>
      </c>
      <c r="L638" s="36" t="s">
        <v>405</v>
      </c>
      <c r="M638" s="38">
        <f t="shared" si="81"/>
        <v>1</v>
      </c>
      <c r="N638" s="51" t="s">
        <v>42</v>
      </c>
      <c r="O638" s="57">
        <v>45793.0</v>
      </c>
      <c r="P638" s="35" t="s">
        <v>43</v>
      </c>
      <c r="Q638" s="35"/>
      <c r="R638" s="35" t="s">
        <v>3236</v>
      </c>
      <c r="S638" s="35" t="b">
        <v>0</v>
      </c>
      <c r="T638" s="35" t="b">
        <v>0</v>
      </c>
      <c r="U638" s="41" t="str">
        <f>IFERROR(__xludf.DUMMYFUNCTION("""["" &amp; JOIN("", "", ARRAYFORMULA("""""""" &amp; TRIM(SPLIT(A638, "","")) &amp; """""""")) &amp; ""]"""),"[""99999""]")</f>
        <v>["99999"]</v>
      </c>
      <c r="V638" s="42" t="s">
        <v>3230</v>
      </c>
      <c r="W638" s="42" t="s">
        <v>3256</v>
      </c>
      <c r="X638" s="43"/>
      <c r="Y638" s="44" t="str">
        <f>vlookup(G638,zip_codes!$B$6:$J988,3,false)</f>
        <v>Houston</v>
      </c>
      <c r="Z638" s="45" t="str">
        <f>vlookup(G638,zip_codes!$B$6:$J988,9,false)</f>
        <v>Central Business District, Downtown Houston, East Downtown, South Central Houston, Theater District, University Place, Warehouse District</v>
      </c>
      <c r="AA638" s="44" t="str">
        <f>vlookup(B638,organizations!$B$1:$C988,2,false)</f>
        <v>New Hope Housing</v>
      </c>
      <c r="AB638" s="46" t="s">
        <v>3257</v>
      </c>
      <c r="AC638" s="47" t="s">
        <v>961</v>
      </c>
      <c r="AD638" s="48" t="s">
        <v>279</v>
      </c>
      <c r="AE638" s="48" t="str">
        <f t="shared" si="77"/>
        <v>New Hope Housing Congress1414 Congress Street24</v>
      </c>
      <c r="AF638" s="48" t="str">
        <f t="shared" si="78"/>
        <v/>
      </c>
    </row>
    <row r="639" ht="66.75" customHeight="1">
      <c r="A639" s="74" t="s">
        <v>50</v>
      </c>
      <c r="B639" s="35" t="s">
        <v>3258</v>
      </c>
      <c r="C639" s="36" t="s">
        <v>3259</v>
      </c>
      <c r="D639" s="36"/>
      <c r="E639" s="36" t="s">
        <v>36</v>
      </c>
      <c r="F639" s="36" t="s">
        <v>37</v>
      </c>
      <c r="G639" s="35" t="s">
        <v>599</v>
      </c>
      <c r="H639" s="35" t="s">
        <v>3260</v>
      </c>
      <c r="I639" s="35" t="s">
        <v>959</v>
      </c>
      <c r="J639" s="35"/>
      <c r="K639" s="37">
        <f>IFERROR(__xludf.DUMMYFUNCTION("query(assistance!$A$2:$E988,""Select C Where D = '""&amp;L639&amp;""'"")"),24.0)</f>
        <v>24</v>
      </c>
      <c r="L639" s="36" t="s">
        <v>405</v>
      </c>
      <c r="M639" s="38">
        <f t="shared" si="81"/>
        <v>1</v>
      </c>
      <c r="N639" s="51" t="s">
        <v>42</v>
      </c>
      <c r="O639" s="57">
        <v>45793.0</v>
      </c>
      <c r="P639" s="35" t="s">
        <v>43</v>
      </c>
      <c r="Q639" s="35"/>
      <c r="R639" s="35" t="s">
        <v>3236</v>
      </c>
      <c r="S639" s="35" t="b">
        <v>0</v>
      </c>
      <c r="T639" s="35" t="b">
        <v>0</v>
      </c>
      <c r="U639" s="41" t="str">
        <f>IFERROR(__xludf.DUMMYFUNCTION("""["" &amp; JOIN("", "", ARRAYFORMULA("""""""" &amp; TRIM(SPLIT(A639, "","")) &amp; """""""")) &amp; ""]"""),"[""99999""]")</f>
        <v>["99999"]</v>
      </c>
      <c r="V639" s="42" t="s">
        <v>3230</v>
      </c>
      <c r="W639" s="42" t="s">
        <v>3261</v>
      </c>
      <c r="X639" s="43"/>
      <c r="Y639" s="44" t="str">
        <f>vlookup(G639,zip_codes!$B$6:$J988,3,false)</f>
        <v>Houston</v>
      </c>
      <c r="Z639" s="45" t="str">
        <f>vlookup(G639,zip_codes!$B$6:$J988,9,false)</f>
        <v>Chinatown, Sharpstown, Westside</v>
      </c>
      <c r="AA639" s="44" t="str">
        <f>vlookup(B639,organizations!$B$1:$C988,2,false)</f>
        <v>New Hope Housing</v>
      </c>
      <c r="AB639" s="46" t="s">
        <v>3262</v>
      </c>
      <c r="AC639" s="47" t="s">
        <v>961</v>
      </c>
      <c r="AD639" s="48" t="s">
        <v>572</v>
      </c>
      <c r="AE639" s="48" t="str">
        <f t="shared" si="77"/>
        <v>New Hope Housing Dale Carnegie6015 Dale Carnegie Lane24</v>
      </c>
      <c r="AF639" s="48" t="str">
        <f t="shared" si="78"/>
        <v/>
      </c>
    </row>
    <row r="640" ht="66.75" customHeight="1">
      <c r="A640" s="74" t="s">
        <v>50</v>
      </c>
      <c r="B640" s="35" t="s">
        <v>3263</v>
      </c>
      <c r="C640" s="36" t="s">
        <v>3264</v>
      </c>
      <c r="D640" s="36"/>
      <c r="E640" s="36" t="s">
        <v>36</v>
      </c>
      <c r="F640" s="36" t="s">
        <v>37</v>
      </c>
      <c r="G640" s="35" t="s">
        <v>557</v>
      </c>
      <c r="H640" s="35" t="s">
        <v>3228</v>
      </c>
      <c r="I640" s="35" t="s">
        <v>959</v>
      </c>
      <c r="J640" s="35"/>
      <c r="K640" s="37">
        <f>IFERROR(__xludf.DUMMYFUNCTION("query(assistance!$A$2:$E988,""Select C Where D = '""&amp;L640&amp;""'"")"),24.0)</f>
        <v>24</v>
      </c>
      <c r="L640" s="36" t="s">
        <v>405</v>
      </c>
      <c r="M640" s="38">
        <f t="shared" si="81"/>
        <v>1</v>
      </c>
      <c r="N640" s="51" t="s">
        <v>42</v>
      </c>
      <c r="O640" s="57">
        <v>45793.0</v>
      </c>
      <c r="P640" s="35" t="s">
        <v>43</v>
      </c>
      <c r="Q640" s="35"/>
      <c r="R640" s="35" t="s">
        <v>3229</v>
      </c>
      <c r="S640" s="35" t="b">
        <v>0</v>
      </c>
      <c r="T640" s="35" t="b">
        <v>0</v>
      </c>
      <c r="U640" s="41" t="str">
        <f>IFERROR(__xludf.DUMMYFUNCTION("""["" &amp; JOIN("", "", ARRAYFORMULA("""""""" &amp; TRIM(SPLIT(A640, "","")) &amp; """""""")) &amp; ""]"""),"[""99999""]")</f>
        <v>["99999"]</v>
      </c>
      <c r="V640" s="42" t="s">
        <v>3230</v>
      </c>
      <c r="W640" s="42" t="s">
        <v>3265</v>
      </c>
      <c r="X640" s="43"/>
      <c r="Y640" s="44" t="str">
        <f>vlookup(G640,zip_codes!$B$6:$J988,3,false)</f>
        <v>Houston</v>
      </c>
      <c r="Z640" s="45" t="str">
        <f>vlookup(G640,zip_codes!$B$6:$J988,9,false)</f>
        <v>East Downtown, Downtown Houston, Second Ward, South Central Houston, South Side</v>
      </c>
      <c r="AA640" s="44" t="str">
        <f>vlookup(B640,organizations!$B$1:$C988,2,false)</f>
        <v>New Hope Housing</v>
      </c>
      <c r="AB640" s="46" t="s">
        <v>3266</v>
      </c>
      <c r="AC640" s="47" t="s">
        <v>961</v>
      </c>
      <c r="AD640" s="48" t="s">
        <v>2968</v>
      </c>
      <c r="AE640" s="48" t="str">
        <f t="shared" si="77"/>
        <v>New Hope Housing Ennis1887 Ennis Street24</v>
      </c>
      <c r="AF640" s="48" t="str">
        <f t="shared" si="78"/>
        <v/>
      </c>
    </row>
    <row r="641" ht="66.75" customHeight="1">
      <c r="A641" s="74" t="s">
        <v>50</v>
      </c>
      <c r="B641" s="35" t="s">
        <v>3267</v>
      </c>
      <c r="C641" s="36" t="s">
        <v>888</v>
      </c>
      <c r="D641" s="36"/>
      <c r="E641" s="36" t="s">
        <v>36</v>
      </c>
      <c r="F641" s="36" t="s">
        <v>37</v>
      </c>
      <c r="G641" s="35" t="s">
        <v>557</v>
      </c>
      <c r="H641" s="35" t="s">
        <v>3268</v>
      </c>
      <c r="I641" s="35" t="s">
        <v>959</v>
      </c>
      <c r="J641" s="35"/>
      <c r="K641" s="37">
        <f>IFERROR(__xludf.DUMMYFUNCTION("query(assistance!$A$2:$E988,""Select C Where D = '""&amp;L641&amp;""'"")"),24.0)</f>
        <v>24</v>
      </c>
      <c r="L641" s="36" t="s">
        <v>405</v>
      </c>
      <c r="M641" s="38">
        <f t="shared" si="81"/>
        <v>1</v>
      </c>
      <c r="N641" s="51" t="s">
        <v>42</v>
      </c>
      <c r="O641" s="57">
        <v>45793.0</v>
      </c>
      <c r="P641" s="35" t="s">
        <v>43</v>
      </c>
      <c r="Q641" s="35"/>
      <c r="R641" s="35" t="s">
        <v>3269</v>
      </c>
      <c r="S641" s="35" t="b">
        <v>0</v>
      </c>
      <c r="T641" s="35" t="b">
        <v>0</v>
      </c>
      <c r="U641" s="41" t="str">
        <f>IFERROR(__xludf.DUMMYFUNCTION("""["" &amp; JOIN("", "", ARRAYFORMULA("""""""" &amp; TRIM(SPLIT(A641, "","")) &amp; """""""")) &amp; ""]"""),"[""99999""]")</f>
        <v>["99999"]</v>
      </c>
      <c r="V641" s="42" t="s">
        <v>3230</v>
      </c>
      <c r="W641" s="42" t="s">
        <v>3270</v>
      </c>
      <c r="X641" s="43"/>
      <c r="Y641" s="44" t="str">
        <f>vlookup(G641,zip_codes!$B$6:$J988,3,false)</f>
        <v>Houston</v>
      </c>
      <c r="Z641" s="45" t="str">
        <f>vlookup(G641,zip_codes!$B$6:$J988,9,false)</f>
        <v>East Downtown, Downtown Houston, Second Ward, South Central Houston, South Side</v>
      </c>
      <c r="AA641" s="44" t="str">
        <f>vlookup(B641,organizations!$B$1:$C988,2,false)</f>
        <v>New Hope Housing</v>
      </c>
      <c r="AB641" s="46" t="s">
        <v>890</v>
      </c>
      <c r="AC641" s="47" t="s">
        <v>961</v>
      </c>
      <c r="AD641" s="48" t="s">
        <v>49</v>
      </c>
      <c r="AE641" s="48" t="str">
        <f t="shared" si="77"/>
        <v>New Hope Housing Gray2604 Gray Street24</v>
      </c>
      <c r="AF641" s="48" t="str">
        <f t="shared" si="78"/>
        <v/>
      </c>
    </row>
    <row r="642" ht="66.75" customHeight="1">
      <c r="A642" s="74" t="s">
        <v>50</v>
      </c>
      <c r="B642" s="35" t="s">
        <v>3271</v>
      </c>
      <c r="C642" s="36" t="s">
        <v>3272</v>
      </c>
      <c r="D642" s="36"/>
      <c r="E642" s="36" t="s">
        <v>36</v>
      </c>
      <c r="F642" s="36" t="s">
        <v>37</v>
      </c>
      <c r="G642" s="35" t="s">
        <v>557</v>
      </c>
      <c r="H642" s="35" t="s">
        <v>3273</v>
      </c>
      <c r="I642" s="35" t="s">
        <v>959</v>
      </c>
      <c r="J642" s="35"/>
      <c r="K642" s="37">
        <f>IFERROR(__xludf.DUMMYFUNCTION("query(assistance!$A$2:$E988,""Select C Where D = '""&amp;L642&amp;""'"")"),24.0)</f>
        <v>24</v>
      </c>
      <c r="L642" s="36" t="s">
        <v>405</v>
      </c>
      <c r="M642" s="38">
        <f t="shared" si="81"/>
        <v>1</v>
      </c>
      <c r="N642" s="51" t="s">
        <v>42</v>
      </c>
      <c r="O642" s="57">
        <v>45793.0</v>
      </c>
      <c r="P642" s="35" t="s">
        <v>43</v>
      </c>
      <c r="Q642" s="35"/>
      <c r="R642" s="35" t="s">
        <v>3236</v>
      </c>
      <c r="S642" s="35" t="b">
        <v>0</v>
      </c>
      <c r="T642" s="35" t="b">
        <v>0</v>
      </c>
      <c r="U642" s="41" t="str">
        <f>IFERROR(__xludf.DUMMYFUNCTION("""["" &amp; JOIN("", "", ARRAYFORMULA("""""""" &amp; TRIM(SPLIT(A642, "","")) &amp; """""""")) &amp; ""]"""),"[""99999""]")</f>
        <v>["99999"]</v>
      </c>
      <c r="V642" s="42" t="s">
        <v>3230</v>
      </c>
      <c r="W642" s="42" t="s">
        <v>3274</v>
      </c>
      <c r="X642" s="43"/>
      <c r="Y642" s="44" t="str">
        <f>vlookup(G642,zip_codes!$B$6:$J988,3,false)</f>
        <v>Houston</v>
      </c>
      <c r="Z642" s="45" t="str">
        <f>vlookup(G642,zip_codes!$B$6:$J988,9,false)</f>
        <v>East Downtown, Downtown Houston, Second Ward, South Central Houston, South Side</v>
      </c>
      <c r="AA642" s="44" t="str">
        <f>vlookup(B642,organizations!$B$1:$C988,2,false)</f>
        <v>New Hope Housing</v>
      </c>
      <c r="AB642" s="46" t="s">
        <v>3275</v>
      </c>
      <c r="AC642" s="47" t="s">
        <v>961</v>
      </c>
      <c r="AD642" s="48" t="s">
        <v>314</v>
      </c>
      <c r="AE642" s="48" t="str">
        <f t="shared" si="77"/>
        <v>New Hope Housing Harrisburg3315 Harrisburg Blvd24</v>
      </c>
      <c r="AF642" s="48" t="str">
        <f t="shared" si="78"/>
        <v/>
      </c>
    </row>
    <row r="643" ht="66.75" customHeight="1">
      <c r="A643" s="74" t="s">
        <v>50</v>
      </c>
      <c r="B643" s="35" t="s">
        <v>3276</v>
      </c>
      <c r="C643" s="36" t="s">
        <v>3277</v>
      </c>
      <c r="D643" s="36"/>
      <c r="E643" s="36" t="s">
        <v>36</v>
      </c>
      <c r="F643" s="36" t="s">
        <v>37</v>
      </c>
      <c r="G643" s="35" t="s">
        <v>38</v>
      </c>
      <c r="H643" s="35" t="s">
        <v>3278</v>
      </c>
      <c r="I643" s="35" t="s">
        <v>959</v>
      </c>
      <c r="J643" s="35"/>
      <c r="K643" s="37">
        <f>IFERROR(__xludf.DUMMYFUNCTION("query(assistance!$A$2:$E988,""Select C Where D = '""&amp;L643&amp;""'"")"),24.0)</f>
        <v>24</v>
      </c>
      <c r="L643" s="36" t="s">
        <v>405</v>
      </c>
      <c r="M643" s="38">
        <f t="shared" si="81"/>
        <v>1</v>
      </c>
      <c r="N643" s="51" t="s">
        <v>42</v>
      </c>
      <c r="O643" s="57">
        <v>45793.0</v>
      </c>
      <c r="P643" s="35" t="s">
        <v>43</v>
      </c>
      <c r="Q643" s="35"/>
      <c r="R643" s="35" t="s">
        <v>3236</v>
      </c>
      <c r="S643" s="35" t="b">
        <v>0</v>
      </c>
      <c r="T643" s="35" t="b">
        <v>0</v>
      </c>
      <c r="U643" s="41" t="str">
        <f>IFERROR(__xludf.DUMMYFUNCTION("""["" &amp; JOIN("", "", ARRAYFORMULA("""""""" &amp; TRIM(SPLIT(A643, "","")) &amp; """""""")) &amp; ""]"""),"[""99999""]")</f>
        <v>["99999"]</v>
      </c>
      <c r="V643" s="42" t="s">
        <v>3230</v>
      </c>
      <c r="W643" s="42" t="s">
        <v>3279</v>
      </c>
      <c r="X643" s="43"/>
      <c r="Y643" s="44" t="str">
        <f>vlookup(G643,zip_codes!$B$6:$J988,3,false)</f>
        <v>Houston</v>
      </c>
      <c r="Z643" s="45" t="str">
        <f>vlookup(G643,zip_codes!$B$6:$J988,9,false)</f>
        <v>MacGregor, Riverside Terrace, South Side</v>
      </c>
      <c r="AA643" s="44" t="str">
        <f>vlookup(B643,organizations!$B$1:$C988,2,false)</f>
        <v>New Hope Housing</v>
      </c>
      <c r="AB643" s="46" t="s">
        <v>3280</v>
      </c>
      <c r="AC643" s="47" t="s">
        <v>961</v>
      </c>
      <c r="AD643" s="48" t="s">
        <v>49</v>
      </c>
      <c r="AE643" s="48" t="str">
        <f t="shared" si="77"/>
        <v>New Hope Housing Perry4415 Perry Street24</v>
      </c>
      <c r="AF643" s="48" t="str">
        <f t="shared" si="78"/>
        <v/>
      </c>
    </row>
    <row r="644" ht="66.75" customHeight="1">
      <c r="A644" s="74" t="s">
        <v>50</v>
      </c>
      <c r="B644" s="35" t="s">
        <v>3281</v>
      </c>
      <c r="C644" s="36" t="s">
        <v>880</v>
      </c>
      <c r="D644" s="36"/>
      <c r="E644" s="36" t="s">
        <v>36</v>
      </c>
      <c r="F644" s="36" t="s">
        <v>37</v>
      </c>
      <c r="G644" s="35" t="s">
        <v>881</v>
      </c>
      <c r="H644" s="35" t="s">
        <v>3282</v>
      </c>
      <c r="I644" s="35" t="s">
        <v>959</v>
      </c>
      <c r="J644" s="35"/>
      <c r="K644" s="37">
        <f>IFERROR(__xludf.DUMMYFUNCTION("query(assistance!$A$2:$E988,""Select C Where D = '""&amp;L644&amp;""'"")"),24.0)</f>
        <v>24</v>
      </c>
      <c r="L644" s="36" t="s">
        <v>405</v>
      </c>
      <c r="M644" s="38">
        <f t="shared" si="81"/>
        <v>1</v>
      </c>
      <c r="N644" s="51" t="s">
        <v>42</v>
      </c>
      <c r="O644" s="57">
        <v>45793.0</v>
      </c>
      <c r="P644" s="35" t="s">
        <v>43</v>
      </c>
      <c r="Q644" s="35"/>
      <c r="R644" s="35" t="s">
        <v>3236</v>
      </c>
      <c r="S644" s="35" t="b">
        <v>0</v>
      </c>
      <c r="T644" s="35" t="b">
        <v>0</v>
      </c>
      <c r="U644" s="41" t="str">
        <f>IFERROR(__xludf.DUMMYFUNCTION("""["" &amp; JOIN("", "", ARRAYFORMULA("""""""" &amp; TRIM(SPLIT(A644, "","")) &amp; """""""")) &amp; ""]"""),"[""99999""]")</f>
        <v>["99999"]</v>
      </c>
      <c r="V644" s="42" t="s">
        <v>3230</v>
      </c>
      <c r="W644" s="42" t="s">
        <v>3283</v>
      </c>
      <c r="X644" s="43"/>
      <c r="Y644" s="44" t="str">
        <f>vlookup(G644,zip_codes!$B$6:$J988,3,false)</f>
        <v>Houston</v>
      </c>
      <c r="Z644" s="45" t="str">
        <f>vlookup(G644,zip_codes!$B$6:$J988,9,false)</f>
        <v>Central Southwest, South Park, South Side, Sunnyside</v>
      </c>
      <c r="AA644" s="44" t="str">
        <f>vlookup(B644,organizations!$B$1:$C988,2,false)</f>
        <v>New Hope Housing</v>
      </c>
      <c r="AB644" s="55" t="s">
        <v>3284</v>
      </c>
      <c r="AC644" s="47" t="s">
        <v>961</v>
      </c>
      <c r="AD644" s="48" t="s">
        <v>662</v>
      </c>
      <c r="AE644" s="48" t="str">
        <f t="shared" si="77"/>
        <v>New Hope Housing Reed2605 Reed Road24</v>
      </c>
      <c r="AF644" s="48" t="str">
        <f t="shared" si="78"/>
        <v/>
      </c>
    </row>
    <row r="645" ht="66.75" customHeight="1">
      <c r="A645" s="74" t="s">
        <v>50</v>
      </c>
      <c r="B645" s="35" t="s">
        <v>3285</v>
      </c>
      <c r="C645" s="36" t="s">
        <v>3286</v>
      </c>
      <c r="D645" s="36"/>
      <c r="E645" s="36" t="s">
        <v>36</v>
      </c>
      <c r="F645" s="36" t="s">
        <v>37</v>
      </c>
      <c r="G645" s="35" t="s">
        <v>237</v>
      </c>
      <c r="H645" s="35" t="s">
        <v>3235</v>
      </c>
      <c r="I645" s="35" t="s">
        <v>959</v>
      </c>
      <c r="J645" s="35"/>
      <c r="K645" s="37">
        <f>IFERROR(__xludf.DUMMYFUNCTION("query(assistance!$A$2:$E988,""Select C Where D = '""&amp;L645&amp;""'"")"),24.0)</f>
        <v>24</v>
      </c>
      <c r="L645" s="36" t="s">
        <v>405</v>
      </c>
      <c r="M645" s="38">
        <f t="shared" si="81"/>
        <v>1</v>
      </c>
      <c r="N645" s="51" t="s">
        <v>42</v>
      </c>
      <c r="O645" s="57">
        <v>45793.0</v>
      </c>
      <c r="P645" s="35" t="s">
        <v>43</v>
      </c>
      <c r="Q645" s="35"/>
      <c r="R645" s="35" t="s">
        <v>3236</v>
      </c>
      <c r="S645" s="35" t="b">
        <v>0</v>
      </c>
      <c r="T645" s="35" t="b">
        <v>0</v>
      </c>
      <c r="U645" s="41" t="str">
        <f>IFERROR(__xludf.DUMMYFUNCTION("""["" &amp; JOIN("", "", ARRAYFORMULA("""""""" &amp; TRIM(SPLIT(A645, "","")) &amp; """""""")) &amp; ""]"""),"[""99999""]")</f>
        <v>["99999"]</v>
      </c>
      <c r="V645" s="42" t="s">
        <v>3230</v>
      </c>
      <c r="W645" s="42" t="s">
        <v>3287</v>
      </c>
      <c r="X645" s="43"/>
      <c r="Y645" s="44" t="str">
        <f>vlookup(G645,zip_codes!$B$6:$J988,3,false)</f>
        <v>Houston</v>
      </c>
      <c r="Z645" s="45" t="str">
        <f>vlookup(G645,zip_codes!$B$6:$J988,9,false)</f>
        <v>Acres Home, Garden Oaks North, Northside / Northline</v>
      </c>
      <c r="AA645" s="44" t="str">
        <f>vlookup(B645,organizations!$B$1:$C988,2,false)</f>
        <v>New Hope Housing</v>
      </c>
      <c r="AB645" s="46" t="s">
        <v>3288</v>
      </c>
      <c r="AC645" s="47" t="s">
        <v>961</v>
      </c>
      <c r="AD645" s="48" t="s">
        <v>74</v>
      </c>
      <c r="AE645" s="48" t="str">
        <f t="shared" si="77"/>
        <v>New Hope Housing Rittenhouse577 W Rittenhouse Road24</v>
      </c>
      <c r="AF645" s="48" t="str">
        <f t="shared" si="78"/>
        <v/>
      </c>
    </row>
    <row r="646" ht="66.75" customHeight="1">
      <c r="A646" s="74" t="s">
        <v>50</v>
      </c>
      <c r="B646" s="35" t="s">
        <v>3289</v>
      </c>
      <c r="C646" s="36" t="s">
        <v>3290</v>
      </c>
      <c r="D646" s="36"/>
      <c r="E646" s="36" t="s">
        <v>36</v>
      </c>
      <c r="F646" s="36" t="s">
        <v>37</v>
      </c>
      <c r="G646" s="35" t="s">
        <v>846</v>
      </c>
      <c r="H646" s="35" t="s">
        <v>3235</v>
      </c>
      <c r="I646" s="35" t="s">
        <v>959</v>
      </c>
      <c r="J646" s="35"/>
      <c r="K646" s="37">
        <f>IFERROR(__xludf.DUMMYFUNCTION("query(assistance!$A$2:$E988,""Select C Where D = '""&amp;L646&amp;""'"")"),24.0)</f>
        <v>24</v>
      </c>
      <c r="L646" s="36" t="s">
        <v>405</v>
      </c>
      <c r="M646" s="38">
        <f t="shared" si="81"/>
        <v>1</v>
      </c>
      <c r="N646" s="51" t="s">
        <v>42</v>
      </c>
      <c r="O646" s="57">
        <v>45793.0</v>
      </c>
      <c r="P646" s="35" t="s">
        <v>43</v>
      </c>
      <c r="Q646" s="35"/>
      <c r="R646" s="35" t="s">
        <v>3236</v>
      </c>
      <c r="S646" s="35" t="b">
        <v>0</v>
      </c>
      <c r="T646" s="35" t="b">
        <v>0</v>
      </c>
      <c r="U646" s="41" t="str">
        <f>IFERROR(__xludf.DUMMYFUNCTION("""["" &amp; JOIN("", "", ARRAYFORMULA("""""""" &amp; TRIM(SPLIT(A646, "","")) &amp; """""""")) &amp; ""]"""),"[""99999""]")</f>
        <v>["99999"]</v>
      </c>
      <c r="V646" s="42" t="s">
        <v>3230</v>
      </c>
      <c r="W646" s="42" t="s">
        <v>3291</v>
      </c>
      <c r="X646" s="43"/>
      <c r="Y646" s="44" t="str">
        <f>vlookup(G646,zip_codes!$B$6:$J988,3,false)</f>
        <v>Houston</v>
      </c>
      <c r="Z646" s="45" t="str">
        <f>vlookup(G646,zip_codes!$B$6:$J988,9,false)</f>
        <v>Denver Harbor / Port Houston, Fifth Ward, Northside</v>
      </c>
      <c r="AA646" s="44" t="str">
        <f>vlookup(B646,organizations!$B$1:$C988,2,false)</f>
        <v>New Hope Housing</v>
      </c>
      <c r="AB646" s="46" t="s">
        <v>3292</v>
      </c>
      <c r="AC646" s="47" t="s">
        <v>961</v>
      </c>
      <c r="AD646" s="48" t="s">
        <v>356</v>
      </c>
      <c r="AE646" s="48" t="str">
        <f t="shared" si="77"/>
        <v>New Hope Housing Sakowitz2424 Sakowitz Street24</v>
      </c>
      <c r="AF646" s="48" t="str">
        <f t="shared" si="78"/>
        <v/>
      </c>
    </row>
    <row r="647" ht="66.75" customHeight="1">
      <c r="A647" s="74" t="s">
        <v>50</v>
      </c>
      <c r="B647" s="35" t="s">
        <v>3293</v>
      </c>
      <c r="C647" s="36" t="s">
        <v>3294</v>
      </c>
      <c r="D647" s="36"/>
      <c r="E647" s="36" t="s">
        <v>36</v>
      </c>
      <c r="F647" s="36" t="s">
        <v>37</v>
      </c>
      <c r="G647" s="35" t="s">
        <v>599</v>
      </c>
      <c r="H647" s="35" t="s">
        <v>3295</v>
      </c>
      <c r="I647" s="35" t="s">
        <v>959</v>
      </c>
      <c r="J647" s="35"/>
      <c r="K647" s="37">
        <f>IFERROR(__xludf.DUMMYFUNCTION("query(assistance!$A$2:$E988,""Select C Where D = '""&amp;L647&amp;""'"")"),24.0)</f>
        <v>24</v>
      </c>
      <c r="L647" s="36" t="s">
        <v>405</v>
      </c>
      <c r="M647" s="38">
        <f t="shared" si="81"/>
        <v>1</v>
      </c>
      <c r="N647" s="51" t="s">
        <v>42</v>
      </c>
      <c r="O647" s="57">
        <v>45793.0</v>
      </c>
      <c r="P647" s="35" t="s">
        <v>43</v>
      </c>
      <c r="Q647" s="35"/>
      <c r="R647" s="35" t="s">
        <v>3236</v>
      </c>
      <c r="S647" s="35" t="b">
        <v>0</v>
      </c>
      <c r="T647" s="35" t="b">
        <v>0</v>
      </c>
      <c r="U647" s="41" t="str">
        <f>IFERROR(__xludf.DUMMYFUNCTION("""["" &amp; JOIN("", "", ARRAYFORMULA("""""""" &amp; TRIM(SPLIT(A647, "","")) &amp; """""""")) &amp; ""]"""),"[""99999""]")</f>
        <v>["99999"]</v>
      </c>
      <c r="V647" s="42" t="s">
        <v>3230</v>
      </c>
      <c r="W647" s="42" t="s">
        <v>3296</v>
      </c>
      <c r="X647" s="43"/>
      <c r="Y647" s="44" t="str">
        <f>vlookup(G647,zip_codes!$B$6:$J988,3,false)</f>
        <v>Houston</v>
      </c>
      <c r="Z647" s="45" t="str">
        <f>vlookup(G647,zip_codes!$B$6:$J988,9,false)</f>
        <v>Chinatown, Sharpstown, Westside</v>
      </c>
      <c r="AA647" s="44" t="str">
        <f>vlookup(B647,organizations!$B$1:$C988,2,false)</f>
        <v>New Hope Housing</v>
      </c>
      <c r="AB647" s="46" t="s">
        <v>3297</v>
      </c>
      <c r="AC647" s="47" t="s">
        <v>961</v>
      </c>
      <c r="AD647" s="48" t="s">
        <v>572</v>
      </c>
      <c r="AE647" s="48" t="str">
        <f t="shared" si="77"/>
        <v>New Hope Housing Savoy6315 Savoy Drive24</v>
      </c>
      <c r="AF647" s="48" t="str">
        <f t="shared" si="78"/>
        <v/>
      </c>
    </row>
    <row r="648" ht="66.75" customHeight="1">
      <c r="A648" s="49" t="s">
        <v>50</v>
      </c>
      <c r="B648" s="35" t="s">
        <v>3298</v>
      </c>
      <c r="C648" s="36" t="s">
        <v>3299</v>
      </c>
      <c r="D648" s="36" t="s">
        <v>3300</v>
      </c>
      <c r="E648" s="36" t="s">
        <v>3301</v>
      </c>
      <c r="F648" s="36" t="s">
        <v>37</v>
      </c>
      <c r="G648" s="35" t="s">
        <v>3302</v>
      </c>
      <c r="H648" s="35" t="s">
        <v>3303</v>
      </c>
      <c r="I648" s="35" t="s">
        <v>67</v>
      </c>
      <c r="J648" s="35"/>
      <c r="K648" s="37">
        <f>IFERROR(__xludf.DUMMYFUNCTION("query(assistance!$A$2:$E988,""Select C Where D = '""&amp;L648&amp;""'"")"),65.0)</f>
        <v>65</v>
      </c>
      <c r="L648" s="36" t="s">
        <v>41</v>
      </c>
      <c r="M648" s="38">
        <f t="shared" si="81"/>
        <v>1</v>
      </c>
      <c r="N648" s="51" t="s">
        <v>42</v>
      </c>
      <c r="O648" s="40">
        <v>45761.0</v>
      </c>
      <c r="P648" s="35" t="s">
        <v>406</v>
      </c>
      <c r="Q648" s="35"/>
      <c r="R648" s="35" t="s">
        <v>3304</v>
      </c>
      <c r="S648" s="35" t="b">
        <v>0</v>
      </c>
      <c r="T648" s="35" t="b">
        <v>0</v>
      </c>
      <c r="U648" s="41" t="str">
        <f>IFERROR(__xludf.DUMMYFUNCTION("""["" &amp; JOIN("", "", ARRAYFORMULA("""""""" &amp; TRIM(SPLIT(A648, "","")) &amp; """""""")) &amp; ""]"""),"[""99999""]")</f>
        <v>["99999"]</v>
      </c>
      <c r="V648" s="52" t="s">
        <v>3305</v>
      </c>
      <c r="W648" s="52" t="s">
        <v>3306</v>
      </c>
      <c r="X648" s="43"/>
      <c r="Y648" s="44" t="str">
        <f>vlookup(G648,zip_codes!$B$6:$J988,3,false)</f>
        <v>Tomball</v>
      </c>
      <c r="Z648" s="45" t="str">
        <f>vlookup(G648,zip_codes!$B$6:$J988,9,false)</f>
        <v>Tomball, Willowcreek</v>
      </c>
      <c r="AA648" s="44" t="str">
        <f>vlookup(B648,organizations!$B$1:$C988,2,false)</f>
        <v>New Life</v>
      </c>
      <c r="AB648" s="46" t="s">
        <v>3307</v>
      </c>
      <c r="AC648" s="47" t="s">
        <v>73</v>
      </c>
      <c r="AD648" s="48" t="s">
        <v>3301</v>
      </c>
      <c r="AE648" s="48" t="str">
        <f t="shared" si="77"/>
        <v>New Life11439 Spring Cypress Road65</v>
      </c>
      <c r="AF648" s="48" t="str">
        <f t="shared" si="78"/>
        <v/>
      </c>
    </row>
    <row r="649" ht="66.75" customHeight="1">
      <c r="A649" s="49" t="s">
        <v>50</v>
      </c>
      <c r="B649" s="35" t="s">
        <v>3308</v>
      </c>
      <c r="C649" s="36" t="s">
        <v>3309</v>
      </c>
      <c r="D649" s="36"/>
      <c r="E649" s="36" t="s">
        <v>36</v>
      </c>
      <c r="F649" s="36" t="s">
        <v>37</v>
      </c>
      <c r="G649" s="56" t="s">
        <v>919</v>
      </c>
      <c r="H649" s="35" t="s">
        <v>3310</v>
      </c>
      <c r="I649" s="35" t="s">
        <v>516</v>
      </c>
      <c r="J649" s="35" t="s">
        <v>3311</v>
      </c>
      <c r="K649" s="37">
        <f>IFERROR(__xludf.DUMMYFUNCTION("query(assistance!$A$2:$E988,""Select C Where D = '""&amp;L649&amp;""'"")"),37.0)</f>
        <v>37</v>
      </c>
      <c r="L649" s="36" t="s">
        <v>309</v>
      </c>
      <c r="M649" s="38">
        <f t="shared" si="81"/>
        <v>1</v>
      </c>
      <c r="N649" s="39" t="s">
        <v>42</v>
      </c>
      <c r="O649" s="62">
        <v>46036.0</v>
      </c>
      <c r="P649" s="35" t="s">
        <v>43</v>
      </c>
      <c r="Q649" s="35"/>
      <c r="R649" s="35" t="s">
        <v>3312</v>
      </c>
      <c r="S649" s="35" t="b">
        <v>0</v>
      </c>
      <c r="T649" s="35" t="b">
        <v>0</v>
      </c>
      <c r="U649" s="41" t="str">
        <f>IFERROR(__xludf.DUMMYFUNCTION("""["" &amp; JOIN("", "", ARRAYFORMULA("""""""" &amp; TRIM(SPLIT(A649, "","")) &amp; """""""")) &amp; ""]"""),"[""99999""]")</f>
        <v>["99999"]</v>
      </c>
      <c r="V649" s="42" t="s">
        <v>3313</v>
      </c>
      <c r="W649" s="42" t="s">
        <v>3314</v>
      </c>
      <c r="X649" s="43"/>
      <c r="Y649" s="44" t="str">
        <f>vlookup(G649,zip_codes!$B$6:$J988,3,false)</f>
        <v>Houston</v>
      </c>
      <c r="Z649" s="45" t="str">
        <f>vlookup(G649,zip_codes!$B$6:$J988,9,false)</f>
        <v>Astrodome Area, Medical Center South, NRG Park area, South Main</v>
      </c>
      <c r="AA649" s="44" t="str">
        <f>vlookup(B649,organizations!$B$1:$C988,2,false)</f>
        <v>Nora's Home</v>
      </c>
      <c r="AB649" s="55" t="s">
        <v>3315</v>
      </c>
      <c r="AC649" s="61" t="s">
        <v>520</v>
      </c>
      <c r="AD649" s="58" t="s">
        <v>1987</v>
      </c>
      <c r="AE649" s="48" t="str">
        <f t="shared" si="77"/>
        <v>Nora's Home8300 El Rio Street37</v>
      </c>
      <c r="AF649" s="48" t="str">
        <f t="shared" si="78"/>
        <v/>
      </c>
    </row>
    <row r="650" ht="66.75" customHeight="1">
      <c r="A650" s="49" t="s">
        <v>3316</v>
      </c>
      <c r="B650" s="35" t="s">
        <v>3317</v>
      </c>
      <c r="C650" s="36" t="s">
        <v>3318</v>
      </c>
      <c r="D650" s="36"/>
      <c r="E650" s="36" t="s">
        <v>36</v>
      </c>
      <c r="F650" s="36" t="s">
        <v>37</v>
      </c>
      <c r="G650" s="35" t="s">
        <v>2818</v>
      </c>
      <c r="H650" s="35" t="s">
        <v>3319</v>
      </c>
      <c r="I650" s="35" t="s">
        <v>3320</v>
      </c>
      <c r="J650" s="35"/>
      <c r="K650" s="37">
        <f>IFERROR(__xludf.DUMMYFUNCTION("query(assistance!$A$2:$E988,""Select C Where D = '""&amp;L650&amp;""'"")"),13.0)</f>
        <v>13</v>
      </c>
      <c r="L650" s="36" t="s">
        <v>240</v>
      </c>
      <c r="M650" s="38">
        <f t="shared" si="81"/>
        <v>1</v>
      </c>
      <c r="N650" s="39" t="s">
        <v>42</v>
      </c>
      <c r="O650" s="65"/>
      <c r="P650" s="50"/>
      <c r="Q650" s="35"/>
      <c r="R650" s="35" t="s">
        <v>3321</v>
      </c>
      <c r="S650" s="35" t="b">
        <v>0</v>
      </c>
      <c r="T650" s="35" t="b">
        <v>0</v>
      </c>
      <c r="U650" s="41" t="str">
        <f>IFERROR(__xludf.DUMMYFUNCTION("""["" &amp; JOIN("", "", ARRAYFORMULA("""""""" &amp; TRIM(SPLIT(A650, "","")) &amp; """""""")) &amp; ""]"""),"[""77013"", ""77015"", ""77029"", ""77044"", ""77049"", ""77078"", ""77530""]")</f>
        <v>["77013", "77015", "77029", "77044", "77049", "77078", "77530"]</v>
      </c>
      <c r="V650" s="43"/>
      <c r="W650" s="52" t="s">
        <v>3322</v>
      </c>
      <c r="X650" s="43"/>
      <c r="Y650" s="44" t="str">
        <f>vlookup(G650,zip_codes!$B$6:$J988,3,false)</f>
        <v>Houston</v>
      </c>
      <c r="Z650" s="45" t="str">
        <f>vlookup(G650,zip_codes!$B$6:$J988,9,false)</f>
        <v>Cloverleaf, Northeast Houston, Northshore</v>
      </c>
      <c r="AA650" s="44" t="str">
        <f>vlookup(B650,organizations!$B$1:$C988,2,false)</f>
        <v>North Channel Assistance Ministries</v>
      </c>
      <c r="AB650" s="46" t="s">
        <v>3323</v>
      </c>
      <c r="AC650" s="47" t="s">
        <v>3324</v>
      </c>
      <c r="AD650" s="48" t="s">
        <v>1216</v>
      </c>
      <c r="AE650" s="48" t="str">
        <f t="shared" si="77"/>
        <v>North Channel Assistance Ministries13837 Bonham Street13</v>
      </c>
      <c r="AF650" s="48" t="str">
        <f t="shared" si="78"/>
        <v/>
      </c>
    </row>
    <row r="651" ht="66.75" customHeight="1">
      <c r="A651" s="34" t="s">
        <v>234</v>
      </c>
      <c r="B651" s="35" t="s">
        <v>3325</v>
      </c>
      <c r="C651" s="36" t="s">
        <v>3326</v>
      </c>
      <c r="D651" s="36"/>
      <c r="E651" s="36" t="s">
        <v>36</v>
      </c>
      <c r="F651" s="36" t="s">
        <v>37</v>
      </c>
      <c r="G651" s="56" t="s">
        <v>3327</v>
      </c>
      <c r="H651" s="35" t="s">
        <v>341</v>
      </c>
      <c r="I651" s="35" t="s">
        <v>3328</v>
      </c>
      <c r="J651" s="35"/>
      <c r="K651" s="37">
        <f>IFERROR(__xludf.DUMMYFUNCTION("query(assistance!$A$2:$E988,""Select C Where D = '""&amp;L651&amp;""'"")"),44.0)</f>
        <v>44</v>
      </c>
      <c r="L651" s="36" t="s">
        <v>102</v>
      </c>
      <c r="M651" s="38">
        <f t="shared" si="81"/>
        <v>1</v>
      </c>
      <c r="N651" s="39" t="s">
        <v>42</v>
      </c>
      <c r="O651" s="57">
        <v>46057.0</v>
      </c>
      <c r="P651" s="35" t="s">
        <v>43</v>
      </c>
      <c r="Q651" s="35"/>
      <c r="R651" s="35" t="s">
        <v>246</v>
      </c>
      <c r="S651" s="35" t="b">
        <v>0</v>
      </c>
      <c r="T651" s="35" t="b">
        <v>0</v>
      </c>
      <c r="U651" s="41" t="str">
        <f>IFERROR(__xludf.DUMMYFUNCTION("""["" &amp; JOIN("", "", ARRAYFORMULA("""""""" &amp; TRIM(SPLIT(A651,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651" s="91" t="s">
        <v>3329</v>
      </c>
      <c r="W651" s="42" t="s">
        <v>3330</v>
      </c>
      <c r="X651" s="43"/>
      <c r="Y651" s="44" t="str">
        <f>vlookup(G651,zip_codes!$B$6:$J988,3,false)</f>
        <v>Houston</v>
      </c>
      <c r="Z651" s="45" t="str">
        <f>vlookup(G651,zip_codes!$B$6:$J988,9,false)</f>
        <v>East Little York, Trinity Gardens</v>
      </c>
      <c r="AA651" s="44" t="str">
        <f>vlookup(B651,organizations!$B$1:$C988,2,false)</f>
        <v>City of Houston</v>
      </c>
      <c r="AB651" s="55" t="s">
        <v>3331</v>
      </c>
      <c r="AC651" s="47" t="str">
        <f t="shared" ref="AC651:AC652" si="82">PARSE_HOURS(I651)</f>
        <v>{"regular":[{"days":["Mo"],"open":"09:00","close":"18:00"},{"days":["We","Th"],"open":"08:00","close":"17:00"}],"special":[{"pattern":"3rd Sa","open":"08:00","close":"12:00"}]}</v>
      </c>
      <c r="AD651" s="58" t="s">
        <v>3332</v>
      </c>
      <c r="AE651" s="48"/>
      <c r="AF651" s="48"/>
    </row>
    <row r="652" ht="66.75" customHeight="1">
      <c r="A652" s="34" t="s">
        <v>234</v>
      </c>
      <c r="B652" s="35" t="s">
        <v>3325</v>
      </c>
      <c r="C652" s="36" t="s">
        <v>3326</v>
      </c>
      <c r="D652" s="36"/>
      <c r="E652" s="36" t="s">
        <v>36</v>
      </c>
      <c r="F652" s="36" t="s">
        <v>37</v>
      </c>
      <c r="G652" s="56" t="s">
        <v>3327</v>
      </c>
      <c r="H652" s="35" t="s">
        <v>3333</v>
      </c>
      <c r="I652" s="35" t="s">
        <v>959</v>
      </c>
      <c r="J652" s="35"/>
      <c r="K652" s="37">
        <f>IFERROR(__xludf.DUMMYFUNCTION("query(assistance!$A$2:$E988,""Select C Where D = '""&amp;L652&amp;""'"")"),61.0)</f>
        <v>61</v>
      </c>
      <c r="L652" s="36" t="s">
        <v>842</v>
      </c>
      <c r="M652" s="38">
        <f t="shared" si="81"/>
        <v>1</v>
      </c>
      <c r="N652" s="39" t="s">
        <v>42</v>
      </c>
      <c r="O652" s="57">
        <v>46057.0</v>
      </c>
      <c r="P652" s="35" t="s">
        <v>43</v>
      </c>
      <c r="Q652" s="35"/>
      <c r="R652" s="35" t="s">
        <v>3334</v>
      </c>
      <c r="S652" s="35" t="b">
        <v>0</v>
      </c>
      <c r="T652" s="35" t="b">
        <v>0</v>
      </c>
      <c r="U652" s="41" t="str">
        <f>IFERROR(__xludf.DUMMYFUNCTION("""["" &amp; JOIN("", "", ARRAYFORMULA("""""""" &amp; TRIM(SPLIT(A652,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652" s="91" t="s">
        <v>3329</v>
      </c>
      <c r="W652" s="42" t="s">
        <v>3330</v>
      </c>
      <c r="X652" s="43"/>
      <c r="Y652" s="44" t="str">
        <f>vlookup(G652,zip_codes!$B$6:$J988,3,false)</f>
        <v>Houston</v>
      </c>
      <c r="Z652" s="45" t="str">
        <f>vlookup(G652,zip_codes!$B$6:$J988,9,false)</f>
        <v>East Little York, Trinity Gardens</v>
      </c>
      <c r="AA652" s="44" t="str">
        <f>vlookup(B652,organizations!$B$1:$C988,2,false)</f>
        <v>City of Houston</v>
      </c>
      <c r="AB652" s="55" t="s">
        <v>3331</v>
      </c>
      <c r="AC652" s="47" t="str">
        <f t="shared" si="82"/>
        <v>{"regular":[{"days":["Mo","Tu","We","Th","Fr"],"open":"09:00","close":"15:00"}]}</v>
      </c>
      <c r="AD652" s="58" t="s">
        <v>3332</v>
      </c>
      <c r="AE652" s="48"/>
      <c r="AF652" s="48"/>
    </row>
    <row r="653" ht="66.75" customHeight="1">
      <c r="A653" s="49" t="s">
        <v>50</v>
      </c>
      <c r="B653" s="35" t="s">
        <v>3335</v>
      </c>
      <c r="C653" s="36" t="s">
        <v>3336</v>
      </c>
      <c r="D653" s="36"/>
      <c r="E653" s="36" t="s">
        <v>36</v>
      </c>
      <c r="F653" s="36" t="s">
        <v>37</v>
      </c>
      <c r="G653" s="35" t="s">
        <v>1388</v>
      </c>
      <c r="H653" s="35" t="s">
        <v>3337</v>
      </c>
      <c r="I653" s="35"/>
      <c r="J653" s="35"/>
      <c r="K653" s="37">
        <f>IFERROR(__xludf.DUMMYFUNCTION("query(assistance!$A$2:$E988,""Select C Where D = '""&amp;L653&amp;""'"")"),24.0)</f>
        <v>24</v>
      </c>
      <c r="L653" s="36" t="s">
        <v>405</v>
      </c>
      <c r="M653" s="38">
        <f t="shared" si="81"/>
        <v>1</v>
      </c>
      <c r="N653" s="39" t="s">
        <v>42</v>
      </c>
      <c r="O653" s="40">
        <v>45791.0</v>
      </c>
      <c r="P653" s="35" t="s">
        <v>43</v>
      </c>
      <c r="Q653" s="35"/>
      <c r="R653" s="35" t="s">
        <v>1407</v>
      </c>
      <c r="S653" s="35" t="b">
        <v>0</v>
      </c>
      <c r="T653" s="35" t="b">
        <v>0</v>
      </c>
      <c r="U653" s="41" t="str">
        <f>IFERROR(__xludf.DUMMYFUNCTION("""["" &amp; JOIN("", "", ARRAYFORMULA("""""""" &amp; TRIM(SPLIT(A653, "","")) &amp; """""""")) &amp; ""]"""),"[""99999""]")</f>
        <v>["99999"]</v>
      </c>
      <c r="V653" s="42" t="s">
        <v>3338</v>
      </c>
      <c r="W653" s="42" t="s">
        <v>3339</v>
      </c>
      <c r="X653" s="43"/>
      <c r="Y653" s="44" t="str">
        <f>vlookup(G653,zip_codes!$B$6:$J988,3,false)</f>
        <v>Houston</v>
      </c>
      <c r="Z653" s="45" t="str">
        <f>vlookup(G653,zip_codes!$B$6:$J988,9,false)</f>
        <v>Bammel Village, Cornerstone Village North, Northchase</v>
      </c>
      <c r="AA653" s="44" t="str">
        <f>vlookup(B653,organizations!$B$1:$C988,2,false)</f>
        <v>Northvale Village (RHF)</v>
      </c>
      <c r="AB653" s="46" t="s">
        <v>3340</v>
      </c>
      <c r="AC653" s="53"/>
      <c r="AD653" s="48" t="s">
        <v>1394</v>
      </c>
      <c r="AE653" s="48" t="str">
        <f t="shared" ref="AE653:AE663" si="83">B653&amp;C653&amp;K653</f>
        <v>Northvale Village (RHF)14422 Cornerstone Village Drive24</v>
      </c>
      <c r="AF653" s="48" t="str">
        <f t="shared" ref="AF653:AF663" si="84">if(AE653=AE652,"XXX","")</f>
        <v/>
      </c>
    </row>
    <row r="654" ht="66.75" customHeight="1">
      <c r="A654" s="49" t="s">
        <v>3341</v>
      </c>
      <c r="B654" s="35" t="s">
        <v>3342</v>
      </c>
      <c r="C654" s="36" t="s">
        <v>3163</v>
      </c>
      <c r="D654" s="36"/>
      <c r="E654" s="36" t="s">
        <v>36</v>
      </c>
      <c r="F654" s="36" t="s">
        <v>37</v>
      </c>
      <c r="G654" s="35" t="s">
        <v>533</v>
      </c>
      <c r="H654" s="35" t="s">
        <v>3343</v>
      </c>
      <c r="I654" s="35" t="s">
        <v>3344</v>
      </c>
      <c r="J654" s="35" t="s">
        <v>89</v>
      </c>
      <c r="K654" s="37">
        <f>IFERROR(__xludf.DUMMYFUNCTION("query(assistance!$A$2:$E988,""Select C Where D = '""&amp;L654&amp;""'"")"),11.0)</f>
        <v>11</v>
      </c>
      <c r="L654" s="36" t="s">
        <v>322</v>
      </c>
      <c r="M654" s="38">
        <f t="shared" si="81"/>
        <v>1</v>
      </c>
      <c r="N654" s="39" t="s">
        <v>42</v>
      </c>
      <c r="O654" s="57">
        <v>45848.0</v>
      </c>
      <c r="P654" s="35" t="s">
        <v>323</v>
      </c>
      <c r="Q654" s="35"/>
      <c r="R654" s="35" t="s">
        <v>3345</v>
      </c>
      <c r="S654" s="35" t="b">
        <v>0</v>
      </c>
      <c r="T654" s="35" t="b">
        <v>0</v>
      </c>
      <c r="U654" s="41" t="str">
        <f>IFERROR(__xludf.DUMMYFUNCTION("""["" &amp; JOIN("", "", ARRAYFORMULA("""""""" &amp; TRIM(SPLIT(A654, "","")) &amp; """""""")) &amp; ""]"""),"[""77014"", ""77032"", ""77038"", ""77050"", ""77060"", ""77064"", ""77066"", ""77067"", ""77068"", ""77069"", ""77070"", ""77073"", ""77086"", ""77090"", ""77373"", ""77379"", ""77388"", ""77389""]")</f>
        <v>["77014", "77032", "77038", "77050", "77060", "77064", "77066", "77067", "77068", "77069", "77070", "77073", "77086", "77090", "77373", "77379", "77388", "77389"]</v>
      </c>
      <c r="V654" s="52" t="s">
        <v>3346</v>
      </c>
      <c r="W654" s="52" t="s">
        <v>3347</v>
      </c>
      <c r="X654" s="43"/>
      <c r="Y654" s="44" t="str">
        <f>vlookup(G654,zip_codes!$B$6:$J988,3,false)</f>
        <v>Houston</v>
      </c>
      <c r="Z654" s="45" t="str">
        <f>vlookup(G654,zip_codes!$B$6:$J988,9,false)</f>
        <v>Cypress Station, Ella Crossing, Westador</v>
      </c>
      <c r="AA654" s="44" t="str">
        <f>vlookup(B654,organizations!$B$1:$C988,2,false)</f>
        <v>Northwest Area Ministries</v>
      </c>
      <c r="AB654" s="46" t="s">
        <v>3168</v>
      </c>
      <c r="AC654" s="47" t="s">
        <v>3348</v>
      </c>
      <c r="AD654" s="58" t="s">
        <v>2370</v>
      </c>
      <c r="AE654" s="48" t="str">
        <f t="shared" si="83"/>
        <v>Northwest Area Ministries15555 Kuykendahl Road11</v>
      </c>
      <c r="AF654" s="48" t="str">
        <f t="shared" si="84"/>
        <v/>
      </c>
    </row>
    <row r="655" ht="66.75" customHeight="1">
      <c r="A655" s="49" t="s">
        <v>3341</v>
      </c>
      <c r="B655" s="35" t="s">
        <v>3342</v>
      </c>
      <c r="C655" s="36" t="s">
        <v>3163</v>
      </c>
      <c r="D655" s="36"/>
      <c r="E655" s="36" t="s">
        <v>36</v>
      </c>
      <c r="F655" s="36" t="s">
        <v>37</v>
      </c>
      <c r="G655" s="35" t="s">
        <v>533</v>
      </c>
      <c r="H655" s="35" t="s">
        <v>3349</v>
      </c>
      <c r="I655" s="35" t="s">
        <v>3344</v>
      </c>
      <c r="J655" s="35"/>
      <c r="K655" s="37">
        <f>IFERROR(__xludf.DUMMYFUNCTION("query(assistance!$A$2:$E988,""Select C Where D = '""&amp;L655&amp;""'"")"),12.0)</f>
        <v>12</v>
      </c>
      <c r="L655" s="36" t="s">
        <v>330</v>
      </c>
      <c r="M655" s="38">
        <f t="shared" si="81"/>
        <v>1</v>
      </c>
      <c r="N655" s="39" t="s">
        <v>42</v>
      </c>
      <c r="O655" s="57">
        <v>45848.0</v>
      </c>
      <c r="P655" s="35" t="s">
        <v>323</v>
      </c>
      <c r="Q655" s="35"/>
      <c r="R655" s="35"/>
      <c r="S655" s="35" t="b">
        <v>0</v>
      </c>
      <c r="T655" s="35" t="b">
        <v>0</v>
      </c>
      <c r="U655" s="41" t="str">
        <f>IFERROR(__xludf.DUMMYFUNCTION("""["" &amp; JOIN("", "", ARRAYFORMULA("""""""" &amp; TRIM(SPLIT(A655, "","")) &amp; """""""")) &amp; ""]"""),"[""77014"", ""77032"", ""77038"", ""77050"", ""77060"", ""77064"", ""77066"", ""77067"", ""77068"", ""77069"", ""77070"", ""77073"", ""77086"", ""77090"", ""77373"", ""77379"", ""77388"", ""77389""]")</f>
        <v>["77014", "77032", "77038", "77050", "77060", "77064", "77066", "77067", "77068", "77069", "77070", "77073", "77086", "77090", "77373", "77379", "77388", "77389"]</v>
      </c>
      <c r="V655" s="52" t="s">
        <v>3346</v>
      </c>
      <c r="W655" s="52" t="s">
        <v>3347</v>
      </c>
      <c r="X655" s="43"/>
      <c r="Y655" s="44" t="str">
        <f>vlookup(G655,zip_codes!$B$6:$J988,3,false)</f>
        <v>Houston</v>
      </c>
      <c r="Z655" s="45" t="str">
        <f>vlookup(G655,zip_codes!$B$6:$J988,9,false)</f>
        <v>Cypress Station, Ella Crossing, Westador</v>
      </c>
      <c r="AA655" s="44" t="str">
        <f>vlookup(B655,organizations!$B$1:$C988,2,false)</f>
        <v>Northwest Area Ministries</v>
      </c>
      <c r="AB655" s="46" t="s">
        <v>3168</v>
      </c>
      <c r="AC655" s="47" t="s">
        <v>3348</v>
      </c>
      <c r="AD655" s="58" t="s">
        <v>2370</v>
      </c>
      <c r="AE655" s="48" t="str">
        <f t="shared" si="83"/>
        <v>Northwest Area Ministries15555 Kuykendahl Road12</v>
      </c>
      <c r="AF655" s="48" t="str">
        <f t="shared" si="84"/>
        <v/>
      </c>
    </row>
    <row r="656" ht="66.75" customHeight="1">
      <c r="A656" s="49" t="s">
        <v>3341</v>
      </c>
      <c r="B656" s="35" t="s">
        <v>3342</v>
      </c>
      <c r="C656" s="36" t="s">
        <v>3163</v>
      </c>
      <c r="D656" s="36"/>
      <c r="E656" s="36" t="s">
        <v>36</v>
      </c>
      <c r="F656" s="36" t="s">
        <v>37</v>
      </c>
      <c r="G656" s="35" t="s">
        <v>533</v>
      </c>
      <c r="H656" s="35" t="s">
        <v>3350</v>
      </c>
      <c r="I656" s="35" t="s">
        <v>3351</v>
      </c>
      <c r="J656" s="35"/>
      <c r="K656" s="37">
        <f>IFERROR(__xludf.DUMMYFUNCTION("query(assistance!$A$2:$E988,""Select C Where D = '""&amp;L656&amp;""'"")"),13.0)</f>
        <v>13</v>
      </c>
      <c r="L656" s="36" t="s">
        <v>240</v>
      </c>
      <c r="M656" s="38">
        <f t="shared" si="81"/>
        <v>1</v>
      </c>
      <c r="N656" s="39" t="s">
        <v>42</v>
      </c>
      <c r="O656" s="65"/>
      <c r="P656" s="50"/>
      <c r="Q656" s="35"/>
      <c r="R656" s="35" t="s">
        <v>3352</v>
      </c>
      <c r="S656" s="35" t="b">
        <v>0</v>
      </c>
      <c r="T656" s="35" t="b">
        <v>0</v>
      </c>
      <c r="U656" s="41" t="str">
        <f>IFERROR(__xludf.DUMMYFUNCTION("""["" &amp; JOIN("", "", ARRAYFORMULA("""""""" &amp; TRIM(SPLIT(A656, "","")) &amp; """""""")) &amp; ""]"""),"[""77014"", ""77032"", ""77038"", ""77050"", ""77060"", ""77064"", ""77066"", ""77067"", ""77068"", ""77069"", ""77070"", ""77073"", ""77086"", ""77090"", ""77373"", ""77379"", ""77388"", ""77389""]")</f>
        <v>["77014", "77032", "77038", "77050", "77060", "77064", "77066", "77067", "77068", "77069", "77070", "77073", "77086", "77090", "77373", "77379", "77388", "77389"]</v>
      </c>
      <c r="V656" s="52" t="s">
        <v>3346</v>
      </c>
      <c r="W656" s="52" t="s">
        <v>3347</v>
      </c>
      <c r="X656" s="43"/>
      <c r="Y656" s="44" t="str">
        <f>vlookup(G656,zip_codes!$B$6:$J988,3,false)</f>
        <v>Houston</v>
      </c>
      <c r="Z656" s="45" t="str">
        <f>vlookup(G656,zip_codes!$B$6:$J988,9,false)</f>
        <v>Cypress Station, Ella Crossing, Westador</v>
      </c>
      <c r="AA656" s="44" t="str">
        <f>vlookup(B656,organizations!$B$1:$C988,2,false)</f>
        <v>Northwest Area Ministries</v>
      </c>
      <c r="AB656" s="46" t="s">
        <v>3168</v>
      </c>
      <c r="AC656" s="47" t="s">
        <v>3353</v>
      </c>
      <c r="AD656" s="58" t="s">
        <v>2370</v>
      </c>
      <c r="AE656" s="48" t="str">
        <f t="shared" si="83"/>
        <v>Northwest Area Ministries15555 Kuykendahl Road13</v>
      </c>
      <c r="AF656" s="48" t="str">
        <f t="shared" si="84"/>
        <v/>
      </c>
    </row>
    <row r="657" ht="66.75" customHeight="1">
      <c r="A657" s="49" t="s">
        <v>3341</v>
      </c>
      <c r="B657" s="35" t="s">
        <v>3342</v>
      </c>
      <c r="C657" s="36" t="s">
        <v>3163</v>
      </c>
      <c r="D657" s="36"/>
      <c r="E657" s="36" t="s">
        <v>36</v>
      </c>
      <c r="F657" s="36" t="s">
        <v>37</v>
      </c>
      <c r="G657" s="35" t="s">
        <v>533</v>
      </c>
      <c r="H657" s="35" t="s">
        <v>3354</v>
      </c>
      <c r="I657" s="66"/>
      <c r="J657" s="89"/>
      <c r="K657" s="37">
        <f>IFERROR(__xludf.DUMMYFUNCTION("query(assistance!$A$2:$E988,""Select C Where D = '""&amp;L657&amp;""'"")"),24.0)</f>
        <v>24</v>
      </c>
      <c r="L657" s="36" t="s">
        <v>405</v>
      </c>
      <c r="M657" s="38">
        <f t="shared" si="81"/>
        <v>1</v>
      </c>
      <c r="N657" s="39" t="s">
        <v>42</v>
      </c>
      <c r="O657" s="65"/>
      <c r="P657" s="50"/>
      <c r="Q657" s="35"/>
      <c r="R657" s="35" t="s">
        <v>3355</v>
      </c>
      <c r="S657" s="35" t="b">
        <v>0</v>
      </c>
      <c r="T657" s="35" t="b">
        <v>0</v>
      </c>
      <c r="U657" s="41" t="str">
        <f>IFERROR(__xludf.DUMMYFUNCTION("""["" &amp; JOIN("", "", ARRAYFORMULA("""""""" &amp; TRIM(SPLIT(A657, "","")) &amp; """""""")) &amp; ""]"""),"[""77014"", ""77032"", ""77038"", ""77050"", ""77060"", ""77064"", ""77066"", ""77067"", ""77068"", ""77069"", ""77070"", ""77073"", ""77086"", ""77090"", ""77373"", ""77379"", ""77388"", ""77389""]")</f>
        <v>["77014", "77032", "77038", "77050", "77060", "77064", "77066", "77067", "77068", "77069", "77070", "77073", "77086", "77090", "77373", "77379", "77388", "77389"]</v>
      </c>
      <c r="V657" s="52" t="s">
        <v>3346</v>
      </c>
      <c r="W657" s="52" t="s">
        <v>3347</v>
      </c>
      <c r="X657" s="43"/>
      <c r="Y657" s="44" t="str">
        <f>vlookup(G657,zip_codes!$B$6:$J988,3,false)</f>
        <v>Houston</v>
      </c>
      <c r="Z657" s="45" t="str">
        <f>vlookup(G657,zip_codes!$B$6:$J988,9,false)</f>
        <v>Cypress Station, Ella Crossing, Westador</v>
      </c>
      <c r="AA657" s="44" t="str">
        <f>vlookup(B657,organizations!$B$1:$C988,2,false)</f>
        <v>Northwest Area Ministries</v>
      </c>
      <c r="AB657" s="46" t="s">
        <v>3168</v>
      </c>
      <c r="AC657" s="53"/>
      <c r="AD657" s="58" t="s">
        <v>2370</v>
      </c>
      <c r="AE657" s="48" t="str">
        <f t="shared" si="83"/>
        <v>Northwest Area Ministries15555 Kuykendahl Road24</v>
      </c>
      <c r="AF657" s="48" t="str">
        <f t="shared" si="84"/>
        <v/>
      </c>
    </row>
    <row r="658" ht="66.75" customHeight="1">
      <c r="A658" s="49" t="s">
        <v>3341</v>
      </c>
      <c r="B658" s="35" t="s">
        <v>3342</v>
      </c>
      <c r="C658" s="36" t="s">
        <v>3163</v>
      </c>
      <c r="D658" s="36"/>
      <c r="E658" s="36" t="s">
        <v>36</v>
      </c>
      <c r="F658" s="36" t="s">
        <v>37</v>
      </c>
      <c r="G658" s="35" t="s">
        <v>533</v>
      </c>
      <c r="H658" s="35" t="s">
        <v>3356</v>
      </c>
      <c r="I658" s="35" t="s">
        <v>3357</v>
      </c>
      <c r="J658" s="35"/>
      <c r="K658" s="37">
        <f>IFERROR(__xludf.DUMMYFUNCTION("query(assistance!$A$2:$E988,""Select C Where D = '""&amp;L658&amp;""'"")"),31.0)</f>
        <v>31</v>
      </c>
      <c r="L658" s="36" t="s">
        <v>90</v>
      </c>
      <c r="M658" s="38">
        <f t="shared" si="81"/>
        <v>1</v>
      </c>
      <c r="N658" s="39" t="s">
        <v>42</v>
      </c>
      <c r="O658" s="65"/>
      <c r="P658" s="50"/>
      <c r="Q658" s="35"/>
      <c r="R658" s="35" t="s">
        <v>3358</v>
      </c>
      <c r="S658" s="35" t="b">
        <v>0</v>
      </c>
      <c r="T658" s="35" t="b">
        <v>0</v>
      </c>
      <c r="U658" s="41" t="str">
        <f>IFERROR(__xludf.DUMMYFUNCTION("""["" &amp; JOIN("", "", ARRAYFORMULA("""""""" &amp; TRIM(SPLIT(A658, "","")) &amp; """""""")) &amp; ""]"""),"[""77014"", ""77032"", ""77038"", ""77050"", ""77060"", ""77064"", ""77066"", ""77067"", ""77068"", ""77069"", ""77070"", ""77073"", ""77086"", ""77090"", ""77373"", ""77379"", ""77388"", ""77389""]")</f>
        <v>["77014", "77032", "77038", "77050", "77060", "77064", "77066", "77067", "77068", "77069", "77070", "77073", "77086", "77090", "77373", "77379", "77388", "77389"]</v>
      </c>
      <c r="V658" s="52" t="s">
        <v>3346</v>
      </c>
      <c r="W658" s="52" t="s">
        <v>3347</v>
      </c>
      <c r="X658" s="43"/>
      <c r="Y658" s="44" t="str">
        <f>vlookup(G658,zip_codes!$B$6:$J988,3,false)</f>
        <v>Houston</v>
      </c>
      <c r="Z658" s="45" t="str">
        <f>vlookup(G658,zip_codes!$B$6:$J988,9,false)</f>
        <v>Cypress Station, Ella Crossing, Westador</v>
      </c>
      <c r="AA658" s="44" t="str">
        <f>vlookup(B658,organizations!$B$1:$C988,2,false)</f>
        <v>Northwest Area Ministries</v>
      </c>
      <c r="AB658" s="46" t="s">
        <v>3168</v>
      </c>
      <c r="AC658" s="47" t="s">
        <v>3359</v>
      </c>
      <c r="AD658" s="58" t="s">
        <v>2370</v>
      </c>
      <c r="AE658" s="48" t="str">
        <f t="shared" si="83"/>
        <v>Northwest Area Ministries15555 Kuykendahl Road31</v>
      </c>
      <c r="AF658" s="48" t="str">
        <f t="shared" si="84"/>
        <v/>
      </c>
    </row>
    <row r="659" ht="66.75" customHeight="1">
      <c r="A659" s="49" t="s">
        <v>3341</v>
      </c>
      <c r="B659" s="35" t="s">
        <v>3342</v>
      </c>
      <c r="C659" s="36" t="s">
        <v>3163</v>
      </c>
      <c r="D659" s="36"/>
      <c r="E659" s="36" t="s">
        <v>36</v>
      </c>
      <c r="F659" s="36" t="s">
        <v>37</v>
      </c>
      <c r="G659" s="35" t="s">
        <v>533</v>
      </c>
      <c r="H659" s="35" t="s">
        <v>3360</v>
      </c>
      <c r="I659" s="66"/>
      <c r="J659" s="89"/>
      <c r="K659" s="37">
        <f>IFERROR(__xludf.DUMMYFUNCTION("query(assistance!$A$2:$E988,""Select C Where D = '""&amp;L659&amp;""'"")"),33.0)</f>
        <v>33</v>
      </c>
      <c r="L659" s="36" t="s">
        <v>333</v>
      </c>
      <c r="M659" s="38">
        <f t="shared" si="81"/>
        <v>1</v>
      </c>
      <c r="N659" s="39" t="s">
        <v>42</v>
      </c>
      <c r="O659" s="65"/>
      <c r="P659" s="50"/>
      <c r="Q659" s="35"/>
      <c r="R659" s="35" t="s">
        <v>3361</v>
      </c>
      <c r="S659" s="35" t="b">
        <v>0</v>
      </c>
      <c r="T659" s="35" t="b">
        <v>0</v>
      </c>
      <c r="U659" s="41" t="str">
        <f>IFERROR(__xludf.DUMMYFUNCTION("""["" &amp; JOIN("", "", ARRAYFORMULA("""""""" &amp; TRIM(SPLIT(A659, "","")) &amp; """""""")) &amp; ""]"""),"[""77014"", ""77032"", ""77038"", ""77050"", ""77060"", ""77064"", ""77066"", ""77067"", ""77068"", ""77069"", ""77070"", ""77073"", ""77086"", ""77090"", ""77373"", ""77379"", ""77388"", ""77389""]")</f>
        <v>["77014", "77032", "77038", "77050", "77060", "77064", "77066", "77067", "77068", "77069", "77070", "77073", "77086", "77090", "77373", "77379", "77388", "77389"]</v>
      </c>
      <c r="V659" s="52" t="s">
        <v>3346</v>
      </c>
      <c r="W659" s="52" t="s">
        <v>3347</v>
      </c>
      <c r="X659" s="43"/>
      <c r="Y659" s="44" t="str">
        <f>vlookup(G659,zip_codes!$B$6:$J988,3,false)</f>
        <v>Houston</v>
      </c>
      <c r="Z659" s="45" t="str">
        <f>vlookup(G659,zip_codes!$B$6:$J988,9,false)</f>
        <v>Cypress Station, Ella Crossing, Westador</v>
      </c>
      <c r="AA659" s="44" t="str">
        <f>vlookup(B659,organizations!$B$1:$C988,2,false)</f>
        <v>Northwest Area Ministries</v>
      </c>
      <c r="AB659" s="46" t="s">
        <v>3168</v>
      </c>
      <c r="AC659" s="53"/>
      <c r="AD659" s="58" t="s">
        <v>2370</v>
      </c>
      <c r="AE659" s="48" t="str">
        <f t="shared" si="83"/>
        <v>Northwest Area Ministries15555 Kuykendahl Road33</v>
      </c>
      <c r="AF659" s="48" t="str">
        <f t="shared" si="84"/>
        <v/>
      </c>
    </row>
    <row r="660" ht="66.75" customHeight="1">
      <c r="A660" s="49" t="s">
        <v>3341</v>
      </c>
      <c r="B660" s="35" t="s">
        <v>3342</v>
      </c>
      <c r="C660" s="36" t="s">
        <v>3163</v>
      </c>
      <c r="D660" s="36"/>
      <c r="E660" s="36" t="s">
        <v>36</v>
      </c>
      <c r="F660" s="36" t="s">
        <v>37</v>
      </c>
      <c r="G660" s="35" t="s">
        <v>533</v>
      </c>
      <c r="H660" s="35" t="s">
        <v>3362</v>
      </c>
      <c r="I660" s="66"/>
      <c r="J660" s="89"/>
      <c r="K660" s="37">
        <f>IFERROR(__xludf.DUMMYFUNCTION("query(assistance!$A$2:$E988,""Select C Where D = '""&amp;L660&amp;""'"")"),42.0)</f>
        <v>42</v>
      </c>
      <c r="L660" s="36" t="s">
        <v>273</v>
      </c>
      <c r="M660" s="38">
        <f t="shared" si="81"/>
        <v>1</v>
      </c>
      <c r="N660" s="39" t="s">
        <v>42</v>
      </c>
      <c r="O660" s="65"/>
      <c r="P660" s="50"/>
      <c r="Q660" s="35"/>
      <c r="R660" s="35" t="s">
        <v>3363</v>
      </c>
      <c r="S660" s="35" t="b">
        <v>0</v>
      </c>
      <c r="T660" s="35" t="b">
        <v>0</v>
      </c>
      <c r="U660" s="41" t="str">
        <f>IFERROR(__xludf.DUMMYFUNCTION("""["" &amp; JOIN("", "", ARRAYFORMULA("""""""" &amp; TRIM(SPLIT(A660, "","")) &amp; """""""")) &amp; ""]"""),"[""77014"", ""77032"", ""77038"", ""77050"", ""77060"", ""77064"", ""77066"", ""77067"", ""77068"", ""77069"", ""77070"", ""77073"", ""77086"", ""77090"", ""77373"", ""77379"", ""77388"", ""77389""]")</f>
        <v>["77014", "77032", "77038", "77050", "77060", "77064", "77066", "77067", "77068", "77069", "77070", "77073", "77086", "77090", "77373", "77379", "77388", "77389"]</v>
      </c>
      <c r="V660" s="42" t="s">
        <v>3364</v>
      </c>
      <c r="W660" s="52" t="s">
        <v>3347</v>
      </c>
      <c r="X660" s="43"/>
      <c r="Y660" s="44" t="str">
        <f>vlookup(G660,zip_codes!$B$6:$J988,3,false)</f>
        <v>Houston</v>
      </c>
      <c r="Z660" s="45" t="str">
        <f>vlookup(G660,zip_codes!$B$6:$J988,9,false)</f>
        <v>Cypress Station, Ella Crossing, Westador</v>
      </c>
      <c r="AA660" s="44" t="str">
        <f>vlookup(B660,organizations!$B$1:$C988,2,false)</f>
        <v>Northwest Area Ministries</v>
      </c>
      <c r="AB660" s="46" t="s">
        <v>3168</v>
      </c>
      <c r="AC660" s="53"/>
      <c r="AD660" s="58" t="s">
        <v>2370</v>
      </c>
      <c r="AE660" s="48" t="str">
        <f t="shared" si="83"/>
        <v>Northwest Area Ministries15555 Kuykendahl Road42</v>
      </c>
      <c r="AF660" s="48" t="str">
        <f t="shared" si="84"/>
        <v/>
      </c>
    </row>
    <row r="661" ht="66.75" customHeight="1">
      <c r="A661" s="49" t="s">
        <v>3341</v>
      </c>
      <c r="B661" s="35" t="s">
        <v>3342</v>
      </c>
      <c r="C661" s="36" t="s">
        <v>3163</v>
      </c>
      <c r="D661" s="36"/>
      <c r="E661" s="36" t="s">
        <v>36</v>
      </c>
      <c r="F661" s="36" t="s">
        <v>37</v>
      </c>
      <c r="G661" s="35" t="s">
        <v>533</v>
      </c>
      <c r="H661" s="35" t="s">
        <v>3365</v>
      </c>
      <c r="I661" s="66"/>
      <c r="J661" s="89"/>
      <c r="K661" s="37">
        <f>IFERROR(__xludf.DUMMYFUNCTION("query(assistance!$A$2:$E988,""Select C Where D = '""&amp;L661&amp;""'"")"),51.0)</f>
        <v>51</v>
      </c>
      <c r="L661" s="36" t="s">
        <v>468</v>
      </c>
      <c r="M661" s="38">
        <f t="shared" si="81"/>
        <v>1</v>
      </c>
      <c r="N661" s="39" t="s">
        <v>42</v>
      </c>
      <c r="O661" s="65"/>
      <c r="P661" s="50"/>
      <c r="Q661" s="35"/>
      <c r="R661" s="35" t="s">
        <v>3366</v>
      </c>
      <c r="S661" s="35" t="b">
        <v>0</v>
      </c>
      <c r="T661" s="35" t="b">
        <v>0</v>
      </c>
      <c r="U661" s="41" t="str">
        <f>IFERROR(__xludf.DUMMYFUNCTION("""["" &amp; JOIN("", "", ARRAYFORMULA("""""""" &amp; TRIM(SPLIT(A661, "","")) &amp; """""""")) &amp; ""]"""),"[""77014"", ""77032"", ""77038"", ""77050"", ""77060"", ""77064"", ""77066"", ""77067"", ""77068"", ""77069"", ""77070"", ""77073"", ""77086"", ""77090"", ""77373"", ""77379"", ""77388"", ""77389""]")</f>
        <v>["77014", "77032", "77038", "77050", "77060", "77064", "77066", "77067", "77068", "77069", "77070", "77073", "77086", "77090", "77373", "77379", "77388", "77389"]</v>
      </c>
      <c r="V661" s="52" t="s">
        <v>3346</v>
      </c>
      <c r="W661" s="52" t="s">
        <v>3347</v>
      </c>
      <c r="X661" s="43"/>
      <c r="Y661" s="44" t="str">
        <f>vlookup(G661,zip_codes!$B$6:$J988,3,false)</f>
        <v>Houston</v>
      </c>
      <c r="Z661" s="45" t="str">
        <f>vlookup(G661,zip_codes!$B$6:$J988,9,false)</f>
        <v>Cypress Station, Ella Crossing, Westador</v>
      </c>
      <c r="AA661" s="44" t="str">
        <f>vlookup(B661,organizations!$B$1:$C988,2,false)</f>
        <v>Northwest Area Ministries</v>
      </c>
      <c r="AB661" s="46" t="s">
        <v>3168</v>
      </c>
      <c r="AC661" s="53"/>
      <c r="AD661" s="58" t="s">
        <v>2370</v>
      </c>
      <c r="AE661" s="48" t="str">
        <f t="shared" si="83"/>
        <v>Northwest Area Ministries15555 Kuykendahl Road51</v>
      </c>
      <c r="AF661" s="48" t="str">
        <f t="shared" si="84"/>
        <v/>
      </c>
    </row>
    <row r="662" ht="66.75" customHeight="1">
      <c r="A662" s="49" t="s">
        <v>3341</v>
      </c>
      <c r="B662" s="35" t="s">
        <v>3342</v>
      </c>
      <c r="C662" s="36" t="s">
        <v>3163</v>
      </c>
      <c r="D662" s="36"/>
      <c r="E662" s="36" t="s">
        <v>36</v>
      </c>
      <c r="F662" s="36" t="s">
        <v>37</v>
      </c>
      <c r="G662" s="35" t="s">
        <v>533</v>
      </c>
      <c r="H662" s="35" t="s">
        <v>3367</v>
      </c>
      <c r="I662" s="35" t="s">
        <v>3368</v>
      </c>
      <c r="J662" s="35"/>
      <c r="K662" s="37">
        <f>IFERROR(__xludf.DUMMYFUNCTION("query(assistance!$A$2:$E988,""Select C Where D = '""&amp;L662&amp;""'"")"),61.0)</f>
        <v>61</v>
      </c>
      <c r="L662" s="36" t="s">
        <v>842</v>
      </c>
      <c r="M662" s="38">
        <f t="shared" si="81"/>
        <v>1</v>
      </c>
      <c r="N662" s="39" t="s">
        <v>42</v>
      </c>
      <c r="O662" s="65"/>
      <c r="P662" s="50"/>
      <c r="Q662" s="35"/>
      <c r="R662" s="35" t="s">
        <v>3369</v>
      </c>
      <c r="S662" s="35" t="b">
        <v>0</v>
      </c>
      <c r="T662" s="35" t="b">
        <v>0</v>
      </c>
      <c r="U662" s="41" t="str">
        <f>IFERROR(__xludf.DUMMYFUNCTION("""["" &amp; JOIN("", "", ARRAYFORMULA("""""""" &amp; TRIM(SPLIT(A662, "","")) &amp; """""""")) &amp; ""]"""),"[""77014"", ""77032"", ""77038"", ""77050"", ""77060"", ""77064"", ""77066"", ""77067"", ""77068"", ""77069"", ""77070"", ""77073"", ""77086"", ""77090"", ""77373"", ""77379"", ""77388"", ""77389""]")</f>
        <v>["77014", "77032", "77038", "77050", "77060", "77064", "77066", "77067", "77068", "77069", "77070", "77073", "77086", "77090", "77373", "77379", "77388", "77389"]</v>
      </c>
      <c r="V662" s="52" t="s">
        <v>3346</v>
      </c>
      <c r="W662" s="52" t="s">
        <v>3347</v>
      </c>
      <c r="X662" s="43"/>
      <c r="Y662" s="44" t="str">
        <f>vlookup(G662,zip_codes!$B$6:$J988,3,false)</f>
        <v>Houston</v>
      </c>
      <c r="Z662" s="45" t="str">
        <f>vlookup(G662,zip_codes!$B$6:$J988,9,false)</f>
        <v>Cypress Station, Ella Crossing, Westador</v>
      </c>
      <c r="AA662" s="44" t="str">
        <f>vlookup(B662,organizations!$B$1:$C988,2,false)</f>
        <v>Northwest Area Ministries</v>
      </c>
      <c r="AB662" s="46" t="s">
        <v>3168</v>
      </c>
      <c r="AC662" s="47" t="s">
        <v>3370</v>
      </c>
      <c r="AD662" s="58" t="s">
        <v>2370</v>
      </c>
      <c r="AE662" s="48" t="str">
        <f t="shared" si="83"/>
        <v>Northwest Area Ministries15555 Kuykendahl Road61</v>
      </c>
      <c r="AF662" s="48" t="str">
        <f t="shared" si="84"/>
        <v/>
      </c>
    </row>
    <row r="663" ht="66.75" customHeight="1">
      <c r="A663" s="49" t="s">
        <v>340</v>
      </c>
      <c r="B663" s="35" t="s">
        <v>3371</v>
      </c>
      <c r="C663" s="36" t="s">
        <v>3372</v>
      </c>
      <c r="D663" s="36"/>
      <c r="E663" s="36" t="s">
        <v>36</v>
      </c>
      <c r="F663" s="36" t="s">
        <v>37</v>
      </c>
      <c r="G663" s="35" t="s">
        <v>340</v>
      </c>
      <c r="H663" s="35" t="s">
        <v>3373</v>
      </c>
      <c r="I663" s="66"/>
      <c r="J663" s="89"/>
      <c r="K663" s="37">
        <f>IFERROR(__xludf.DUMMYFUNCTION("query(assistance!$A$2:$E988,""Select C Where D = '""&amp;L663&amp;""'"")"),13.0)</f>
        <v>13</v>
      </c>
      <c r="L663" s="36" t="s">
        <v>240</v>
      </c>
      <c r="M663" s="38">
        <f t="shared" si="81"/>
        <v>1</v>
      </c>
      <c r="N663" s="39" t="s">
        <v>42</v>
      </c>
      <c r="O663" s="65"/>
      <c r="P663" s="50"/>
      <c r="Q663" s="50"/>
      <c r="R663" s="50"/>
      <c r="S663" s="35" t="b">
        <v>0</v>
      </c>
      <c r="T663" s="35" t="b">
        <v>0</v>
      </c>
      <c r="U663" s="41" t="str">
        <f>IFERROR(__xludf.DUMMYFUNCTION("""["" &amp; JOIN("", "", ARRAYFORMULA("""""""" &amp; TRIM(SPLIT(A663, "","")) &amp; """""""")) &amp; ""]"""),"[""77072""]")</f>
        <v>["77072"]</v>
      </c>
      <c r="V663" s="52" t="s">
        <v>3374</v>
      </c>
      <c r="W663" s="52" t="s">
        <v>3375</v>
      </c>
      <c r="X663" s="43"/>
      <c r="Y663" s="44" t="str">
        <f>vlookup(G663,zip_codes!$B$6:$J988,3,false)</f>
        <v>Houston</v>
      </c>
      <c r="Z663" s="45" t="str">
        <f>vlookup(G663,zip_codes!$B$6:$J988,9,false)</f>
        <v>Alief</v>
      </c>
      <c r="AA663" s="44" t="str">
        <f>vlookup(B663,organizations!$B$1:$C988,2,false)</f>
        <v>Notre Dame Catholic Church</v>
      </c>
      <c r="AB663" s="46" t="s">
        <v>3376</v>
      </c>
      <c r="AC663" s="53"/>
      <c r="AD663" s="48" t="s">
        <v>345</v>
      </c>
      <c r="AE663" s="48" t="str">
        <f t="shared" si="83"/>
        <v>Notre Dame Catholic Church7720 Boone Road13</v>
      </c>
      <c r="AF663" s="48" t="str">
        <f t="shared" si="84"/>
        <v/>
      </c>
    </row>
    <row r="664" ht="66.75" customHeight="1">
      <c r="A664" s="49" t="s">
        <v>50</v>
      </c>
      <c r="B664" s="35" t="s">
        <v>3377</v>
      </c>
      <c r="C664" s="36" t="s">
        <v>3378</v>
      </c>
      <c r="D664" s="36"/>
      <c r="E664" s="36" t="s">
        <v>36</v>
      </c>
      <c r="F664" s="36" t="s">
        <v>37</v>
      </c>
      <c r="G664" s="81" t="s">
        <v>1023</v>
      </c>
      <c r="H664" s="35" t="s">
        <v>3379</v>
      </c>
      <c r="I664" s="35" t="s">
        <v>272</v>
      </c>
      <c r="J664" s="35"/>
      <c r="K664" s="37">
        <f>IFERROR(__xludf.DUMMYFUNCTION("query(assistance!$A$2:$E988,""Select C Where D = '""&amp;L664&amp;""'"")"),56.0)</f>
        <v>56</v>
      </c>
      <c r="L664" s="36" t="s">
        <v>56</v>
      </c>
      <c r="M664" s="38">
        <f t="shared" si="81"/>
        <v>1</v>
      </c>
      <c r="N664" s="39" t="s">
        <v>42</v>
      </c>
      <c r="O664" s="57">
        <v>46066.0</v>
      </c>
      <c r="P664" s="35" t="s">
        <v>43</v>
      </c>
      <c r="Q664" s="35"/>
      <c r="R664" s="35" t="s">
        <v>3380</v>
      </c>
      <c r="S664" s="35" t="b">
        <v>0</v>
      </c>
      <c r="T664" s="35" t="b">
        <v>0</v>
      </c>
      <c r="U664" s="35" t="str">
        <f>IFERROR(__xludf.DUMMYFUNCTION("""["" &amp; JOIN("", "", ARRAYFORMULA("""""""" &amp; TRIM(SPLIT(A664, "","")) &amp; """""""")) &amp; ""]"""),"[""99999""]")</f>
        <v>["99999"]</v>
      </c>
      <c r="V664" s="42" t="s">
        <v>3381</v>
      </c>
      <c r="W664" s="42" t="s">
        <v>3382</v>
      </c>
      <c r="X664" s="43"/>
      <c r="Y664" s="44" t="str">
        <f>vlookup(G664,zip_codes!$B$6:$J988,3,false)</f>
        <v>Houston</v>
      </c>
      <c r="Z664" s="45" t="str">
        <f>vlookup(G664,zip_codes!$B$6:$J988,9,false)</f>
        <v>Downtown Houston, Memorial Park, Rice Military, Sawyer Heights, Washington Avenue Coalition / Memorial Park, Washington Corridor</v>
      </c>
      <c r="AA664" s="44" t="str">
        <f>vlookup(B664,organizations!$B$1:$C988,2,false)</f>
        <v>City of Houston</v>
      </c>
      <c r="AB664" s="55" t="s">
        <v>3383</v>
      </c>
      <c r="AC664" s="53" t="str">
        <f>PARSE_HOURS(I664)</f>
        <v>{"regular":[{"days":["Mo","Tu","We","Th","Fr"],"open":"08:00","close":"17:00"}]}</v>
      </c>
      <c r="AD664" s="58" t="s">
        <v>1296</v>
      </c>
      <c r="AE664" s="48"/>
      <c r="AF664" s="48"/>
    </row>
    <row r="665" ht="66.75" customHeight="1">
      <c r="A665" s="49" t="s">
        <v>50</v>
      </c>
      <c r="B665" s="35" t="s">
        <v>3384</v>
      </c>
      <c r="C665" s="36" t="s">
        <v>3385</v>
      </c>
      <c r="D665" s="36"/>
      <c r="E665" s="36" t="s">
        <v>36</v>
      </c>
      <c r="F665" s="36" t="s">
        <v>37</v>
      </c>
      <c r="G665" s="35" t="s">
        <v>542</v>
      </c>
      <c r="H665" s="35" t="s">
        <v>3386</v>
      </c>
      <c r="I665" s="35" t="s">
        <v>332</v>
      </c>
      <c r="J665" s="35"/>
      <c r="K665" s="37">
        <f>IFERROR(__xludf.DUMMYFUNCTION("query(assistance!$A$2:$E988,""Select C Where D = '""&amp;L665&amp;""'"")"),34.0)</f>
        <v>34</v>
      </c>
      <c r="L665" s="36" t="s">
        <v>260</v>
      </c>
      <c r="M665" s="38">
        <f t="shared" si="81"/>
        <v>1</v>
      </c>
      <c r="N665" s="39" t="s">
        <v>42</v>
      </c>
      <c r="O665" s="65"/>
      <c r="P665" s="50"/>
      <c r="Q665" s="35"/>
      <c r="R665" s="35" t="s">
        <v>3387</v>
      </c>
      <c r="S665" s="35" t="b">
        <v>0</v>
      </c>
      <c r="T665" s="35" t="b">
        <v>0</v>
      </c>
      <c r="U665" s="41" t="str">
        <f>IFERROR(__xludf.DUMMYFUNCTION("""["" &amp; JOIN("", "", ARRAYFORMULA("""""""" &amp; TRIM(SPLIT(A665, "","")) &amp; """""""")) &amp; ""]"""),"[""99999""]")</f>
        <v>["99999"]</v>
      </c>
      <c r="V665" s="42" t="s">
        <v>3388</v>
      </c>
      <c r="W665" s="42" t="s">
        <v>3389</v>
      </c>
      <c r="X665" s="43"/>
      <c r="Y665" s="44" t="str">
        <f>vlookup(G665,zip_codes!$B$6:$J988,3,false)</f>
        <v>Houston</v>
      </c>
      <c r="Z665" s="45" t="str">
        <f>vlookup(G665,zip_codes!$B$6:$J988,9,false)</f>
        <v>Eastwood, Magnolia Park, Second Ward, South Central Houston</v>
      </c>
      <c r="AA665" s="44" t="str">
        <f>vlookup(B665,organizations!$B$1:$C988,2,false)</f>
        <v>Open Door Mission</v>
      </c>
      <c r="AB665" s="55" t="s">
        <v>3390</v>
      </c>
      <c r="AC665" s="47" t="s">
        <v>335</v>
      </c>
      <c r="AD665" s="48" t="s">
        <v>314</v>
      </c>
      <c r="AE665" s="48" t="str">
        <f t="shared" ref="AE665:AE753" si="85">B665&amp;C665&amp;K665</f>
        <v>Open Door Mission5803 Harrisburg Blvd34</v>
      </c>
      <c r="AF665" s="48" t="str">
        <f t="shared" ref="AF665:AF678" si="86">if(AE665=AE664,"XXX","")</f>
        <v/>
      </c>
    </row>
    <row r="666" ht="66.75" customHeight="1">
      <c r="A666" s="49" t="s">
        <v>1211</v>
      </c>
      <c r="B666" s="35" t="s">
        <v>3391</v>
      </c>
      <c r="C666" s="36" t="s">
        <v>1209</v>
      </c>
      <c r="D666" s="36"/>
      <c r="E666" s="36" t="s">
        <v>1210</v>
      </c>
      <c r="F666" s="36" t="s">
        <v>37</v>
      </c>
      <c r="G666" s="35" t="s">
        <v>1211</v>
      </c>
      <c r="H666" s="35" t="s">
        <v>3392</v>
      </c>
      <c r="I666" s="35" t="s">
        <v>1102</v>
      </c>
      <c r="J666" s="35"/>
      <c r="K666" s="37">
        <f>IFERROR(__xludf.DUMMYFUNCTION("query(assistance!$A$2:$E988,""Select C Where D = '""&amp;L666&amp;""'"")"),13.0)</f>
        <v>13</v>
      </c>
      <c r="L666" s="36" t="s">
        <v>240</v>
      </c>
      <c r="M666" s="38">
        <f t="shared" si="81"/>
        <v>1</v>
      </c>
      <c r="N666" s="39" t="s">
        <v>42</v>
      </c>
      <c r="O666" s="65"/>
      <c r="P666" s="50"/>
      <c r="Q666" s="50"/>
      <c r="R666" s="50"/>
      <c r="S666" s="35" t="b">
        <v>0</v>
      </c>
      <c r="T666" s="35" t="b">
        <v>0</v>
      </c>
      <c r="U666" s="41" t="str">
        <f>IFERROR(__xludf.DUMMYFUNCTION("""["" &amp; JOIN("", "", ARRAYFORMULA("""""""" &amp; TRIM(SPLIT(A666, "","")) &amp; """""""")) &amp; ""]"""),"[""77547""]")</f>
        <v>["77547"]</v>
      </c>
      <c r="V666" s="52" t="s">
        <v>3393</v>
      </c>
      <c r="W666" s="52" t="s">
        <v>3394</v>
      </c>
      <c r="X666" s="43"/>
      <c r="Y666" s="44" t="str">
        <f>vlookup(G666,zip_codes!$B$6:$J988,3,false)</f>
        <v>Galena Park</v>
      </c>
      <c r="Z666" s="45" t="str">
        <f>vlookup(G666,zip_codes!$B$6:$J988,9,false)</f>
        <v>Galena Park, Northeast Houston</v>
      </c>
      <c r="AA666" s="44" t="str">
        <f>vlookup(B666,organizations!$B$1:$C988,2,false)</f>
        <v>Our Lady of Fatima</v>
      </c>
      <c r="AB666" s="46" t="s">
        <v>3395</v>
      </c>
      <c r="AC666" s="47" t="s">
        <v>1107</v>
      </c>
      <c r="AD666" s="48" t="s">
        <v>1216</v>
      </c>
      <c r="AE666" s="48" t="str">
        <f t="shared" si="85"/>
        <v>Our Lady of Fatima1705 8th Street13</v>
      </c>
      <c r="AF666" s="48" t="str">
        <f t="shared" si="86"/>
        <v/>
      </c>
    </row>
    <row r="667" ht="66.75" customHeight="1">
      <c r="A667" s="49" t="s">
        <v>775</v>
      </c>
      <c r="B667" s="35" t="s">
        <v>3396</v>
      </c>
      <c r="C667" s="36" t="s">
        <v>3397</v>
      </c>
      <c r="D667" s="36"/>
      <c r="E667" s="36" t="s">
        <v>774</v>
      </c>
      <c r="F667" s="36" t="s">
        <v>37</v>
      </c>
      <c r="G667" s="35" t="s">
        <v>775</v>
      </c>
      <c r="H667" s="35" t="s">
        <v>3398</v>
      </c>
      <c r="I667" s="35" t="s">
        <v>2338</v>
      </c>
      <c r="J667" s="35"/>
      <c r="K667" s="37">
        <f>IFERROR(__xludf.DUMMYFUNCTION("query(assistance!$A$2:$E988,""Select C Where D = '""&amp;L667&amp;""'"")"),13.0)</f>
        <v>13</v>
      </c>
      <c r="L667" s="36" t="s">
        <v>240</v>
      </c>
      <c r="M667" s="38">
        <f t="shared" si="81"/>
        <v>1</v>
      </c>
      <c r="N667" s="39" t="s">
        <v>42</v>
      </c>
      <c r="O667" s="65"/>
      <c r="P667" s="50"/>
      <c r="Q667" s="50"/>
      <c r="R667" s="50"/>
      <c r="S667" s="35" t="b">
        <v>0</v>
      </c>
      <c r="T667" s="35" t="b">
        <v>0</v>
      </c>
      <c r="U667" s="41" t="str">
        <f>IFERROR(__xludf.DUMMYFUNCTION("""["" &amp; JOIN("", "", ARRAYFORMULA("""""""" &amp; TRIM(SPLIT(A667, "","")) &amp; """""""")) &amp; ""]"""),"[""77520""]")</f>
        <v>["77520"]</v>
      </c>
      <c r="V667" s="52" t="s">
        <v>3399</v>
      </c>
      <c r="W667" s="52" t="s">
        <v>3400</v>
      </c>
      <c r="X667" s="43"/>
      <c r="Y667" s="44" t="str">
        <f>vlookup(G667,zip_codes!$B$6:$J988,3,false)</f>
        <v>Baytown</v>
      </c>
      <c r="Z667" s="45" t="str">
        <f>vlookup(G667,zip_codes!$B$6:$J988,9,false)</f>
        <v>Amelia Airhart, Baytown, East Baytown</v>
      </c>
      <c r="AA667" s="44" t="str">
        <f>vlookup(B667,organizations!$B$1:$C988,2,false)</f>
        <v>Our Lady of Guadalupe Baytown</v>
      </c>
      <c r="AB667" s="46" t="s">
        <v>3401</v>
      </c>
      <c r="AC667" s="47" t="s">
        <v>2342</v>
      </c>
      <c r="AD667" s="48" t="s">
        <v>3402</v>
      </c>
      <c r="AE667" s="48" t="str">
        <f t="shared" si="85"/>
        <v>Our Lady of Guadalupe Baytown1124 Beech Street13</v>
      </c>
      <c r="AF667" s="48" t="str">
        <f t="shared" si="86"/>
        <v/>
      </c>
    </row>
    <row r="668" ht="66.75" customHeight="1">
      <c r="A668" s="49" t="s">
        <v>3403</v>
      </c>
      <c r="B668" s="35" t="s">
        <v>3404</v>
      </c>
      <c r="C668" s="36" t="s">
        <v>3405</v>
      </c>
      <c r="D668" s="36"/>
      <c r="E668" s="36" t="s">
        <v>3406</v>
      </c>
      <c r="F668" s="36" t="s">
        <v>37</v>
      </c>
      <c r="G668" s="35" t="s">
        <v>3407</v>
      </c>
      <c r="H668" s="35" t="s">
        <v>3408</v>
      </c>
      <c r="I668" s="35" t="s">
        <v>3409</v>
      </c>
      <c r="J668" s="35"/>
      <c r="K668" s="37">
        <f>IFERROR(__xludf.DUMMYFUNCTION("query(assistance!$A$2:$E988,""Select C Where D = '""&amp;L668&amp;""'"")"),11.0)</f>
        <v>11</v>
      </c>
      <c r="L668" s="36" t="s">
        <v>322</v>
      </c>
      <c r="M668" s="38">
        <f t="shared" si="81"/>
        <v>1</v>
      </c>
      <c r="N668" s="39" t="s">
        <v>42</v>
      </c>
      <c r="O668" s="65"/>
      <c r="P668" s="50"/>
      <c r="Q668" s="35"/>
      <c r="R668" s="35"/>
      <c r="S668" s="35" t="b">
        <v>0</v>
      </c>
      <c r="T668" s="35" t="b">
        <v>0</v>
      </c>
      <c r="U668" s="41" t="str">
        <f>IFERROR(__xludf.DUMMYFUNCTION("""["" &amp; JOIN("", "", ARRAYFORMULA("""""""" &amp; TRIM(SPLIT(A668, "","")) &amp; """""""")) &amp; ""]"""),"[""77480"", ""77486""]")</f>
        <v>["77480", "77486"]</v>
      </c>
      <c r="V668" s="52" t="s">
        <v>3410</v>
      </c>
      <c r="W668" s="52" t="s">
        <v>3411</v>
      </c>
      <c r="X668" s="43"/>
      <c r="Y668" s="44" t="str">
        <f>vlookup(G668,zip_codes!$B$6:$J988,3,false)</f>
        <v>Sweeny</v>
      </c>
      <c r="Z668" s="45" t="str">
        <f>vlookup(G668,zip_codes!$B$6:$J988,9,false)</f>
        <v>Sweeny</v>
      </c>
      <c r="AA668" s="44" t="str">
        <f>vlookup(B668,organizations!$B$1:$C988,2,false)</f>
        <v>Society of St Vincent de Paul</v>
      </c>
      <c r="AB668" s="46" t="s">
        <v>3412</v>
      </c>
      <c r="AC668" s="47" t="s">
        <v>3413</v>
      </c>
      <c r="AD668" s="48" t="s">
        <v>3406</v>
      </c>
      <c r="AE668" s="48" t="str">
        <f t="shared" si="85"/>
        <v>Our Lady of Perpetual Help (SVdP)310 N McKinney Street11</v>
      </c>
      <c r="AF668" s="48" t="str">
        <f t="shared" si="86"/>
        <v/>
      </c>
    </row>
    <row r="669" ht="66.75" customHeight="1">
      <c r="A669" s="49" t="s">
        <v>3403</v>
      </c>
      <c r="B669" s="35" t="s">
        <v>3404</v>
      </c>
      <c r="C669" s="36" t="s">
        <v>3405</v>
      </c>
      <c r="D669" s="36"/>
      <c r="E669" s="36" t="s">
        <v>3406</v>
      </c>
      <c r="F669" s="36" t="s">
        <v>37</v>
      </c>
      <c r="G669" s="35" t="s">
        <v>3407</v>
      </c>
      <c r="H669" s="35" t="s">
        <v>3408</v>
      </c>
      <c r="I669" s="35" t="s">
        <v>3409</v>
      </c>
      <c r="J669" s="35"/>
      <c r="K669" s="37">
        <f>IFERROR(__xludf.DUMMYFUNCTION("query(assistance!$A$2:$E988,""Select C Where D = '""&amp;L669&amp;""'"")"),12.0)</f>
        <v>12</v>
      </c>
      <c r="L669" s="36" t="s">
        <v>330</v>
      </c>
      <c r="M669" s="38">
        <f t="shared" si="81"/>
        <v>1</v>
      </c>
      <c r="N669" s="39" t="s">
        <v>42</v>
      </c>
      <c r="O669" s="65"/>
      <c r="P669" s="50"/>
      <c r="Q669" s="35"/>
      <c r="R669" s="35"/>
      <c r="S669" s="35" t="b">
        <v>0</v>
      </c>
      <c r="T669" s="35" t="b">
        <v>0</v>
      </c>
      <c r="U669" s="41" t="str">
        <f>IFERROR(__xludf.DUMMYFUNCTION("""["" &amp; JOIN("", "", ARRAYFORMULA("""""""" &amp; TRIM(SPLIT(A669, "","")) &amp; """""""")) &amp; ""]"""),"[""77480"", ""77486""]")</f>
        <v>["77480", "77486"]</v>
      </c>
      <c r="V669" s="52" t="s">
        <v>3410</v>
      </c>
      <c r="W669" s="52" t="s">
        <v>3411</v>
      </c>
      <c r="X669" s="43"/>
      <c r="Y669" s="44" t="str">
        <f>vlookup(G669,zip_codes!$B$6:$J988,3,false)</f>
        <v>Sweeny</v>
      </c>
      <c r="Z669" s="45" t="str">
        <f>vlookup(G669,zip_codes!$B$6:$J988,9,false)</f>
        <v>Sweeny</v>
      </c>
      <c r="AA669" s="44" t="str">
        <f>vlookup(B669,organizations!$B$1:$C988,2,false)</f>
        <v>Society of St Vincent de Paul</v>
      </c>
      <c r="AB669" s="46" t="s">
        <v>3412</v>
      </c>
      <c r="AC669" s="47" t="s">
        <v>3413</v>
      </c>
      <c r="AD669" s="48" t="s">
        <v>3406</v>
      </c>
      <c r="AE669" s="48" t="str">
        <f t="shared" si="85"/>
        <v>Our Lady of Perpetual Help (SVdP)310 N McKinney Street12</v>
      </c>
      <c r="AF669" s="48" t="str">
        <f t="shared" si="86"/>
        <v/>
      </c>
    </row>
    <row r="670" ht="66.75" customHeight="1">
      <c r="A670" s="49" t="s">
        <v>3403</v>
      </c>
      <c r="B670" s="35" t="s">
        <v>3404</v>
      </c>
      <c r="C670" s="36" t="s">
        <v>3405</v>
      </c>
      <c r="D670" s="36"/>
      <c r="E670" s="36" t="s">
        <v>3406</v>
      </c>
      <c r="F670" s="36" t="s">
        <v>37</v>
      </c>
      <c r="G670" s="35" t="s">
        <v>3407</v>
      </c>
      <c r="H670" s="35" t="s">
        <v>3408</v>
      </c>
      <c r="I670" s="35" t="s">
        <v>3409</v>
      </c>
      <c r="J670" s="35"/>
      <c r="K670" s="37">
        <f>IFERROR(__xludf.DUMMYFUNCTION("query(assistance!$A$2:$E988,""Select C Where D = '""&amp;L670&amp;""'"")"),13.0)</f>
        <v>13</v>
      </c>
      <c r="L670" s="36" t="s">
        <v>240</v>
      </c>
      <c r="M670" s="38">
        <f t="shared" si="81"/>
        <v>1</v>
      </c>
      <c r="N670" s="39" t="s">
        <v>42</v>
      </c>
      <c r="O670" s="65"/>
      <c r="P670" s="50"/>
      <c r="Q670" s="35"/>
      <c r="R670" s="35"/>
      <c r="S670" s="35" t="b">
        <v>0</v>
      </c>
      <c r="T670" s="35" t="b">
        <v>0</v>
      </c>
      <c r="U670" s="41" t="str">
        <f>IFERROR(__xludf.DUMMYFUNCTION("""["" &amp; JOIN("", "", ARRAYFORMULA("""""""" &amp; TRIM(SPLIT(A670, "","")) &amp; """""""")) &amp; ""]"""),"[""77480"", ""77486""]")</f>
        <v>["77480", "77486"]</v>
      </c>
      <c r="V670" s="52" t="s">
        <v>3410</v>
      </c>
      <c r="W670" s="52" t="s">
        <v>3411</v>
      </c>
      <c r="X670" s="43"/>
      <c r="Y670" s="44" t="str">
        <f>vlookup(G670,zip_codes!$B$6:$J988,3,false)</f>
        <v>Sweeny</v>
      </c>
      <c r="Z670" s="45" t="str">
        <f>vlookup(G670,zip_codes!$B$6:$J988,9,false)</f>
        <v>Sweeny</v>
      </c>
      <c r="AA670" s="44" t="str">
        <f>vlookup(B670,organizations!$B$1:$C988,2,false)</f>
        <v>Society of St Vincent de Paul</v>
      </c>
      <c r="AB670" s="46" t="s">
        <v>3412</v>
      </c>
      <c r="AC670" s="47" t="s">
        <v>3413</v>
      </c>
      <c r="AD670" s="48" t="s">
        <v>3406</v>
      </c>
      <c r="AE670" s="48" t="str">
        <f t="shared" si="85"/>
        <v>Our Lady of Perpetual Help (SVdP)310 N McKinney Street13</v>
      </c>
      <c r="AF670" s="48" t="str">
        <f t="shared" si="86"/>
        <v/>
      </c>
    </row>
    <row r="671" ht="66.75" customHeight="1">
      <c r="A671" s="49" t="s">
        <v>3414</v>
      </c>
      <c r="B671" s="35" t="s">
        <v>3415</v>
      </c>
      <c r="C671" s="36" t="s">
        <v>3416</v>
      </c>
      <c r="D671" s="36"/>
      <c r="E671" s="36" t="s">
        <v>36</v>
      </c>
      <c r="F671" s="36" t="s">
        <v>37</v>
      </c>
      <c r="G671" s="35" t="s">
        <v>846</v>
      </c>
      <c r="H671" s="35" t="s">
        <v>3417</v>
      </c>
      <c r="I671" s="35" t="s">
        <v>3418</v>
      </c>
      <c r="J671" s="35"/>
      <c r="K671" s="37">
        <f>IFERROR(__xludf.DUMMYFUNCTION("query(assistance!$A$2:$E988,""Select C Where D = '""&amp;L671&amp;""'"")"),13.0)</f>
        <v>13</v>
      </c>
      <c r="L671" s="36" t="s">
        <v>240</v>
      </c>
      <c r="M671" s="38">
        <f t="shared" si="81"/>
        <v>1</v>
      </c>
      <c r="N671" s="39" t="s">
        <v>42</v>
      </c>
      <c r="O671" s="65"/>
      <c r="P671" s="50"/>
      <c r="Q671" s="35"/>
      <c r="R671" s="35"/>
      <c r="S671" s="35" t="b">
        <v>0</v>
      </c>
      <c r="T671" s="35" t="b">
        <v>0</v>
      </c>
      <c r="U671" s="41" t="str">
        <f>IFERROR(__xludf.DUMMYFUNCTION("""["" &amp; JOIN("", "", ARRAYFORMULA("""""""" &amp; TRIM(SPLIT(A671, "","")) &amp; """""""")) &amp; ""]"""),"[""77020"", ""77029""]")</f>
        <v>["77020", "77029"]</v>
      </c>
      <c r="V671" s="52" t="s">
        <v>3419</v>
      </c>
      <c r="W671" s="52" t="s">
        <v>3420</v>
      </c>
      <c r="X671" s="43"/>
      <c r="Y671" s="44" t="str">
        <f>vlookup(G671,zip_codes!$B$6:$J988,3,false)</f>
        <v>Houston</v>
      </c>
      <c r="Z671" s="45" t="str">
        <f>vlookup(G671,zip_codes!$B$6:$J988,9,false)</f>
        <v>Denver Harbor / Port Houston, Fifth Ward, Northside</v>
      </c>
      <c r="AA671" s="44" t="str">
        <f>vlookup(B671,organizations!$B$1:$C988,2,false)</f>
        <v>Society of St Vincent de Paul</v>
      </c>
      <c r="AB671" s="46" t="s">
        <v>3421</v>
      </c>
      <c r="AC671" s="47" t="s">
        <v>3422</v>
      </c>
      <c r="AD671" s="48" t="s">
        <v>356</v>
      </c>
      <c r="AE671" s="48" t="str">
        <f t="shared" si="85"/>
        <v>Our Mother of Mercy (SVdP D1)2007 Granger Street13</v>
      </c>
      <c r="AF671" s="48" t="str">
        <f t="shared" si="86"/>
        <v/>
      </c>
    </row>
    <row r="672" ht="66.75" customHeight="1">
      <c r="A672" s="49" t="s">
        <v>50</v>
      </c>
      <c r="B672" s="35" t="s">
        <v>3423</v>
      </c>
      <c r="C672" s="64"/>
      <c r="D672" s="64"/>
      <c r="E672" s="36" t="s">
        <v>36</v>
      </c>
      <c r="F672" s="36" t="s">
        <v>37</v>
      </c>
      <c r="G672" s="35" t="s">
        <v>50</v>
      </c>
      <c r="H672" s="50"/>
      <c r="I672" s="50"/>
      <c r="J672" s="50"/>
      <c r="K672" s="37">
        <f>IFERROR(__xludf.DUMMYFUNCTION("query(assistance!$A$2:$E988,""Select C Where D = '""&amp;L672&amp;""'"")"),24.0)</f>
        <v>24</v>
      </c>
      <c r="L672" s="36" t="s">
        <v>405</v>
      </c>
      <c r="M672" s="38">
        <f t="shared" si="81"/>
        <v>2</v>
      </c>
      <c r="N672" s="51" t="s">
        <v>385</v>
      </c>
      <c r="O672" s="65"/>
      <c r="P672" s="35"/>
      <c r="Q672" s="35"/>
      <c r="R672" s="35" t="s">
        <v>3424</v>
      </c>
      <c r="S672" s="35" t="b">
        <v>0</v>
      </c>
      <c r="T672" s="35" t="b">
        <v>0</v>
      </c>
      <c r="U672" s="41" t="str">
        <f>IFERROR(__xludf.DUMMYFUNCTION("""["" &amp; JOIN("", "", ARRAYFORMULA("""""""" &amp; TRIM(SPLIT(A672, "","")) &amp; """""""")) &amp; ""]"""),"[""99999""]")</f>
        <v>["99999"]</v>
      </c>
      <c r="V672" s="52" t="s">
        <v>3425</v>
      </c>
      <c r="W672" s="43"/>
      <c r="X672" s="43"/>
      <c r="Y672" s="44" t="str">
        <f>vlookup(G672,zip_codes!$B$6:$J988,3,false)</f>
        <v>Greater Houston</v>
      </c>
      <c r="Z672" s="45" t="str">
        <f>vlookup(G672,zip_codes!$B$6:$J988,9,false)</f>
        <v>Not Restricted by Zip Code</v>
      </c>
      <c r="AA672" s="44" t="str">
        <f>vlookup(B672,organizations!$B$1:$C988,2,false)</f>
        <v>PadSplit</v>
      </c>
      <c r="AB672" s="83" t="s">
        <v>1162</v>
      </c>
      <c r="AC672" s="53"/>
      <c r="AD672" s="48"/>
      <c r="AE672" s="48" t="str">
        <f t="shared" si="85"/>
        <v>PadSplit24</v>
      </c>
      <c r="AF672" s="48" t="str">
        <f t="shared" si="86"/>
        <v/>
      </c>
    </row>
    <row r="673" ht="66.75" customHeight="1">
      <c r="A673" s="49" t="s">
        <v>3426</v>
      </c>
      <c r="B673" s="35" t="s">
        <v>3427</v>
      </c>
      <c r="C673" s="36" t="s">
        <v>3428</v>
      </c>
      <c r="D673" s="36"/>
      <c r="E673" s="36" t="s">
        <v>729</v>
      </c>
      <c r="F673" s="36" t="s">
        <v>37</v>
      </c>
      <c r="G673" s="35" t="s">
        <v>3429</v>
      </c>
      <c r="H673" s="35" t="s">
        <v>3430</v>
      </c>
      <c r="I673" s="35" t="s">
        <v>3431</v>
      </c>
      <c r="J673" s="35"/>
      <c r="K673" s="37">
        <f>IFERROR(__xludf.DUMMYFUNCTION("query(assistance!$A$2:$E988,""Select C Where D = '""&amp;L673&amp;""'"")"),11.0)</f>
        <v>11</v>
      </c>
      <c r="L673" s="36" t="s">
        <v>322</v>
      </c>
      <c r="M673" s="39">
        <f t="shared" ref="M673:M674" si="87">if(N673="Inactive",3,if(N673="Limited", 2, if(N673="Closed", 4, 1)))</f>
        <v>4</v>
      </c>
      <c r="N673" s="51" t="s">
        <v>57</v>
      </c>
      <c r="O673" s="40">
        <v>45663.0</v>
      </c>
      <c r="P673" s="35" t="s">
        <v>3432</v>
      </c>
      <c r="Q673" s="50"/>
      <c r="R673" s="50"/>
      <c r="S673" s="35" t="b">
        <v>0</v>
      </c>
      <c r="T673" s="35" t="b">
        <v>0</v>
      </c>
      <c r="U673" s="41" t="str">
        <f>IFERROR(__xludf.DUMMYFUNCTION("""["" &amp; JOIN("", "", ARRAYFORMULA("""""""" &amp; TRIM(SPLIT(A673, "","")) &amp; """""""")) &amp; ""]"""),"[""77015"", ""77058"", ""77059"", ""77501"", ""77502"", ""77503"", ""77504"", ""77505"", ""77506"", ""77507"", ""77508"", ""77536"", ""77586"", ""77089"", ""77546"", ""77548"", ""77549"", ""77598""]")</f>
        <v>["77015", "77058", "77059", "77501", "77502", "77503", "77504", "77505", "77506", "77507", "77508", "77536", "77586", "77089", "77546", "77548", "77549", "77598"]</v>
      </c>
      <c r="V673" s="52" t="s">
        <v>3433</v>
      </c>
      <c r="W673" s="52" t="s">
        <v>3434</v>
      </c>
      <c r="X673" s="43"/>
      <c r="Y673" s="44" t="str">
        <f>vlookup(G673,zip_codes!$B$6:$J988,3,false)</f>
        <v>Pasadena</v>
      </c>
      <c r="Z673" s="45" t="str">
        <f>vlookup(G673,zip_codes!$B$6:$J988,9,false)</f>
        <v>Pasadena (Southmore), Queens Knoll</v>
      </c>
      <c r="AA673" s="44" t="str">
        <f>vlookup(B673,organizations!$B$1:$C988,2,false)</f>
        <v>Pasadena Community Ministries</v>
      </c>
      <c r="AB673" s="46" t="s">
        <v>3435</v>
      </c>
      <c r="AC673" s="47" t="s">
        <v>3436</v>
      </c>
      <c r="AD673" s="48" t="s">
        <v>3437</v>
      </c>
      <c r="AE673" s="48" t="str">
        <f t="shared" si="85"/>
        <v>Pasadena Community Ministries2301 South Houston Road11</v>
      </c>
      <c r="AF673" s="48" t="str">
        <f t="shared" si="86"/>
        <v/>
      </c>
    </row>
    <row r="674" ht="66.75" customHeight="1">
      <c r="A674" s="49" t="s">
        <v>3426</v>
      </c>
      <c r="B674" s="35" t="s">
        <v>3427</v>
      </c>
      <c r="C674" s="36" t="s">
        <v>3428</v>
      </c>
      <c r="D674" s="36"/>
      <c r="E674" s="36" t="s">
        <v>729</v>
      </c>
      <c r="F674" s="36" t="s">
        <v>37</v>
      </c>
      <c r="G674" s="35" t="s">
        <v>3429</v>
      </c>
      <c r="H674" s="35" t="s">
        <v>3430</v>
      </c>
      <c r="I674" s="35" t="s">
        <v>3431</v>
      </c>
      <c r="J674" s="35"/>
      <c r="K674" s="37">
        <f>IFERROR(__xludf.DUMMYFUNCTION("query(assistance!$A$2:$E988,""Select C Where D = '""&amp;L674&amp;""'"")"),13.0)</f>
        <v>13</v>
      </c>
      <c r="L674" s="36" t="s">
        <v>240</v>
      </c>
      <c r="M674" s="39">
        <f t="shared" si="87"/>
        <v>4</v>
      </c>
      <c r="N674" s="51" t="s">
        <v>57</v>
      </c>
      <c r="O674" s="40">
        <v>45663.0</v>
      </c>
      <c r="P674" s="35" t="s">
        <v>3432</v>
      </c>
      <c r="Q674" s="35"/>
      <c r="R674" s="35" t="s">
        <v>3438</v>
      </c>
      <c r="S674" s="35" t="b">
        <v>0</v>
      </c>
      <c r="T674" s="35" t="b">
        <v>0</v>
      </c>
      <c r="U674" s="41" t="str">
        <f>IFERROR(__xludf.DUMMYFUNCTION("""["" &amp; JOIN("", "", ARRAYFORMULA("""""""" &amp; TRIM(SPLIT(A674, "","")) &amp; """""""")) &amp; ""]"""),"[""77015"", ""77058"", ""77059"", ""77501"", ""77502"", ""77503"", ""77504"", ""77505"", ""77506"", ""77507"", ""77508"", ""77536"", ""77586"", ""77089"", ""77546"", ""77548"", ""77549"", ""77598""]")</f>
        <v>["77015", "77058", "77059", "77501", "77502", "77503", "77504", "77505", "77506", "77507", "77508", "77536", "77586", "77089", "77546", "77548", "77549", "77598"]</v>
      </c>
      <c r="V674" s="52" t="s">
        <v>3433</v>
      </c>
      <c r="W674" s="52" t="s">
        <v>3434</v>
      </c>
      <c r="X674" s="43"/>
      <c r="Y674" s="44" t="str">
        <f>vlookup(G674,zip_codes!$B$6:$J988,3,false)</f>
        <v>Pasadena</v>
      </c>
      <c r="Z674" s="45" t="str">
        <f>vlookup(G674,zip_codes!$B$6:$J988,9,false)</f>
        <v>Pasadena (Southmore), Queens Knoll</v>
      </c>
      <c r="AA674" s="44" t="str">
        <f>vlookup(B674,organizations!$B$1:$C988,2,false)</f>
        <v>Pasadena Community Ministries</v>
      </c>
      <c r="AB674" s="46" t="s">
        <v>3435</v>
      </c>
      <c r="AC674" s="47" t="s">
        <v>3436</v>
      </c>
      <c r="AD674" s="48" t="s">
        <v>3437</v>
      </c>
      <c r="AE674" s="48" t="str">
        <f t="shared" si="85"/>
        <v>Pasadena Community Ministries2301 South Houston Road13</v>
      </c>
      <c r="AF674" s="48" t="str">
        <f t="shared" si="86"/>
        <v/>
      </c>
    </row>
    <row r="675" ht="66.75" customHeight="1">
      <c r="A675" s="49" t="s">
        <v>3426</v>
      </c>
      <c r="B675" s="35" t="s">
        <v>3427</v>
      </c>
      <c r="C675" s="36" t="s">
        <v>3428</v>
      </c>
      <c r="D675" s="36"/>
      <c r="E675" s="36" t="s">
        <v>729</v>
      </c>
      <c r="F675" s="36" t="s">
        <v>37</v>
      </c>
      <c r="G675" s="35" t="s">
        <v>3429</v>
      </c>
      <c r="H675" s="35" t="s">
        <v>3430</v>
      </c>
      <c r="I675" s="35" t="s">
        <v>3431</v>
      </c>
      <c r="J675" s="35"/>
      <c r="K675" s="37">
        <f>IFERROR(__xludf.DUMMYFUNCTION("query(assistance!$A$2:$E988,""Select C Where D = '""&amp;L675&amp;""'"")"),14.0)</f>
        <v>14</v>
      </c>
      <c r="L675" s="36" t="s">
        <v>391</v>
      </c>
      <c r="M675" s="38">
        <f t="shared" ref="M675:M699" si="88">if(N675="Inactive",3,if(N675="Limited", 2, 1))</f>
        <v>1</v>
      </c>
      <c r="N675" s="39" t="s">
        <v>42</v>
      </c>
      <c r="O675" s="65"/>
      <c r="P675" s="50"/>
      <c r="Q675" s="35"/>
      <c r="R675" s="35" t="s">
        <v>3438</v>
      </c>
      <c r="S675" s="35" t="b">
        <v>0</v>
      </c>
      <c r="T675" s="35" t="b">
        <v>0</v>
      </c>
      <c r="U675" s="41" t="str">
        <f>IFERROR(__xludf.DUMMYFUNCTION("""["" &amp; JOIN("", "", ARRAYFORMULA("""""""" &amp; TRIM(SPLIT(A675, "","")) &amp; """""""")) &amp; ""]"""),"[""77015"", ""77058"", ""77059"", ""77501"", ""77502"", ""77503"", ""77504"", ""77505"", ""77506"", ""77507"", ""77508"", ""77536"", ""77586"", ""77089"", ""77546"", ""77548"", ""77549"", ""77598""]")</f>
        <v>["77015", "77058", "77059", "77501", "77502", "77503", "77504", "77505", "77506", "77507", "77508", "77536", "77586", "77089", "77546", "77548", "77549", "77598"]</v>
      </c>
      <c r="V675" s="52" t="s">
        <v>3433</v>
      </c>
      <c r="W675" s="52" t="s">
        <v>3434</v>
      </c>
      <c r="X675" s="43"/>
      <c r="Y675" s="44" t="str">
        <f>vlookup(G675,zip_codes!$B$6:$J988,3,false)</f>
        <v>Pasadena</v>
      </c>
      <c r="Z675" s="45" t="str">
        <f>vlookup(G675,zip_codes!$B$6:$J988,9,false)</f>
        <v>Pasadena (Southmore), Queens Knoll</v>
      </c>
      <c r="AA675" s="44" t="str">
        <f>vlookup(B675,organizations!$B$1:$C988,2,false)</f>
        <v>Pasadena Community Ministries</v>
      </c>
      <c r="AB675" s="46" t="s">
        <v>3435</v>
      </c>
      <c r="AC675" s="47" t="s">
        <v>3436</v>
      </c>
      <c r="AD675" s="48" t="s">
        <v>3437</v>
      </c>
      <c r="AE675" s="48" t="str">
        <f t="shared" si="85"/>
        <v>Pasadena Community Ministries2301 South Houston Road14</v>
      </c>
      <c r="AF675" s="48" t="str">
        <f t="shared" si="86"/>
        <v/>
      </c>
    </row>
    <row r="676" ht="66.75" customHeight="1">
      <c r="A676" s="49" t="s">
        <v>50</v>
      </c>
      <c r="B676" s="35" t="s">
        <v>3439</v>
      </c>
      <c r="C676" s="36" t="s">
        <v>3440</v>
      </c>
      <c r="D676" s="36" t="s">
        <v>3441</v>
      </c>
      <c r="E676" s="36" t="s">
        <v>3442</v>
      </c>
      <c r="F676" s="36" t="s">
        <v>3443</v>
      </c>
      <c r="G676" s="56" t="s">
        <v>3444</v>
      </c>
      <c r="H676" s="35" t="s">
        <v>3445</v>
      </c>
      <c r="I676" s="35" t="s">
        <v>3446</v>
      </c>
      <c r="J676" s="35" t="s">
        <v>89</v>
      </c>
      <c r="K676" s="37">
        <f>IFERROR(__xludf.DUMMYFUNCTION("query(assistance!$A$2:$E988,""Select C Where D = '""&amp;L676&amp;""'"")"),36.0)</f>
        <v>36</v>
      </c>
      <c r="L676" s="36" t="s">
        <v>227</v>
      </c>
      <c r="M676" s="38">
        <f t="shared" si="88"/>
        <v>1</v>
      </c>
      <c r="N676" s="39" t="s">
        <v>42</v>
      </c>
      <c r="O676" s="40">
        <v>46045.0</v>
      </c>
      <c r="P676" s="35" t="s">
        <v>43</v>
      </c>
      <c r="Q676" s="35"/>
      <c r="R676" s="35" t="s">
        <v>3447</v>
      </c>
      <c r="S676" s="35" t="b">
        <v>0</v>
      </c>
      <c r="T676" s="35" t="b">
        <v>0</v>
      </c>
      <c r="U676" s="41" t="str">
        <f>IFERROR(__xludf.DUMMYFUNCTION("""["" &amp; JOIN("", "", ARRAYFORMULA("""""""" &amp; TRIM(SPLIT(A676, "","")) &amp; """""""")) &amp; ""]"""),"[""99999""]")</f>
        <v>["99999"]</v>
      </c>
      <c r="V676" s="91" t="s">
        <v>3448</v>
      </c>
      <c r="W676" s="42" t="s">
        <v>3449</v>
      </c>
      <c r="X676" s="43"/>
      <c r="Y676" s="44" t="str">
        <f>vlookup(G676,zip_codes!$B$6:$J988,3,false)</f>
        <v>Washington</v>
      </c>
      <c r="Z676" s="45" t="str">
        <f>vlookup(G676,zip_codes!$B$6:$J988,9,false)</f>
        <v>Downtown</v>
      </c>
      <c r="AA676" s="44" t="str">
        <f>vlookup(B676,organizations!$B$1:$C988,2,false)</f>
        <v>Patient Access Network (PAN) Foundation</v>
      </c>
      <c r="AB676" s="55" t="s">
        <v>3450</v>
      </c>
      <c r="AC676" s="47" t="s">
        <v>3451</v>
      </c>
      <c r="AD676" s="58" t="s">
        <v>3452</v>
      </c>
      <c r="AE676" s="48" t="str">
        <f t="shared" si="85"/>
        <v>Patient Access Network (PAN) Foundation1032 15th Street NW36</v>
      </c>
      <c r="AF676" s="48" t="str">
        <f t="shared" si="86"/>
        <v/>
      </c>
    </row>
    <row r="677" ht="66.75" customHeight="1">
      <c r="A677" s="49" t="s">
        <v>50</v>
      </c>
      <c r="B677" s="35" t="s">
        <v>3453</v>
      </c>
      <c r="C677" s="36" t="s">
        <v>3454</v>
      </c>
      <c r="D677" s="36"/>
      <c r="E677" s="36" t="s">
        <v>3455</v>
      </c>
      <c r="F677" s="36" t="s">
        <v>223</v>
      </c>
      <c r="G677" s="56" t="s">
        <v>3456</v>
      </c>
      <c r="H677" s="35" t="s">
        <v>3457</v>
      </c>
      <c r="I677" s="35" t="s">
        <v>1557</v>
      </c>
      <c r="J677" s="35"/>
      <c r="K677" s="37">
        <f>IFERROR(__xludf.DUMMYFUNCTION("query(assistance!$A$2:$E988,""Select C Where D = '""&amp;L677&amp;""'"")"),35.0)</f>
        <v>35</v>
      </c>
      <c r="L677" s="36" t="s">
        <v>731</v>
      </c>
      <c r="M677" s="38">
        <f t="shared" si="88"/>
        <v>1</v>
      </c>
      <c r="N677" s="39" t="s">
        <v>42</v>
      </c>
      <c r="O677" s="40">
        <v>6693457.0</v>
      </c>
      <c r="P677" s="35" t="s">
        <v>1505</v>
      </c>
      <c r="Q677" s="35"/>
      <c r="R677" s="35" t="s">
        <v>3458</v>
      </c>
      <c r="S677" s="35" t="b">
        <v>0</v>
      </c>
      <c r="T677" s="35" t="b">
        <v>0</v>
      </c>
      <c r="U677" s="41" t="str">
        <f>IFERROR(__xludf.DUMMYFUNCTION("""["" &amp; JOIN("", "", ARRAYFORMULA("""""""" &amp; TRIM(SPLIT(A677, "","")) &amp; """""""")) &amp; ""]"""),"[""99999""]")</f>
        <v>["99999"]</v>
      </c>
      <c r="V677" s="42" t="s">
        <v>3459</v>
      </c>
      <c r="W677" s="42" t="s">
        <v>3460</v>
      </c>
      <c r="X677" s="43"/>
      <c r="Y677" s="44" t="str">
        <f>vlookup(G677,zip_codes!$B$6:$J988,3,false)</f>
        <v>Hampton</v>
      </c>
      <c r="Z677" s="45" t="str">
        <f>vlookup(G677,zip_codes!$B$6:$J988,9,false)</f>
        <v>Northampton</v>
      </c>
      <c r="AA677" s="44" t="str">
        <f>vlookup(B677,organizations!$B$1:$C988,2,false)</f>
        <v>Patient Advocate Foundation</v>
      </c>
      <c r="AB677" s="55" t="s">
        <v>3461</v>
      </c>
      <c r="AC677" s="61" t="s">
        <v>1563</v>
      </c>
      <c r="AD677" s="58" t="s">
        <v>3462</v>
      </c>
      <c r="AE677" s="48" t="str">
        <f t="shared" si="85"/>
        <v>Patient Advocate Foundation421 Butler Farm Road35</v>
      </c>
      <c r="AF677" s="48" t="str">
        <f t="shared" si="86"/>
        <v/>
      </c>
    </row>
    <row r="678" ht="66.75" customHeight="1">
      <c r="A678" s="49" t="s">
        <v>50</v>
      </c>
      <c r="B678" s="35" t="s">
        <v>3453</v>
      </c>
      <c r="C678" s="36" t="s">
        <v>3454</v>
      </c>
      <c r="D678" s="36"/>
      <c r="E678" s="36" t="s">
        <v>3455</v>
      </c>
      <c r="F678" s="36" t="s">
        <v>223</v>
      </c>
      <c r="G678" s="56" t="s">
        <v>3456</v>
      </c>
      <c r="H678" s="35" t="s">
        <v>3457</v>
      </c>
      <c r="I678" s="35" t="s">
        <v>1557</v>
      </c>
      <c r="J678" s="35" t="s">
        <v>89</v>
      </c>
      <c r="K678" s="37">
        <f>IFERROR(__xludf.DUMMYFUNCTION("query(assistance!$A$2:$E988,""Select C Where D = '""&amp;L678&amp;""'"")"),36.0)</f>
        <v>36</v>
      </c>
      <c r="L678" s="36" t="s">
        <v>227</v>
      </c>
      <c r="M678" s="38">
        <f t="shared" si="88"/>
        <v>1</v>
      </c>
      <c r="N678" s="39" t="s">
        <v>42</v>
      </c>
      <c r="O678" s="40">
        <v>6693457.0</v>
      </c>
      <c r="P678" s="35" t="s">
        <v>1505</v>
      </c>
      <c r="Q678" s="35"/>
      <c r="R678" s="35" t="s">
        <v>3463</v>
      </c>
      <c r="S678" s="35" t="b">
        <v>0</v>
      </c>
      <c r="T678" s="35" t="b">
        <v>0</v>
      </c>
      <c r="U678" s="41" t="str">
        <f>IFERROR(__xludf.DUMMYFUNCTION("""["" &amp; JOIN("", "", ARRAYFORMULA("""""""" &amp; TRIM(SPLIT(A678, "","")) &amp; """""""")) &amp; ""]"""),"[""99999""]")</f>
        <v>["99999"]</v>
      </c>
      <c r="V678" s="42" t="s">
        <v>3464</v>
      </c>
      <c r="W678" s="42" t="s">
        <v>3460</v>
      </c>
      <c r="X678" s="43"/>
      <c r="Y678" s="44" t="str">
        <f>vlookup(G678,zip_codes!$B$6:$J988,3,false)</f>
        <v>Hampton</v>
      </c>
      <c r="Z678" s="45" t="str">
        <f>vlookup(G678,zip_codes!$B$6:$J988,9,false)</f>
        <v>Northampton</v>
      </c>
      <c r="AA678" s="44" t="str">
        <f>vlookup(B678,organizations!$B$1:$C988,2,false)</f>
        <v>Patient Advocate Foundation</v>
      </c>
      <c r="AB678" s="55" t="s">
        <v>3461</v>
      </c>
      <c r="AC678" s="61" t="s">
        <v>1563</v>
      </c>
      <c r="AD678" s="58" t="s">
        <v>3462</v>
      </c>
      <c r="AE678" s="48" t="str">
        <f t="shared" si="85"/>
        <v>Patient Advocate Foundation421 Butler Farm Road36</v>
      </c>
      <c r="AF678" s="48" t="str">
        <f t="shared" si="86"/>
        <v/>
      </c>
    </row>
    <row r="679" ht="66.75" customHeight="1">
      <c r="A679" s="49" t="s">
        <v>50</v>
      </c>
      <c r="B679" s="35" t="s">
        <v>3465</v>
      </c>
      <c r="C679" s="36" t="s">
        <v>3466</v>
      </c>
      <c r="D679" s="36" t="s">
        <v>3467</v>
      </c>
      <c r="E679" s="36" t="s">
        <v>36</v>
      </c>
      <c r="F679" s="36" t="s">
        <v>37</v>
      </c>
      <c r="G679" s="56" t="s">
        <v>1116</v>
      </c>
      <c r="H679" s="35" t="s">
        <v>3468</v>
      </c>
      <c r="I679" s="35" t="s">
        <v>67</v>
      </c>
      <c r="J679" s="35" t="s">
        <v>3469</v>
      </c>
      <c r="K679" s="36">
        <f>IFERROR(__xludf.DUMMYFUNCTION("query(assistance!$A$2:$E988,""Select C Where D = '""&amp;L679&amp;""'"")"),63.0)</f>
        <v>63</v>
      </c>
      <c r="L679" s="36" t="s">
        <v>765</v>
      </c>
      <c r="M679" s="39">
        <f t="shared" si="88"/>
        <v>1</v>
      </c>
      <c r="N679" s="51" t="s">
        <v>42</v>
      </c>
      <c r="O679" s="40">
        <v>46083.0</v>
      </c>
      <c r="P679" s="35" t="s">
        <v>43</v>
      </c>
      <c r="Q679" s="35"/>
      <c r="R679" s="35" t="s">
        <v>3470</v>
      </c>
      <c r="S679" s="35" t="b">
        <v>1</v>
      </c>
      <c r="T679" s="35" t="b">
        <v>0</v>
      </c>
      <c r="U679" s="35" t="str">
        <f>IFERROR(__xludf.DUMMYFUNCTION("""["" &amp; JOIN("", "", ARRAYFORMULA("""""""" &amp; TRIM(SPLIT(A679, "","")) &amp; """""""")) &amp; ""]"""),"[""99999""]")</f>
        <v>["99999"]</v>
      </c>
      <c r="V679" s="42" t="s">
        <v>3471</v>
      </c>
      <c r="W679" s="42" t="s">
        <v>3472</v>
      </c>
      <c r="X679" s="43"/>
      <c r="Y679" s="44" t="str">
        <f>vlookup(G679,zip_codes!$B$6:$J988,3,false)</f>
        <v>Houston</v>
      </c>
      <c r="Z679" s="45" t="str">
        <f>vlookup(G679,zip_codes!$B$6:$J988,9,false)</f>
        <v>Afton Oaks, Greenway / Upper Kirby Area, Highland Village, River Oaks District, Westside</v>
      </c>
      <c r="AA679" s="44" t="str">
        <f>vlookup(B679,organizations!$B$1:$C988,2,false)</f>
        <v>PetSet</v>
      </c>
      <c r="AB679" s="55" t="s">
        <v>3473</v>
      </c>
      <c r="AC679" s="47" t="str">
        <f>PARSE_HOURS(I679)</f>
        <v>{"regular":[{"days":["Mo","Tu","We","Th","Fr"],"open":null,"close":null}]}</v>
      </c>
      <c r="AD679" s="58" t="s">
        <v>3474</v>
      </c>
      <c r="AE679" s="48" t="str">
        <f t="shared" si="85"/>
        <v>PetSet4265 San Felipe Street63</v>
      </c>
      <c r="AF679" s="48"/>
    </row>
    <row r="680" ht="66.75" customHeight="1">
      <c r="A680" s="49" t="s">
        <v>50</v>
      </c>
      <c r="B680" s="35" t="s">
        <v>3475</v>
      </c>
      <c r="C680" s="36" t="s">
        <v>3476</v>
      </c>
      <c r="D680" s="36"/>
      <c r="E680" s="36" t="s">
        <v>3477</v>
      </c>
      <c r="F680" s="36" t="s">
        <v>3478</v>
      </c>
      <c r="G680" s="56" t="s">
        <v>3479</v>
      </c>
      <c r="H680" s="35"/>
      <c r="I680" s="35" t="s">
        <v>516</v>
      </c>
      <c r="J680" s="35" t="s">
        <v>89</v>
      </c>
      <c r="K680" s="37">
        <f>IFERROR(__xludf.DUMMYFUNCTION("query(assistance!$A$2:$E988,""Select C Where D = '""&amp;L680&amp;""'"")"),36.0)</f>
        <v>36</v>
      </c>
      <c r="L680" s="36" t="s">
        <v>227</v>
      </c>
      <c r="M680" s="38">
        <f t="shared" si="88"/>
        <v>1</v>
      </c>
      <c r="N680" s="39" t="s">
        <v>42</v>
      </c>
      <c r="O680" s="40">
        <v>6693457.0</v>
      </c>
      <c r="P680" s="35" t="s">
        <v>43</v>
      </c>
      <c r="Q680" s="35"/>
      <c r="R680" s="35" t="s">
        <v>3480</v>
      </c>
      <c r="S680" s="35" t="b">
        <v>0</v>
      </c>
      <c r="T680" s="35" t="b">
        <v>0</v>
      </c>
      <c r="U680" s="41" t="str">
        <f>IFERROR(__xludf.DUMMYFUNCTION("""["" &amp; JOIN("", "", ARRAYFORMULA("""""""" &amp; TRIM(SPLIT(A680, "","")) &amp; """""""")) &amp; ""]"""),"[""99999""]")</f>
        <v>["99999"]</v>
      </c>
      <c r="V680" s="91" t="s">
        <v>3481</v>
      </c>
      <c r="W680" s="42" t="s">
        <v>3482</v>
      </c>
      <c r="X680" s="43"/>
      <c r="Y680" s="44" t="str">
        <f>vlookup(G680,zip_codes!$B$2:$J988,3,false)</f>
        <v>Southfield</v>
      </c>
      <c r="Z680" s="45" t="str">
        <f>vlookup(G680,zip_codes!$B$6:$J988,9,false)</f>
        <v>P.O. Boxes</v>
      </c>
      <c r="AA680" s="44" t="str">
        <f>vlookup(B680,organizations!$B$1:$C988,2,false)</f>
        <v>Pink Fund</v>
      </c>
      <c r="AB680" s="55" t="s">
        <v>3483</v>
      </c>
      <c r="AC680" s="61" t="s">
        <v>520</v>
      </c>
      <c r="AD680" s="58" t="s">
        <v>3484</v>
      </c>
      <c r="AE680" s="48" t="str">
        <f t="shared" si="85"/>
        <v>Pink FundP.O. Box 60736</v>
      </c>
      <c r="AF680" s="48" t="str">
        <f t="shared" ref="AF680:AF699" si="89">if(AE680=AE679,"XXX","")</f>
        <v/>
      </c>
    </row>
    <row r="681" ht="66.75" customHeight="1">
      <c r="A681" s="49" t="s">
        <v>50</v>
      </c>
      <c r="B681" s="35" t="s">
        <v>3485</v>
      </c>
      <c r="C681" s="36" t="s">
        <v>3486</v>
      </c>
      <c r="D681" s="36"/>
      <c r="E681" s="36" t="s">
        <v>36</v>
      </c>
      <c r="F681" s="36" t="s">
        <v>37</v>
      </c>
      <c r="G681" s="35" t="s">
        <v>1949</v>
      </c>
      <c r="H681" s="35" t="s">
        <v>3487</v>
      </c>
      <c r="I681" s="35"/>
      <c r="J681" s="35"/>
      <c r="K681" s="37">
        <f>IFERROR(__xludf.DUMMYFUNCTION("query(assistance!$A$2:$E988,""Select C Where D = '""&amp;L681&amp;""'"")"),65.0)</f>
        <v>65</v>
      </c>
      <c r="L681" s="36" t="s">
        <v>41</v>
      </c>
      <c r="M681" s="38">
        <f t="shared" si="88"/>
        <v>1</v>
      </c>
      <c r="N681" s="51" t="s">
        <v>42</v>
      </c>
      <c r="O681" s="40">
        <v>45856.0</v>
      </c>
      <c r="P681" s="35" t="s">
        <v>43</v>
      </c>
      <c r="Q681" s="35"/>
      <c r="R681" s="35" t="s">
        <v>3488</v>
      </c>
      <c r="S681" s="35" t="b">
        <v>0</v>
      </c>
      <c r="T681" s="35" t="b">
        <v>0</v>
      </c>
      <c r="U681" s="41" t="str">
        <f>IFERROR(__xludf.DUMMYFUNCTION("""["" &amp; JOIN("", "", ARRAYFORMULA("""""""" &amp; TRIM(SPLIT(A681, "","")) &amp; """""""")) &amp; ""]"""),"[""99999""]")</f>
        <v>["99999"]</v>
      </c>
      <c r="V681" s="42" t="s">
        <v>3489</v>
      </c>
      <c r="W681" s="42" t="s">
        <v>3490</v>
      </c>
      <c r="X681" s="43"/>
      <c r="Y681" s="44" t="str">
        <f>vlookup(G681,zip_codes!$B$6:$J988,3,false)</f>
        <v>Houston</v>
      </c>
      <c r="Z681" s="45" t="str">
        <f>vlookup(G681,zip_codes!$B$6:$J988,9,false)</f>
        <v>East Houston, Northside, Settegast</v>
      </c>
      <c r="AA681" s="44" t="str">
        <f>vlookup(B681,organizations!$B$1:$C988,2,false)</f>
        <v>POZ Impact Mobile Mechanic</v>
      </c>
      <c r="AB681" s="55" t="s">
        <v>3491</v>
      </c>
      <c r="AC681" s="53"/>
      <c r="AD681" s="48" t="s">
        <v>3486</v>
      </c>
      <c r="AE681" s="48" t="str">
        <f t="shared" si="85"/>
        <v>POZ Impact Mobile MechanicSettegast65</v>
      </c>
      <c r="AF681" s="48" t="str">
        <f t="shared" si="89"/>
        <v/>
      </c>
    </row>
    <row r="682" ht="66.75" customHeight="1">
      <c r="A682" s="49" t="s">
        <v>50</v>
      </c>
      <c r="B682" s="35" t="s">
        <v>3492</v>
      </c>
      <c r="C682" s="36" t="s">
        <v>3493</v>
      </c>
      <c r="D682" s="36"/>
      <c r="E682" s="36" t="s">
        <v>36</v>
      </c>
      <c r="F682" s="36" t="s">
        <v>37</v>
      </c>
      <c r="G682" s="35" t="s">
        <v>524</v>
      </c>
      <c r="H682" s="35" t="s">
        <v>3494</v>
      </c>
      <c r="I682" s="35" t="s">
        <v>67</v>
      </c>
      <c r="J682" s="35"/>
      <c r="K682" s="37">
        <f>IFERROR(__xludf.DUMMYFUNCTION("query(assistance!$A$2:$E988,""Select C Where D = '""&amp;L682&amp;""'"")"),24.0)</f>
        <v>24</v>
      </c>
      <c r="L682" s="36" t="s">
        <v>405</v>
      </c>
      <c r="M682" s="38">
        <f t="shared" si="88"/>
        <v>1</v>
      </c>
      <c r="N682" s="39" t="s">
        <v>42</v>
      </c>
      <c r="O682" s="57">
        <v>45793.0</v>
      </c>
      <c r="P682" s="35" t="s">
        <v>43</v>
      </c>
      <c r="Q682" s="35"/>
      <c r="R682" s="35" t="s">
        <v>3495</v>
      </c>
      <c r="S682" s="35" t="b">
        <v>0</v>
      </c>
      <c r="T682" s="35" t="b">
        <v>0</v>
      </c>
      <c r="U682" s="41" t="str">
        <f>IFERROR(__xludf.DUMMYFUNCTION("""["" &amp; JOIN("", "", ARRAYFORMULA("""""""" &amp; TRIM(SPLIT(A682, "","")) &amp; """""""")) &amp; ""]"""),"[""99999""]")</f>
        <v>["99999"]</v>
      </c>
      <c r="V682" s="42" t="s">
        <v>3496</v>
      </c>
      <c r="W682" s="42" t="s">
        <v>3497</v>
      </c>
      <c r="X682" s="43"/>
      <c r="Y682" s="44" t="str">
        <f>vlookup(G682,zip_codes!$B$6:$J988,3,false)</f>
        <v>Houston</v>
      </c>
      <c r="Z682" s="45" t="str">
        <f>vlookup(G682,zip_codes!$B$6:$J988,9,false)</f>
        <v>Bellaire, Brays Oaks, Fondren Gardens, Westbury, Willow Meadows/ Willowbend Area, Willowbend</v>
      </c>
      <c r="AA682" s="44" t="str">
        <f>vlookup(B682,organizations!$B$1:$C988,2,false)</f>
        <v>Presbyterian Children's Homes and Services</v>
      </c>
      <c r="AB682" s="46" t="s">
        <v>3498</v>
      </c>
      <c r="AC682" s="47" t="s">
        <v>73</v>
      </c>
      <c r="AD682" s="48" t="s">
        <v>1306</v>
      </c>
      <c r="AE682" s="48" t="str">
        <f t="shared" si="85"/>
        <v>Presbyterian Children's Homes and Services5020 W Belfort Drive24</v>
      </c>
      <c r="AF682" s="48" t="str">
        <f t="shared" si="89"/>
        <v/>
      </c>
    </row>
    <row r="683" ht="66.75" customHeight="1">
      <c r="A683" s="49" t="s">
        <v>3499</v>
      </c>
      <c r="B683" s="35" t="s">
        <v>3500</v>
      </c>
      <c r="C683" s="36" t="s">
        <v>3501</v>
      </c>
      <c r="D683" s="36"/>
      <c r="E683" s="36" t="s">
        <v>36</v>
      </c>
      <c r="F683" s="36" t="s">
        <v>37</v>
      </c>
      <c r="G683" s="35" t="s">
        <v>2112</v>
      </c>
      <c r="H683" s="35" t="s">
        <v>3502</v>
      </c>
      <c r="I683" s="50"/>
      <c r="J683" s="64"/>
      <c r="K683" s="37">
        <f>IFERROR(__xludf.DUMMYFUNCTION("query(assistance!$A$2:$E988,""Select C Where D = '""&amp;L683&amp;""'"")"),11.0)</f>
        <v>11</v>
      </c>
      <c r="L683" s="36" t="s">
        <v>322</v>
      </c>
      <c r="M683" s="38">
        <f t="shared" si="88"/>
        <v>1</v>
      </c>
      <c r="N683" s="51" t="s">
        <v>42</v>
      </c>
      <c r="O683" s="73">
        <v>45758.0</v>
      </c>
      <c r="P683" s="50"/>
      <c r="Q683" s="35"/>
      <c r="R683" s="35" t="s">
        <v>3503</v>
      </c>
      <c r="S683" s="35" t="b">
        <v>0</v>
      </c>
      <c r="T683" s="35" t="b">
        <v>0</v>
      </c>
      <c r="U683" s="41" t="str">
        <f>IFERROR(__xludf.DUMMYFUNCTION("""["" &amp; JOIN("", "", ARRAYFORMULA("""""""" &amp; TRIM(SPLIT(A683, "","")) &amp; """""""")) &amp; ""]"""),"[""77064"", ""77066"", ""77069"", ""77070""]")</f>
        <v>["77064", "77066", "77069", "77070"]</v>
      </c>
      <c r="V683" s="52" t="s">
        <v>3504</v>
      </c>
      <c r="W683" s="52" t="s">
        <v>3505</v>
      </c>
      <c r="X683" s="43"/>
      <c r="Y683" s="44" t="str">
        <f>vlookup(G683,zip_codes!$B$6:$J988,3,false)</f>
        <v>Houston</v>
      </c>
      <c r="Z683" s="45" t="str">
        <f>vlookup(G683,zip_codes!$B$6:$J988,9,false)</f>
        <v>Champion Forest, Mill Ridge North, Willowbrook</v>
      </c>
      <c r="AA683" s="44" t="str">
        <f>vlookup(B683,organizations!$B$1:$C988,2,false)</f>
        <v>Prince of Peace</v>
      </c>
      <c r="AB683" s="46" t="s">
        <v>3506</v>
      </c>
      <c r="AC683" s="53"/>
      <c r="AD683" s="58" t="s">
        <v>3507</v>
      </c>
      <c r="AE683" s="48" t="str">
        <f t="shared" si="85"/>
        <v>Prince of Peace19222 TX-24911</v>
      </c>
      <c r="AF683" s="48" t="str">
        <f t="shared" si="89"/>
        <v/>
      </c>
    </row>
    <row r="684" ht="66.75" customHeight="1">
      <c r="A684" s="49" t="s">
        <v>3499</v>
      </c>
      <c r="B684" s="35" t="s">
        <v>3500</v>
      </c>
      <c r="C684" s="36" t="s">
        <v>3501</v>
      </c>
      <c r="D684" s="36"/>
      <c r="E684" s="36" t="s">
        <v>36</v>
      </c>
      <c r="F684" s="36" t="s">
        <v>37</v>
      </c>
      <c r="G684" s="35" t="s">
        <v>2112</v>
      </c>
      <c r="H684" s="35" t="s">
        <v>3502</v>
      </c>
      <c r="I684" s="50"/>
      <c r="J684" s="64"/>
      <c r="K684" s="37">
        <f>IFERROR(__xludf.DUMMYFUNCTION("query(assistance!$A$2:$E988,""Select C Where D = '""&amp;L684&amp;""'"")"),12.0)</f>
        <v>12</v>
      </c>
      <c r="L684" s="36" t="s">
        <v>330</v>
      </c>
      <c r="M684" s="38">
        <f t="shared" si="88"/>
        <v>1</v>
      </c>
      <c r="N684" s="51" t="s">
        <v>42</v>
      </c>
      <c r="O684" s="73">
        <v>45758.0</v>
      </c>
      <c r="P684" s="50"/>
      <c r="Q684" s="35"/>
      <c r="R684" s="35" t="s">
        <v>3508</v>
      </c>
      <c r="S684" s="35" t="b">
        <v>0</v>
      </c>
      <c r="T684" s="35" t="b">
        <v>0</v>
      </c>
      <c r="U684" s="41" t="str">
        <f>IFERROR(__xludf.DUMMYFUNCTION("""["" &amp; JOIN("", "", ARRAYFORMULA("""""""" &amp; TRIM(SPLIT(A684, "","")) &amp; """""""")) &amp; ""]"""),"[""77064"", ""77066"", ""77069"", ""77070""]")</f>
        <v>["77064", "77066", "77069", "77070"]</v>
      </c>
      <c r="V684" s="52" t="s">
        <v>3504</v>
      </c>
      <c r="W684" s="52" t="s">
        <v>3505</v>
      </c>
      <c r="X684" s="43"/>
      <c r="Y684" s="44" t="str">
        <f>vlookup(G684,zip_codes!$B$6:$J988,3,false)</f>
        <v>Houston</v>
      </c>
      <c r="Z684" s="45" t="str">
        <f>vlookup(G684,zip_codes!$B$6:$J988,9,false)</f>
        <v>Champion Forest, Mill Ridge North, Willowbrook</v>
      </c>
      <c r="AA684" s="44" t="str">
        <f>vlookup(B684,organizations!$B$1:$C988,2,false)</f>
        <v>Prince of Peace</v>
      </c>
      <c r="AB684" s="46" t="s">
        <v>3506</v>
      </c>
      <c r="AC684" s="53"/>
      <c r="AD684" s="58" t="s">
        <v>3507</v>
      </c>
      <c r="AE684" s="48" t="str">
        <f t="shared" si="85"/>
        <v>Prince of Peace19222 TX-24912</v>
      </c>
      <c r="AF684" s="48" t="str">
        <f t="shared" si="89"/>
        <v/>
      </c>
    </row>
    <row r="685" ht="66.75" customHeight="1">
      <c r="A685" s="49" t="s">
        <v>3499</v>
      </c>
      <c r="B685" s="35" t="s">
        <v>3500</v>
      </c>
      <c r="C685" s="36" t="s">
        <v>3501</v>
      </c>
      <c r="D685" s="36"/>
      <c r="E685" s="36" t="s">
        <v>36</v>
      </c>
      <c r="F685" s="36" t="s">
        <v>37</v>
      </c>
      <c r="G685" s="35" t="s">
        <v>2112</v>
      </c>
      <c r="H685" s="35" t="s">
        <v>3502</v>
      </c>
      <c r="I685" s="35" t="s">
        <v>3509</v>
      </c>
      <c r="J685" s="35"/>
      <c r="K685" s="37">
        <f>IFERROR(__xludf.DUMMYFUNCTION("query(assistance!$A$2:$E988,""Select C Where D = '""&amp;L685&amp;""'"")"),13.0)</f>
        <v>13</v>
      </c>
      <c r="L685" s="36" t="s">
        <v>240</v>
      </c>
      <c r="M685" s="38">
        <f t="shared" si="88"/>
        <v>1</v>
      </c>
      <c r="N685" s="39" t="s">
        <v>42</v>
      </c>
      <c r="O685" s="65"/>
      <c r="P685" s="66"/>
      <c r="Q685" s="35"/>
      <c r="R685" s="35" t="s">
        <v>3510</v>
      </c>
      <c r="S685" s="35" t="b">
        <v>0</v>
      </c>
      <c r="T685" s="35" t="b">
        <v>0</v>
      </c>
      <c r="U685" s="41" t="str">
        <f>IFERROR(__xludf.DUMMYFUNCTION("""["" &amp; JOIN("", "", ARRAYFORMULA("""""""" &amp; TRIM(SPLIT(A685, "","")) &amp; """""""")) &amp; ""]"""),"[""77064"", ""77066"", ""77069"", ""77070""]")</f>
        <v>["77064", "77066", "77069", "77070"]</v>
      </c>
      <c r="V685" s="52" t="s">
        <v>3504</v>
      </c>
      <c r="W685" s="52" t="s">
        <v>3505</v>
      </c>
      <c r="X685" s="43"/>
      <c r="Y685" s="44" t="str">
        <f>vlookup(G685,zip_codes!$B$6:$J988,3,false)</f>
        <v>Houston</v>
      </c>
      <c r="Z685" s="45" t="str">
        <f>vlookup(G685,zip_codes!$B$6:$J988,9,false)</f>
        <v>Champion Forest, Mill Ridge North, Willowbrook</v>
      </c>
      <c r="AA685" s="44" t="str">
        <f>vlookup(B685,organizations!$B$1:$C988,2,false)</f>
        <v>Prince of Peace</v>
      </c>
      <c r="AB685" s="46" t="s">
        <v>3506</v>
      </c>
      <c r="AC685" s="47" t="s">
        <v>3511</v>
      </c>
      <c r="AD685" s="58" t="s">
        <v>3507</v>
      </c>
      <c r="AE685" s="48" t="str">
        <f t="shared" si="85"/>
        <v>Prince of Peace19222 TX-24913</v>
      </c>
      <c r="AF685" s="48" t="str">
        <f t="shared" si="89"/>
        <v/>
      </c>
    </row>
    <row r="686" ht="66.75" customHeight="1">
      <c r="A686" s="49" t="s">
        <v>50</v>
      </c>
      <c r="B686" s="35" t="s">
        <v>3512</v>
      </c>
      <c r="C686" s="36" t="s">
        <v>3513</v>
      </c>
      <c r="D686" s="36"/>
      <c r="E686" s="36" t="s">
        <v>36</v>
      </c>
      <c r="F686" s="36" t="s">
        <v>37</v>
      </c>
      <c r="G686" s="35" t="s">
        <v>567</v>
      </c>
      <c r="H686" s="50"/>
      <c r="I686" s="35" t="s">
        <v>67</v>
      </c>
      <c r="J686" s="35"/>
      <c r="K686" s="37">
        <f>IFERROR(__xludf.DUMMYFUNCTION("query(assistance!$A$2:$E988,""Select C Where D = '""&amp;L686&amp;""'"")"),44.0)</f>
        <v>44</v>
      </c>
      <c r="L686" s="36" t="s">
        <v>102</v>
      </c>
      <c r="M686" s="38">
        <f t="shared" si="88"/>
        <v>1</v>
      </c>
      <c r="N686" s="51" t="s">
        <v>42</v>
      </c>
      <c r="O686" s="40">
        <v>45761.0</v>
      </c>
      <c r="P686" s="35" t="s">
        <v>406</v>
      </c>
      <c r="Q686" s="35"/>
      <c r="R686" s="35" t="s">
        <v>3514</v>
      </c>
      <c r="S686" s="35" t="b">
        <v>0</v>
      </c>
      <c r="T686" s="35" t="b">
        <v>0</v>
      </c>
      <c r="U686" s="41" t="str">
        <f>IFERROR(__xludf.DUMMYFUNCTION("""["" &amp; JOIN("", "", ARRAYFORMULA("""""""" &amp; TRIM(SPLIT(A686, "","")) &amp; """""""")) &amp; ""]"""),"[""99999""]")</f>
        <v>["99999"]</v>
      </c>
      <c r="V686" s="52" t="s">
        <v>3515</v>
      </c>
      <c r="W686" s="43"/>
      <c r="X686" s="43"/>
      <c r="Y686" s="44" t="str">
        <f>vlookup(G686,zip_codes!$B$6:$J988,3,false)</f>
        <v>Houston</v>
      </c>
      <c r="Z686" s="45" t="str">
        <f>vlookup(G686,zip_codes!$B$6:$J988,9,false)</f>
        <v>Braeburn, Robindell, Sharpstown</v>
      </c>
      <c r="AA686" s="44" t="str">
        <f>vlookup(B686,organizations!$B$1:$C988,2,false)</f>
        <v>Project One Day</v>
      </c>
      <c r="AB686" s="46" t="s">
        <v>3516</v>
      </c>
      <c r="AC686" s="47" t="s">
        <v>73</v>
      </c>
      <c r="AD686" s="48" t="s">
        <v>572</v>
      </c>
      <c r="AE686" s="48" t="str">
        <f t="shared" si="85"/>
        <v>Project One Day7000 Bellaire Blvd44</v>
      </c>
      <c r="AF686" s="48" t="str">
        <f t="shared" si="89"/>
        <v/>
      </c>
    </row>
    <row r="687" ht="66.75" customHeight="1">
      <c r="A687" s="49" t="s">
        <v>3517</v>
      </c>
      <c r="B687" s="35" t="s">
        <v>3518</v>
      </c>
      <c r="C687" s="36" t="s">
        <v>3519</v>
      </c>
      <c r="D687" s="36"/>
      <c r="E687" s="36" t="s">
        <v>3520</v>
      </c>
      <c r="F687" s="36" t="s">
        <v>37</v>
      </c>
      <c r="G687" s="35" t="s">
        <v>3517</v>
      </c>
      <c r="H687" s="35" t="s">
        <v>3521</v>
      </c>
      <c r="I687" s="35" t="s">
        <v>3522</v>
      </c>
      <c r="J687" s="35"/>
      <c r="K687" s="37">
        <f>IFERROR(__xludf.DUMMYFUNCTION("query(assistance!$A$2:$E988,""Select C Where D = '""&amp;L687&amp;""'"")"),11.0)</f>
        <v>11</v>
      </c>
      <c r="L687" s="36" t="s">
        <v>322</v>
      </c>
      <c r="M687" s="38">
        <f t="shared" si="88"/>
        <v>1</v>
      </c>
      <c r="N687" s="39" t="s">
        <v>42</v>
      </c>
      <c r="O687" s="65"/>
      <c r="P687" s="50"/>
      <c r="Q687" s="50"/>
      <c r="R687" s="50"/>
      <c r="S687" s="35" t="b">
        <v>0</v>
      </c>
      <c r="T687" s="35" t="b">
        <v>0</v>
      </c>
      <c r="U687" s="41" t="str">
        <f>IFERROR(__xludf.DUMMYFUNCTION("""["" &amp; JOIN("", "", ARRAYFORMULA("""""""" &amp; TRIM(SPLIT(A687, "","")) &amp; """""""")) &amp; ""]"""),"[""77568""]")</f>
        <v>["77568"]</v>
      </c>
      <c r="V687" s="52" t="s">
        <v>3523</v>
      </c>
      <c r="W687" s="52" t="s">
        <v>3524</v>
      </c>
      <c r="X687" s="43"/>
      <c r="Y687" s="44" t="str">
        <f>vlookup(G687,zip_codes!$B$6:$J988,3,false)</f>
        <v>La Marque</v>
      </c>
      <c r="Z687" s="45" t="str">
        <f>vlookup(G687,zip_codes!$B$6:$J988,9,false)</f>
        <v>La Marque</v>
      </c>
      <c r="AA687" s="44" t="str">
        <f>vlookup(B687,organizations!$B$1:$C988,2,false)</f>
        <v>Queen of Peace LaMarque</v>
      </c>
      <c r="AB687" s="46" t="s">
        <v>3525</v>
      </c>
      <c r="AC687" s="47" t="s">
        <v>3526</v>
      </c>
      <c r="AD687" s="48" t="s">
        <v>3520</v>
      </c>
      <c r="AE687" s="48" t="str">
        <f t="shared" si="85"/>
        <v>Queen of Peace LaMarque1224 Cedar Drive11</v>
      </c>
      <c r="AF687" s="48" t="str">
        <f t="shared" si="89"/>
        <v/>
      </c>
    </row>
    <row r="688" ht="66.75" customHeight="1">
      <c r="A688" s="49" t="s">
        <v>3517</v>
      </c>
      <c r="B688" s="35" t="s">
        <v>3518</v>
      </c>
      <c r="C688" s="36" t="s">
        <v>3519</v>
      </c>
      <c r="D688" s="36"/>
      <c r="E688" s="36" t="s">
        <v>3520</v>
      </c>
      <c r="F688" s="36" t="s">
        <v>37</v>
      </c>
      <c r="G688" s="35" t="s">
        <v>3517</v>
      </c>
      <c r="H688" s="35" t="s">
        <v>3521</v>
      </c>
      <c r="I688" s="35" t="s">
        <v>3522</v>
      </c>
      <c r="J688" s="35"/>
      <c r="K688" s="37">
        <f>IFERROR(__xludf.DUMMYFUNCTION("query(assistance!$A$2:$E988,""Select C Where D = '""&amp;L688&amp;""'"")"),12.0)</f>
        <v>12</v>
      </c>
      <c r="L688" s="36" t="s">
        <v>330</v>
      </c>
      <c r="M688" s="38">
        <f t="shared" si="88"/>
        <v>1</v>
      </c>
      <c r="N688" s="39" t="s">
        <v>42</v>
      </c>
      <c r="O688" s="65"/>
      <c r="P688" s="50"/>
      <c r="Q688" s="50"/>
      <c r="R688" s="50"/>
      <c r="S688" s="35" t="b">
        <v>0</v>
      </c>
      <c r="T688" s="35" t="b">
        <v>0</v>
      </c>
      <c r="U688" s="41" t="str">
        <f>IFERROR(__xludf.DUMMYFUNCTION("""["" &amp; JOIN("", "", ARRAYFORMULA("""""""" &amp; TRIM(SPLIT(A688, "","")) &amp; """""""")) &amp; ""]"""),"[""77568""]")</f>
        <v>["77568"]</v>
      </c>
      <c r="V688" s="52" t="s">
        <v>3523</v>
      </c>
      <c r="W688" s="52" t="s">
        <v>3524</v>
      </c>
      <c r="X688" s="43"/>
      <c r="Y688" s="44" t="str">
        <f>vlookup(G688,zip_codes!$B$6:$J988,3,false)</f>
        <v>La Marque</v>
      </c>
      <c r="Z688" s="45" t="str">
        <f>vlookup(G688,zip_codes!$B$6:$J988,9,false)</f>
        <v>La Marque</v>
      </c>
      <c r="AA688" s="44" t="str">
        <f>vlookup(B688,organizations!$B$1:$C988,2,false)</f>
        <v>Queen of Peace LaMarque</v>
      </c>
      <c r="AB688" s="46" t="s">
        <v>3525</v>
      </c>
      <c r="AC688" s="47" t="s">
        <v>3526</v>
      </c>
      <c r="AD688" s="48" t="s">
        <v>3520</v>
      </c>
      <c r="AE688" s="48" t="str">
        <f t="shared" si="85"/>
        <v>Queen of Peace LaMarque1224 Cedar Drive12</v>
      </c>
      <c r="AF688" s="48" t="str">
        <f t="shared" si="89"/>
        <v/>
      </c>
    </row>
    <row r="689" ht="66.75" customHeight="1">
      <c r="A689" s="49" t="s">
        <v>3517</v>
      </c>
      <c r="B689" s="35" t="s">
        <v>3518</v>
      </c>
      <c r="C689" s="36" t="s">
        <v>3519</v>
      </c>
      <c r="D689" s="36"/>
      <c r="E689" s="36" t="s">
        <v>3520</v>
      </c>
      <c r="F689" s="36" t="s">
        <v>37</v>
      </c>
      <c r="G689" s="35" t="s">
        <v>3517</v>
      </c>
      <c r="H689" s="35" t="s">
        <v>3521</v>
      </c>
      <c r="I689" s="35" t="s">
        <v>3522</v>
      </c>
      <c r="J689" s="35"/>
      <c r="K689" s="37">
        <f>IFERROR(__xludf.DUMMYFUNCTION("query(assistance!$A$2:$E988,""Select C Where D = '""&amp;L689&amp;""'"")"),13.0)</f>
        <v>13</v>
      </c>
      <c r="L689" s="36" t="s">
        <v>240</v>
      </c>
      <c r="M689" s="38">
        <f t="shared" si="88"/>
        <v>1</v>
      </c>
      <c r="N689" s="39" t="s">
        <v>42</v>
      </c>
      <c r="O689" s="65"/>
      <c r="P689" s="50"/>
      <c r="Q689" s="50"/>
      <c r="R689" s="50"/>
      <c r="S689" s="35" t="b">
        <v>0</v>
      </c>
      <c r="T689" s="35" t="b">
        <v>0</v>
      </c>
      <c r="U689" s="41" t="str">
        <f>IFERROR(__xludf.DUMMYFUNCTION("""["" &amp; JOIN("", "", ARRAYFORMULA("""""""" &amp; TRIM(SPLIT(A689, "","")) &amp; """""""")) &amp; ""]"""),"[""77568""]")</f>
        <v>["77568"]</v>
      </c>
      <c r="V689" s="52" t="s">
        <v>3523</v>
      </c>
      <c r="W689" s="52" t="s">
        <v>3524</v>
      </c>
      <c r="X689" s="43"/>
      <c r="Y689" s="44" t="str">
        <f>vlookup(G689,zip_codes!$B$6:$J988,3,false)</f>
        <v>La Marque</v>
      </c>
      <c r="Z689" s="45" t="str">
        <f>vlookup(G689,zip_codes!$B$6:$J988,9,false)</f>
        <v>La Marque</v>
      </c>
      <c r="AA689" s="44" t="str">
        <f>vlookup(B689,organizations!$B$1:$C988,2,false)</f>
        <v>Queen of Peace LaMarque</v>
      </c>
      <c r="AB689" s="46" t="s">
        <v>3525</v>
      </c>
      <c r="AC689" s="47" t="s">
        <v>3526</v>
      </c>
      <c r="AD689" s="48" t="s">
        <v>3520</v>
      </c>
      <c r="AE689" s="48" t="str">
        <f t="shared" si="85"/>
        <v>Queen of Peace LaMarque1224 Cedar Drive13</v>
      </c>
      <c r="AF689" s="48" t="str">
        <f t="shared" si="89"/>
        <v/>
      </c>
    </row>
    <row r="690" ht="66.75" customHeight="1">
      <c r="A690" s="49" t="s">
        <v>50</v>
      </c>
      <c r="B690" s="35" t="s">
        <v>3527</v>
      </c>
      <c r="C690" s="36" t="s">
        <v>52</v>
      </c>
      <c r="D690" s="36"/>
      <c r="E690" s="36" t="s">
        <v>36</v>
      </c>
      <c r="F690" s="36" t="s">
        <v>37</v>
      </c>
      <c r="G690" s="35" t="s">
        <v>54</v>
      </c>
      <c r="H690" s="35" t="s">
        <v>3528</v>
      </c>
      <c r="I690" s="35" t="s">
        <v>272</v>
      </c>
      <c r="J690" s="35" t="s">
        <v>3529</v>
      </c>
      <c r="K690" s="37">
        <f>IFERROR(__xludf.DUMMYFUNCTION("query(assistance!$A$2:$E988,""Select C Where D = '""&amp;L690&amp;""'"")"),21.0)</f>
        <v>21</v>
      </c>
      <c r="L690" s="36" t="s">
        <v>777</v>
      </c>
      <c r="M690" s="38">
        <f t="shared" si="88"/>
        <v>1</v>
      </c>
      <c r="N690" s="51" t="s">
        <v>42</v>
      </c>
      <c r="O690" s="40">
        <v>45941.0</v>
      </c>
      <c r="P690" s="35"/>
      <c r="Q690" s="35"/>
      <c r="R690" s="35" t="s">
        <v>3530</v>
      </c>
      <c r="S690" s="35" t="b">
        <v>0</v>
      </c>
      <c r="T690" s="35" t="b">
        <v>0</v>
      </c>
      <c r="U690" s="41" t="str">
        <f>IFERROR(__xludf.DUMMYFUNCTION("""["" &amp; JOIN("", "", ARRAYFORMULA("""""""" &amp; TRIM(SPLIT(A690, "","")) &amp; """""""")) &amp; ""]"""),"[""99999""]")</f>
        <v>["99999"]</v>
      </c>
      <c r="V690" s="42" t="s">
        <v>3531</v>
      </c>
      <c r="W690" s="42" t="s">
        <v>3532</v>
      </c>
      <c r="X690" s="43"/>
      <c r="Y690" s="44" t="str">
        <f>vlookup(G690,zip_codes!$B$6:$J988,3,false)</f>
        <v>Houston</v>
      </c>
      <c r="Z690" s="45" t="str">
        <f>vlookup(G690,zip_codes!$B$6:$J988,9,false)</f>
        <v>Brays Oaks, Meyerland, Westbury, Willow Meadows</v>
      </c>
      <c r="AA690" s="44" t="str">
        <f>vlookup(B690,organizations!$B$1:$C988,2,false)</f>
        <v>Rainbow of Love</v>
      </c>
      <c r="AB690" s="55" t="s">
        <v>3533</v>
      </c>
      <c r="AC690" s="47" t="s">
        <v>278</v>
      </c>
      <c r="AD690" s="48" t="s">
        <v>62</v>
      </c>
      <c r="AE690" s="48" t="str">
        <f t="shared" si="85"/>
        <v>Rainbow of Love10103 Fondren Road21</v>
      </c>
      <c r="AF690" s="48" t="str">
        <f t="shared" si="89"/>
        <v/>
      </c>
    </row>
    <row r="691" ht="66.75" customHeight="1">
      <c r="A691" s="49" t="s">
        <v>50</v>
      </c>
      <c r="B691" s="35" t="s">
        <v>3534</v>
      </c>
      <c r="C691" s="36" t="s">
        <v>3535</v>
      </c>
      <c r="D691" s="36" t="s">
        <v>1554</v>
      </c>
      <c r="E691" s="36" t="s">
        <v>36</v>
      </c>
      <c r="F691" s="36" t="s">
        <v>37</v>
      </c>
      <c r="G691" s="35" t="s">
        <v>1053</v>
      </c>
      <c r="H691" s="35" t="s">
        <v>3536</v>
      </c>
      <c r="I691" s="35" t="s">
        <v>67</v>
      </c>
      <c r="J691" s="35"/>
      <c r="K691" s="37">
        <f>IFERROR(__xludf.DUMMYFUNCTION("query(assistance!$A$2:$E988,""Select C Where D = '""&amp;L691&amp;""'"")"),55.0)</f>
        <v>55</v>
      </c>
      <c r="L691" s="36" t="s">
        <v>436</v>
      </c>
      <c r="M691" s="38">
        <f t="shared" si="88"/>
        <v>1</v>
      </c>
      <c r="N691" s="51" t="s">
        <v>42</v>
      </c>
      <c r="O691" s="40">
        <v>45757.0</v>
      </c>
      <c r="P691" s="50"/>
      <c r="Q691" s="50"/>
      <c r="R691" s="50"/>
      <c r="S691" s="35" t="b">
        <v>0</v>
      </c>
      <c r="T691" s="35" t="b">
        <v>0</v>
      </c>
      <c r="U691" s="41" t="str">
        <f>IFERROR(__xludf.DUMMYFUNCTION("""["" &amp; JOIN("", "", ARRAYFORMULA("""""""" &amp; TRIM(SPLIT(A691, "","")) &amp; """""""")) &amp; ""]"""),"[""99999""]")</f>
        <v>["99999"]</v>
      </c>
      <c r="V691" s="52" t="s">
        <v>3537</v>
      </c>
      <c r="W691" s="43"/>
      <c r="X691" s="43"/>
      <c r="Y691" s="44" t="str">
        <f>vlookup(G691,zip_codes!$B$6:$J988,3,false)</f>
        <v>Houston</v>
      </c>
      <c r="Z691" s="45" t="str">
        <f>vlookup(G691,zip_codes!$B$6:$J988,9,false)</f>
        <v>Galleria, Tanglewood, Uptown, Westside</v>
      </c>
      <c r="AA691" s="44" t="str">
        <f>vlookup(B691,organizations!$B$1:$C988,2,false)</f>
        <v>Refugee &amp; Immigrant Center for Education and Legal Services (RAICES)</v>
      </c>
      <c r="AB691" s="46" t="s">
        <v>3538</v>
      </c>
      <c r="AC691" s="47" t="s">
        <v>73</v>
      </c>
      <c r="AD691" s="48" t="s">
        <v>1059</v>
      </c>
      <c r="AE691" s="48" t="str">
        <f t="shared" si="85"/>
        <v>Refugee &amp; Immigrant Center for Education and Legal Services (RAICES)1900 St James Place55</v>
      </c>
      <c r="AF691" s="48" t="str">
        <f t="shared" si="89"/>
        <v/>
      </c>
    </row>
    <row r="692" ht="66.75" customHeight="1">
      <c r="A692" s="49" t="s">
        <v>50</v>
      </c>
      <c r="B692" s="35" t="s">
        <v>3539</v>
      </c>
      <c r="C692" s="36" t="s">
        <v>3540</v>
      </c>
      <c r="D692" s="36"/>
      <c r="E692" s="36" t="s">
        <v>36</v>
      </c>
      <c r="F692" s="36" t="s">
        <v>37</v>
      </c>
      <c r="G692" s="35" t="s">
        <v>307</v>
      </c>
      <c r="H692" s="35" t="s">
        <v>3541</v>
      </c>
      <c r="I692" s="35" t="s">
        <v>3542</v>
      </c>
      <c r="J692" s="35" t="s">
        <v>298</v>
      </c>
      <c r="K692" s="37">
        <f>IFERROR(__xludf.DUMMYFUNCTION("query(assistance!$A$2:$E988,""Select C Where D = '""&amp;L692&amp;""'"")"),31.0)</f>
        <v>31</v>
      </c>
      <c r="L692" s="36" t="s">
        <v>90</v>
      </c>
      <c r="M692" s="38">
        <f t="shared" si="88"/>
        <v>1</v>
      </c>
      <c r="N692" s="39" t="s">
        <v>42</v>
      </c>
      <c r="O692" s="57">
        <v>45816.0</v>
      </c>
      <c r="P692" s="35" t="s">
        <v>43</v>
      </c>
      <c r="Q692" s="35"/>
      <c r="R692" s="35" t="s">
        <v>3543</v>
      </c>
      <c r="S692" s="35" t="b">
        <v>0</v>
      </c>
      <c r="T692" s="35" t="b">
        <v>0</v>
      </c>
      <c r="U692" s="41" t="str">
        <f>IFERROR(__xludf.DUMMYFUNCTION("""["" &amp; JOIN("", "", ARRAYFORMULA("""""""" &amp; TRIM(SPLIT(A692, "","")) &amp; """""""")) &amp; ""]"""),"[""99999""]")</f>
        <v>["99999"]</v>
      </c>
      <c r="V692" s="42" t="s">
        <v>3544</v>
      </c>
      <c r="W692" s="52"/>
      <c r="X692" s="43"/>
      <c r="Y692" s="44" t="str">
        <f>vlookup(G692,zip_codes!$B$6:$J988,3,false)</f>
        <v>Houston</v>
      </c>
      <c r="Z692" s="45" t="str">
        <f>vlookup(G692,zip_codes!$B$6:$J988,9,false)</f>
        <v>Central Southwest, Houston Museum District, South Central Houston, Southgate, Texas Medical Center</v>
      </c>
      <c r="AA692" s="44" t="str">
        <f>vlookup(B692,organizations!$B$1:$C988,2,false)</f>
        <v>Rehabilitation Services Volunteer Project (RSVP)</v>
      </c>
      <c r="AB692" s="46" t="s">
        <v>3545</v>
      </c>
      <c r="AC692" s="47" t="s">
        <v>3546</v>
      </c>
      <c r="AD692" s="48" t="s">
        <v>662</v>
      </c>
      <c r="AE692" s="48" t="str">
        <f t="shared" si="85"/>
        <v>Rehabilitation Services Volunteer Project (RSVP)9551 Fannin Street31</v>
      </c>
      <c r="AF692" s="48" t="str">
        <f t="shared" si="89"/>
        <v/>
      </c>
    </row>
    <row r="693" ht="66.75" customHeight="1">
      <c r="A693" s="49" t="s">
        <v>50</v>
      </c>
      <c r="B693" s="35" t="s">
        <v>3547</v>
      </c>
      <c r="C693" s="36" t="s">
        <v>3548</v>
      </c>
      <c r="D693" s="36"/>
      <c r="E693" s="36" t="s">
        <v>36</v>
      </c>
      <c r="F693" s="36" t="s">
        <v>37</v>
      </c>
      <c r="G693" s="35" t="s">
        <v>1053</v>
      </c>
      <c r="H693" s="35" t="s">
        <v>3549</v>
      </c>
      <c r="I693" s="35" t="s">
        <v>3550</v>
      </c>
      <c r="J693" s="35"/>
      <c r="K693" s="37">
        <f>IFERROR(__xludf.DUMMYFUNCTION("query(assistance!$A$2:$E988,""Select C Where D = '""&amp;L693&amp;""'"")"),33.0)</f>
        <v>33</v>
      </c>
      <c r="L693" s="36" t="s">
        <v>333</v>
      </c>
      <c r="M693" s="38">
        <f t="shared" si="88"/>
        <v>1</v>
      </c>
      <c r="N693" s="51" t="s">
        <v>42</v>
      </c>
      <c r="O693" s="40">
        <v>45761.0</v>
      </c>
      <c r="P693" s="35" t="s">
        <v>406</v>
      </c>
      <c r="Q693" s="35"/>
      <c r="R693" s="35" t="s">
        <v>3551</v>
      </c>
      <c r="S693" s="35" t="b">
        <v>0</v>
      </c>
      <c r="T693" s="35" t="b">
        <v>0</v>
      </c>
      <c r="U693" s="41" t="str">
        <f>IFERROR(__xludf.DUMMYFUNCTION("""["" &amp; JOIN("", "", ARRAYFORMULA("""""""" &amp; TRIM(SPLIT(A693, "","")) &amp; """""""")) &amp; ""]"""),"[""99999""]")</f>
        <v>["99999"]</v>
      </c>
      <c r="V693" s="52" t="s">
        <v>3552</v>
      </c>
      <c r="W693" s="43"/>
      <c r="X693" s="43"/>
      <c r="Y693" s="44" t="str">
        <f>vlookup(G693,zip_codes!$B$6:$J988,3,false)</f>
        <v>Houston</v>
      </c>
      <c r="Z693" s="45" t="str">
        <f>vlookup(G693,zip_codes!$B$6:$J988,9,false)</f>
        <v>Galleria, Tanglewood, Uptown, Westside</v>
      </c>
      <c r="AA693" s="44" t="str">
        <f>vlookup(B693,organizations!$B$1:$C988,2,false)</f>
        <v>Rejoice Counseling Apostolate</v>
      </c>
      <c r="AB693" s="46" t="s">
        <v>3553</v>
      </c>
      <c r="AC693" s="47" t="s">
        <v>3554</v>
      </c>
      <c r="AD693" s="48" t="s">
        <v>1059</v>
      </c>
      <c r="AE693" s="48" t="str">
        <f t="shared" si="85"/>
        <v>Rejoice Counseling Apostolate1801 Sage Road33</v>
      </c>
      <c r="AF693" s="48" t="str">
        <f t="shared" si="89"/>
        <v/>
      </c>
    </row>
    <row r="694" ht="66.75" customHeight="1">
      <c r="A694" s="49" t="s">
        <v>50</v>
      </c>
      <c r="B694" s="35" t="s">
        <v>3555</v>
      </c>
      <c r="C694" s="36" t="s">
        <v>3556</v>
      </c>
      <c r="D694" s="36"/>
      <c r="E694" s="36" t="s">
        <v>1175</v>
      </c>
      <c r="F694" s="36" t="s">
        <v>37</v>
      </c>
      <c r="G694" s="35" t="s">
        <v>1176</v>
      </c>
      <c r="H694" s="35" t="s">
        <v>3557</v>
      </c>
      <c r="I694" s="35" t="s">
        <v>516</v>
      </c>
      <c r="J694" s="35"/>
      <c r="K694" s="37">
        <f>IFERROR(__xludf.DUMMYFUNCTION("query(assistance!$A$2:$E988,""Select C Where D = '""&amp;L694&amp;""'"")"),41.0)</f>
        <v>41</v>
      </c>
      <c r="L694" s="36" t="s">
        <v>788</v>
      </c>
      <c r="M694" s="38">
        <f t="shared" si="88"/>
        <v>1</v>
      </c>
      <c r="N694" s="39" t="s">
        <v>42</v>
      </c>
      <c r="O694" s="65"/>
      <c r="P694" s="50"/>
      <c r="Q694" s="35"/>
      <c r="R694" s="35" t="s">
        <v>3558</v>
      </c>
      <c r="S694" s="35" t="b">
        <v>0</v>
      </c>
      <c r="T694" s="35" t="b">
        <v>0</v>
      </c>
      <c r="U694" s="41" t="str">
        <f>IFERROR(__xludf.DUMMYFUNCTION("""["" &amp; JOIN("", "", ARRAYFORMULA("""""""" &amp; TRIM(SPLIT(A694, "","")) &amp; """""""")) &amp; ""]"""),"[""99999""]")</f>
        <v>["99999"]</v>
      </c>
      <c r="V694" s="52" t="s">
        <v>3559</v>
      </c>
      <c r="W694" s="43"/>
      <c r="X694" s="43"/>
      <c r="Y694" s="44" t="str">
        <f>vlookup(G694,zip_codes!$B$6:$J988,3,false)</f>
        <v>Galveston</v>
      </c>
      <c r="Z694" s="45" t="str">
        <f>vlookup(G694,zip_codes!$B$6:$J988,9,false)</f>
        <v>Galveston</v>
      </c>
      <c r="AA694" s="44" t="str">
        <f>vlookup(B694,organizations!$B$1:$C988,2,false)</f>
        <v>Resource &amp; Crisis Center of Galveston County Inc.</v>
      </c>
      <c r="AB694" s="46" t="s">
        <v>3560</v>
      </c>
      <c r="AC694" s="47" t="s">
        <v>520</v>
      </c>
      <c r="AD694" s="48" t="s">
        <v>1175</v>
      </c>
      <c r="AE694" s="48" t="str">
        <f t="shared" si="85"/>
        <v>Resource &amp; Crisis Center of Galveston County Inc.1204 45th Street41</v>
      </c>
      <c r="AF694" s="48" t="str">
        <f t="shared" si="89"/>
        <v/>
      </c>
    </row>
    <row r="695" ht="66.75" customHeight="1">
      <c r="A695" s="49" t="s">
        <v>50</v>
      </c>
      <c r="B695" s="35" t="s">
        <v>3561</v>
      </c>
      <c r="C695" s="36" t="s">
        <v>3562</v>
      </c>
      <c r="D695" s="36"/>
      <c r="E695" s="36" t="s">
        <v>36</v>
      </c>
      <c r="F695" s="36" t="s">
        <v>37</v>
      </c>
      <c r="G695" s="35" t="s">
        <v>1405</v>
      </c>
      <c r="H695" s="35" t="s">
        <v>3563</v>
      </c>
      <c r="I695" s="35" t="s">
        <v>272</v>
      </c>
      <c r="J695" s="35" t="s">
        <v>3564</v>
      </c>
      <c r="K695" s="37">
        <f>IFERROR(__xludf.DUMMYFUNCTION("query(assistance!$A$2:$E988,""Select C Where D = '""&amp;L695&amp;""'"")"),11.0)</f>
        <v>11</v>
      </c>
      <c r="L695" s="36" t="s">
        <v>322</v>
      </c>
      <c r="M695" s="38">
        <f t="shared" si="88"/>
        <v>2</v>
      </c>
      <c r="N695" s="51" t="s">
        <v>385</v>
      </c>
      <c r="O695" s="40">
        <v>46078.0</v>
      </c>
      <c r="P695" s="35" t="s">
        <v>43</v>
      </c>
      <c r="Q695" s="35"/>
      <c r="R695" s="35" t="s">
        <v>3565</v>
      </c>
      <c r="S695" s="35" t="b">
        <v>0</v>
      </c>
      <c r="T695" s="35" t="b">
        <v>0</v>
      </c>
      <c r="U695" s="41" t="str">
        <f>IFERROR(__xludf.DUMMYFUNCTION("""["" &amp; JOIN("", "", ARRAYFORMULA("""""""" &amp; TRIM(SPLIT(A695, "","")) &amp; """""""")) &amp; ""]"""),"[""99999""]")</f>
        <v>["99999"]</v>
      </c>
      <c r="V695" s="91" t="s">
        <v>3566</v>
      </c>
      <c r="W695" s="52" t="s">
        <v>3567</v>
      </c>
      <c r="X695" s="43"/>
      <c r="Y695" s="44" t="str">
        <f>vlookup(G695,zip_codes!$B$6:$J988,3,false)</f>
        <v>Houston</v>
      </c>
      <c r="Z695" s="45" t="str">
        <f>vlookup(G695,zip_codes!$B$6:$J988,9,false)</f>
        <v>Brays Oaks, Fondren Gardens, Westbury</v>
      </c>
      <c r="AA695" s="44" t="str">
        <f>vlookup(B695,organizations!$B$1:$C988,2,false)</f>
        <v>Riceville Mt Olive Baptist Church</v>
      </c>
      <c r="AB695" s="46" t="s">
        <v>3568</v>
      </c>
      <c r="AC695" s="47" t="str">
        <f t="shared" ref="AC695:AC699" si="90">PARSE_HOURS(I695)</f>
        <v>{"regular":[{"days":["Mo","Tu","We","Th","Fr"],"open":"08:00","close":"17:00"}]}</v>
      </c>
      <c r="AD695" s="48" t="s">
        <v>62</v>
      </c>
      <c r="AE695" s="48" t="str">
        <f t="shared" si="85"/>
        <v>Riceville Mt Olive Baptist Church11539 South Gessner Road11</v>
      </c>
      <c r="AF695" s="48" t="str">
        <f t="shared" si="89"/>
        <v/>
      </c>
    </row>
    <row r="696" ht="66.75" customHeight="1">
      <c r="A696" s="49" t="s">
        <v>50</v>
      </c>
      <c r="B696" s="35" t="s">
        <v>3561</v>
      </c>
      <c r="C696" s="36" t="s">
        <v>3562</v>
      </c>
      <c r="D696" s="36"/>
      <c r="E696" s="36" t="s">
        <v>36</v>
      </c>
      <c r="F696" s="36" t="s">
        <v>37</v>
      </c>
      <c r="G696" s="35" t="s">
        <v>1405</v>
      </c>
      <c r="H696" s="35" t="s">
        <v>3563</v>
      </c>
      <c r="I696" s="35" t="s">
        <v>272</v>
      </c>
      <c r="J696" s="35" t="s">
        <v>3564</v>
      </c>
      <c r="K696" s="37">
        <f>IFERROR(__xludf.DUMMYFUNCTION("query(assistance!$A$2:$E988,""Select C Where D = '""&amp;L696&amp;""'"")"),12.0)</f>
        <v>12</v>
      </c>
      <c r="L696" s="36" t="s">
        <v>330</v>
      </c>
      <c r="M696" s="38">
        <f t="shared" si="88"/>
        <v>2</v>
      </c>
      <c r="N696" s="51" t="s">
        <v>385</v>
      </c>
      <c r="O696" s="40">
        <v>46078.0</v>
      </c>
      <c r="P696" s="35" t="s">
        <v>43</v>
      </c>
      <c r="Q696" s="35"/>
      <c r="R696" s="35" t="s">
        <v>3565</v>
      </c>
      <c r="S696" s="35" t="b">
        <v>0</v>
      </c>
      <c r="T696" s="35" t="b">
        <v>0</v>
      </c>
      <c r="U696" s="41" t="str">
        <f>IFERROR(__xludf.DUMMYFUNCTION("""["" &amp; JOIN("", "", ARRAYFORMULA("""""""" &amp; TRIM(SPLIT(A696, "","")) &amp; """""""")) &amp; ""]"""),"[""99999""]")</f>
        <v>["99999"]</v>
      </c>
      <c r="V696" s="91" t="s">
        <v>3566</v>
      </c>
      <c r="W696" s="52" t="s">
        <v>3567</v>
      </c>
      <c r="X696" s="43"/>
      <c r="Y696" s="44" t="str">
        <f>vlookup(G696,zip_codes!$B$6:$J988,3,false)</f>
        <v>Houston</v>
      </c>
      <c r="Z696" s="45" t="str">
        <f>vlookup(G696,zip_codes!$B$6:$J988,9,false)</f>
        <v>Brays Oaks, Fondren Gardens, Westbury</v>
      </c>
      <c r="AA696" s="44" t="str">
        <f>vlookup(B696,organizations!$B$1:$C988,2,false)</f>
        <v>Riceville Mt Olive Baptist Church</v>
      </c>
      <c r="AB696" s="46" t="s">
        <v>3568</v>
      </c>
      <c r="AC696" s="47" t="str">
        <f t="shared" si="90"/>
        <v>{"regular":[{"days":["Mo","Tu","We","Th","Fr"],"open":"08:00","close":"17:00"}]}</v>
      </c>
      <c r="AD696" s="48" t="s">
        <v>62</v>
      </c>
      <c r="AE696" s="48" t="str">
        <f t="shared" si="85"/>
        <v>Riceville Mt Olive Baptist Church11539 South Gessner Road12</v>
      </c>
      <c r="AF696" s="48" t="str">
        <f t="shared" si="89"/>
        <v/>
      </c>
    </row>
    <row r="697" ht="66.75" customHeight="1">
      <c r="A697" s="49" t="s">
        <v>50</v>
      </c>
      <c r="B697" s="35" t="s">
        <v>3561</v>
      </c>
      <c r="C697" s="36" t="s">
        <v>3569</v>
      </c>
      <c r="D697" s="36"/>
      <c r="E697" s="36" t="s">
        <v>36</v>
      </c>
      <c r="F697" s="36" t="s">
        <v>37</v>
      </c>
      <c r="G697" s="35" t="s">
        <v>1405</v>
      </c>
      <c r="H697" s="35" t="s">
        <v>3563</v>
      </c>
      <c r="I697" s="35" t="s">
        <v>3570</v>
      </c>
      <c r="J697" s="35"/>
      <c r="K697" s="37">
        <f>IFERROR(__xludf.DUMMYFUNCTION("query(assistance!$A$2:$E988,""Select C Where D = '""&amp;L697&amp;""'"")"),13.0)</f>
        <v>13</v>
      </c>
      <c r="L697" s="36" t="s">
        <v>240</v>
      </c>
      <c r="M697" s="38">
        <f t="shared" si="88"/>
        <v>2</v>
      </c>
      <c r="N697" s="51" t="s">
        <v>385</v>
      </c>
      <c r="O697" s="40">
        <v>46078.0</v>
      </c>
      <c r="P697" s="35" t="s">
        <v>43</v>
      </c>
      <c r="Q697" s="35"/>
      <c r="R697" s="35" t="s">
        <v>3571</v>
      </c>
      <c r="S697" s="35" t="b">
        <v>0</v>
      </c>
      <c r="T697" s="35" t="b">
        <v>0</v>
      </c>
      <c r="U697" s="41" t="str">
        <f>IFERROR(__xludf.DUMMYFUNCTION("""["" &amp; JOIN("", "", ARRAYFORMULA("""""""" &amp; TRIM(SPLIT(A697, "","")) &amp; """""""")) &amp; ""]"""),"[""99999""]")</f>
        <v>["99999"]</v>
      </c>
      <c r="V697" s="42" t="s">
        <v>3572</v>
      </c>
      <c r="W697" s="42" t="s">
        <v>3573</v>
      </c>
      <c r="X697" s="43"/>
      <c r="Y697" s="44" t="str">
        <f>vlookup(G697,zip_codes!$B$6:$J988,3,false)</f>
        <v>Houston</v>
      </c>
      <c r="Z697" s="45" t="str">
        <f>vlookup(G697,zip_codes!$B$6:$J988,9,false)</f>
        <v>Brays Oaks, Fondren Gardens, Westbury</v>
      </c>
      <c r="AA697" s="44" t="str">
        <f>vlookup(B697,organizations!$B$1:$C988,2,false)</f>
        <v>Riceville Mt Olive Baptist Church</v>
      </c>
      <c r="AB697" s="55" t="s">
        <v>3574</v>
      </c>
      <c r="AC697" s="47" t="str">
        <f t="shared" si="90"/>
        <v>{"special":[{"pattern":"3rd Sa","open":"09:00","close":"12:00"}]}</v>
      </c>
      <c r="AD697" s="48" t="s">
        <v>62</v>
      </c>
      <c r="AE697" s="48" t="str">
        <f t="shared" si="85"/>
        <v>Riceville Mt Olive Baptist Church11231 South Gessner Road13</v>
      </c>
      <c r="AF697" s="48" t="str">
        <f t="shared" si="89"/>
        <v/>
      </c>
    </row>
    <row r="698" ht="66.75" customHeight="1">
      <c r="A698" s="49" t="s">
        <v>50</v>
      </c>
      <c r="B698" s="35" t="s">
        <v>3561</v>
      </c>
      <c r="C698" s="36" t="s">
        <v>3569</v>
      </c>
      <c r="D698" s="36"/>
      <c r="E698" s="36" t="s">
        <v>36</v>
      </c>
      <c r="F698" s="36" t="s">
        <v>37</v>
      </c>
      <c r="G698" s="35" t="s">
        <v>1405</v>
      </c>
      <c r="H698" s="35" t="s">
        <v>3563</v>
      </c>
      <c r="I698" s="35" t="s">
        <v>3570</v>
      </c>
      <c r="J698" s="35"/>
      <c r="K698" s="37">
        <f>IFERROR(__xludf.DUMMYFUNCTION("query(assistance!$A$2:$E988,""Select C Where D = '""&amp;L698&amp;""'"")"),14.0)</f>
        <v>14</v>
      </c>
      <c r="L698" s="36" t="s">
        <v>391</v>
      </c>
      <c r="M698" s="38">
        <f t="shared" si="88"/>
        <v>2</v>
      </c>
      <c r="N698" s="51" t="s">
        <v>385</v>
      </c>
      <c r="O698" s="40">
        <v>46078.0</v>
      </c>
      <c r="P698" s="35" t="s">
        <v>43</v>
      </c>
      <c r="Q698" s="35"/>
      <c r="R698" s="35" t="s">
        <v>3575</v>
      </c>
      <c r="S698" s="35" t="b">
        <v>0</v>
      </c>
      <c r="T698" s="35" t="b">
        <v>0</v>
      </c>
      <c r="U698" s="41" t="str">
        <f>IFERROR(__xludf.DUMMYFUNCTION("""["" &amp; JOIN("", "", ARRAYFORMULA("""""""" &amp; TRIM(SPLIT(A698, "","")) &amp; """""""")) &amp; ""]"""),"[""99999""]")</f>
        <v>["99999"]</v>
      </c>
      <c r="V698" s="42" t="s">
        <v>3572</v>
      </c>
      <c r="W698" s="42" t="s">
        <v>3573</v>
      </c>
      <c r="X698" s="43"/>
      <c r="Y698" s="44" t="str">
        <f>vlookup(G698,zip_codes!$B$6:$J988,3,false)</f>
        <v>Houston</v>
      </c>
      <c r="Z698" s="45" t="str">
        <f>vlookup(G698,zip_codes!$B$6:$J988,9,false)</f>
        <v>Brays Oaks, Fondren Gardens, Westbury</v>
      </c>
      <c r="AA698" s="44" t="str">
        <f>vlookup(B698,organizations!$B$1:$C988,2,false)</f>
        <v>Riceville Mt Olive Baptist Church</v>
      </c>
      <c r="AB698" s="55" t="s">
        <v>3574</v>
      </c>
      <c r="AC698" s="47" t="str">
        <f t="shared" si="90"/>
        <v>{"special":[{"pattern":"3rd Sa","open":"09:00","close":"12:00"}]}</v>
      </c>
      <c r="AD698" s="48" t="s">
        <v>62</v>
      </c>
      <c r="AE698" s="48" t="str">
        <f t="shared" si="85"/>
        <v>Riceville Mt Olive Baptist Church11231 South Gessner Road14</v>
      </c>
      <c r="AF698" s="48" t="str">
        <f t="shared" si="89"/>
        <v/>
      </c>
    </row>
    <row r="699" ht="66.75" customHeight="1">
      <c r="A699" s="49" t="s">
        <v>50</v>
      </c>
      <c r="B699" s="35" t="s">
        <v>3561</v>
      </c>
      <c r="C699" s="36" t="s">
        <v>3562</v>
      </c>
      <c r="D699" s="36"/>
      <c r="E699" s="36" t="s">
        <v>36</v>
      </c>
      <c r="F699" s="36" t="s">
        <v>37</v>
      </c>
      <c r="G699" s="35" t="s">
        <v>1405</v>
      </c>
      <c r="H699" s="35" t="s">
        <v>3563</v>
      </c>
      <c r="I699" s="35" t="s">
        <v>3576</v>
      </c>
      <c r="J699" s="35" t="s">
        <v>3577</v>
      </c>
      <c r="K699" s="37">
        <f>IFERROR(__xludf.DUMMYFUNCTION("query(assistance!$A$2:$E988,""Select C Where D = '""&amp;L699&amp;""'"")"),64.0)</f>
        <v>64</v>
      </c>
      <c r="L699" s="36" t="s">
        <v>817</v>
      </c>
      <c r="M699" s="38">
        <f t="shared" si="88"/>
        <v>1</v>
      </c>
      <c r="N699" s="51" t="s">
        <v>42</v>
      </c>
      <c r="O699" s="40">
        <v>46078.0</v>
      </c>
      <c r="P699" s="35" t="s">
        <v>43</v>
      </c>
      <c r="Q699" s="35"/>
      <c r="R699" s="35" t="s">
        <v>3578</v>
      </c>
      <c r="S699" s="35" t="b">
        <v>0</v>
      </c>
      <c r="T699" s="35" t="b">
        <v>0</v>
      </c>
      <c r="U699" s="41" t="str">
        <f>IFERROR(__xludf.DUMMYFUNCTION("""["" &amp; JOIN("", "", ARRAYFORMULA("""""""" &amp; TRIM(SPLIT(A699, "","")) &amp; """""""")) &amp; ""]"""),"[""99999""]")</f>
        <v>["99999"]</v>
      </c>
      <c r="V699" s="91" t="s">
        <v>3566</v>
      </c>
      <c r="W699" s="52" t="s">
        <v>3567</v>
      </c>
      <c r="X699" s="43"/>
      <c r="Y699" s="44" t="str">
        <f>vlookup(G699,zip_codes!$B$6:$J988,3,false)</f>
        <v>Houston</v>
      </c>
      <c r="Z699" s="45" t="str">
        <f>vlookup(G699,zip_codes!$B$6:$J988,9,false)</f>
        <v>Brays Oaks, Fondren Gardens, Westbury</v>
      </c>
      <c r="AA699" s="44" t="str">
        <f>vlookup(B699,organizations!$B$1:$C988,2,false)</f>
        <v>Riceville Mt Olive Baptist Church</v>
      </c>
      <c r="AB699" s="46" t="s">
        <v>3568</v>
      </c>
      <c r="AC699" s="47" t="str">
        <f t="shared" si="90"/>
        <v>{"regular":[{"days":["Mo","Tu","We","Th","Fr"],"open":"10:00","close":"15:00"},{"days":["Su"],"open":"10:00","close":"11:00"}]}</v>
      </c>
      <c r="AD699" s="48" t="s">
        <v>62</v>
      </c>
      <c r="AE699" s="48" t="str">
        <f t="shared" si="85"/>
        <v>Riceville Mt Olive Baptist Church11539 South Gessner Road64</v>
      </c>
      <c r="AF699" s="48" t="str">
        <f t="shared" si="89"/>
        <v/>
      </c>
    </row>
    <row r="700" ht="66.75" customHeight="1">
      <c r="A700" s="49" t="s">
        <v>50</v>
      </c>
      <c r="B700" s="35" t="s">
        <v>3579</v>
      </c>
      <c r="C700" s="36" t="s">
        <v>3580</v>
      </c>
      <c r="D700" s="36"/>
      <c r="E700" s="36" t="s">
        <v>36</v>
      </c>
      <c r="F700" s="36" t="s">
        <v>37</v>
      </c>
      <c r="G700" s="35" t="s">
        <v>3581</v>
      </c>
      <c r="H700" s="35"/>
      <c r="I700" s="35" t="s">
        <v>516</v>
      </c>
      <c r="J700" s="35" t="s">
        <v>3582</v>
      </c>
      <c r="K700" s="37">
        <f>IFERROR(__xludf.DUMMYFUNCTION("query(assistance!$A$2:$E988,""Select C Where D = '""&amp;L700&amp;""'"")"),37.0)</f>
        <v>37</v>
      </c>
      <c r="L700" s="36" t="s">
        <v>309</v>
      </c>
      <c r="M700" s="39">
        <f>if(N700="Inactive",3,if(N700="Limited", 2, if(N700="Closed", 4, 1)))</f>
        <v>3</v>
      </c>
      <c r="N700" s="51" t="s">
        <v>973</v>
      </c>
      <c r="O700" s="40">
        <v>46019.0</v>
      </c>
      <c r="P700" s="35" t="s">
        <v>43</v>
      </c>
      <c r="Q700" s="35"/>
      <c r="R700" s="35" t="s">
        <v>3583</v>
      </c>
      <c r="S700" s="35" t="b">
        <v>0</v>
      </c>
      <c r="T700" s="35" t="b">
        <v>0</v>
      </c>
      <c r="U700" s="41" t="str">
        <f>IFERROR(__xludf.DUMMYFUNCTION("""["" &amp; JOIN("", "", ARRAYFORMULA("""""""" &amp; TRIM(SPLIT(A700, "","")) &amp; """""""")) &amp; ""]"""),"[""99999""]")</f>
        <v>["99999"]</v>
      </c>
      <c r="V700" s="42"/>
      <c r="W700" s="42" t="s">
        <v>3584</v>
      </c>
      <c r="X700" s="43"/>
      <c r="Y700" s="44" t="str">
        <f>vlookup(G700,zip_codes!$B$6:$J988,3,false)</f>
        <v>Houston</v>
      </c>
      <c r="Z700" s="45" t="str">
        <f>vlookup(G700,zip_codes!$B$6:$J988,9,false)</f>
        <v>Greenway / Upper Kirby Area, Rice Village, Southside Place, West University Place</v>
      </c>
      <c r="AA700" s="44" t="str">
        <f>vlookup(B700,organizations!$B$1:$C988,2,false)</f>
        <v>Ronald McDonald House</v>
      </c>
      <c r="AB700" s="55" t="s">
        <v>3585</v>
      </c>
      <c r="AC700" s="47" t="s">
        <v>520</v>
      </c>
      <c r="AD700" s="48" t="s">
        <v>390</v>
      </c>
      <c r="AE700" s="48" t="str">
        <f t="shared" si="85"/>
        <v>Ronald McDonald House - Amschwand House4115 Drake Street37</v>
      </c>
      <c r="AF700" s="48" t="str">
        <f>if(AE700=AE696,"XXX","")</f>
        <v/>
      </c>
    </row>
    <row r="701" ht="66.75" customHeight="1">
      <c r="A701" s="49" t="s">
        <v>50</v>
      </c>
      <c r="B701" s="35" t="s">
        <v>3586</v>
      </c>
      <c r="C701" s="36" t="s">
        <v>3587</v>
      </c>
      <c r="D701" s="36"/>
      <c r="E701" s="36" t="s">
        <v>36</v>
      </c>
      <c r="F701" s="36" t="s">
        <v>37</v>
      </c>
      <c r="G701" s="35" t="s">
        <v>307</v>
      </c>
      <c r="H701" s="35" t="s">
        <v>3588</v>
      </c>
      <c r="I701" s="35" t="s">
        <v>3589</v>
      </c>
      <c r="J701" s="35"/>
      <c r="K701" s="37">
        <f>IFERROR(__xludf.DUMMYFUNCTION("query(assistance!$A$2:$E988,""Select C Where D = '""&amp;L701&amp;""'"")"),37.0)</f>
        <v>37</v>
      </c>
      <c r="L701" s="36" t="s">
        <v>309</v>
      </c>
      <c r="M701" s="38">
        <f t="shared" ref="M701:M735" si="91">if(N701="Inactive",3,if(N701="Limited", 2, 1))</f>
        <v>1</v>
      </c>
      <c r="N701" s="51" t="s">
        <v>42</v>
      </c>
      <c r="O701" s="40">
        <v>46019.0</v>
      </c>
      <c r="P701" s="35" t="s">
        <v>43</v>
      </c>
      <c r="Q701" s="35"/>
      <c r="R701" s="35" t="s">
        <v>3590</v>
      </c>
      <c r="S701" s="35" t="b">
        <v>0</v>
      </c>
      <c r="T701" s="35" t="b">
        <v>0</v>
      </c>
      <c r="U701" s="41" t="str">
        <f>IFERROR(__xludf.DUMMYFUNCTION("""["" &amp; JOIN("", "", ARRAYFORMULA("""""""" &amp; TRIM(SPLIT(A701, "","")) &amp; """""""")) &amp; ""]"""),"[""99999""]")</f>
        <v>["99999"]</v>
      </c>
      <c r="V701" s="42" t="s">
        <v>3591</v>
      </c>
      <c r="W701" s="42" t="s">
        <v>3592</v>
      </c>
      <c r="X701" s="43"/>
      <c r="Y701" s="44" t="str">
        <f>vlookup(G701,zip_codes!$B$6:$J988,3,false)</f>
        <v>Houston</v>
      </c>
      <c r="Z701" s="45" t="str">
        <f>vlookup(G701,zip_codes!$B$6:$J988,9,false)</f>
        <v>Central Southwest, Houston Museum District, South Central Houston, Southgate, Texas Medical Center</v>
      </c>
      <c r="AA701" s="44" t="str">
        <f>vlookup(B701,organizations!$B$1:$C988,2,false)</f>
        <v>Ronald McDonald House</v>
      </c>
      <c r="AB701" s="55" t="s">
        <v>3593</v>
      </c>
      <c r="AC701" s="47" t="s">
        <v>3594</v>
      </c>
      <c r="AD701" s="48" t="s">
        <v>314</v>
      </c>
      <c r="AE701" s="48" t="str">
        <f t="shared" si="85"/>
        <v>Ronald McDonald House - Children's Memorial Hermann Hospital6411 Fannin Street37</v>
      </c>
      <c r="AF701" s="48" t="str">
        <f t="shared" ref="AF701:AF753" si="92">if(AE701=AE700,"XXX","")</f>
        <v/>
      </c>
    </row>
    <row r="702" ht="66.75" customHeight="1">
      <c r="A702" s="49" t="s">
        <v>50</v>
      </c>
      <c r="B702" s="35" t="s">
        <v>3595</v>
      </c>
      <c r="C702" s="36" t="s">
        <v>3596</v>
      </c>
      <c r="D702" s="36"/>
      <c r="E702" s="36" t="s">
        <v>36</v>
      </c>
      <c r="F702" s="36" t="s">
        <v>37</v>
      </c>
      <c r="G702" s="35" t="s">
        <v>307</v>
      </c>
      <c r="H702" s="35" t="s">
        <v>3597</v>
      </c>
      <c r="I702" s="35" t="s">
        <v>516</v>
      </c>
      <c r="J702" s="35"/>
      <c r="K702" s="37">
        <f>IFERROR(__xludf.DUMMYFUNCTION("query(assistance!$A$2:$E988,""Select C Where D = '""&amp;L702&amp;""'"")"),37.0)</f>
        <v>37</v>
      </c>
      <c r="L702" s="36" t="s">
        <v>309</v>
      </c>
      <c r="M702" s="38">
        <f t="shared" si="91"/>
        <v>1</v>
      </c>
      <c r="N702" s="51" t="s">
        <v>42</v>
      </c>
      <c r="O702" s="40">
        <v>46019.0</v>
      </c>
      <c r="P702" s="35" t="s">
        <v>43</v>
      </c>
      <c r="Q702" s="35"/>
      <c r="R702" s="35" t="s">
        <v>3598</v>
      </c>
      <c r="S702" s="35" t="b">
        <v>0</v>
      </c>
      <c r="T702" s="35" t="b">
        <v>0</v>
      </c>
      <c r="U702" s="41" t="str">
        <f>IFERROR(__xludf.DUMMYFUNCTION("""["" &amp; JOIN("", "", ARRAYFORMULA("""""""" &amp; TRIM(SPLIT(A702, "","")) &amp; """""""")) &amp; ""]"""),"[""99999""]")</f>
        <v>["99999"]</v>
      </c>
      <c r="V702" s="42" t="s">
        <v>3599</v>
      </c>
      <c r="W702" s="42" t="s">
        <v>3600</v>
      </c>
      <c r="X702" s="43"/>
      <c r="Y702" s="44" t="str">
        <f>vlookup(G702,zip_codes!$B$6:$J988,3,false)</f>
        <v>Houston</v>
      </c>
      <c r="Z702" s="45" t="str">
        <f>vlookup(G702,zip_codes!$B$6:$J988,9,false)</f>
        <v>Central Southwest, Houston Museum District, South Central Houston, Southgate, Texas Medical Center</v>
      </c>
      <c r="AA702" s="44" t="str">
        <f>vlookup(B702,organizations!$B$1:$C988,2,false)</f>
        <v>Ronald McDonald House</v>
      </c>
      <c r="AB702" s="55" t="s">
        <v>3601</v>
      </c>
      <c r="AC702" s="47" t="s">
        <v>520</v>
      </c>
      <c r="AD702" s="48" t="s">
        <v>314</v>
      </c>
      <c r="AE702" s="48" t="str">
        <f t="shared" si="85"/>
        <v>Ronald McDonald House - Holcombe1907 Holcombe Blvd37</v>
      </c>
      <c r="AF702" s="48" t="str">
        <f t="shared" si="92"/>
        <v/>
      </c>
    </row>
    <row r="703" ht="66.75" customHeight="1">
      <c r="A703" s="49" t="s">
        <v>50</v>
      </c>
      <c r="B703" s="35" t="s">
        <v>3602</v>
      </c>
      <c r="C703" s="36" t="s">
        <v>3603</v>
      </c>
      <c r="D703" s="36"/>
      <c r="E703" s="36" t="s">
        <v>36</v>
      </c>
      <c r="F703" s="36" t="s">
        <v>37</v>
      </c>
      <c r="G703" s="35" t="s">
        <v>307</v>
      </c>
      <c r="H703" s="35" t="s">
        <v>3604</v>
      </c>
      <c r="I703" s="35" t="s">
        <v>3589</v>
      </c>
      <c r="J703" s="35"/>
      <c r="K703" s="37">
        <f>IFERROR(__xludf.DUMMYFUNCTION("query(assistance!$A$2:$E988,""Select C Where D = '""&amp;L703&amp;""'"")"),37.0)</f>
        <v>37</v>
      </c>
      <c r="L703" s="36" t="s">
        <v>309</v>
      </c>
      <c r="M703" s="38">
        <f t="shared" si="91"/>
        <v>1</v>
      </c>
      <c r="N703" s="51" t="s">
        <v>42</v>
      </c>
      <c r="O703" s="40">
        <v>46019.0</v>
      </c>
      <c r="P703" s="35" t="s">
        <v>43</v>
      </c>
      <c r="Q703" s="35"/>
      <c r="R703" s="35" t="s">
        <v>3605</v>
      </c>
      <c r="S703" s="35" t="b">
        <v>0</v>
      </c>
      <c r="T703" s="35" t="b">
        <v>0</v>
      </c>
      <c r="U703" s="41" t="str">
        <f>IFERROR(__xludf.DUMMYFUNCTION("""["" &amp; JOIN("", "", ARRAYFORMULA("""""""" &amp; TRIM(SPLIT(A703, "","")) &amp; """""""")) &amp; ""]"""),"[""99999""]")</f>
        <v>["99999"]</v>
      </c>
      <c r="V703" s="42" t="s">
        <v>3606</v>
      </c>
      <c r="W703" s="42" t="s">
        <v>3607</v>
      </c>
      <c r="X703" s="43"/>
      <c r="Y703" s="44" t="str">
        <f>vlookup(G703,zip_codes!$B$6:$J988,3,false)</f>
        <v>Houston</v>
      </c>
      <c r="Z703" s="45" t="str">
        <f>vlookup(G703,zip_codes!$B$6:$J988,9,false)</f>
        <v>Central Southwest, Houston Museum District, South Central Houston, Southgate, Texas Medical Center</v>
      </c>
      <c r="AA703" s="44" t="str">
        <f>vlookup(B703,organizations!$B$1:$C988,2,false)</f>
        <v>Ronald McDonald House</v>
      </c>
      <c r="AB703" s="55" t="s">
        <v>3608</v>
      </c>
      <c r="AC703" s="47" t="s">
        <v>3594</v>
      </c>
      <c r="AD703" s="48" t="s">
        <v>314</v>
      </c>
      <c r="AE703" s="48" t="str">
        <f t="shared" si="85"/>
        <v>Ronald McDonald House - M.D. Anderson Children's Cancer Hospital1515 Holcombe Blvd37</v>
      </c>
      <c r="AF703" s="48" t="str">
        <f t="shared" si="92"/>
        <v/>
      </c>
    </row>
    <row r="704" ht="66.75" customHeight="1">
      <c r="A704" s="49" t="s">
        <v>50</v>
      </c>
      <c r="B704" s="35" t="s">
        <v>3609</v>
      </c>
      <c r="C704" s="36" t="s">
        <v>3610</v>
      </c>
      <c r="D704" s="36" t="s">
        <v>3611</v>
      </c>
      <c r="E704" s="36" t="s">
        <v>36</v>
      </c>
      <c r="F704" s="36" t="s">
        <v>37</v>
      </c>
      <c r="G704" s="35" t="s">
        <v>307</v>
      </c>
      <c r="H704" s="35" t="s">
        <v>3612</v>
      </c>
      <c r="I704" s="35" t="s">
        <v>3589</v>
      </c>
      <c r="J704" s="35"/>
      <c r="K704" s="37">
        <f>IFERROR(__xludf.DUMMYFUNCTION("query(assistance!$A$2:$E988,""Select C Where D = '""&amp;L704&amp;""'"")"),37.0)</f>
        <v>37</v>
      </c>
      <c r="L704" s="36" t="s">
        <v>309</v>
      </c>
      <c r="M704" s="38">
        <f t="shared" si="91"/>
        <v>1</v>
      </c>
      <c r="N704" s="51" t="s">
        <v>42</v>
      </c>
      <c r="O704" s="40">
        <v>46019.0</v>
      </c>
      <c r="P704" s="35" t="s">
        <v>43</v>
      </c>
      <c r="Q704" s="35"/>
      <c r="R704" s="35" t="s">
        <v>3613</v>
      </c>
      <c r="S704" s="35" t="b">
        <v>0</v>
      </c>
      <c r="T704" s="35" t="b">
        <v>0</v>
      </c>
      <c r="U704" s="41" t="str">
        <f>IFERROR(__xludf.DUMMYFUNCTION("""["" &amp; JOIN("", "", ARRAYFORMULA("""""""" &amp; TRIM(SPLIT(A704, "","")) &amp; """""""")) &amp; ""]"""),"[""99999""]")</f>
        <v>["99999"]</v>
      </c>
      <c r="V704" s="42" t="s">
        <v>3614</v>
      </c>
      <c r="W704" s="42" t="s">
        <v>3615</v>
      </c>
      <c r="X704" s="43"/>
      <c r="Y704" s="44" t="str">
        <f>vlookup(G704,zip_codes!$B$6:$J988,3,false)</f>
        <v>Houston</v>
      </c>
      <c r="Z704" s="45" t="str">
        <f>vlookup(G704,zip_codes!$B$6:$J988,9,false)</f>
        <v>Central Southwest, Houston Museum District, South Central Houston, Southgate, Texas Medical Center</v>
      </c>
      <c r="AA704" s="44" t="str">
        <f>vlookup(B704,organizations!$B$1:$C988,2,false)</f>
        <v>Ronald McDonald House</v>
      </c>
      <c r="AB704" s="55" t="s">
        <v>3616</v>
      </c>
      <c r="AC704" s="47" t="s">
        <v>3594</v>
      </c>
      <c r="AD704" s="48" t="s">
        <v>314</v>
      </c>
      <c r="AE704" s="48" t="str">
        <f t="shared" si="85"/>
        <v>Ronald McDonald House - Texas Children's Hospital6621 Fannin Street37</v>
      </c>
      <c r="AF704" s="48" t="str">
        <f t="shared" si="92"/>
        <v/>
      </c>
    </row>
    <row r="705" ht="66.75" customHeight="1">
      <c r="A705" s="49" t="s">
        <v>3617</v>
      </c>
      <c r="B705" s="35" t="s">
        <v>3618</v>
      </c>
      <c r="C705" s="36" t="s">
        <v>3619</v>
      </c>
      <c r="D705" s="36"/>
      <c r="E705" s="36" t="s">
        <v>989</v>
      </c>
      <c r="F705" s="36" t="s">
        <v>37</v>
      </c>
      <c r="G705" s="35" t="s">
        <v>1336</v>
      </c>
      <c r="H705" s="35" t="s">
        <v>3620</v>
      </c>
      <c r="I705" s="35" t="s">
        <v>3621</v>
      </c>
      <c r="J705" s="35"/>
      <c r="K705" s="37">
        <f>IFERROR(__xludf.DUMMYFUNCTION("query(assistance!$A$2:$E988,""Select C Where D = '""&amp;L705&amp;""'"")"),11.0)</f>
        <v>11</v>
      </c>
      <c r="L705" s="36" t="s">
        <v>322</v>
      </c>
      <c r="M705" s="38">
        <f t="shared" si="91"/>
        <v>1</v>
      </c>
      <c r="N705" s="51" t="s">
        <v>42</v>
      </c>
      <c r="O705" s="40">
        <v>45637.0</v>
      </c>
      <c r="P705" s="50"/>
      <c r="Q705" s="35"/>
      <c r="R705" s="35"/>
      <c r="S705" s="35" t="b">
        <v>0</v>
      </c>
      <c r="T705" s="35" t="b">
        <v>0</v>
      </c>
      <c r="U705" s="41" t="str">
        <f>IFERROR(__xludf.DUMMYFUNCTION("""["" &amp; JOIN("", "", ARRAYFORMULA("""""""" &amp; TRIM(SPLIT(A705, "","")) &amp; """""""")) &amp; ""]"""),"[""77301"", ""77302"", ""77303"", ""77304"", ""77306"", ""77316"", ""77327"", ""77328"", ""77356"", ""77378""]")</f>
        <v>["77301", "77302", "77303", "77304", "77306", "77316", "77327", "77328", "77356", "77378"]</v>
      </c>
      <c r="V705" s="52" t="s">
        <v>3622</v>
      </c>
      <c r="W705" s="52" t="s">
        <v>3623</v>
      </c>
      <c r="X705" s="43"/>
      <c r="Y705" s="44" t="str">
        <f>vlookup(G705,zip_codes!$B$6:$J988,3,false)</f>
        <v>Conroe</v>
      </c>
      <c r="Z705" s="45" t="str">
        <f>vlookup(G705,zip_codes!$B$6:$J988,9,false)</f>
        <v>Conroe (Central/Downtown), Panorama Village</v>
      </c>
      <c r="AA705" s="44" t="str">
        <f>vlookup(B705,organizations!$B$1:$C988,2,false)</f>
        <v>Society of St Vincent de Paul</v>
      </c>
      <c r="AB705" s="46" t="s">
        <v>3624</v>
      </c>
      <c r="AC705" s="47" t="s">
        <v>3625</v>
      </c>
      <c r="AD705" s="48" t="s">
        <v>989</v>
      </c>
      <c r="AE705" s="48" t="str">
        <f t="shared" si="85"/>
        <v>Sacred Heart (SVdP D6) Conroe109 N Frazier Street11</v>
      </c>
      <c r="AF705" s="48" t="str">
        <f t="shared" si="92"/>
        <v/>
      </c>
    </row>
    <row r="706" ht="66.75" customHeight="1">
      <c r="A706" s="49" t="s">
        <v>3617</v>
      </c>
      <c r="B706" s="35" t="s">
        <v>3618</v>
      </c>
      <c r="C706" s="36" t="s">
        <v>3619</v>
      </c>
      <c r="D706" s="36"/>
      <c r="E706" s="36" t="s">
        <v>989</v>
      </c>
      <c r="F706" s="36" t="s">
        <v>37</v>
      </c>
      <c r="G706" s="35" t="s">
        <v>1336</v>
      </c>
      <c r="H706" s="35" t="s">
        <v>3620</v>
      </c>
      <c r="I706" s="35" t="s">
        <v>3621</v>
      </c>
      <c r="J706" s="35"/>
      <c r="K706" s="37">
        <f>IFERROR(__xludf.DUMMYFUNCTION("query(assistance!$A$2:$E988,""Select C Where D = '""&amp;L706&amp;""'"")"),12.0)</f>
        <v>12</v>
      </c>
      <c r="L706" s="36" t="s">
        <v>330</v>
      </c>
      <c r="M706" s="38">
        <f t="shared" si="91"/>
        <v>1</v>
      </c>
      <c r="N706" s="51" t="s">
        <v>42</v>
      </c>
      <c r="O706" s="40">
        <v>45637.0</v>
      </c>
      <c r="P706" s="50"/>
      <c r="Q706" s="35"/>
      <c r="R706" s="35"/>
      <c r="S706" s="35" t="b">
        <v>0</v>
      </c>
      <c r="T706" s="35" t="b">
        <v>0</v>
      </c>
      <c r="U706" s="41" t="str">
        <f>IFERROR(__xludf.DUMMYFUNCTION("""["" &amp; JOIN("", "", ARRAYFORMULA("""""""" &amp; TRIM(SPLIT(A706, "","")) &amp; """""""")) &amp; ""]"""),"[""77301"", ""77302"", ""77303"", ""77304"", ""77306"", ""77316"", ""77327"", ""77328"", ""77356"", ""77378""]")</f>
        <v>["77301", "77302", "77303", "77304", "77306", "77316", "77327", "77328", "77356", "77378"]</v>
      </c>
      <c r="V706" s="52" t="s">
        <v>3622</v>
      </c>
      <c r="W706" s="52" t="s">
        <v>3623</v>
      </c>
      <c r="X706" s="43"/>
      <c r="Y706" s="44" t="str">
        <f>vlookup(G706,zip_codes!$B$6:$J988,3,false)</f>
        <v>Conroe</v>
      </c>
      <c r="Z706" s="45" t="str">
        <f>vlookup(G706,zip_codes!$B$6:$J988,9,false)</f>
        <v>Conroe (Central/Downtown), Panorama Village</v>
      </c>
      <c r="AA706" s="44" t="str">
        <f>vlookup(B706,organizations!$B$1:$C988,2,false)</f>
        <v>Society of St Vincent de Paul</v>
      </c>
      <c r="AB706" s="46" t="s">
        <v>3624</v>
      </c>
      <c r="AC706" s="47" t="s">
        <v>3625</v>
      </c>
      <c r="AD706" s="48" t="s">
        <v>989</v>
      </c>
      <c r="AE706" s="48" t="str">
        <f t="shared" si="85"/>
        <v>Sacred Heart (SVdP D6) Conroe109 N Frazier Street12</v>
      </c>
      <c r="AF706" s="48" t="str">
        <f t="shared" si="92"/>
        <v/>
      </c>
    </row>
    <row r="707" ht="66.75" customHeight="1">
      <c r="A707" s="49" t="s">
        <v>3617</v>
      </c>
      <c r="B707" s="35" t="s">
        <v>3618</v>
      </c>
      <c r="C707" s="36" t="s">
        <v>3619</v>
      </c>
      <c r="D707" s="36"/>
      <c r="E707" s="36" t="s">
        <v>989</v>
      </c>
      <c r="F707" s="36" t="s">
        <v>37</v>
      </c>
      <c r="G707" s="35" t="s">
        <v>1336</v>
      </c>
      <c r="H707" s="35" t="s">
        <v>3620</v>
      </c>
      <c r="I707" s="35" t="s">
        <v>3626</v>
      </c>
      <c r="J707" s="35"/>
      <c r="K707" s="37">
        <f>IFERROR(__xludf.DUMMYFUNCTION("query(assistance!$A$2:$E988,""Select C Where D = '""&amp;L707&amp;""'"")"),13.0)</f>
        <v>13</v>
      </c>
      <c r="L707" s="36" t="s">
        <v>240</v>
      </c>
      <c r="M707" s="38">
        <f t="shared" si="91"/>
        <v>1</v>
      </c>
      <c r="N707" s="51" t="s">
        <v>42</v>
      </c>
      <c r="O707" s="40">
        <v>45637.0</v>
      </c>
      <c r="P707" s="50"/>
      <c r="Q707" s="35"/>
      <c r="R707" s="35"/>
      <c r="S707" s="35" t="b">
        <v>0</v>
      </c>
      <c r="T707" s="35" t="b">
        <v>0</v>
      </c>
      <c r="U707" s="41" t="str">
        <f>IFERROR(__xludf.DUMMYFUNCTION("""["" &amp; JOIN("", "", ARRAYFORMULA("""""""" &amp; TRIM(SPLIT(A707, "","")) &amp; """""""")) &amp; ""]"""),"[""77301"", ""77302"", ""77303"", ""77304"", ""77306"", ""77316"", ""77327"", ""77328"", ""77356"", ""77378""]")</f>
        <v>["77301", "77302", "77303", "77304", "77306", "77316", "77327", "77328", "77356", "77378"]</v>
      </c>
      <c r="V707" s="52" t="s">
        <v>3622</v>
      </c>
      <c r="W707" s="52" t="s">
        <v>3623</v>
      </c>
      <c r="X707" s="43"/>
      <c r="Y707" s="44" t="str">
        <f>vlookup(G707,zip_codes!$B$6:$J988,3,false)</f>
        <v>Conroe</v>
      </c>
      <c r="Z707" s="45" t="str">
        <f>vlookup(G707,zip_codes!$B$6:$J988,9,false)</f>
        <v>Conroe (Central/Downtown), Panorama Village</v>
      </c>
      <c r="AA707" s="44" t="str">
        <f>vlookup(B707,organizations!$B$1:$C988,2,false)</f>
        <v>Society of St Vincent de Paul</v>
      </c>
      <c r="AB707" s="46" t="s">
        <v>3624</v>
      </c>
      <c r="AC707" s="47" t="s">
        <v>3627</v>
      </c>
      <c r="AD707" s="48" t="s">
        <v>989</v>
      </c>
      <c r="AE707" s="48" t="str">
        <f t="shared" si="85"/>
        <v>Sacred Heart (SVdP D6) Conroe109 N Frazier Street13</v>
      </c>
      <c r="AF707" s="48" t="str">
        <f t="shared" si="92"/>
        <v/>
      </c>
    </row>
    <row r="708" ht="66.75" customHeight="1">
      <c r="A708" s="49" t="s">
        <v>3617</v>
      </c>
      <c r="B708" s="35" t="s">
        <v>3618</v>
      </c>
      <c r="C708" s="36" t="s">
        <v>3619</v>
      </c>
      <c r="D708" s="36"/>
      <c r="E708" s="36" t="s">
        <v>989</v>
      </c>
      <c r="F708" s="36" t="s">
        <v>37</v>
      </c>
      <c r="G708" s="35" t="s">
        <v>1336</v>
      </c>
      <c r="H708" s="35" t="s">
        <v>3620</v>
      </c>
      <c r="I708" s="35" t="s">
        <v>3621</v>
      </c>
      <c r="J708" s="35"/>
      <c r="K708" s="37">
        <f>IFERROR(__xludf.DUMMYFUNCTION("query(assistance!$A$2:$E988,""Select C Where D = '""&amp;L708&amp;""'"")"),14.0)</f>
        <v>14</v>
      </c>
      <c r="L708" s="36" t="s">
        <v>391</v>
      </c>
      <c r="M708" s="38">
        <f t="shared" si="91"/>
        <v>1</v>
      </c>
      <c r="N708" s="51" t="s">
        <v>42</v>
      </c>
      <c r="O708" s="40">
        <v>45637.0</v>
      </c>
      <c r="P708" s="50"/>
      <c r="Q708" s="35"/>
      <c r="R708" s="35"/>
      <c r="S708" s="35" t="b">
        <v>0</v>
      </c>
      <c r="T708" s="35" t="b">
        <v>0</v>
      </c>
      <c r="U708" s="41" t="str">
        <f>IFERROR(__xludf.DUMMYFUNCTION("""["" &amp; JOIN("", "", ARRAYFORMULA("""""""" &amp; TRIM(SPLIT(A708, "","")) &amp; """""""")) &amp; ""]"""),"[""77301"", ""77302"", ""77303"", ""77304"", ""77306"", ""77316"", ""77327"", ""77328"", ""77356"", ""77378""]")</f>
        <v>["77301", "77302", "77303", "77304", "77306", "77316", "77327", "77328", "77356", "77378"]</v>
      </c>
      <c r="V708" s="52" t="s">
        <v>3622</v>
      </c>
      <c r="W708" s="52" t="s">
        <v>3623</v>
      </c>
      <c r="X708" s="43"/>
      <c r="Y708" s="44" t="str">
        <f>vlookup(G708,zip_codes!$B$6:$J988,3,false)</f>
        <v>Conroe</v>
      </c>
      <c r="Z708" s="45" t="str">
        <f>vlookup(G708,zip_codes!$B$6:$J988,9,false)</f>
        <v>Conroe (Central/Downtown), Panorama Village</v>
      </c>
      <c r="AA708" s="44" t="str">
        <f>vlookup(B708,organizations!$B$1:$C988,2,false)</f>
        <v>Society of St Vincent de Paul</v>
      </c>
      <c r="AB708" s="46" t="s">
        <v>3624</v>
      </c>
      <c r="AC708" s="47" t="s">
        <v>3625</v>
      </c>
      <c r="AD708" s="48" t="s">
        <v>989</v>
      </c>
      <c r="AE708" s="48" t="str">
        <f t="shared" si="85"/>
        <v>Sacred Heart (SVdP D6) Conroe109 N Frazier Street14</v>
      </c>
      <c r="AF708" s="48" t="str">
        <f t="shared" si="92"/>
        <v/>
      </c>
    </row>
    <row r="709" ht="66.75" customHeight="1">
      <c r="A709" s="49" t="s">
        <v>270</v>
      </c>
      <c r="B709" s="35" t="s">
        <v>3628</v>
      </c>
      <c r="C709" s="36" t="s">
        <v>3629</v>
      </c>
      <c r="D709" s="36"/>
      <c r="E709" s="36" t="s">
        <v>36</v>
      </c>
      <c r="F709" s="36" t="s">
        <v>37</v>
      </c>
      <c r="G709" s="35" t="s">
        <v>270</v>
      </c>
      <c r="H709" s="35" t="s">
        <v>3630</v>
      </c>
      <c r="I709" s="35" t="s">
        <v>601</v>
      </c>
      <c r="J709" s="35"/>
      <c r="K709" s="37">
        <f>IFERROR(__xludf.DUMMYFUNCTION("query(assistance!$A$2:$E988,""Select C Where D = '""&amp;L709&amp;""'"")"),13.0)</f>
        <v>13</v>
      </c>
      <c r="L709" s="36" t="s">
        <v>240</v>
      </c>
      <c r="M709" s="38">
        <f t="shared" si="91"/>
        <v>1</v>
      </c>
      <c r="N709" s="39" t="s">
        <v>42</v>
      </c>
      <c r="O709" s="65"/>
      <c r="P709" s="50"/>
      <c r="Q709" s="50"/>
      <c r="R709" s="50"/>
      <c r="S709" s="35" t="b">
        <v>0</v>
      </c>
      <c r="T709" s="35" t="b">
        <v>0</v>
      </c>
      <c r="U709" s="41" t="str">
        <f>IFERROR(__xludf.DUMMYFUNCTION("""["" &amp; JOIN("", "", ARRAYFORMULA("""""""" &amp; TRIM(SPLIT(A709, "","")) &amp; """""""")) &amp; ""]"""),"[""77002""]")</f>
        <v>["77002"]</v>
      </c>
      <c r="V709" s="52" t="s">
        <v>3631</v>
      </c>
      <c r="W709" s="52" t="s">
        <v>3632</v>
      </c>
      <c r="X709" s="43"/>
      <c r="Y709" s="44" t="str">
        <f>vlookup(G709,zip_codes!$B$6:$J988,3,false)</f>
        <v>Houston</v>
      </c>
      <c r="Z709" s="45" t="str">
        <f>vlookup(G709,zip_codes!$B$6:$J988,9,false)</f>
        <v>Central Business District, Downtown Houston, East Downtown, South Central Houston, Theater District, University Place, Warehouse District</v>
      </c>
      <c r="AA709" s="44" t="str">
        <f>vlookup(B709,organizations!$B$1:$C988,2,false)</f>
        <v>Sacred Heart Co-Cathedral</v>
      </c>
      <c r="AB709" s="46" t="s">
        <v>3633</v>
      </c>
      <c r="AC709" s="47" t="s">
        <v>607</v>
      </c>
      <c r="AD709" s="48" t="s">
        <v>279</v>
      </c>
      <c r="AE709" s="48" t="str">
        <f t="shared" si="85"/>
        <v>Sacred Heart Co-Cathedral1111 St Joseph Pkwy13</v>
      </c>
      <c r="AF709" s="48" t="str">
        <f t="shared" si="92"/>
        <v/>
      </c>
    </row>
    <row r="710" ht="66.75" customHeight="1">
      <c r="A710" s="49" t="s">
        <v>1275</v>
      </c>
      <c r="B710" s="35" t="s">
        <v>3634</v>
      </c>
      <c r="C710" s="36" t="s">
        <v>3635</v>
      </c>
      <c r="D710" s="36"/>
      <c r="E710" s="36" t="s">
        <v>1274</v>
      </c>
      <c r="F710" s="36" t="s">
        <v>37</v>
      </c>
      <c r="G710" s="35" t="s">
        <v>1275</v>
      </c>
      <c r="H710" s="35" t="s">
        <v>3636</v>
      </c>
      <c r="I710" s="35"/>
      <c r="J710" s="35" t="s">
        <v>3637</v>
      </c>
      <c r="K710" s="37">
        <f>IFERROR(__xludf.DUMMYFUNCTION("query(assistance!$A$2:$E988,""Select C Where D = '""&amp;L710&amp;""'"")"),11.0)</f>
        <v>11</v>
      </c>
      <c r="L710" s="36" t="s">
        <v>322</v>
      </c>
      <c r="M710" s="38">
        <f t="shared" si="91"/>
        <v>1</v>
      </c>
      <c r="N710" s="51" t="s">
        <v>42</v>
      </c>
      <c r="O710" s="40">
        <v>45637.0</v>
      </c>
      <c r="P710" s="50"/>
      <c r="Q710" s="35"/>
      <c r="R710" s="35"/>
      <c r="S710" s="35" t="b">
        <v>0</v>
      </c>
      <c r="T710" s="35" t="b">
        <v>0</v>
      </c>
      <c r="U710" s="41" t="str">
        <f>IFERROR(__xludf.DUMMYFUNCTION("""["" &amp; JOIN("", "", ARRAYFORMULA("""""""" &amp; TRIM(SPLIT(A710, "","")) &amp; """""""")) &amp; ""]"""),"[""77532""]")</f>
        <v>["77532"]</v>
      </c>
      <c r="V710" s="52" t="s">
        <v>3638</v>
      </c>
      <c r="W710" s="52" t="s">
        <v>3639</v>
      </c>
      <c r="X710" s="43"/>
      <c r="Y710" s="44" t="str">
        <f>vlookup(G710,zip_codes!$B$6:$J988,3,false)</f>
        <v>Crosby</v>
      </c>
      <c r="Z710" s="45" t="str">
        <f>vlookup(G710,zip_codes!$B$6:$J988,9,false)</f>
        <v>Burris, Crosby</v>
      </c>
      <c r="AA710" s="44" t="str">
        <f>vlookup(B710,organizations!$B$1:$C988,2,false)</f>
        <v>Society of St Vincent de Paul</v>
      </c>
      <c r="AB710" s="46" t="s">
        <v>3640</v>
      </c>
      <c r="AC710" s="53"/>
      <c r="AD710" s="48" t="s">
        <v>3641</v>
      </c>
      <c r="AE710" s="48" t="str">
        <f t="shared" si="85"/>
        <v>Sacred Heart Crosby (SVdP D5)915 Runneburg Road11</v>
      </c>
      <c r="AF710" s="48" t="str">
        <f t="shared" si="92"/>
        <v/>
      </c>
    </row>
    <row r="711" ht="66.75" customHeight="1">
      <c r="A711" s="49" t="s">
        <v>1275</v>
      </c>
      <c r="B711" s="35" t="s">
        <v>3634</v>
      </c>
      <c r="C711" s="36" t="s">
        <v>3635</v>
      </c>
      <c r="D711" s="36"/>
      <c r="E711" s="36" t="s">
        <v>1274</v>
      </c>
      <c r="F711" s="36" t="s">
        <v>37</v>
      </c>
      <c r="G711" s="35" t="s">
        <v>1275</v>
      </c>
      <c r="H711" s="35" t="s">
        <v>3636</v>
      </c>
      <c r="I711" s="35"/>
      <c r="J711" s="35" t="s">
        <v>298</v>
      </c>
      <c r="K711" s="37">
        <f>IFERROR(__xludf.DUMMYFUNCTION("query(assistance!$A$2:$E988,""Select C Where D = '""&amp;L711&amp;""'"")"),12.0)</f>
        <v>12</v>
      </c>
      <c r="L711" s="36" t="s">
        <v>330</v>
      </c>
      <c r="M711" s="38">
        <f t="shared" si="91"/>
        <v>1</v>
      </c>
      <c r="N711" s="51" t="s">
        <v>42</v>
      </c>
      <c r="O711" s="40">
        <v>45637.0</v>
      </c>
      <c r="P711" s="50"/>
      <c r="Q711" s="35"/>
      <c r="R711" s="35"/>
      <c r="S711" s="35" t="b">
        <v>0</v>
      </c>
      <c r="T711" s="35" t="b">
        <v>0</v>
      </c>
      <c r="U711" s="41" t="str">
        <f>IFERROR(__xludf.DUMMYFUNCTION("""["" &amp; JOIN("", "", ARRAYFORMULA("""""""" &amp; TRIM(SPLIT(A711, "","")) &amp; """""""")) &amp; ""]"""),"[""77532""]")</f>
        <v>["77532"]</v>
      </c>
      <c r="V711" s="52" t="s">
        <v>3638</v>
      </c>
      <c r="W711" s="52" t="s">
        <v>3639</v>
      </c>
      <c r="X711" s="43"/>
      <c r="Y711" s="44" t="str">
        <f>vlookup(G711,zip_codes!$B$6:$J988,3,false)</f>
        <v>Crosby</v>
      </c>
      <c r="Z711" s="45" t="str">
        <f>vlookup(G711,zip_codes!$B$6:$J988,9,false)</f>
        <v>Burris, Crosby</v>
      </c>
      <c r="AA711" s="44" t="str">
        <f>vlookup(B711,organizations!$B$1:$C988,2,false)</f>
        <v>Society of St Vincent de Paul</v>
      </c>
      <c r="AB711" s="46" t="s">
        <v>3640</v>
      </c>
      <c r="AC711" s="53"/>
      <c r="AD711" s="48" t="s">
        <v>3641</v>
      </c>
      <c r="AE711" s="48" t="str">
        <f t="shared" si="85"/>
        <v>Sacred Heart Crosby (SVdP D5)915 Runneburg Road12</v>
      </c>
      <c r="AF711" s="48" t="str">
        <f t="shared" si="92"/>
        <v/>
      </c>
    </row>
    <row r="712" ht="66.75" customHeight="1">
      <c r="A712" s="49" t="s">
        <v>1275</v>
      </c>
      <c r="B712" s="35" t="s">
        <v>3634</v>
      </c>
      <c r="C712" s="36" t="s">
        <v>3635</v>
      </c>
      <c r="D712" s="36"/>
      <c r="E712" s="36" t="s">
        <v>1274</v>
      </c>
      <c r="F712" s="36" t="s">
        <v>37</v>
      </c>
      <c r="G712" s="35" t="s">
        <v>1275</v>
      </c>
      <c r="H712" s="35" t="s">
        <v>3636</v>
      </c>
      <c r="I712" s="35"/>
      <c r="J712" s="35" t="s">
        <v>298</v>
      </c>
      <c r="K712" s="37">
        <f>IFERROR(__xludf.DUMMYFUNCTION("query(assistance!$A$2:$E988,""Select C Where D = '""&amp;L712&amp;""'"")"),13.0)</f>
        <v>13</v>
      </c>
      <c r="L712" s="36" t="s">
        <v>240</v>
      </c>
      <c r="M712" s="38">
        <f t="shared" si="91"/>
        <v>1</v>
      </c>
      <c r="N712" s="51" t="s">
        <v>42</v>
      </c>
      <c r="O712" s="40">
        <v>45637.0</v>
      </c>
      <c r="P712" s="50"/>
      <c r="Q712" s="35"/>
      <c r="R712" s="35"/>
      <c r="S712" s="35" t="b">
        <v>0</v>
      </c>
      <c r="T712" s="35" t="b">
        <v>0</v>
      </c>
      <c r="U712" s="41" t="str">
        <f>IFERROR(__xludf.DUMMYFUNCTION("""["" &amp; JOIN("", "", ARRAYFORMULA("""""""" &amp; TRIM(SPLIT(A712, "","")) &amp; """""""")) &amp; ""]"""),"[""77532""]")</f>
        <v>["77532"]</v>
      </c>
      <c r="V712" s="52" t="s">
        <v>3638</v>
      </c>
      <c r="W712" s="52" t="s">
        <v>3639</v>
      </c>
      <c r="X712" s="43"/>
      <c r="Y712" s="44" t="str">
        <f>vlookup(G712,zip_codes!$B$6:$J988,3,false)</f>
        <v>Crosby</v>
      </c>
      <c r="Z712" s="45" t="str">
        <f>vlookup(G712,zip_codes!$B$6:$J988,9,false)</f>
        <v>Burris, Crosby</v>
      </c>
      <c r="AA712" s="44" t="str">
        <f>vlookup(B712,organizations!$B$1:$C988,2,false)</f>
        <v>Society of St Vincent de Paul</v>
      </c>
      <c r="AB712" s="46" t="s">
        <v>3640</v>
      </c>
      <c r="AC712" s="53"/>
      <c r="AD712" s="48" t="s">
        <v>3641</v>
      </c>
      <c r="AE712" s="48" t="str">
        <f t="shared" si="85"/>
        <v>Sacred Heart Crosby (SVdP D5)915 Runneburg Road13</v>
      </c>
      <c r="AF712" s="48" t="str">
        <f t="shared" si="92"/>
        <v/>
      </c>
    </row>
    <row r="713" ht="66.75" customHeight="1">
      <c r="A713" s="49" t="s">
        <v>50</v>
      </c>
      <c r="B713" s="35" t="s">
        <v>3642</v>
      </c>
      <c r="C713" s="36" t="s">
        <v>3643</v>
      </c>
      <c r="D713" s="36"/>
      <c r="E713" s="36" t="s">
        <v>3644</v>
      </c>
      <c r="F713" s="36" t="s">
        <v>37</v>
      </c>
      <c r="G713" s="35" t="s">
        <v>3645</v>
      </c>
      <c r="H713" s="35" t="s">
        <v>3646</v>
      </c>
      <c r="I713" s="35" t="s">
        <v>3647</v>
      </c>
      <c r="J713" s="35" t="s">
        <v>3648</v>
      </c>
      <c r="K713" s="37">
        <f>IFERROR(__xludf.DUMMYFUNCTION("query(assistance!$A$2:$E988,""Select C Where D = '""&amp;L713&amp;""'"")"),13.0)</f>
        <v>13</v>
      </c>
      <c r="L713" s="36" t="s">
        <v>240</v>
      </c>
      <c r="M713" s="38">
        <f t="shared" si="91"/>
        <v>1</v>
      </c>
      <c r="N713" s="39" t="s">
        <v>42</v>
      </c>
      <c r="O713" s="65"/>
      <c r="P713" s="50"/>
      <c r="Q713" s="50"/>
      <c r="R713" s="50"/>
      <c r="S713" s="35" t="b">
        <v>0</v>
      </c>
      <c r="T713" s="35" t="b">
        <v>0</v>
      </c>
      <c r="U713" s="41" t="str">
        <f>IFERROR(__xludf.DUMMYFUNCTION("""["" &amp; JOIN("", "", ARRAYFORMULA("""""""" &amp; TRIM(SPLIT(A713, "","")) &amp; """""""")) &amp; ""]"""),"[""99999""]")</f>
        <v>["99999"]</v>
      </c>
      <c r="V713" s="52" t="s">
        <v>3649</v>
      </c>
      <c r="W713" s="52" t="s">
        <v>3650</v>
      </c>
      <c r="X713" s="43"/>
      <c r="Y713" s="44" t="str">
        <f>vlookup(G713,zip_codes!$B$6:$J988,3,false)</f>
        <v>Rosharon</v>
      </c>
      <c r="Z713" s="45" t="str">
        <f>vlookup(G713,zip_codes!$B$6:$J988,9,false)</f>
        <v>Manvel, Rosharon</v>
      </c>
      <c r="AA713" s="44" t="str">
        <f>vlookup(B713,organizations!$B$1:$C988,2,false)</f>
        <v>Sacred Heart of Jesus/Manvel</v>
      </c>
      <c r="AB713" s="46" t="s">
        <v>3651</v>
      </c>
      <c r="AC713" s="47" t="s">
        <v>3652</v>
      </c>
      <c r="AD713" s="48" t="s">
        <v>3653</v>
      </c>
      <c r="AE713" s="48" t="str">
        <f t="shared" si="85"/>
        <v>Sacred Heart of Jesus/Manvel14307 Hwy 613</v>
      </c>
      <c r="AF713" s="48" t="str">
        <f t="shared" si="92"/>
        <v/>
      </c>
    </row>
    <row r="714" ht="66.75" customHeight="1">
      <c r="A714" s="49" t="s">
        <v>50</v>
      </c>
      <c r="B714" s="35" t="s">
        <v>3654</v>
      </c>
      <c r="C714" s="36" t="s">
        <v>3655</v>
      </c>
      <c r="D714" s="36"/>
      <c r="E714" s="36" t="s">
        <v>36</v>
      </c>
      <c r="F714" s="36" t="s">
        <v>37</v>
      </c>
      <c r="G714" s="35" t="s">
        <v>1388</v>
      </c>
      <c r="H714" s="35" t="s">
        <v>3656</v>
      </c>
      <c r="I714" s="35"/>
      <c r="J714" s="35"/>
      <c r="K714" s="37">
        <f>IFERROR(__xludf.DUMMYFUNCTION("query(assistance!$A$2:$E988,""Select C Where D = '""&amp;L714&amp;""'"")"),24.0)</f>
        <v>24</v>
      </c>
      <c r="L714" s="36" t="s">
        <v>405</v>
      </c>
      <c r="M714" s="38">
        <f t="shared" si="91"/>
        <v>1</v>
      </c>
      <c r="N714" s="39" t="s">
        <v>42</v>
      </c>
      <c r="O714" s="40">
        <v>45791.0</v>
      </c>
      <c r="P714" s="35" t="s">
        <v>43</v>
      </c>
      <c r="Q714" s="35"/>
      <c r="R714" s="35" t="s">
        <v>1407</v>
      </c>
      <c r="S714" s="35" t="b">
        <v>0</v>
      </c>
      <c r="T714" s="35" t="b">
        <v>0</v>
      </c>
      <c r="U714" s="41" t="str">
        <f>IFERROR(__xludf.DUMMYFUNCTION("""["" &amp; JOIN("", "", ARRAYFORMULA("""""""" &amp; TRIM(SPLIT(A714, "","")) &amp; """""""")) &amp; ""]"""),"[""99999""]")</f>
        <v>["99999"]</v>
      </c>
      <c r="V714" s="42" t="s">
        <v>3657</v>
      </c>
      <c r="W714" s="42" t="s">
        <v>3658</v>
      </c>
      <c r="X714" s="43"/>
      <c r="Y714" s="44" t="str">
        <f>vlookup(G714,zip_codes!$B$6:$J988,3,false)</f>
        <v>Houston</v>
      </c>
      <c r="Z714" s="45" t="str">
        <f>vlookup(G714,zip_codes!$B$6:$J988,9,false)</f>
        <v>Bammel Village, Cornerstone Village North, Northchase</v>
      </c>
      <c r="AA714" s="44" t="str">
        <f>vlookup(B714,organizations!$B$1:$C988,2,false)</f>
        <v>Sagetree Terrace (RHF)</v>
      </c>
      <c r="AB714" s="46" t="s">
        <v>3659</v>
      </c>
      <c r="AC714" s="53"/>
      <c r="AD714" s="48" t="s">
        <v>1394</v>
      </c>
      <c r="AE714" s="48" t="str">
        <f t="shared" si="85"/>
        <v>Sagetree Terrace (RHF)15505 Bammel N Houston Road24</v>
      </c>
      <c r="AF714" s="48" t="str">
        <f t="shared" si="92"/>
        <v/>
      </c>
    </row>
    <row r="715" ht="66.75" customHeight="1">
      <c r="A715" s="49" t="s">
        <v>50</v>
      </c>
      <c r="B715" s="35" t="s">
        <v>3660</v>
      </c>
      <c r="C715" s="36" t="s">
        <v>3661</v>
      </c>
      <c r="D715" s="36"/>
      <c r="E715" s="36" t="s">
        <v>3662</v>
      </c>
      <c r="F715" s="36" t="s">
        <v>3663</v>
      </c>
      <c r="G715" s="35" t="s">
        <v>3664</v>
      </c>
      <c r="H715" s="35" t="s">
        <v>3665</v>
      </c>
      <c r="I715" s="35" t="s">
        <v>516</v>
      </c>
      <c r="J715" s="35" t="s">
        <v>89</v>
      </c>
      <c r="K715" s="37">
        <f>IFERROR(__xludf.DUMMYFUNCTION("query(assistance!$A$2:$E988,""Select C Where D = '""&amp;L715&amp;""'"")"),11.0)</f>
        <v>11</v>
      </c>
      <c r="L715" s="36" t="s">
        <v>322</v>
      </c>
      <c r="M715" s="38">
        <f t="shared" si="91"/>
        <v>2</v>
      </c>
      <c r="N715" s="51" t="s">
        <v>385</v>
      </c>
      <c r="O715" s="40">
        <v>45815.0</v>
      </c>
      <c r="P715" s="35" t="s">
        <v>3666</v>
      </c>
      <c r="Q715" s="35"/>
      <c r="R715" s="35" t="s">
        <v>3667</v>
      </c>
      <c r="S715" s="35" t="b">
        <v>0</v>
      </c>
      <c r="T715" s="35" t="b">
        <v>0</v>
      </c>
      <c r="U715" s="41" t="str">
        <f>IFERROR(__xludf.DUMMYFUNCTION("""["" &amp; JOIN("", "", ARRAYFORMULA("""""""" &amp; TRIM(SPLIT(A715, "","")) &amp; """""""")) &amp; ""]"""),"[""99999""]")</f>
        <v>["99999"]</v>
      </c>
      <c r="V715" s="42" t="s">
        <v>3668</v>
      </c>
      <c r="W715" s="52"/>
      <c r="X715" s="43"/>
      <c r="Y715" s="44" t="str">
        <f>vlookup(G715,zip_codes!$B$6:$J988,3,false)</f>
        <v>Palatine</v>
      </c>
      <c r="Z715" s="45" t="str">
        <f>vlookup(G715,zip_codes!$B$6:$J988,9,false)</f>
        <v>P.O. Boxes</v>
      </c>
      <c r="AA715" s="44" t="str">
        <f>vlookup(B715,organizations!$B$1:$C988,2,false)</f>
        <v>Salute, Inc.</v>
      </c>
      <c r="AB715" s="83" t="s">
        <v>3669</v>
      </c>
      <c r="AC715" s="47" t="s">
        <v>520</v>
      </c>
      <c r="AD715" s="48"/>
      <c r="AE715" s="48" t="str">
        <f t="shared" si="85"/>
        <v>Salute, Inc.P.O. Box 266311</v>
      </c>
      <c r="AF715" s="48" t="str">
        <f t="shared" si="92"/>
        <v/>
      </c>
    </row>
    <row r="716" ht="66.75" customHeight="1">
      <c r="A716" s="49" t="s">
        <v>50</v>
      </c>
      <c r="B716" s="35" t="s">
        <v>3660</v>
      </c>
      <c r="C716" s="36" t="s">
        <v>3661</v>
      </c>
      <c r="D716" s="36"/>
      <c r="E716" s="36" t="s">
        <v>3662</v>
      </c>
      <c r="F716" s="36" t="s">
        <v>3663</v>
      </c>
      <c r="G716" s="35" t="s">
        <v>3664</v>
      </c>
      <c r="H716" s="35" t="s">
        <v>3665</v>
      </c>
      <c r="I716" s="35" t="s">
        <v>516</v>
      </c>
      <c r="J716" s="35" t="s">
        <v>89</v>
      </c>
      <c r="K716" s="37">
        <f>IFERROR(__xludf.DUMMYFUNCTION("query(assistance!$A$2:$E988,""Select C Where D = '""&amp;L716&amp;""'"")"),12.0)</f>
        <v>12</v>
      </c>
      <c r="L716" s="36" t="s">
        <v>330</v>
      </c>
      <c r="M716" s="38">
        <f t="shared" si="91"/>
        <v>2</v>
      </c>
      <c r="N716" s="51" t="s">
        <v>385</v>
      </c>
      <c r="O716" s="40">
        <v>45815.0</v>
      </c>
      <c r="P716" s="35" t="s">
        <v>3666</v>
      </c>
      <c r="Q716" s="35"/>
      <c r="R716" s="35" t="s">
        <v>3667</v>
      </c>
      <c r="S716" s="35" t="b">
        <v>0</v>
      </c>
      <c r="T716" s="35" t="b">
        <v>0</v>
      </c>
      <c r="U716" s="41" t="str">
        <f>IFERROR(__xludf.DUMMYFUNCTION("""["" &amp; JOIN("", "", ARRAYFORMULA("""""""" &amp; TRIM(SPLIT(A716, "","")) &amp; """""""")) &amp; ""]"""),"[""99999""]")</f>
        <v>["99999"]</v>
      </c>
      <c r="V716" s="42" t="s">
        <v>3668</v>
      </c>
      <c r="W716" s="52"/>
      <c r="X716" s="43"/>
      <c r="Y716" s="44" t="str">
        <f>vlookup(G716,zip_codes!$B$6:$J988,3,false)</f>
        <v>Palatine</v>
      </c>
      <c r="Z716" s="45" t="str">
        <f>vlookup(G716,zip_codes!$B$6:$J988,9,false)</f>
        <v>P.O. Boxes</v>
      </c>
      <c r="AA716" s="44" t="str">
        <f>vlookup(B716,organizations!$B$1:$C988,2,false)</f>
        <v>Salute, Inc.</v>
      </c>
      <c r="AB716" s="83" t="s">
        <v>3669</v>
      </c>
      <c r="AC716" s="47" t="s">
        <v>520</v>
      </c>
      <c r="AD716" s="48"/>
      <c r="AE716" s="48" t="str">
        <f t="shared" si="85"/>
        <v>Salute, Inc.P.O. Box 266312</v>
      </c>
      <c r="AF716" s="48" t="str">
        <f t="shared" si="92"/>
        <v/>
      </c>
    </row>
    <row r="717" ht="66.75" customHeight="1">
      <c r="A717" s="49" t="s">
        <v>50</v>
      </c>
      <c r="B717" s="35" t="s">
        <v>3660</v>
      </c>
      <c r="C717" s="36" t="s">
        <v>3661</v>
      </c>
      <c r="D717" s="36"/>
      <c r="E717" s="36" t="s">
        <v>3662</v>
      </c>
      <c r="F717" s="36" t="s">
        <v>3663</v>
      </c>
      <c r="G717" s="35" t="s">
        <v>3664</v>
      </c>
      <c r="H717" s="35" t="s">
        <v>3665</v>
      </c>
      <c r="I717" s="35" t="s">
        <v>516</v>
      </c>
      <c r="J717" s="35" t="s">
        <v>89</v>
      </c>
      <c r="K717" s="37">
        <f>IFERROR(__xludf.DUMMYFUNCTION("query(assistance!$A$2:$E988,""Select C Where D = '""&amp;L717&amp;""'"")"),65.0)</f>
        <v>65</v>
      </c>
      <c r="L717" s="36" t="s">
        <v>41</v>
      </c>
      <c r="M717" s="38">
        <f t="shared" si="91"/>
        <v>2</v>
      </c>
      <c r="N717" s="51" t="s">
        <v>385</v>
      </c>
      <c r="O717" s="40">
        <v>45815.0</v>
      </c>
      <c r="P717" s="35" t="s">
        <v>3666</v>
      </c>
      <c r="Q717" s="35"/>
      <c r="R717" s="35" t="s">
        <v>3670</v>
      </c>
      <c r="S717" s="35" t="b">
        <v>0</v>
      </c>
      <c r="T717" s="35" t="b">
        <v>0</v>
      </c>
      <c r="U717" s="41" t="str">
        <f>IFERROR(__xludf.DUMMYFUNCTION("""["" &amp; JOIN("", "", ARRAYFORMULA("""""""" &amp; TRIM(SPLIT(A717, "","")) &amp; """""""")) &amp; ""]"""),"[""99999""]")</f>
        <v>["99999"]</v>
      </c>
      <c r="V717" s="42" t="s">
        <v>3668</v>
      </c>
      <c r="W717" s="52"/>
      <c r="X717" s="43"/>
      <c r="Y717" s="44" t="str">
        <f>vlookup(G717,zip_codes!$B$6:$J988,3,false)</f>
        <v>Palatine</v>
      </c>
      <c r="Z717" s="45" t="str">
        <f>vlookup(G717,zip_codes!$B$6:$J988,9,false)</f>
        <v>P.O. Boxes</v>
      </c>
      <c r="AA717" s="44" t="str">
        <f>vlookup(B717,organizations!$B$1:$C988,2,false)</f>
        <v>Salute, Inc.</v>
      </c>
      <c r="AB717" s="83" t="s">
        <v>3669</v>
      </c>
      <c r="AC717" s="47" t="s">
        <v>520</v>
      </c>
      <c r="AD717" s="48"/>
      <c r="AE717" s="48" t="str">
        <f t="shared" si="85"/>
        <v>Salute, Inc.P.O. Box 266365</v>
      </c>
      <c r="AF717" s="48" t="str">
        <f t="shared" si="92"/>
        <v/>
      </c>
    </row>
    <row r="718" ht="66.75" customHeight="1">
      <c r="A718" s="49" t="s">
        <v>50</v>
      </c>
      <c r="B718" s="35" t="s">
        <v>3671</v>
      </c>
      <c r="C718" s="36" t="s">
        <v>3672</v>
      </c>
      <c r="D718" s="36"/>
      <c r="E718" s="36" t="s">
        <v>36</v>
      </c>
      <c r="F718" s="36" t="s">
        <v>37</v>
      </c>
      <c r="G718" s="35" t="s">
        <v>749</v>
      </c>
      <c r="H718" s="35" t="s">
        <v>3673</v>
      </c>
      <c r="I718" s="35" t="s">
        <v>3674</v>
      </c>
      <c r="J718" s="35"/>
      <c r="K718" s="37">
        <f>IFERROR(__xludf.DUMMYFUNCTION("query(assistance!$A$2:$E988,""Select C Where D = '""&amp;L718&amp;""'"")"),21.0)</f>
        <v>21</v>
      </c>
      <c r="L718" s="36" t="s">
        <v>777</v>
      </c>
      <c r="M718" s="38">
        <f t="shared" si="91"/>
        <v>1</v>
      </c>
      <c r="N718" s="39" t="s">
        <v>42</v>
      </c>
      <c r="O718" s="57">
        <v>45941.0</v>
      </c>
      <c r="P718" s="35"/>
      <c r="Q718" s="35"/>
      <c r="R718" s="35" t="s">
        <v>3675</v>
      </c>
      <c r="S718" s="35" t="b">
        <v>0</v>
      </c>
      <c r="T718" s="35" t="b">
        <v>0</v>
      </c>
      <c r="U718" s="41" t="str">
        <f>IFERROR(__xludf.DUMMYFUNCTION("""["" &amp; JOIN("", "", ARRAYFORMULA("""""""" &amp; TRIM(SPLIT(A718, "","")) &amp; """""""")) &amp; ""]"""),"[""99999""]")</f>
        <v>["99999"]</v>
      </c>
      <c r="V718" s="42" t="s">
        <v>3676</v>
      </c>
      <c r="W718" s="42" t="s">
        <v>3677</v>
      </c>
      <c r="X718" s="43"/>
      <c r="Y718" s="44" t="str">
        <f>vlookup(G718,zip_codes!$B$6:$J988,3,false)</f>
        <v>Houston</v>
      </c>
      <c r="Z718" s="45" t="str">
        <f>vlookup(G718,zip_codes!$B$6:$J988,9,false)</f>
        <v>East Downtown, Downtown Houston, Houston Museum District, Midtown, Museum District, South Central Houston, South Side, Third Ward, University Place</v>
      </c>
      <c r="AA718" s="44" t="str">
        <f>vlookup(B718,organizations!$B$1:$C988,2,false)</f>
        <v>Salvation Army of Greater Houston</v>
      </c>
      <c r="AB718" s="55" t="s">
        <v>3678</v>
      </c>
      <c r="AC718" s="47" t="s">
        <v>3679</v>
      </c>
      <c r="AD718" s="48" t="s">
        <v>314</v>
      </c>
      <c r="AE718" s="48" t="str">
        <f t="shared" si="85"/>
        <v>Salvation Army - Jones Residence1603 McGowen Street21</v>
      </c>
      <c r="AF718" s="48" t="str">
        <f t="shared" si="92"/>
        <v/>
      </c>
    </row>
    <row r="719" ht="66.75" customHeight="1">
      <c r="A719" s="49" t="s">
        <v>50</v>
      </c>
      <c r="B719" s="35" t="s">
        <v>3680</v>
      </c>
      <c r="C719" s="36" t="s">
        <v>3681</v>
      </c>
      <c r="D719" s="36"/>
      <c r="E719" s="36" t="s">
        <v>989</v>
      </c>
      <c r="F719" s="36" t="s">
        <v>37</v>
      </c>
      <c r="G719" s="35" t="s">
        <v>1336</v>
      </c>
      <c r="H719" s="35" t="s">
        <v>3682</v>
      </c>
      <c r="I719" s="35" t="s">
        <v>3674</v>
      </c>
      <c r="J719" s="35"/>
      <c r="K719" s="37">
        <f>IFERROR(__xludf.DUMMYFUNCTION("query(assistance!$A$2:$E988,""Select C Where D = '""&amp;L719&amp;""'"")"),21.0)</f>
        <v>21</v>
      </c>
      <c r="L719" s="36" t="s">
        <v>777</v>
      </c>
      <c r="M719" s="38">
        <f t="shared" si="91"/>
        <v>1</v>
      </c>
      <c r="N719" s="39" t="s">
        <v>42</v>
      </c>
      <c r="O719" s="57">
        <v>45941.0</v>
      </c>
      <c r="P719" s="35"/>
      <c r="Q719" s="35"/>
      <c r="R719" s="35" t="s">
        <v>3683</v>
      </c>
      <c r="S719" s="35" t="b">
        <v>0</v>
      </c>
      <c r="T719" s="35" t="b">
        <v>0</v>
      </c>
      <c r="U719" s="41" t="str">
        <f>IFERROR(__xludf.DUMMYFUNCTION("""["" &amp; JOIN("", "", ARRAYFORMULA("""""""" &amp; TRIM(SPLIT(A719, "","")) &amp; """""""")) &amp; ""]"""),"[""99999""]")</f>
        <v>["99999"]</v>
      </c>
      <c r="V719" s="42" t="s">
        <v>3684</v>
      </c>
      <c r="W719" s="42" t="s">
        <v>3685</v>
      </c>
      <c r="X719" s="43"/>
      <c r="Y719" s="44" t="str">
        <f>vlookup(G719,zip_codes!$B$6:$J988,3,false)</f>
        <v>Conroe</v>
      </c>
      <c r="Z719" s="45" t="str">
        <f>vlookup(G719,zip_codes!$B$6:$J988,9,false)</f>
        <v>Conroe (Central/Downtown), Panorama Village</v>
      </c>
      <c r="AA719" s="44" t="str">
        <f>vlookup(B719,organizations!$B$1:$C988,2,false)</f>
        <v>Salvation Army of Greater Houston</v>
      </c>
      <c r="AB719" s="55" t="s">
        <v>3686</v>
      </c>
      <c r="AC719" s="47" t="s">
        <v>3679</v>
      </c>
      <c r="AD719" s="48" t="s">
        <v>989</v>
      </c>
      <c r="AE719" s="48" t="str">
        <f t="shared" si="85"/>
        <v>Salvation Army - Wayne Bergstrom Center of Hope304 Avenue E21</v>
      </c>
      <c r="AF719" s="48" t="str">
        <f t="shared" si="92"/>
        <v/>
      </c>
    </row>
    <row r="720" ht="66.75" customHeight="1">
      <c r="A720" s="49" t="s">
        <v>50</v>
      </c>
      <c r="B720" s="35" t="s">
        <v>3687</v>
      </c>
      <c r="C720" s="36" t="s">
        <v>3688</v>
      </c>
      <c r="D720" s="36"/>
      <c r="E720" s="36" t="s">
        <v>36</v>
      </c>
      <c r="F720" s="36" t="s">
        <v>37</v>
      </c>
      <c r="G720" s="35" t="s">
        <v>749</v>
      </c>
      <c r="H720" s="35" t="s">
        <v>3689</v>
      </c>
      <c r="I720" s="35" t="s">
        <v>3690</v>
      </c>
      <c r="J720" s="35"/>
      <c r="K720" s="37">
        <f>IFERROR(__xludf.DUMMYFUNCTION("query(assistance!$A$2:$E988,""Select C Where D = '""&amp;L720&amp;""'"")"),22.0)</f>
        <v>22</v>
      </c>
      <c r="L720" s="36" t="s">
        <v>1178</v>
      </c>
      <c r="M720" s="38">
        <f t="shared" si="91"/>
        <v>1</v>
      </c>
      <c r="N720" s="39" t="s">
        <v>42</v>
      </c>
      <c r="O720" s="57">
        <v>45941.0</v>
      </c>
      <c r="P720" s="35"/>
      <c r="Q720" s="35"/>
      <c r="R720" s="35" t="s">
        <v>3691</v>
      </c>
      <c r="S720" s="35" t="b">
        <v>0</v>
      </c>
      <c r="T720" s="35" t="b">
        <v>0</v>
      </c>
      <c r="U720" s="41" t="str">
        <f>IFERROR(__xludf.DUMMYFUNCTION("""["" &amp; JOIN("", "", ARRAYFORMULA("""""""" &amp; TRIM(SPLIT(A720, "","")) &amp; """""""")) &amp; ""]"""),"[""99999""]")</f>
        <v>["99999"]</v>
      </c>
      <c r="V720" s="42" t="s">
        <v>3692</v>
      </c>
      <c r="W720" s="42" t="s">
        <v>3693</v>
      </c>
      <c r="X720" s="43"/>
      <c r="Y720" s="44" t="str">
        <f>vlookup(G720,zip_codes!$B$6:$J988,3,false)</f>
        <v>Houston</v>
      </c>
      <c r="Z720" s="45" t="str">
        <f>vlookup(G720,zip_codes!$B$6:$J988,9,false)</f>
        <v>East Downtown, Downtown Houston, Houston Museum District, Midtown, Museum District, South Central Houston, South Side, Third Ward, University Place</v>
      </c>
      <c r="AA720" s="44" t="str">
        <f>vlookup(B720,organizations!$B$1:$C988,2,false)</f>
        <v>Salvation Army of Greater Houston</v>
      </c>
      <c r="AB720" s="55" t="s">
        <v>3694</v>
      </c>
      <c r="AC720" s="47" t="s">
        <v>3695</v>
      </c>
      <c r="AD720" s="48" t="s">
        <v>314</v>
      </c>
      <c r="AE720" s="48" t="str">
        <f t="shared" si="85"/>
        <v>Salvation Army - Young Adult Resource Center1621 McGowen Street22</v>
      </c>
      <c r="AF720" s="48" t="str">
        <f t="shared" si="92"/>
        <v/>
      </c>
    </row>
    <row r="721" ht="66.75" customHeight="1">
      <c r="A721" s="49" t="s">
        <v>50</v>
      </c>
      <c r="B721" s="35" t="s">
        <v>3696</v>
      </c>
      <c r="C721" s="36" t="s">
        <v>3697</v>
      </c>
      <c r="D721" s="36"/>
      <c r="E721" s="36" t="s">
        <v>36</v>
      </c>
      <c r="F721" s="36" t="s">
        <v>37</v>
      </c>
      <c r="G721" s="35" t="s">
        <v>270</v>
      </c>
      <c r="H721" s="35" t="s">
        <v>3689</v>
      </c>
      <c r="I721" s="35" t="s">
        <v>3698</v>
      </c>
      <c r="J721" s="35"/>
      <c r="K721" s="37">
        <f>IFERROR(__xludf.DUMMYFUNCTION("query(assistance!$A$2:$E988,""Select C Where D = '""&amp;L721&amp;""'"")"),11.0)</f>
        <v>11</v>
      </c>
      <c r="L721" s="36" t="s">
        <v>322</v>
      </c>
      <c r="M721" s="38">
        <f t="shared" si="91"/>
        <v>1</v>
      </c>
      <c r="N721" s="39" t="s">
        <v>42</v>
      </c>
      <c r="O721" s="57">
        <v>45916.0</v>
      </c>
      <c r="P721" s="35" t="s">
        <v>3699</v>
      </c>
      <c r="Q721" s="35"/>
      <c r="R721" s="35" t="s">
        <v>3700</v>
      </c>
      <c r="S721" s="35" t="b">
        <v>0</v>
      </c>
      <c r="T721" s="35" t="b">
        <v>0</v>
      </c>
      <c r="U721" s="41" t="str">
        <f>IFERROR(__xludf.DUMMYFUNCTION("""["" &amp; JOIN("", "", ARRAYFORMULA("""""""" &amp; TRIM(SPLIT(A721, "","")) &amp; """""""")) &amp; ""]"""),"[""99999""]")</f>
        <v>["99999"]</v>
      </c>
      <c r="V721" s="52" t="s">
        <v>3701</v>
      </c>
      <c r="W721" s="52" t="s">
        <v>3702</v>
      </c>
      <c r="X721" s="43"/>
      <c r="Y721" s="44" t="str">
        <f>vlookup(G721,zip_codes!$B$6:$J988,3,false)</f>
        <v>Houston</v>
      </c>
      <c r="Z721" s="45" t="str">
        <f>vlookup(G721,zip_codes!$B$6:$J988,9,false)</f>
        <v>Central Business District, Downtown Houston, East Downtown, South Central Houston, Theater District, University Place, Warehouse District</v>
      </c>
      <c r="AA721" s="44" t="str">
        <f>vlookup(B721,organizations!$B$1:$C988,2,false)</f>
        <v>Salvation Army of Greater Houston</v>
      </c>
      <c r="AB721" s="46" t="s">
        <v>3703</v>
      </c>
      <c r="AC721" s="47" t="s">
        <v>3704</v>
      </c>
      <c r="AD721" s="48" t="s">
        <v>279</v>
      </c>
      <c r="AE721" s="48" t="str">
        <f t="shared" si="85"/>
        <v>Salvation Army of Greater Houston1500 Austin Street11</v>
      </c>
      <c r="AF721" s="48" t="str">
        <f t="shared" si="92"/>
        <v/>
      </c>
    </row>
    <row r="722" ht="66.75" customHeight="1">
      <c r="A722" s="49" t="s">
        <v>50</v>
      </c>
      <c r="B722" s="35" t="s">
        <v>3696</v>
      </c>
      <c r="C722" s="36" t="s">
        <v>3697</v>
      </c>
      <c r="D722" s="36"/>
      <c r="E722" s="36" t="s">
        <v>36</v>
      </c>
      <c r="F722" s="36" t="s">
        <v>37</v>
      </c>
      <c r="G722" s="35" t="s">
        <v>270</v>
      </c>
      <c r="H722" s="35" t="s">
        <v>3689</v>
      </c>
      <c r="I722" s="35"/>
      <c r="J722" s="35"/>
      <c r="K722" s="37">
        <f>IFERROR(__xludf.DUMMYFUNCTION("query(assistance!$A$2:$E988,""Select C Where D = '""&amp;L722&amp;""'"")"),13.0)</f>
        <v>13</v>
      </c>
      <c r="L722" s="36" t="s">
        <v>240</v>
      </c>
      <c r="M722" s="38">
        <f t="shared" si="91"/>
        <v>1</v>
      </c>
      <c r="N722" s="51" t="s">
        <v>42</v>
      </c>
      <c r="O722" s="40">
        <v>45546.0</v>
      </c>
      <c r="P722" s="50"/>
      <c r="Q722" s="35"/>
      <c r="R722" s="35" t="s">
        <v>3705</v>
      </c>
      <c r="S722" s="35" t="b">
        <v>0</v>
      </c>
      <c r="T722" s="35" t="b">
        <v>0</v>
      </c>
      <c r="U722" s="41" t="str">
        <f>IFERROR(__xludf.DUMMYFUNCTION("""["" &amp; JOIN("", "", ARRAYFORMULA("""""""" &amp; TRIM(SPLIT(A722, "","")) &amp; """""""")) &amp; ""]"""),"[""99999""]")</f>
        <v>["99999"]</v>
      </c>
      <c r="V722" s="52" t="s">
        <v>3701</v>
      </c>
      <c r="W722" s="52" t="s">
        <v>3702</v>
      </c>
      <c r="X722" s="43"/>
      <c r="Y722" s="44" t="str">
        <f>vlookup(G722,zip_codes!$B$6:$J988,3,false)</f>
        <v>Houston</v>
      </c>
      <c r="Z722" s="45" t="str">
        <f>vlookup(G722,zip_codes!$B$6:$J988,9,false)</f>
        <v>Central Business District, Downtown Houston, East Downtown, South Central Houston, Theater District, University Place, Warehouse District</v>
      </c>
      <c r="AA722" s="44" t="str">
        <f>vlookup(B722,organizations!$B$1:$C988,2,false)</f>
        <v>Salvation Army of Greater Houston</v>
      </c>
      <c r="AB722" s="46" t="s">
        <v>3703</v>
      </c>
      <c r="AC722" s="53"/>
      <c r="AD722" s="48" t="s">
        <v>279</v>
      </c>
      <c r="AE722" s="48" t="str">
        <f t="shared" si="85"/>
        <v>Salvation Army of Greater Houston1500 Austin Street13</v>
      </c>
      <c r="AF722" s="48" t="str">
        <f t="shared" si="92"/>
        <v/>
      </c>
    </row>
    <row r="723" ht="66.75" customHeight="1">
      <c r="A723" s="49" t="s">
        <v>50</v>
      </c>
      <c r="B723" s="35" t="s">
        <v>3696</v>
      </c>
      <c r="C723" s="36" t="s">
        <v>3697</v>
      </c>
      <c r="D723" s="36"/>
      <c r="E723" s="36" t="s">
        <v>36</v>
      </c>
      <c r="F723" s="36" t="s">
        <v>37</v>
      </c>
      <c r="G723" s="35" t="s">
        <v>270</v>
      </c>
      <c r="H723" s="35" t="s">
        <v>3706</v>
      </c>
      <c r="I723" s="50"/>
      <c r="J723" s="64"/>
      <c r="K723" s="37">
        <f>IFERROR(__xludf.DUMMYFUNCTION("query(assistance!$A$2:$E988,""Select C Where D = '""&amp;L723&amp;""'"")"),64.0)</f>
        <v>64</v>
      </c>
      <c r="L723" s="36" t="s">
        <v>817</v>
      </c>
      <c r="M723" s="38">
        <f t="shared" si="91"/>
        <v>1</v>
      </c>
      <c r="N723" s="39" t="s">
        <v>42</v>
      </c>
      <c r="O723" s="65"/>
      <c r="P723" s="50"/>
      <c r="Q723" s="35"/>
      <c r="R723" s="35" t="s">
        <v>1450</v>
      </c>
      <c r="S723" s="35" t="b">
        <v>0</v>
      </c>
      <c r="T723" s="35" t="b">
        <v>0</v>
      </c>
      <c r="U723" s="41" t="str">
        <f>IFERROR(__xludf.DUMMYFUNCTION("""["" &amp; JOIN("", "", ARRAYFORMULA("""""""" &amp; TRIM(SPLIT(A723, "","")) &amp; """""""")) &amp; ""]"""),"[""99999""]")</f>
        <v>["99999"]</v>
      </c>
      <c r="V723" s="52" t="s">
        <v>3701</v>
      </c>
      <c r="W723" s="52" t="s">
        <v>3702</v>
      </c>
      <c r="X723" s="43"/>
      <c r="Y723" s="44" t="str">
        <f>vlookup(G723,zip_codes!$B$6:$J988,3,false)</f>
        <v>Houston</v>
      </c>
      <c r="Z723" s="45" t="str">
        <f>vlookup(G723,zip_codes!$B$6:$J988,9,false)</f>
        <v>Central Business District, Downtown Houston, East Downtown, South Central Houston, Theater District, University Place, Warehouse District</v>
      </c>
      <c r="AA723" s="44" t="str">
        <f>vlookup(B723,organizations!$B$1:$C988,2,false)</f>
        <v>Salvation Army of Greater Houston</v>
      </c>
      <c r="AB723" s="46" t="s">
        <v>3703</v>
      </c>
      <c r="AC723" s="53"/>
      <c r="AD723" s="48" t="s">
        <v>279</v>
      </c>
      <c r="AE723" s="48" t="str">
        <f t="shared" si="85"/>
        <v>Salvation Army of Greater Houston1500 Austin Street64</v>
      </c>
      <c r="AF723" s="48" t="str">
        <f t="shared" si="92"/>
        <v/>
      </c>
    </row>
    <row r="724" ht="66.75" customHeight="1">
      <c r="A724" s="49" t="s">
        <v>50</v>
      </c>
      <c r="B724" s="35" t="s">
        <v>3707</v>
      </c>
      <c r="C724" s="36" t="s">
        <v>1164</v>
      </c>
      <c r="D724" s="36"/>
      <c r="E724" s="36" t="s">
        <v>36</v>
      </c>
      <c r="F724" s="36" t="s">
        <v>37</v>
      </c>
      <c r="G724" s="35" t="s">
        <v>270</v>
      </c>
      <c r="H724" s="35" t="s">
        <v>3708</v>
      </c>
      <c r="I724" s="35" t="s">
        <v>3709</v>
      </c>
      <c r="J724" s="64"/>
      <c r="K724" s="37">
        <f>IFERROR(__xludf.DUMMYFUNCTION("query(assistance!$A$2:$E988,""Select C Where D = '""&amp;L724&amp;""'"")"),31.0)</f>
        <v>31</v>
      </c>
      <c r="L724" s="36" t="s">
        <v>90</v>
      </c>
      <c r="M724" s="38">
        <f t="shared" si="91"/>
        <v>1</v>
      </c>
      <c r="N724" s="51" t="s">
        <v>42</v>
      </c>
      <c r="O724" s="40">
        <v>45696.0</v>
      </c>
      <c r="P724" s="50"/>
      <c r="Q724" s="35"/>
      <c r="R724" s="35" t="s">
        <v>3710</v>
      </c>
      <c r="S724" s="35" t="b">
        <v>0</v>
      </c>
      <c r="T724" s="35" t="b">
        <v>0</v>
      </c>
      <c r="U724" s="41" t="str">
        <f>IFERROR(__xludf.DUMMYFUNCTION("""["" &amp; JOIN("", "", ARRAYFORMULA("""""""" &amp; TRIM(SPLIT(A724, "","")) &amp; """""""")) &amp; ""]"""),"[""99999""]")</f>
        <v>["99999"]</v>
      </c>
      <c r="V724" s="52" t="s">
        <v>3711</v>
      </c>
      <c r="W724" s="52" t="s">
        <v>3712</v>
      </c>
      <c r="X724" s="43"/>
      <c r="Y724" s="44" t="str">
        <f>vlookup(G724,zip_codes!$B$6:$J988,3,false)</f>
        <v>Houston</v>
      </c>
      <c r="Z724" s="45" t="str">
        <f>vlookup(G724,zip_codes!$B$6:$J988,9,false)</f>
        <v>Central Business District, Downtown Houston, East Downtown, South Central Houston, Theater District, University Place, Warehouse District</v>
      </c>
      <c r="AA724" s="44" t="str">
        <f>vlookup(B724,organizations!$B$1:$C988,2,false)</f>
        <v>San Jose Clinic</v>
      </c>
      <c r="AB724" s="46" t="s">
        <v>3713</v>
      </c>
      <c r="AC724" s="47" t="s">
        <v>3714</v>
      </c>
      <c r="AD724" s="48" t="s">
        <v>314</v>
      </c>
      <c r="AE724" s="48" t="str">
        <f t="shared" si="85"/>
        <v>San Jose Clinic2615 Fannin Street31</v>
      </c>
      <c r="AF724" s="48" t="str">
        <f t="shared" si="92"/>
        <v/>
      </c>
    </row>
    <row r="725" ht="66.75" customHeight="1">
      <c r="A725" s="49" t="s">
        <v>50</v>
      </c>
      <c r="B725" s="35" t="s">
        <v>3707</v>
      </c>
      <c r="C725" s="36" t="s">
        <v>1164</v>
      </c>
      <c r="D725" s="36"/>
      <c r="E725" s="36" t="s">
        <v>36</v>
      </c>
      <c r="F725" s="36" t="s">
        <v>37</v>
      </c>
      <c r="G725" s="35" t="s">
        <v>270</v>
      </c>
      <c r="H725" s="35" t="s">
        <v>3708</v>
      </c>
      <c r="I725" s="35" t="s">
        <v>3709</v>
      </c>
      <c r="J725" s="64"/>
      <c r="K725" s="37">
        <f>IFERROR(__xludf.DUMMYFUNCTION("query(assistance!$A$2:$E988,""Select C Where D = '""&amp;L725&amp;""'"")"),32.0)</f>
        <v>32</v>
      </c>
      <c r="L725" s="36" t="s">
        <v>208</v>
      </c>
      <c r="M725" s="38">
        <f t="shared" si="91"/>
        <v>1</v>
      </c>
      <c r="N725" s="51" t="s">
        <v>42</v>
      </c>
      <c r="O725" s="40">
        <v>46049.0</v>
      </c>
      <c r="P725" s="35" t="s">
        <v>43</v>
      </c>
      <c r="Q725" s="35"/>
      <c r="R725" s="35" t="s">
        <v>3715</v>
      </c>
      <c r="S725" s="35" t="b">
        <v>1</v>
      </c>
      <c r="T725" s="35" t="b">
        <v>0</v>
      </c>
      <c r="U725" s="41" t="str">
        <f>IFERROR(__xludf.DUMMYFUNCTION("""["" &amp; JOIN("", "", ARRAYFORMULA("""""""" &amp; TRIM(SPLIT(A725, "","")) &amp; """""""")) &amp; ""]"""),"[""99999""]")</f>
        <v>["99999"]</v>
      </c>
      <c r="V725" s="52" t="s">
        <v>3711</v>
      </c>
      <c r="W725" s="52" t="s">
        <v>3712</v>
      </c>
      <c r="X725" s="43"/>
      <c r="Y725" s="44" t="str">
        <f>vlookup(G725,zip_codes!$B$6:$J988,3,false)</f>
        <v>Houston</v>
      </c>
      <c r="Z725" s="45" t="str">
        <f>vlookup(G725,zip_codes!$B$6:$J988,9,false)</f>
        <v>Central Business District, Downtown Houston, East Downtown, South Central Houston, Theater District, University Place, Warehouse District</v>
      </c>
      <c r="AA725" s="44" t="str">
        <f>vlookup(B725,organizations!$B$1:$C988,2,false)</f>
        <v>San Jose Clinic</v>
      </c>
      <c r="AB725" s="46" t="s">
        <v>3713</v>
      </c>
      <c r="AC725" s="47" t="s">
        <v>3714</v>
      </c>
      <c r="AD725" s="48" t="s">
        <v>314</v>
      </c>
      <c r="AE725" s="48" t="str">
        <f t="shared" si="85"/>
        <v>San Jose Clinic2615 Fannin Street32</v>
      </c>
      <c r="AF725" s="48" t="str">
        <f t="shared" si="92"/>
        <v/>
      </c>
    </row>
    <row r="726" ht="66.75" customHeight="1">
      <c r="A726" s="49" t="s">
        <v>50</v>
      </c>
      <c r="B726" s="35" t="s">
        <v>3716</v>
      </c>
      <c r="C726" s="36" t="s">
        <v>3717</v>
      </c>
      <c r="D726" s="36"/>
      <c r="E726" s="36" t="s">
        <v>36</v>
      </c>
      <c r="F726" s="36" t="s">
        <v>37</v>
      </c>
      <c r="G726" s="35" t="s">
        <v>1737</v>
      </c>
      <c r="H726" s="35" t="s">
        <v>3718</v>
      </c>
      <c r="I726" s="35" t="s">
        <v>67</v>
      </c>
      <c r="J726" s="35"/>
      <c r="K726" s="37">
        <f>IFERROR(__xludf.DUMMYFUNCTION("query(assistance!$A$2:$E988,""Select C Where D = '""&amp;L726&amp;""'"")"),34.0)</f>
        <v>34</v>
      </c>
      <c r="L726" s="36" t="s">
        <v>260</v>
      </c>
      <c r="M726" s="38">
        <f t="shared" si="91"/>
        <v>1</v>
      </c>
      <c r="N726" s="51" t="s">
        <v>42</v>
      </c>
      <c r="O726" s="40">
        <v>45941.0</v>
      </c>
      <c r="P726" s="35" t="s">
        <v>43</v>
      </c>
      <c r="Q726" s="35"/>
      <c r="R726" s="35" t="s">
        <v>3719</v>
      </c>
      <c r="S726" s="35" t="b">
        <v>0</v>
      </c>
      <c r="T726" s="35" t="b">
        <v>0</v>
      </c>
      <c r="U726" s="41" t="str">
        <f>IFERROR(__xludf.DUMMYFUNCTION("""["" &amp; JOIN("", "", ARRAYFORMULA("""""""" &amp; TRIM(SPLIT(A726, "","")) &amp; """""""")) &amp; ""]"""),"[""99999""]")</f>
        <v>["99999"]</v>
      </c>
      <c r="V726" s="52" t="s">
        <v>3720</v>
      </c>
      <c r="W726" s="52" t="s">
        <v>3721</v>
      </c>
      <c r="X726" s="43"/>
      <c r="Y726" s="44" t="str">
        <f>vlookup(G726,zip_codes!$B$6:$J988,3,false)</f>
        <v>Houston</v>
      </c>
      <c r="Z726" s="45" t="str">
        <f>vlookup(G726,zip_codes!$B$6:$J988,9,false)</f>
        <v>Eastex, Jensen, Northeast Houston</v>
      </c>
      <c r="AA726" s="44" t="str">
        <f>vlookup(B726,organizations!$B$1:$C988,2,false)</f>
        <v>Santa Maria</v>
      </c>
      <c r="AB726" s="46" t="s">
        <v>3722</v>
      </c>
      <c r="AC726" s="47" t="s">
        <v>73</v>
      </c>
      <c r="AD726" s="48" t="s">
        <v>1216</v>
      </c>
      <c r="AE726" s="48" t="str">
        <f t="shared" si="85"/>
        <v>Santa Maria - Bonita House2605 Parker Road34</v>
      </c>
      <c r="AF726" s="48" t="str">
        <f t="shared" si="92"/>
        <v/>
      </c>
    </row>
    <row r="727" ht="66.75" customHeight="1">
      <c r="A727" s="49" t="s">
        <v>50</v>
      </c>
      <c r="B727" s="35" t="s">
        <v>3723</v>
      </c>
      <c r="C727" s="36" t="s">
        <v>3724</v>
      </c>
      <c r="D727" s="36"/>
      <c r="E727" s="36" t="s">
        <v>36</v>
      </c>
      <c r="F727" s="36" t="s">
        <v>37</v>
      </c>
      <c r="G727" s="35" t="s">
        <v>2102</v>
      </c>
      <c r="H727" s="35" t="s">
        <v>3718</v>
      </c>
      <c r="I727" s="35" t="s">
        <v>67</v>
      </c>
      <c r="J727" s="35"/>
      <c r="K727" s="37">
        <f>IFERROR(__xludf.DUMMYFUNCTION("query(assistance!$A$2:$E988,""Select C Where D = '""&amp;L727&amp;""'"")"),34.0)</f>
        <v>34</v>
      </c>
      <c r="L727" s="36" t="s">
        <v>260</v>
      </c>
      <c r="M727" s="38">
        <f t="shared" si="91"/>
        <v>1</v>
      </c>
      <c r="N727" s="51" t="s">
        <v>42</v>
      </c>
      <c r="O727" s="40">
        <v>45941.0</v>
      </c>
      <c r="P727" s="35" t="s">
        <v>43</v>
      </c>
      <c r="Q727" s="35"/>
      <c r="R727" s="35" t="s">
        <v>3719</v>
      </c>
      <c r="S727" s="35" t="b">
        <v>0</v>
      </c>
      <c r="T727" s="35" t="b">
        <v>0</v>
      </c>
      <c r="U727" s="41" t="str">
        <f>IFERROR(__xludf.DUMMYFUNCTION("""["" &amp; JOIN("", "", ARRAYFORMULA("""""""" &amp; TRIM(SPLIT(A727, "","")) &amp; """""""")) &amp; ""]"""),"[""99999""]")</f>
        <v>["99999"]</v>
      </c>
      <c r="V727" s="52" t="s">
        <v>3720</v>
      </c>
      <c r="W727" s="42" t="s">
        <v>3725</v>
      </c>
      <c r="X727" s="43"/>
      <c r="Y727" s="44" t="str">
        <f>vlookup(G727,zip_codes!$B$6:$J988,3,false)</f>
        <v>Houston</v>
      </c>
      <c r="Z727" s="45" t="str">
        <f>vlookup(G727,zip_codes!$B$6:$J988,9,false)</f>
        <v>Lindale Park, Near Northside, Northside, Woodland Heights</v>
      </c>
      <c r="AA727" s="44" t="str">
        <f>vlookup(B727,organizations!$B$1:$C988,2,false)</f>
        <v>Santa Maria</v>
      </c>
      <c r="AB727" s="55" t="s">
        <v>3726</v>
      </c>
      <c r="AC727" s="47" t="s">
        <v>73</v>
      </c>
      <c r="AD727" s="48" t="s">
        <v>356</v>
      </c>
      <c r="AE727" s="48" t="str">
        <f t="shared" si="85"/>
        <v>Santa Maria - Women's Recovery807 Paschall Street34</v>
      </c>
      <c r="AF727" s="48" t="str">
        <f t="shared" si="92"/>
        <v/>
      </c>
    </row>
    <row r="728" ht="66.75" customHeight="1">
      <c r="A728" s="49" t="s">
        <v>50</v>
      </c>
      <c r="B728" s="35" t="s">
        <v>3727</v>
      </c>
      <c r="C728" s="36" t="s">
        <v>3728</v>
      </c>
      <c r="D728" s="36"/>
      <c r="E728" s="36" t="s">
        <v>729</v>
      </c>
      <c r="F728" s="36" t="s">
        <v>37</v>
      </c>
      <c r="G728" s="35" t="s">
        <v>3429</v>
      </c>
      <c r="H728" s="35" t="s">
        <v>3729</v>
      </c>
      <c r="I728" s="35" t="s">
        <v>67</v>
      </c>
      <c r="J728" s="35"/>
      <c r="K728" s="37">
        <f>IFERROR(__xludf.DUMMYFUNCTION("query(assistance!$A$2:$E988,""Select C Where D = '""&amp;L728&amp;""'"")"),21.0)</f>
        <v>21</v>
      </c>
      <c r="L728" s="36" t="s">
        <v>777</v>
      </c>
      <c r="M728" s="38">
        <f t="shared" si="91"/>
        <v>1</v>
      </c>
      <c r="N728" s="51" t="s">
        <v>42</v>
      </c>
      <c r="O728" s="40">
        <v>45941.0</v>
      </c>
      <c r="P728" s="35" t="s">
        <v>43</v>
      </c>
      <c r="Q728" s="35"/>
      <c r="R728" s="35" t="s">
        <v>3730</v>
      </c>
      <c r="S728" s="35" t="b">
        <v>0</v>
      </c>
      <c r="T728" s="35" t="b">
        <v>0</v>
      </c>
      <c r="U728" s="41" t="str">
        <f>IFERROR(__xludf.DUMMYFUNCTION("""["" &amp; JOIN("", "", ARRAYFORMULA("""""""" &amp; TRIM(SPLIT(A728, "","")) &amp; """""""")) &amp; ""]"""),"[""99999""]")</f>
        <v>["99999"]</v>
      </c>
      <c r="V728" s="42" t="s">
        <v>3731</v>
      </c>
      <c r="W728" s="42" t="s">
        <v>3732</v>
      </c>
      <c r="X728" s="43"/>
      <c r="Y728" s="44" t="str">
        <f>vlookup(G728,zip_codes!$B$6:$J988,3,false)</f>
        <v>Pasadena</v>
      </c>
      <c r="Z728" s="45" t="str">
        <f>vlookup(G728,zip_codes!$B$6:$J988,9,false)</f>
        <v>Pasadena (Southmore), Queens Knoll</v>
      </c>
      <c r="AA728" s="44" t="str">
        <f>vlookup(B728,organizations!$B$1:$C988,2,false)</f>
        <v>Sarah's House</v>
      </c>
      <c r="AB728" s="55" t="s">
        <v>3733</v>
      </c>
      <c r="AC728" s="47" t="s">
        <v>73</v>
      </c>
      <c r="AD728" s="48" t="s">
        <v>729</v>
      </c>
      <c r="AE728" s="48" t="str">
        <f t="shared" si="85"/>
        <v>Sarah's House711 Perla Road21</v>
      </c>
      <c r="AF728" s="48" t="str">
        <f t="shared" si="92"/>
        <v/>
      </c>
    </row>
    <row r="729" ht="66.75" customHeight="1">
      <c r="A729" s="49" t="s">
        <v>50</v>
      </c>
      <c r="B729" s="35" t="s">
        <v>3734</v>
      </c>
      <c r="C729" s="36" t="s">
        <v>3735</v>
      </c>
      <c r="D729" s="36"/>
      <c r="E729" s="36" t="s">
        <v>36</v>
      </c>
      <c r="F729" s="36" t="s">
        <v>37</v>
      </c>
      <c r="G729" s="35" t="s">
        <v>270</v>
      </c>
      <c r="H729" s="35" t="s">
        <v>3736</v>
      </c>
      <c r="I729" s="35" t="s">
        <v>3737</v>
      </c>
      <c r="J729" s="35"/>
      <c r="K729" s="37">
        <f>IFERROR(__xludf.DUMMYFUNCTION("query(assistance!$A$2:$E988,""Select C Where D = '""&amp;L729&amp;""'"")"),24.0)</f>
        <v>24</v>
      </c>
      <c r="L729" s="36" t="s">
        <v>405</v>
      </c>
      <c r="M729" s="38">
        <f t="shared" si="91"/>
        <v>1</v>
      </c>
      <c r="N729" s="39" t="s">
        <v>42</v>
      </c>
      <c r="O729" s="73"/>
      <c r="P729" s="35"/>
      <c r="Q729" s="50"/>
      <c r="R729" s="50"/>
      <c r="S729" s="35" t="b">
        <v>0</v>
      </c>
      <c r="T729" s="35" t="b">
        <v>0</v>
      </c>
      <c r="U729" s="41" t="str">
        <f>IFERROR(__xludf.DUMMYFUNCTION("""["" &amp; JOIN("", "", ARRAYFORMULA("""""""" &amp; TRIM(SPLIT(A729, "","")) &amp; """""""")) &amp; ""]"""),"[""99999""]")</f>
        <v>["99999"]</v>
      </c>
      <c r="V729" s="52" t="s">
        <v>3738</v>
      </c>
      <c r="W729" s="42" t="s">
        <v>3739</v>
      </c>
      <c r="X729" s="43"/>
      <c r="Y729" s="44" t="str">
        <f>vlookup(G729,zip_codes!$B$6:$J988,3,false)</f>
        <v>Houston</v>
      </c>
      <c r="Z729" s="45" t="str">
        <f>vlookup(G729,zip_codes!$B$6:$J988,9,false)</f>
        <v>Central Business District, Downtown Houston, East Downtown, South Central Houston, Theater District, University Place, Warehouse District</v>
      </c>
      <c r="AA729" s="44" t="str">
        <f>vlookup(B729,organizations!$B$1:$C988,2,false)</f>
        <v>Search Homeless Services</v>
      </c>
      <c r="AB729" s="46" t="s">
        <v>3740</v>
      </c>
      <c r="AC729" s="47" t="s">
        <v>1107</v>
      </c>
      <c r="AD729" s="48" t="s">
        <v>2968</v>
      </c>
      <c r="AE729" s="48" t="str">
        <f t="shared" si="85"/>
        <v>Search Homeless Services2015 Congress Street24</v>
      </c>
      <c r="AF729" s="48" t="str">
        <f t="shared" si="92"/>
        <v/>
      </c>
    </row>
    <row r="730" ht="66.75" customHeight="1">
      <c r="A730" s="49" t="s">
        <v>201</v>
      </c>
      <c r="B730" s="35" t="s">
        <v>3741</v>
      </c>
      <c r="C730" s="36" t="s">
        <v>192</v>
      </c>
      <c r="D730" s="36" t="s">
        <v>2761</v>
      </c>
      <c r="E730" s="36" t="s">
        <v>129</v>
      </c>
      <c r="F730" s="36" t="s">
        <v>37</v>
      </c>
      <c r="G730" s="35" t="s">
        <v>158</v>
      </c>
      <c r="H730" s="35" t="s">
        <v>3742</v>
      </c>
      <c r="I730" s="35" t="s">
        <v>3743</v>
      </c>
      <c r="J730" s="35" t="s">
        <v>89</v>
      </c>
      <c r="K730" s="37">
        <f>IFERROR(__xludf.DUMMYFUNCTION("query(assistance!$A$2:$E988,""Select C Where D = '""&amp;L730&amp;""'"")"),13.0)</f>
        <v>13</v>
      </c>
      <c r="L730" s="36" t="s">
        <v>240</v>
      </c>
      <c r="M730" s="38">
        <f t="shared" si="91"/>
        <v>1</v>
      </c>
      <c r="N730" s="39" t="s">
        <v>42</v>
      </c>
      <c r="O730" s="57">
        <v>46022.0</v>
      </c>
      <c r="P730" s="35" t="s">
        <v>43</v>
      </c>
      <c r="Q730" s="35"/>
      <c r="R730" s="35" t="s">
        <v>3744</v>
      </c>
      <c r="S730" s="35" t="b">
        <v>0</v>
      </c>
      <c r="T730" s="35" t="b">
        <v>0</v>
      </c>
      <c r="U730" s="41" t="str">
        <f>IFERROR(__xludf.DUMMYFUNCTION("""["" &amp; JOIN("", "", ARRAYFORMULA("""""""" &amp; TRIM(SPLIT(A730, "","")) &amp; """""""")) &amp; ""]"""),"[""77477""]")</f>
        <v>["77477"]</v>
      </c>
      <c r="V730" s="42" t="s">
        <v>3745</v>
      </c>
      <c r="W730" s="52" t="s">
        <v>3746</v>
      </c>
      <c r="X730" s="43"/>
      <c r="Y730" s="44" t="str">
        <f>vlookup(G730,zip_codes!$B$6:$J988,3,false)</f>
        <v>Missouri City</v>
      </c>
      <c r="Z730" s="45" t="str">
        <f>vlookup(G730,zip_codes!$B$6:$J988,9,false)</f>
        <v>Missouri City, Olde Missouri City Market Place, Quail Green South, Quail Valley, Sta-mo Annex</v>
      </c>
      <c r="AA730" s="44" t="str">
        <f>vlookup(B730,organizations!$B$1:$C988,2,false)</f>
        <v>Second Mile</v>
      </c>
      <c r="AB730" s="46" t="s">
        <v>195</v>
      </c>
      <c r="AC730" s="47" t="s">
        <v>3747</v>
      </c>
      <c r="AD730" s="48" t="s">
        <v>129</v>
      </c>
      <c r="AE730" s="48" t="str">
        <f t="shared" si="85"/>
        <v>Second Mile1135 Hwy 90 Alt13</v>
      </c>
      <c r="AF730" s="48" t="str">
        <f t="shared" si="92"/>
        <v/>
      </c>
    </row>
    <row r="731" ht="66.75" customHeight="1">
      <c r="A731" s="49" t="s">
        <v>201</v>
      </c>
      <c r="B731" s="35" t="s">
        <v>3741</v>
      </c>
      <c r="C731" s="36" t="s">
        <v>192</v>
      </c>
      <c r="D731" s="36" t="s">
        <v>2761</v>
      </c>
      <c r="E731" s="36" t="s">
        <v>129</v>
      </c>
      <c r="F731" s="36" t="s">
        <v>37</v>
      </c>
      <c r="G731" s="35" t="s">
        <v>158</v>
      </c>
      <c r="H731" s="35" t="s">
        <v>3742</v>
      </c>
      <c r="I731" s="35" t="s">
        <v>3743</v>
      </c>
      <c r="J731" s="35"/>
      <c r="K731" s="37">
        <f>IFERROR(__xludf.DUMMYFUNCTION("query(assistance!$A$2:$E988,""Select C Where D = '""&amp;L731&amp;""'"")"),51.0)</f>
        <v>51</v>
      </c>
      <c r="L731" s="36" t="s">
        <v>468</v>
      </c>
      <c r="M731" s="38">
        <f t="shared" si="91"/>
        <v>1</v>
      </c>
      <c r="N731" s="39" t="s">
        <v>42</v>
      </c>
      <c r="O731" s="57">
        <v>46022.0</v>
      </c>
      <c r="P731" s="35" t="s">
        <v>43</v>
      </c>
      <c r="Q731" s="35"/>
      <c r="R731" s="35" t="s">
        <v>3748</v>
      </c>
      <c r="S731" s="35" t="b">
        <v>0</v>
      </c>
      <c r="T731" s="35" t="b">
        <v>0</v>
      </c>
      <c r="U731" s="41" t="str">
        <f>IFERROR(__xludf.DUMMYFUNCTION("""["" &amp; JOIN("", "", ARRAYFORMULA("""""""" &amp; TRIM(SPLIT(A731, "","")) &amp; """""""")) &amp; ""]"""),"[""77477""]")</f>
        <v>["77477"]</v>
      </c>
      <c r="V731" s="42" t="s">
        <v>3749</v>
      </c>
      <c r="W731" s="52" t="s">
        <v>3746</v>
      </c>
      <c r="X731" s="43"/>
      <c r="Y731" s="44" t="str">
        <f>vlookup(G731,zip_codes!$B$6:$J988,3,false)</f>
        <v>Missouri City</v>
      </c>
      <c r="Z731" s="45" t="str">
        <f>vlookup(G731,zip_codes!$B$6:$J988,9,false)</f>
        <v>Missouri City, Olde Missouri City Market Place, Quail Green South, Quail Valley, Sta-mo Annex</v>
      </c>
      <c r="AA731" s="44" t="str">
        <f>vlookup(B731,organizations!$B$1:$C988,2,false)</f>
        <v>Second Mile</v>
      </c>
      <c r="AB731" s="46" t="s">
        <v>195</v>
      </c>
      <c r="AC731" s="47" t="s">
        <v>3747</v>
      </c>
      <c r="AD731" s="48" t="s">
        <v>129</v>
      </c>
      <c r="AE731" s="48" t="str">
        <f t="shared" si="85"/>
        <v>Second Mile1135 Hwy 90 Alt51</v>
      </c>
      <c r="AF731" s="48" t="str">
        <f t="shared" si="92"/>
        <v/>
      </c>
    </row>
    <row r="732" ht="66.75" customHeight="1">
      <c r="A732" s="49" t="s">
        <v>50</v>
      </c>
      <c r="B732" s="35" t="s">
        <v>3750</v>
      </c>
      <c r="C732" s="36" t="s">
        <v>3751</v>
      </c>
      <c r="D732" s="36"/>
      <c r="E732" s="36" t="s">
        <v>36</v>
      </c>
      <c r="F732" s="36" t="s">
        <v>37</v>
      </c>
      <c r="G732" s="35" t="s">
        <v>77</v>
      </c>
      <c r="H732" s="35" t="s">
        <v>3752</v>
      </c>
      <c r="I732" s="35" t="s">
        <v>272</v>
      </c>
      <c r="J732" s="35"/>
      <c r="K732" s="37">
        <f>IFERROR(__xludf.DUMMYFUNCTION("query(assistance!$A$2:$E988,""Select C Where D = '""&amp;L732&amp;""'"")"),52.0)</f>
        <v>52</v>
      </c>
      <c r="L732" s="36" t="s">
        <v>336</v>
      </c>
      <c r="M732" s="38">
        <f t="shared" si="91"/>
        <v>1</v>
      </c>
      <c r="N732" s="39" t="s">
        <v>42</v>
      </c>
      <c r="O732" s="57">
        <v>45835.0</v>
      </c>
      <c r="P732" s="35" t="s">
        <v>43</v>
      </c>
      <c r="Q732" s="35"/>
      <c r="R732" s="35" t="s">
        <v>3753</v>
      </c>
      <c r="S732" s="35" t="b">
        <v>0</v>
      </c>
      <c r="T732" s="35" t="b">
        <v>0</v>
      </c>
      <c r="U732" s="41" t="str">
        <f>IFERROR(__xludf.DUMMYFUNCTION("""["" &amp; JOIN("", "", ARRAYFORMULA("""""""" &amp; TRIM(SPLIT(A732, "","")) &amp; """""""")) &amp; ""]"""),"[""99999""]")</f>
        <v>["99999"]</v>
      </c>
      <c r="V732" s="42" t="s">
        <v>3754</v>
      </c>
      <c r="W732" s="42" t="s">
        <v>3755</v>
      </c>
      <c r="X732" s="43"/>
      <c r="Y732" s="44" t="str">
        <f>vlookup(G732,zip_codes!$B$6:$J988,3,false)</f>
        <v>Houston</v>
      </c>
      <c r="Z732" s="45" t="str">
        <f>vlookup(G732,zip_codes!$B$6:$J988,9,false)</f>
        <v>Eastwood, Gulfgate Riverview / Pine Valley, Idylwood, Lawndale / Wayside, Magnolia Park, South Central Houston</v>
      </c>
      <c r="AA732" s="44" t="str">
        <f>vlookup(B732,organizations!$B$1:$C988,2,false)</f>
        <v>SERJobs Houston</v>
      </c>
      <c r="AB732" s="46" t="s">
        <v>3756</v>
      </c>
      <c r="AC732" s="47" t="s">
        <v>278</v>
      </c>
      <c r="AD732" s="48" t="s">
        <v>81</v>
      </c>
      <c r="AE732" s="48" t="str">
        <f t="shared" si="85"/>
        <v>SERJobs Houston1710 Telephone Road52</v>
      </c>
      <c r="AF732" s="48" t="str">
        <f t="shared" si="92"/>
        <v/>
      </c>
    </row>
    <row r="733" ht="66.75" customHeight="1">
      <c r="A733" s="71" t="s">
        <v>266</v>
      </c>
      <c r="B733" s="35" t="s">
        <v>3757</v>
      </c>
      <c r="C733" s="36" t="s">
        <v>3758</v>
      </c>
      <c r="D733" s="36"/>
      <c r="E733" s="36" t="s">
        <v>36</v>
      </c>
      <c r="F733" s="36" t="s">
        <v>37</v>
      </c>
      <c r="G733" s="56" t="s">
        <v>3759</v>
      </c>
      <c r="H733" s="35" t="s">
        <v>422</v>
      </c>
      <c r="I733" s="35" t="s">
        <v>430</v>
      </c>
      <c r="J733" s="35" t="s">
        <v>298</v>
      </c>
      <c r="K733" s="37">
        <f>IFERROR(__xludf.DUMMYFUNCTION("query(assistance!$A$2:$E988,""Select C Where D = '""&amp;L733&amp;""'"")"),31.0)</f>
        <v>31</v>
      </c>
      <c r="L733" s="36" t="s">
        <v>90</v>
      </c>
      <c r="M733" s="38">
        <f t="shared" si="91"/>
        <v>1</v>
      </c>
      <c r="N733" s="39" t="s">
        <v>42</v>
      </c>
      <c r="O733" s="57">
        <v>46050.0</v>
      </c>
      <c r="P733" s="35" t="s">
        <v>43</v>
      </c>
      <c r="Q733" s="35"/>
      <c r="R733" s="35" t="s">
        <v>431</v>
      </c>
      <c r="S733" s="35" t="b">
        <v>0</v>
      </c>
      <c r="T733" s="35" t="b">
        <v>0</v>
      </c>
      <c r="U733" s="41" t="str">
        <f>IFERROR(__xludf.DUMMYFUNCTION("""["" &amp; JOIN("", "", ARRAYFORMULA("""""""" &amp; TRIM(SPLIT(A733,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33" s="42" t="s">
        <v>432</v>
      </c>
      <c r="W733" s="42" t="s">
        <v>3760</v>
      </c>
      <c r="X733" s="43"/>
      <c r="Y733" s="44" t="str">
        <f>vlookup(G733,zip_codes!$B$6:$J988,3,false)</f>
        <v>Houston</v>
      </c>
      <c r="Z733" s="45" t="str">
        <f>vlookup(G733,zip_codes!$B$6:$J988,9,false)</f>
        <v>Houmont Park, Lake Houston, Summerwood</v>
      </c>
      <c r="AA733" s="44" t="str">
        <f>vlookup(B733,organizations!$B$1:$C988,2,false)</f>
        <v>Harris County Public Health</v>
      </c>
      <c r="AB733" s="55" t="s">
        <v>3761</v>
      </c>
      <c r="AC733" s="47" t="s">
        <v>433</v>
      </c>
      <c r="AD733" s="58" t="s">
        <v>3762</v>
      </c>
      <c r="AE733" s="48" t="str">
        <f t="shared" si="85"/>
        <v>Sheldon Health Hub8530 C.E. King Pkwy31</v>
      </c>
      <c r="AF733" s="48" t="str">
        <f t="shared" si="92"/>
        <v/>
      </c>
    </row>
    <row r="734" ht="66.75" customHeight="1">
      <c r="A734" s="71" t="s">
        <v>266</v>
      </c>
      <c r="B734" s="35" t="s">
        <v>3757</v>
      </c>
      <c r="C734" s="36" t="s">
        <v>3758</v>
      </c>
      <c r="D734" s="36"/>
      <c r="E734" s="36" t="s">
        <v>36</v>
      </c>
      <c r="F734" s="36" t="s">
        <v>37</v>
      </c>
      <c r="G734" s="56" t="s">
        <v>3759</v>
      </c>
      <c r="H734" s="35" t="s">
        <v>434</v>
      </c>
      <c r="I734" s="35" t="s">
        <v>272</v>
      </c>
      <c r="J734" s="35" t="s">
        <v>298</v>
      </c>
      <c r="K734" s="37">
        <f>IFERROR(__xludf.DUMMYFUNCTION("query(assistance!$A$2:$E988,""Select C Where D = '""&amp;L734&amp;""'"")"),33.0)</f>
        <v>33</v>
      </c>
      <c r="L734" s="36" t="s">
        <v>333</v>
      </c>
      <c r="M734" s="38">
        <f t="shared" si="91"/>
        <v>1</v>
      </c>
      <c r="N734" s="39" t="s">
        <v>42</v>
      </c>
      <c r="O734" s="57">
        <v>46050.0</v>
      </c>
      <c r="P734" s="35" t="s">
        <v>43</v>
      </c>
      <c r="Q734" s="35"/>
      <c r="R734" s="35" t="s">
        <v>435</v>
      </c>
      <c r="S734" s="35" t="b">
        <v>0</v>
      </c>
      <c r="T734" s="35" t="b">
        <v>0</v>
      </c>
      <c r="U734" s="41" t="str">
        <f>IFERROR(__xludf.DUMMYFUNCTION("""["" &amp; JOIN("", "", ARRAYFORMULA("""""""" &amp; TRIM(SPLIT(A734,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34" s="42" t="s">
        <v>2588</v>
      </c>
      <c r="W734" s="42" t="s">
        <v>3760</v>
      </c>
      <c r="X734" s="43"/>
      <c r="Y734" s="44" t="str">
        <f>vlookup(G734,zip_codes!$B$6:$J988,3,false)</f>
        <v>Houston</v>
      </c>
      <c r="Z734" s="45" t="str">
        <f>vlookup(G734,zip_codes!$B$6:$J988,9,false)</f>
        <v>Houmont Park, Lake Houston, Summerwood</v>
      </c>
      <c r="AA734" s="44" t="str">
        <f>vlookup(B734,organizations!$B$1:$C988,2,false)</f>
        <v>Harris County Public Health</v>
      </c>
      <c r="AB734" s="55" t="s">
        <v>3761</v>
      </c>
      <c r="AC734" s="47" t="s">
        <v>278</v>
      </c>
      <c r="AD734" s="58" t="s">
        <v>3762</v>
      </c>
      <c r="AE734" s="48" t="str">
        <f t="shared" si="85"/>
        <v>Sheldon Health Hub8530 C.E. King Pkwy33</v>
      </c>
      <c r="AF734" s="48" t="str">
        <f t="shared" si="92"/>
        <v/>
      </c>
    </row>
    <row r="735" ht="66.75" customHeight="1">
      <c r="A735" s="71" t="s">
        <v>266</v>
      </c>
      <c r="B735" s="35" t="s">
        <v>3757</v>
      </c>
      <c r="C735" s="36" t="s">
        <v>3758</v>
      </c>
      <c r="D735" s="36"/>
      <c r="E735" s="36" t="s">
        <v>36</v>
      </c>
      <c r="F735" s="36" t="s">
        <v>37</v>
      </c>
      <c r="G735" s="56" t="s">
        <v>3759</v>
      </c>
      <c r="H735" s="35" t="s">
        <v>434</v>
      </c>
      <c r="I735" s="35" t="s">
        <v>272</v>
      </c>
      <c r="J735" s="35" t="s">
        <v>298</v>
      </c>
      <c r="K735" s="37">
        <f>IFERROR(__xludf.DUMMYFUNCTION("query(assistance!$A$2:$E988,""Select C Where D = '""&amp;L735&amp;""'"")"),55.0)</f>
        <v>55</v>
      </c>
      <c r="L735" s="36" t="s">
        <v>436</v>
      </c>
      <c r="M735" s="38">
        <f t="shared" si="91"/>
        <v>1</v>
      </c>
      <c r="N735" s="39" t="s">
        <v>42</v>
      </c>
      <c r="O735" s="57">
        <v>46050.0</v>
      </c>
      <c r="P735" s="35" t="s">
        <v>43</v>
      </c>
      <c r="Q735" s="35"/>
      <c r="R735" s="35" t="s">
        <v>437</v>
      </c>
      <c r="S735" s="35" t="b">
        <v>0</v>
      </c>
      <c r="T735" s="35" t="b">
        <v>0</v>
      </c>
      <c r="U735" s="41" t="str">
        <f>IFERROR(__xludf.DUMMYFUNCTION("""["" &amp; JOIN("", "", ARRAYFORMULA("""""""" &amp; TRIM(SPLIT(A735,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35" s="42" t="s">
        <v>438</v>
      </c>
      <c r="W735" s="42" t="s">
        <v>3760</v>
      </c>
      <c r="X735" s="43"/>
      <c r="Y735" s="44" t="str">
        <f>vlookup(G735,zip_codes!$B$6:$J988,3,false)</f>
        <v>Houston</v>
      </c>
      <c r="Z735" s="45" t="str">
        <f>vlookup(G735,zip_codes!$B$6:$J988,9,false)</f>
        <v>Houmont Park, Lake Houston, Summerwood</v>
      </c>
      <c r="AA735" s="44" t="str">
        <f>vlookup(B735,organizations!$B$1:$C988,2,false)</f>
        <v>Harris County Public Health</v>
      </c>
      <c r="AB735" s="55" t="s">
        <v>3761</v>
      </c>
      <c r="AC735" s="47" t="s">
        <v>278</v>
      </c>
      <c r="AD735" s="58" t="s">
        <v>3762</v>
      </c>
      <c r="AE735" s="48" t="str">
        <f t="shared" si="85"/>
        <v>Sheldon Health Hub8530 C.E. King Pkwy55</v>
      </c>
      <c r="AF735" s="48" t="str">
        <f t="shared" si="92"/>
        <v/>
      </c>
    </row>
    <row r="736" ht="66.75" customHeight="1">
      <c r="A736" s="49" t="s">
        <v>50</v>
      </c>
      <c r="B736" s="35" t="s">
        <v>3763</v>
      </c>
      <c r="C736" s="36" t="s">
        <v>3764</v>
      </c>
      <c r="D736" s="36"/>
      <c r="E736" s="36" t="s">
        <v>36</v>
      </c>
      <c r="F736" s="36" t="s">
        <v>37</v>
      </c>
      <c r="G736" s="35" t="s">
        <v>318</v>
      </c>
      <c r="H736" s="35" t="s">
        <v>3765</v>
      </c>
      <c r="I736" s="35" t="s">
        <v>272</v>
      </c>
      <c r="J736" s="35"/>
      <c r="K736" s="37">
        <f>IFERROR(__xludf.DUMMYFUNCTION("query(assistance!$A$2:$E988,""Select C Where D = '""&amp;L736&amp;""'"")"),12.0)</f>
        <v>12</v>
      </c>
      <c r="L736" s="36" t="s">
        <v>330</v>
      </c>
      <c r="M736" s="39">
        <f t="shared" ref="M736:M739" si="93">if(N736="Inactive",3,if(N736="Limited", 2, if(N736="Closed", 4, 1)))</f>
        <v>4</v>
      </c>
      <c r="N736" s="51" t="s">
        <v>57</v>
      </c>
      <c r="O736" s="40">
        <v>45663.0</v>
      </c>
      <c r="P736" s="35" t="s">
        <v>58</v>
      </c>
      <c r="Q736" s="35"/>
      <c r="R736" s="35" t="s">
        <v>3766</v>
      </c>
      <c r="S736" s="35" t="b">
        <v>0</v>
      </c>
      <c r="T736" s="35" t="b">
        <v>0</v>
      </c>
      <c r="U736" s="41" t="str">
        <f>IFERROR(__xludf.DUMMYFUNCTION("""["" &amp; JOIN("", "", ARRAYFORMULA("""""""" &amp; TRIM(SPLIT(A736, "","")) &amp; """""""")) &amp; ""]"""),"[""99999""]")</f>
        <v>["99999"]</v>
      </c>
      <c r="V736" s="43"/>
      <c r="W736" s="43"/>
      <c r="X736" s="43"/>
      <c r="Y736" s="44" t="str">
        <f>vlookup(G736,zip_codes!$B$6:$J988,3,false)</f>
        <v>Houston</v>
      </c>
      <c r="Z736" s="45" t="str">
        <f>vlookup(G736,zip_codes!$B$6:$J988,9,false)</f>
        <v>Braeswood, Braeswood Place, Knollwood Village</v>
      </c>
      <c r="AA736" s="44" t="str">
        <f>vlookup(B736,organizations!$B$1:$C988,2,false)</f>
        <v>Sheltering Arms &amp; Neighborhood Center Emergency Assistance Program</v>
      </c>
      <c r="AB736" s="46" t="s">
        <v>3767</v>
      </c>
      <c r="AC736" s="47" t="s">
        <v>278</v>
      </c>
      <c r="AD736" s="48" t="s">
        <v>329</v>
      </c>
      <c r="AE736" s="48" t="str">
        <f t="shared" si="85"/>
        <v>Sheltering Arms &amp; Neighborhood Center Emergency Assistance Program3838 Aberdeen Way12</v>
      </c>
      <c r="AF736" s="48" t="str">
        <f t="shared" si="92"/>
        <v/>
      </c>
    </row>
    <row r="737" ht="66.75" customHeight="1">
      <c r="A737" s="49" t="s">
        <v>1187</v>
      </c>
      <c r="B737" s="35" t="s">
        <v>3768</v>
      </c>
      <c r="C737" s="36" t="s">
        <v>3769</v>
      </c>
      <c r="D737" s="36"/>
      <c r="E737" s="36" t="s">
        <v>1186</v>
      </c>
      <c r="F737" s="36" t="s">
        <v>37</v>
      </c>
      <c r="G737" s="35" t="s">
        <v>1187</v>
      </c>
      <c r="H737" s="35" t="s">
        <v>3770</v>
      </c>
      <c r="I737" s="35" t="s">
        <v>3771</v>
      </c>
      <c r="J737" s="35"/>
      <c r="K737" s="37">
        <f>IFERROR(__xludf.DUMMYFUNCTION("query(assistance!$A$2:$E988,""Select C Where D = '""&amp;L737&amp;""'"")"),11.0)</f>
        <v>11</v>
      </c>
      <c r="L737" s="36" t="s">
        <v>322</v>
      </c>
      <c r="M737" s="39">
        <f t="shared" si="93"/>
        <v>3</v>
      </c>
      <c r="N737" s="51" t="s">
        <v>973</v>
      </c>
      <c r="O737" s="40">
        <v>45519.0</v>
      </c>
      <c r="P737" s="35" t="s">
        <v>3772</v>
      </c>
      <c r="Q737" s="35"/>
      <c r="R737" s="35"/>
      <c r="S737" s="35" t="b">
        <v>0</v>
      </c>
      <c r="T737" s="35" t="b">
        <v>0</v>
      </c>
      <c r="U737" s="41" t="str">
        <f>IFERROR(__xludf.DUMMYFUNCTION("""["" &amp; JOIN("", "", ARRAYFORMULA("""""""" &amp; TRIM(SPLIT(A737, "","")) &amp; """""""")) &amp; ""]"""),"[""77539""]")</f>
        <v>["77539"]</v>
      </c>
      <c r="V737" s="52" t="s">
        <v>3773</v>
      </c>
      <c r="W737" s="52" t="s">
        <v>3774</v>
      </c>
      <c r="X737" s="43"/>
      <c r="Y737" s="44" t="str">
        <f>vlookup(G737,zip_codes!$B$6:$J988,3,false)</f>
        <v>Dickinson</v>
      </c>
      <c r="Z737" s="45" t="str">
        <f>vlookup(G737,zip_codes!$B$6:$J988,9,false)</f>
        <v>Dickinson</v>
      </c>
      <c r="AA737" s="44" t="str">
        <f>vlookup(B737,organizations!$B$1:$C988,2,false)</f>
        <v>Society of St Vincent de Paul</v>
      </c>
      <c r="AB737" s="46" t="s">
        <v>3775</v>
      </c>
      <c r="AC737" s="47" t="s">
        <v>3776</v>
      </c>
      <c r="AD737" s="48" t="s">
        <v>1186</v>
      </c>
      <c r="AE737" s="48" t="str">
        <f t="shared" si="85"/>
        <v>Shrine of the True Cross (SVdP) Missouri City300 FM 517 Road E11</v>
      </c>
      <c r="AF737" s="48" t="str">
        <f t="shared" si="92"/>
        <v/>
      </c>
    </row>
    <row r="738" ht="66.75" customHeight="1">
      <c r="A738" s="49" t="s">
        <v>1187</v>
      </c>
      <c r="B738" s="35" t="s">
        <v>3768</v>
      </c>
      <c r="C738" s="36" t="s">
        <v>3769</v>
      </c>
      <c r="D738" s="36"/>
      <c r="E738" s="36" t="s">
        <v>1186</v>
      </c>
      <c r="F738" s="36" t="s">
        <v>37</v>
      </c>
      <c r="G738" s="35" t="s">
        <v>1187</v>
      </c>
      <c r="H738" s="35" t="s">
        <v>3770</v>
      </c>
      <c r="I738" s="35" t="s">
        <v>3771</v>
      </c>
      <c r="J738" s="35"/>
      <c r="K738" s="37">
        <f>IFERROR(__xludf.DUMMYFUNCTION("query(assistance!$A$2:$E988,""Select C Where D = '""&amp;L738&amp;""'"")"),12.0)</f>
        <v>12</v>
      </c>
      <c r="L738" s="36" t="s">
        <v>330</v>
      </c>
      <c r="M738" s="39">
        <f t="shared" si="93"/>
        <v>4</v>
      </c>
      <c r="N738" s="51" t="s">
        <v>57</v>
      </c>
      <c r="O738" s="40">
        <v>45519.0</v>
      </c>
      <c r="P738" s="35" t="s">
        <v>3772</v>
      </c>
      <c r="Q738" s="35"/>
      <c r="R738" s="35"/>
      <c r="S738" s="35" t="b">
        <v>0</v>
      </c>
      <c r="T738" s="35" t="b">
        <v>0</v>
      </c>
      <c r="U738" s="41" t="str">
        <f>IFERROR(__xludf.DUMMYFUNCTION("""["" &amp; JOIN("", "", ARRAYFORMULA("""""""" &amp; TRIM(SPLIT(A738, "","")) &amp; """""""")) &amp; ""]"""),"[""77539""]")</f>
        <v>["77539"]</v>
      </c>
      <c r="V738" s="52" t="s">
        <v>3773</v>
      </c>
      <c r="W738" s="52" t="s">
        <v>3774</v>
      </c>
      <c r="X738" s="43"/>
      <c r="Y738" s="44" t="str">
        <f>vlookup(G738,zip_codes!$B$6:$J988,3,false)</f>
        <v>Dickinson</v>
      </c>
      <c r="Z738" s="45" t="str">
        <f>vlookup(G738,zip_codes!$B$6:$J988,9,false)</f>
        <v>Dickinson</v>
      </c>
      <c r="AA738" s="44" t="str">
        <f>vlookup(B738,organizations!$B$1:$C988,2,false)</f>
        <v>Society of St Vincent de Paul</v>
      </c>
      <c r="AB738" s="46" t="s">
        <v>3775</v>
      </c>
      <c r="AC738" s="47" t="s">
        <v>3776</v>
      </c>
      <c r="AD738" s="48" t="s">
        <v>1186</v>
      </c>
      <c r="AE738" s="48" t="str">
        <f t="shared" si="85"/>
        <v>Shrine of the True Cross (SVdP) Missouri City300 FM 517 Road E12</v>
      </c>
      <c r="AF738" s="48" t="str">
        <f t="shared" si="92"/>
        <v/>
      </c>
    </row>
    <row r="739" ht="66.75" customHeight="1">
      <c r="A739" s="49" t="s">
        <v>1187</v>
      </c>
      <c r="B739" s="35" t="s">
        <v>3768</v>
      </c>
      <c r="C739" s="36" t="s">
        <v>3769</v>
      </c>
      <c r="D739" s="36"/>
      <c r="E739" s="36" t="s">
        <v>1186</v>
      </c>
      <c r="F739" s="36" t="s">
        <v>37</v>
      </c>
      <c r="G739" s="35" t="s">
        <v>1187</v>
      </c>
      <c r="H739" s="35" t="s">
        <v>3770</v>
      </c>
      <c r="I739" s="35" t="s">
        <v>3771</v>
      </c>
      <c r="J739" s="35"/>
      <c r="K739" s="37">
        <f>IFERROR(__xludf.DUMMYFUNCTION("query(assistance!$A$2:$E988,""Select C Where D = '""&amp;L739&amp;""'"")"),13.0)</f>
        <v>13</v>
      </c>
      <c r="L739" s="36" t="s">
        <v>240</v>
      </c>
      <c r="M739" s="39">
        <f t="shared" si="93"/>
        <v>4</v>
      </c>
      <c r="N739" s="51" t="s">
        <v>57</v>
      </c>
      <c r="O739" s="40">
        <v>45519.0</v>
      </c>
      <c r="P739" s="35" t="s">
        <v>3772</v>
      </c>
      <c r="Q739" s="35"/>
      <c r="R739" s="35"/>
      <c r="S739" s="35" t="b">
        <v>0</v>
      </c>
      <c r="T739" s="35" t="b">
        <v>0</v>
      </c>
      <c r="U739" s="41" t="str">
        <f>IFERROR(__xludf.DUMMYFUNCTION("""["" &amp; JOIN("", "", ARRAYFORMULA("""""""" &amp; TRIM(SPLIT(A739, "","")) &amp; """""""")) &amp; ""]"""),"[""77539""]")</f>
        <v>["77539"]</v>
      </c>
      <c r="V739" s="52" t="s">
        <v>3773</v>
      </c>
      <c r="W739" s="52" t="s">
        <v>3774</v>
      </c>
      <c r="X739" s="43"/>
      <c r="Y739" s="44" t="str">
        <f>vlookup(G739,zip_codes!$B$6:$J988,3,false)</f>
        <v>Dickinson</v>
      </c>
      <c r="Z739" s="45" t="str">
        <f>vlookup(G739,zip_codes!$B$6:$J988,9,false)</f>
        <v>Dickinson</v>
      </c>
      <c r="AA739" s="44" t="str">
        <f>vlookup(B739,organizations!$B$1:$C988,2,false)</f>
        <v>Society of St Vincent de Paul</v>
      </c>
      <c r="AB739" s="46" t="s">
        <v>3775</v>
      </c>
      <c r="AC739" s="47" t="s">
        <v>3776</v>
      </c>
      <c r="AD739" s="48" t="s">
        <v>1186</v>
      </c>
      <c r="AE739" s="48" t="str">
        <f t="shared" si="85"/>
        <v>Shrine of the True Cross (SVdP) Missouri City300 FM 517 Road E13</v>
      </c>
      <c r="AF739" s="48" t="str">
        <f t="shared" si="92"/>
        <v/>
      </c>
    </row>
    <row r="740" ht="66.75" customHeight="1">
      <c r="A740" s="49" t="s">
        <v>50</v>
      </c>
      <c r="B740" s="35" t="s">
        <v>3777</v>
      </c>
      <c r="C740" s="36" t="s">
        <v>3778</v>
      </c>
      <c r="D740" s="36"/>
      <c r="E740" s="36" t="s">
        <v>36</v>
      </c>
      <c r="F740" s="36" t="s">
        <v>37</v>
      </c>
      <c r="G740" s="35" t="s">
        <v>762</v>
      </c>
      <c r="H740" s="35" t="s">
        <v>3779</v>
      </c>
      <c r="I740" s="35" t="s">
        <v>67</v>
      </c>
      <c r="J740" s="35"/>
      <c r="K740" s="37">
        <f>IFERROR(__xludf.DUMMYFUNCTION("query(assistance!$A$2:$E988,""Select C Where D = '""&amp;L740&amp;""'"")"),44.0)</f>
        <v>44</v>
      </c>
      <c r="L740" s="36" t="s">
        <v>102</v>
      </c>
      <c r="M740" s="38">
        <f t="shared" ref="M740:M741" si="94">if(N740="Inactive",3,if(N740="Limited", 2, 1))</f>
        <v>1</v>
      </c>
      <c r="N740" s="51" t="s">
        <v>42</v>
      </c>
      <c r="O740" s="40">
        <v>45761.0</v>
      </c>
      <c r="P740" s="35" t="s">
        <v>406</v>
      </c>
      <c r="Q740" s="35"/>
      <c r="R740" s="35" t="s">
        <v>3780</v>
      </c>
      <c r="S740" s="35" t="b">
        <v>0</v>
      </c>
      <c r="T740" s="35" t="b">
        <v>0</v>
      </c>
      <c r="U740" s="41" t="str">
        <f>IFERROR(__xludf.DUMMYFUNCTION("""["" &amp; JOIN("", "", ARRAYFORMULA("""""""" &amp; TRIM(SPLIT(A740, "","")) &amp; """""""")) &amp; ""]"""),"[""99999""]")</f>
        <v>["99999"]</v>
      </c>
      <c r="V740" s="52" t="s">
        <v>3781</v>
      </c>
      <c r="W740" s="52" t="s">
        <v>3782</v>
      </c>
      <c r="X740" s="43"/>
      <c r="Y740" s="44" t="str">
        <f>vlookup(G740,zip_codes!$B$6:$J988,3,false)</f>
        <v>Houston</v>
      </c>
      <c r="Z740" s="45" t="str">
        <f>vlookup(G740,zip_codes!$B$6:$J988,9,false)</f>
        <v>Kashmere Gardens, Northside, Trinity / Houston Gardens</v>
      </c>
      <c r="AA740" s="44" t="str">
        <f>vlookup(B740,organizations!$B$1:$C988,2,false)</f>
        <v>Small Steps Nurturing Center</v>
      </c>
      <c r="AB740" s="46" t="s">
        <v>3783</v>
      </c>
      <c r="AC740" s="47" t="s">
        <v>73</v>
      </c>
      <c r="AD740" s="48" t="s">
        <v>356</v>
      </c>
      <c r="AE740" s="48" t="str">
        <f t="shared" si="85"/>
        <v>Small Steps Nurturing Center2902 Jensen Drive44</v>
      </c>
      <c r="AF740" s="48" t="str">
        <f t="shared" si="92"/>
        <v/>
      </c>
    </row>
    <row r="741" ht="66.75" customHeight="1">
      <c r="A741" s="49" t="s">
        <v>50</v>
      </c>
      <c r="B741" s="35" t="s">
        <v>3777</v>
      </c>
      <c r="C741" s="36" t="s">
        <v>1145</v>
      </c>
      <c r="D741" s="36"/>
      <c r="E741" s="36" t="s">
        <v>36</v>
      </c>
      <c r="F741" s="36" t="s">
        <v>37</v>
      </c>
      <c r="G741" s="35" t="s">
        <v>567</v>
      </c>
      <c r="H741" s="35" t="s">
        <v>3784</v>
      </c>
      <c r="I741" s="35" t="s">
        <v>67</v>
      </c>
      <c r="J741" s="35"/>
      <c r="K741" s="37">
        <f>IFERROR(__xludf.DUMMYFUNCTION("query(assistance!$A$2:$E988,""Select C Where D = '""&amp;L741&amp;""'"")"),44.0)</f>
        <v>44</v>
      </c>
      <c r="L741" s="36" t="s">
        <v>102</v>
      </c>
      <c r="M741" s="38">
        <f t="shared" si="94"/>
        <v>1</v>
      </c>
      <c r="N741" s="51" t="s">
        <v>42</v>
      </c>
      <c r="O741" s="40">
        <v>45761.0</v>
      </c>
      <c r="P741" s="35" t="s">
        <v>406</v>
      </c>
      <c r="Q741" s="35"/>
      <c r="R741" s="35" t="s">
        <v>3785</v>
      </c>
      <c r="S741" s="35" t="b">
        <v>0</v>
      </c>
      <c r="T741" s="35" t="b">
        <v>0</v>
      </c>
      <c r="U741" s="41" t="str">
        <f>IFERROR(__xludf.DUMMYFUNCTION("""["" &amp; JOIN("", "", ARRAYFORMULA("""""""" &amp; TRIM(SPLIT(A741, "","")) &amp; """""""")) &amp; ""]"""),"[""99999""]")</f>
        <v>["99999"]</v>
      </c>
      <c r="V741" s="52" t="s">
        <v>3781</v>
      </c>
      <c r="W741" s="52" t="s">
        <v>3786</v>
      </c>
      <c r="X741" s="43"/>
      <c r="Y741" s="44" t="str">
        <f>vlookup(G741,zip_codes!$B$6:$J988,3,false)</f>
        <v>Houston</v>
      </c>
      <c r="Z741" s="45" t="str">
        <f>vlookup(G741,zip_codes!$B$6:$J988,9,false)</f>
        <v>Braeburn, Robindell, Sharpstown</v>
      </c>
      <c r="AA741" s="44" t="str">
        <f>vlookup(B741,organizations!$B$1:$C988,2,false)</f>
        <v>Small Steps Nurturing Center</v>
      </c>
      <c r="AB741" s="46" t="s">
        <v>1147</v>
      </c>
      <c r="AC741" s="47" t="s">
        <v>73</v>
      </c>
      <c r="AD741" s="48" t="s">
        <v>572</v>
      </c>
      <c r="AE741" s="48" t="str">
        <f t="shared" si="85"/>
        <v>Small Steps Nurturing Center6856 Bellaire Blvd44</v>
      </c>
      <c r="AF741" s="48" t="str">
        <f t="shared" si="92"/>
        <v/>
      </c>
    </row>
    <row r="742" ht="66.75" customHeight="1">
      <c r="A742" s="49" t="s">
        <v>3787</v>
      </c>
      <c r="B742" s="35" t="s">
        <v>3788</v>
      </c>
      <c r="C742" s="36" t="s">
        <v>3789</v>
      </c>
      <c r="D742" s="36"/>
      <c r="E742" s="36" t="s">
        <v>3790</v>
      </c>
      <c r="F742" s="36" t="s">
        <v>37</v>
      </c>
      <c r="G742" s="35" t="s">
        <v>3791</v>
      </c>
      <c r="H742" s="35" t="s">
        <v>3792</v>
      </c>
      <c r="I742" s="35" t="s">
        <v>3793</v>
      </c>
      <c r="J742" s="35"/>
      <c r="K742" s="37">
        <f>IFERROR(__xludf.DUMMYFUNCTION("query(assistance!$A$2:$E988,""Select C Where D = '""&amp;L742&amp;""'"")"),11.0)</f>
        <v>11</v>
      </c>
      <c r="L742" s="36" t="s">
        <v>322</v>
      </c>
      <c r="M742" s="39">
        <f>if(N742="Inactive",3,if(N742="Limited", 2, if(N742="Closed", 4, 1)))</f>
        <v>3</v>
      </c>
      <c r="N742" s="51" t="s">
        <v>973</v>
      </c>
      <c r="O742" s="40">
        <v>45637.0</v>
      </c>
      <c r="P742" s="50"/>
      <c r="Q742" s="50"/>
      <c r="R742" s="50"/>
      <c r="S742" s="35" t="b">
        <v>0</v>
      </c>
      <c r="T742" s="35" t="b">
        <v>0</v>
      </c>
      <c r="U742" s="41" t="str">
        <f>IFERROR(__xludf.DUMMYFUNCTION("""["" &amp; JOIN("", "", ARRAYFORMULA("""""""" &amp; TRIM(SPLIT(A742, "","")) &amp; """""""")) &amp; ""]"""),"[""77336"", ""77339"", ""77345"", ""77346"", ""77357"", ""77365""]")</f>
        <v>["77336", "77339", "77345", "77346", "77357", "77365"]</v>
      </c>
      <c r="V742" s="52" t="s">
        <v>3794</v>
      </c>
      <c r="W742" s="52" t="s">
        <v>3795</v>
      </c>
      <c r="X742" s="43"/>
      <c r="Y742" s="44" t="str">
        <f>vlookup(G742,zip_codes!$B$6:$J988,3,false)</f>
        <v>Kingwood</v>
      </c>
      <c r="Z742" s="45" t="str">
        <f>vlookup(G742,zip_codes!$B$6:$J988,9,false)</f>
        <v>Kingwood (Trailwood, Elm Grove villages)</v>
      </c>
      <c r="AA742" s="44" t="str">
        <f>vlookup(B742,organizations!$B$1:$C988,2,false)</f>
        <v>Society of St Stephen</v>
      </c>
      <c r="AB742" s="46" t="s">
        <v>3796</v>
      </c>
      <c r="AC742" s="47" t="s">
        <v>3797</v>
      </c>
      <c r="AD742" s="48" t="s">
        <v>3790</v>
      </c>
      <c r="AE742" s="48" t="str">
        <f t="shared" si="85"/>
        <v>Society of St Stephen2307 Crystal Springs Drive11</v>
      </c>
      <c r="AF742" s="48" t="str">
        <f t="shared" si="92"/>
        <v/>
      </c>
    </row>
    <row r="743" ht="66.75" customHeight="1">
      <c r="A743" s="49" t="s">
        <v>3798</v>
      </c>
      <c r="B743" s="35" t="s">
        <v>3788</v>
      </c>
      <c r="C743" s="36" t="s">
        <v>3789</v>
      </c>
      <c r="D743" s="36"/>
      <c r="E743" s="36" t="s">
        <v>3790</v>
      </c>
      <c r="F743" s="36" t="s">
        <v>37</v>
      </c>
      <c r="G743" s="35" t="s">
        <v>3791</v>
      </c>
      <c r="H743" s="35" t="s">
        <v>3792</v>
      </c>
      <c r="I743" s="35" t="s">
        <v>3793</v>
      </c>
      <c r="J743" s="35"/>
      <c r="K743" s="37">
        <f>IFERROR(__xludf.DUMMYFUNCTION("query(assistance!$A$2:$E988,""Select C Where D = '""&amp;L743&amp;""'"")"),12.0)</f>
        <v>12</v>
      </c>
      <c r="L743" s="36" t="s">
        <v>330</v>
      </c>
      <c r="M743" s="38">
        <f t="shared" ref="M743:M747" si="95">if(N743="Inactive",3,if(N743="Limited", 2, 1))</f>
        <v>1</v>
      </c>
      <c r="N743" s="51" t="s">
        <v>42</v>
      </c>
      <c r="O743" s="40">
        <v>45772.0</v>
      </c>
      <c r="P743" s="35" t="s">
        <v>3799</v>
      </c>
      <c r="Q743" s="72">
        <v>46053.0</v>
      </c>
      <c r="R743" s="35" t="s">
        <v>3800</v>
      </c>
      <c r="S743" s="35" t="b">
        <v>0</v>
      </c>
      <c r="T743" s="35" t="b">
        <v>0</v>
      </c>
      <c r="U743" s="41" t="str">
        <f>IFERROR(__xludf.DUMMYFUNCTION("""["" &amp; JOIN("", "", ARRAYFORMULA("""""""" &amp; TRIM(SPLIT(A743, "","")) &amp; """""""")) &amp; ""]"""),"[""77336"", ""77339"", ""77345"", ""77346"", ""77357"", ""77365"", ""77372""]")</f>
        <v>["77336", "77339", "77345", "77346", "77357", "77365", "77372"]</v>
      </c>
      <c r="V743" s="52" t="s">
        <v>3794</v>
      </c>
      <c r="W743" s="52" t="s">
        <v>3795</v>
      </c>
      <c r="X743" s="43"/>
      <c r="Y743" s="44" t="str">
        <f>vlookup(G743,zip_codes!$B$6:$J988,3,false)</f>
        <v>Kingwood</v>
      </c>
      <c r="Z743" s="45" t="str">
        <f>vlookup(G743,zip_codes!$B$6:$J988,9,false)</f>
        <v>Kingwood (Trailwood, Elm Grove villages)</v>
      </c>
      <c r="AA743" s="44" t="str">
        <f>vlookup(B743,organizations!$B$1:$C988,2,false)</f>
        <v>Society of St Stephen</v>
      </c>
      <c r="AB743" s="46" t="s">
        <v>3796</v>
      </c>
      <c r="AC743" s="47" t="s">
        <v>3797</v>
      </c>
      <c r="AD743" s="48" t="s">
        <v>3790</v>
      </c>
      <c r="AE743" s="48" t="str">
        <f t="shared" si="85"/>
        <v>Society of St Stephen2307 Crystal Springs Drive12</v>
      </c>
      <c r="AF743" s="48" t="str">
        <f t="shared" si="92"/>
        <v/>
      </c>
    </row>
    <row r="744" ht="66.75" customHeight="1">
      <c r="A744" s="49" t="s">
        <v>3798</v>
      </c>
      <c r="B744" s="35" t="s">
        <v>3788</v>
      </c>
      <c r="C744" s="36" t="s">
        <v>3789</v>
      </c>
      <c r="D744" s="36"/>
      <c r="E744" s="36" t="s">
        <v>3790</v>
      </c>
      <c r="F744" s="36" t="s">
        <v>37</v>
      </c>
      <c r="G744" s="35" t="s">
        <v>3791</v>
      </c>
      <c r="H744" s="35" t="s">
        <v>3792</v>
      </c>
      <c r="I744" s="35" t="s">
        <v>3793</v>
      </c>
      <c r="J744" s="35"/>
      <c r="K744" s="37">
        <f>IFERROR(__xludf.DUMMYFUNCTION("query(assistance!$A$2:$E988,""Select C Where D = '""&amp;L744&amp;""'"")"),13.0)</f>
        <v>13</v>
      </c>
      <c r="L744" s="36" t="s">
        <v>240</v>
      </c>
      <c r="M744" s="38">
        <f t="shared" si="95"/>
        <v>1</v>
      </c>
      <c r="N744" s="51" t="s">
        <v>42</v>
      </c>
      <c r="O744" s="40">
        <v>45772.0</v>
      </c>
      <c r="P744" s="35" t="s">
        <v>3799</v>
      </c>
      <c r="Q744" s="72">
        <v>46053.0</v>
      </c>
      <c r="R744" s="35" t="s">
        <v>3801</v>
      </c>
      <c r="S744" s="35" t="b">
        <v>0</v>
      </c>
      <c r="T744" s="35" t="b">
        <v>0</v>
      </c>
      <c r="U744" s="41" t="str">
        <f>IFERROR(__xludf.DUMMYFUNCTION("""["" &amp; JOIN("", "", ARRAYFORMULA("""""""" &amp; TRIM(SPLIT(A744, "","")) &amp; """""""")) &amp; ""]"""),"[""77336"", ""77339"", ""77345"", ""77346"", ""77357"", ""77365"", ""77372""]")</f>
        <v>["77336", "77339", "77345", "77346", "77357", "77365", "77372"]</v>
      </c>
      <c r="V744" s="52" t="s">
        <v>3794</v>
      </c>
      <c r="W744" s="52" t="s">
        <v>3795</v>
      </c>
      <c r="X744" s="43"/>
      <c r="Y744" s="44" t="str">
        <f>vlookup(G744,zip_codes!$B$6:$J988,3,false)</f>
        <v>Kingwood</v>
      </c>
      <c r="Z744" s="45" t="str">
        <f>vlookup(G744,zip_codes!$B$6:$J988,9,false)</f>
        <v>Kingwood (Trailwood, Elm Grove villages)</v>
      </c>
      <c r="AA744" s="44" t="str">
        <f>vlookup(B744,organizations!$B$1:$C988,2,false)</f>
        <v>Society of St Stephen</v>
      </c>
      <c r="AB744" s="46" t="s">
        <v>3796</v>
      </c>
      <c r="AC744" s="47" t="s">
        <v>3797</v>
      </c>
      <c r="AD744" s="48" t="s">
        <v>3790</v>
      </c>
      <c r="AE744" s="48" t="str">
        <f t="shared" si="85"/>
        <v>Society of St Stephen2307 Crystal Springs Drive13</v>
      </c>
      <c r="AF744" s="48" t="str">
        <f t="shared" si="92"/>
        <v/>
      </c>
    </row>
    <row r="745" ht="66.75" customHeight="1">
      <c r="A745" s="49" t="s">
        <v>3798</v>
      </c>
      <c r="B745" s="35" t="s">
        <v>3788</v>
      </c>
      <c r="C745" s="36" t="s">
        <v>3789</v>
      </c>
      <c r="D745" s="36"/>
      <c r="E745" s="36" t="s">
        <v>3790</v>
      </c>
      <c r="F745" s="36" t="s">
        <v>37</v>
      </c>
      <c r="G745" s="35" t="s">
        <v>3791</v>
      </c>
      <c r="H745" s="35" t="s">
        <v>3792</v>
      </c>
      <c r="I745" s="35" t="s">
        <v>3793</v>
      </c>
      <c r="J745" s="35"/>
      <c r="K745" s="37">
        <f>IFERROR(__xludf.DUMMYFUNCTION("query(assistance!$A$2:$E988,""Select C Where D = '""&amp;L745&amp;""'"")"),14.0)</f>
        <v>14</v>
      </c>
      <c r="L745" s="36" t="s">
        <v>391</v>
      </c>
      <c r="M745" s="38">
        <f t="shared" si="95"/>
        <v>1</v>
      </c>
      <c r="N745" s="51" t="s">
        <v>42</v>
      </c>
      <c r="O745" s="40">
        <v>45772.0</v>
      </c>
      <c r="P745" s="35" t="s">
        <v>3799</v>
      </c>
      <c r="Q745" s="72">
        <v>46053.0</v>
      </c>
      <c r="R745" s="35" t="s">
        <v>3802</v>
      </c>
      <c r="S745" s="35" t="b">
        <v>0</v>
      </c>
      <c r="T745" s="35" t="b">
        <v>0</v>
      </c>
      <c r="U745" s="41" t="str">
        <f>IFERROR(__xludf.DUMMYFUNCTION("""["" &amp; JOIN("", "", ARRAYFORMULA("""""""" &amp; TRIM(SPLIT(A745, "","")) &amp; """""""")) &amp; ""]"""),"[""77336"", ""77339"", ""77345"", ""77346"", ""77357"", ""77365"", ""77372""]")</f>
        <v>["77336", "77339", "77345", "77346", "77357", "77365", "77372"]</v>
      </c>
      <c r="V745" s="52" t="s">
        <v>3794</v>
      </c>
      <c r="W745" s="52" t="s">
        <v>3795</v>
      </c>
      <c r="X745" s="43"/>
      <c r="Y745" s="44" t="str">
        <f>vlookup(G745,zip_codes!$B$6:$J988,3,false)</f>
        <v>Kingwood</v>
      </c>
      <c r="Z745" s="45" t="str">
        <f>vlookup(G745,zip_codes!$B$6:$J988,9,false)</f>
        <v>Kingwood (Trailwood, Elm Grove villages)</v>
      </c>
      <c r="AA745" s="44" t="str">
        <f>vlookup(B745,organizations!$B$1:$C988,2,false)</f>
        <v>Society of St Stephen</v>
      </c>
      <c r="AB745" s="46" t="s">
        <v>3796</v>
      </c>
      <c r="AC745" s="47" t="s">
        <v>3797</v>
      </c>
      <c r="AD745" s="48" t="s">
        <v>3790</v>
      </c>
      <c r="AE745" s="48" t="str">
        <f t="shared" si="85"/>
        <v>Society of St Stephen2307 Crystal Springs Drive14</v>
      </c>
      <c r="AF745" s="48" t="str">
        <f t="shared" si="92"/>
        <v/>
      </c>
    </row>
    <row r="746" ht="66.75" customHeight="1">
      <c r="A746" s="49" t="s">
        <v>3787</v>
      </c>
      <c r="B746" s="35" t="s">
        <v>3788</v>
      </c>
      <c r="C746" s="36" t="s">
        <v>3789</v>
      </c>
      <c r="D746" s="36"/>
      <c r="E746" s="36" t="s">
        <v>3790</v>
      </c>
      <c r="F746" s="36" t="s">
        <v>37</v>
      </c>
      <c r="G746" s="35" t="s">
        <v>3791</v>
      </c>
      <c r="H746" s="35" t="s">
        <v>3792</v>
      </c>
      <c r="I746" s="35" t="s">
        <v>3793</v>
      </c>
      <c r="J746" s="35"/>
      <c r="K746" s="37">
        <f>IFERROR(__xludf.DUMMYFUNCTION("query(assistance!$A$2:$E988,""Select C Where D = '""&amp;L746&amp;""'"")"),64.0)</f>
        <v>64</v>
      </c>
      <c r="L746" s="36" t="s">
        <v>817</v>
      </c>
      <c r="M746" s="38">
        <f t="shared" si="95"/>
        <v>1</v>
      </c>
      <c r="N746" s="39" t="s">
        <v>42</v>
      </c>
      <c r="O746" s="65"/>
      <c r="P746" s="50"/>
      <c r="Q746" s="35"/>
      <c r="R746" s="35" t="s">
        <v>1450</v>
      </c>
      <c r="S746" s="35" t="b">
        <v>0</v>
      </c>
      <c r="T746" s="35" t="b">
        <v>0</v>
      </c>
      <c r="U746" s="41" t="str">
        <f>IFERROR(__xludf.DUMMYFUNCTION("""["" &amp; JOIN("", "", ARRAYFORMULA("""""""" &amp; TRIM(SPLIT(A746, "","")) &amp; """""""")) &amp; ""]"""),"[""77336"", ""77339"", ""77345"", ""77346"", ""77357"", ""77365""]")</f>
        <v>["77336", "77339", "77345", "77346", "77357", "77365"]</v>
      </c>
      <c r="V746" s="52" t="s">
        <v>3794</v>
      </c>
      <c r="W746" s="52" t="s">
        <v>3795</v>
      </c>
      <c r="X746" s="43"/>
      <c r="Y746" s="44" t="str">
        <f>vlookup(G746,zip_codes!$B$6:$J988,3,false)</f>
        <v>Kingwood</v>
      </c>
      <c r="Z746" s="45" t="str">
        <f>vlookup(G746,zip_codes!$B$6:$J988,9,false)</f>
        <v>Kingwood (Trailwood, Elm Grove villages)</v>
      </c>
      <c r="AA746" s="44" t="str">
        <f>vlookup(B746,organizations!$B$1:$C988,2,false)</f>
        <v>Society of St Stephen</v>
      </c>
      <c r="AB746" s="46" t="s">
        <v>3796</v>
      </c>
      <c r="AC746" s="47" t="s">
        <v>3797</v>
      </c>
      <c r="AD746" s="48" t="s">
        <v>3790</v>
      </c>
      <c r="AE746" s="48" t="str">
        <f t="shared" si="85"/>
        <v>Society of St Stephen2307 Crystal Springs Drive64</v>
      </c>
      <c r="AF746" s="48" t="str">
        <f t="shared" si="92"/>
        <v/>
      </c>
    </row>
    <row r="747" ht="66.75" customHeight="1">
      <c r="A747" s="49" t="s">
        <v>50</v>
      </c>
      <c r="B747" s="35" t="s">
        <v>3803</v>
      </c>
      <c r="C747" s="36" t="s">
        <v>3804</v>
      </c>
      <c r="D747" s="36"/>
      <c r="E747" s="36" t="s">
        <v>36</v>
      </c>
      <c r="F747" s="36" t="s">
        <v>37</v>
      </c>
      <c r="G747" s="35" t="s">
        <v>270</v>
      </c>
      <c r="H747" s="35" t="s">
        <v>3805</v>
      </c>
      <c r="I747" s="35" t="s">
        <v>67</v>
      </c>
      <c r="J747" s="35"/>
      <c r="K747" s="37">
        <f>IFERROR(__xludf.DUMMYFUNCTION("query(assistance!$A$2:$E988,""Select C Where D = '""&amp;L747&amp;""'"")"),55.0)</f>
        <v>55</v>
      </c>
      <c r="L747" s="36" t="s">
        <v>436</v>
      </c>
      <c r="M747" s="38">
        <f t="shared" si="95"/>
        <v>1</v>
      </c>
      <c r="N747" s="51" t="s">
        <v>42</v>
      </c>
      <c r="O747" s="40">
        <v>45757.0</v>
      </c>
      <c r="P747" s="50"/>
      <c r="Q747" s="50"/>
      <c r="R747" s="50"/>
      <c r="S747" s="35" t="b">
        <v>0</v>
      </c>
      <c r="T747" s="35" t="b">
        <v>0</v>
      </c>
      <c r="U747" s="41" t="str">
        <f>IFERROR(__xludf.DUMMYFUNCTION("""["" &amp; JOIN("", "", ARRAYFORMULA("""""""" &amp; TRIM(SPLIT(A747, "","")) &amp; """""""")) &amp; ""]"""),"[""99999""]")</f>
        <v>["99999"]</v>
      </c>
      <c r="V747" s="52" t="s">
        <v>3806</v>
      </c>
      <c r="W747" s="43"/>
      <c r="X747" s="43"/>
      <c r="Y747" s="44" t="str">
        <f>vlookup(G747,zip_codes!$B$6:$J988,3,false)</f>
        <v>Houston</v>
      </c>
      <c r="Z747" s="45" t="str">
        <f>vlookup(G747,zip_codes!$B$6:$J988,9,false)</f>
        <v>Central Business District, Downtown Houston, East Downtown, South Central Houston, Theater District, University Place, Warehouse District</v>
      </c>
      <c r="AA747" s="44" t="str">
        <f>vlookup(B747,organizations!$B$1:$C988,2,false)</f>
        <v>South Texas College of Law Houston</v>
      </c>
      <c r="AB747" s="46" t="s">
        <v>3807</v>
      </c>
      <c r="AC747" s="47" t="s">
        <v>73</v>
      </c>
      <c r="AD747" s="48" t="s">
        <v>279</v>
      </c>
      <c r="AE747" s="48" t="str">
        <f t="shared" si="85"/>
        <v>South Texas College of Law Houston1303 San Jacinto Street55</v>
      </c>
      <c r="AF747" s="48" t="str">
        <f t="shared" si="92"/>
        <v/>
      </c>
    </row>
    <row r="748" ht="66.75" customHeight="1">
      <c r="A748" s="49" t="s">
        <v>3808</v>
      </c>
      <c r="B748" s="35" t="s">
        <v>3809</v>
      </c>
      <c r="C748" s="36" t="s">
        <v>3810</v>
      </c>
      <c r="D748" s="36"/>
      <c r="E748" s="36" t="s">
        <v>3811</v>
      </c>
      <c r="F748" s="36" t="s">
        <v>37</v>
      </c>
      <c r="G748" s="35" t="s">
        <v>3812</v>
      </c>
      <c r="H748" s="35" t="s">
        <v>3813</v>
      </c>
      <c r="I748" s="35"/>
      <c r="J748" s="35" t="s">
        <v>298</v>
      </c>
      <c r="K748" s="37">
        <f>IFERROR(__xludf.DUMMYFUNCTION("query(assistance!$A$2:$E988,""Select C Where D = '""&amp;L748&amp;""'"")"),12.0)</f>
        <v>12</v>
      </c>
      <c r="L748" s="36" t="s">
        <v>330</v>
      </c>
      <c r="M748" s="39">
        <f t="shared" ref="M748:M749" si="96">if(N748="Inactive",3,if(N748="Limited", 2, if(N748="Closed", 4, 1)))</f>
        <v>4</v>
      </c>
      <c r="N748" s="51" t="s">
        <v>57</v>
      </c>
      <c r="O748" s="40">
        <v>45671.0</v>
      </c>
      <c r="P748" s="35" t="s">
        <v>3814</v>
      </c>
      <c r="Q748" s="35"/>
      <c r="R748" s="35" t="s">
        <v>3815</v>
      </c>
      <c r="S748" s="35" t="b">
        <v>0</v>
      </c>
      <c r="T748" s="35" t="b">
        <v>0</v>
      </c>
      <c r="U748" s="41" t="str">
        <f>IFERROR(__xludf.DUMMYFUNCTION("""["" &amp; JOIN("", "", ARRAYFORMULA("""""""" &amp; TRIM(SPLIT(A748, "","")) &amp; """""""")) &amp; ""]"""),"[""77017"", ""77034"", ""77061"", ""77075"", ""77087"", ""77089"", ""77587"", ""77598""]")</f>
        <v>["77017", "77034", "77061", "77075", "77087", "77089", "77587", "77598"]</v>
      </c>
      <c r="V748" s="52" t="s">
        <v>3816</v>
      </c>
      <c r="W748" s="52" t="s">
        <v>3817</v>
      </c>
      <c r="X748" s="43"/>
      <c r="Y748" s="44" t="str">
        <f>vlookup(G748,zip_codes!$B$6:$J988,3,false)</f>
        <v>South Houston</v>
      </c>
      <c r="Z748" s="45" t="str">
        <f>vlookup(G748,zip_codes!$B$6:$J988,9,false)</f>
        <v>South Houston</v>
      </c>
      <c r="AA748" s="44" t="str">
        <f>vlookup(B748,organizations!$B$1:$C988,2,false)</f>
        <v>Southeast Area Ministries</v>
      </c>
      <c r="AB748" s="46" t="s">
        <v>3818</v>
      </c>
      <c r="AC748" s="53"/>
      <c r="AD748" s="48" t="s">
        <v>3811</v>
      </c>
      <c r="AE748" s="48" t="str">
        <f t="shared" si="85"/>
        <v>Southeast Area Ministries2102 Houston Blvd12</v>
      </c>
      <c r="AF748" s="48" t="str">
        <f t="shared" si="92"/>
        <v/>
      </c>
    </row>
    <row r="749" ht="66.75" customHeight="1">
      <c r="A749" s="49" t="s">
        <v>3808</v>
      </c>
      <c r="B749" s="35" t="s">
        <v>3809</v>
      </c>
      <c r="C749" s="36" t="s">
        <v>3810</v>
      </c>
      <c r="D749" s="36"/>
      <c r="E749" s="36" t="s">
        <v>3811</v>
      </c>
      <c r="F749" s="36" t="s">
        <v>37</v>
      </c>
      <c r="G749" s="35" t="s">
        <v>3812</v>
      </c>
      <c r="H749" s="35" t="s">
        <v>3813</v>
      </c>
      <c r="I749" s="35" t="s">
        <v>3819</v>
      </c>
      <c r="J749" s="35"/>
      <c r="K749" s="37">
        <f>IFERROR(__xludf.DUMMYFUNCTION("query(assistance!$A$2:$E988,""Select C Where D = '""&amp;L749&amp;""'"")"),13.0)</f>
        <v>13</v>
      </c>
      <c r="L749" s="36" t="s">
        <v>240</v>
      </c>
      <c r="M749" s="39">
        <f t="shared" si="96"/>
        <v>4</v>
      </c>
      <c r="N749" s="51" t="s">
        <v>57</v>
      </c>
      <c r="O749" s="40">
        <v>45974.0</v>
      </c>
      <c r="P749" s="35" t="s">
        <v>3814</v>
      </c>
      <c r="Q749" s="35"/>
      <c r="R749" s="35" t="s">
        <v>3820</v>
      </c>
      <c r="S749" s="35" t="b">
        <v>0</v>
      </c>
      <c r="T749" s="35" t="b">
        <v>0</v>
      </c>
      <c r="U749" s="41" t="str">
        <f>IFERROR(__xludf.DUMMYFUNCTION("""["" &amp; JOIN("", "", ARRAYFORMULA("""""""" &amp; TRIM(SPLIT(A749, "","")) &amp; """""""")) &amp; ""]"""),"[""77017"", ""77034"", ""77061"", ""77075"", ""77087"", ""77089"", ""77587"", ""77598""]")</f>
        <v>["77017", "77034", "77061", "77075", "77087", "77089", "77587", "77598"]</v>
      </c>
      <c r="V749" s="52" t="s">
        <v>3816</v>
      </c>
      <c r="W749" s="52" t="s">
        <v>3817</v>
      </c>
      <c r="X749" s="43"/>
      <c r="Y749" s="44" t="str">
        <f>vlookup(G749,zip_codes!$B$6:$J988,3,false)</f>
        <v>South Houston</v>
      </c>
      <c r="Z749" s="45" t="str">
        <f>vlookup(G749,zip_codes!$B$6:$J988,9,false)</f>
        <v>South Houston</v>
      </c>
      <c r="AA749" s="44" t="str">
        <f>vlookup(B749,organizations!$B$1:$C988,2,false)</f>
        <v>Southeast Area Ministries</v>
      </c>
      <c r="AB749" s="46" t="s">
        <v>3818</v>
      </c>
      <c r="AC749" s="47" t="s">
        <v>3821</v>
      </c>
      <c r="AD749" s="48" t="s">
        <v>3811</v>
      </c>
      <c r="AE749" s="48" t="str">
        <f t="shared" si="85"/>
        <v>Southeast Area Ministries2102 Houston Blvd13</v>
      </c>
      <c r="AF749" s="48" t="str">
        <f t="shared" si="92"/>
        <v/>
      </c>
    </row>
    <row r="750" ht="66.75" customHeight="1">
      <c r="A750" s="71" t="s">
        <v>266</v>
      </c>
      <c r="B750" s="35" t="s">
        <v>3822</v>
      </c>
      <c r="C750" s="36" t="s">
        <v>3823</v>
      </c>
      <c r="D750" s="36"/>
      <c r="E750" s="36" t="s">
        <v>729</v>
      </c>
      <c r="F750" s="36" t="s">
        <v>37</v>
      </c>
      <c r="G750" s="56" t="s">
        <v>898</v>
      </c>
      <c r="H750" s="35" t="s">
        <v>422</v>
      </c>
      <c r="I750" s="35" t="s">
        <v>272</v>
      </c>
      <c r="J750" s="35" t="s">
        <v>298</v>
      </c>
      <c r="K750" s="37">
        <f>IFERROR(__xludf.DUMMYFUNCTION("query(assistance!$A$2:$E988,""Select C Where D = '""&amp;L750&amp;""'"")"),31.0)</f>
        <v>31</v>
      </c>
      <c r="L750" s="36" t="s">
        <v>90</v>
      </c>
      <c r="M750" s="38">
        <f t="shared" ref="M750:M755" si="97">if(N750="Inactive",3,if(N750="Limited", 2, 1))</f>
        <v>1</v>
      </c>
      <c r="N750" s="39" t="s">
        <v>42</v>
      </c>
      <c r="O750" s="57">
        <v>46050.0</v>
      </c>
      <c r="P750" s="35" t="s">
        <v>43</v>
      </c>
      <c r="Q750" s="35"/>
      <c r="R750" s="35" t="s">
        <v>431</v>
      </c>
      <c r="S750" s="35" t="b">
        <v>0</v>
      </c>
      <c r="T750" s="35" t="b">
        <v>0</v>
      </c>
      <c r="U750" s="41" t="str">
        <f>IFERROR(__xludf.DUMMYFUNCTION("""["" &amp; JOIN("", "", ARRAYFORMULA("""""""" &amp; TRIM(SPLIT(A750,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50" s="42" t="s">
        <v>804</v>
      </c>
      <c r="W750" s="42" t="s">
        <v>3824</v>
      </c>
      <c r="X750" s="43"/>
      <c r="Y750" s="44" t="str">
        <f>vlookup(G750,zip_codes!$B$6:$J988,3,false)</f>
        <v>Pasadena</v>
      </c>
      <c r="Z750" s="45" t="str">
        <f>vlookup(G750,zip_codes!$B$6:$J988,9,false)</f>
        <v>Pasadena</v>
      </c>
      <c r="AA750" s="44" t="str">
        <f>vlookup(B750,organizations!$B$1:$C988,2,false)</f>
        <v>Harris County Public Health</v>
      </c>
      <c r="AB750" s="55" t="s">
        <v>3825</v>
      </c>
      <c r="AC750" s="47" t="s">
        <v>278</v>
      </c>
      <c r="AD750" s="58" t="s">
        <v>729</v>
      </c>
      <c r="AE750" s="48" t="str">
        <f t="shared" si="85"/>
        <v>Southeast Clinic3737 Red Bluff Road31</v>
      </c>
      <c r="AF750" s="48" t="str">
        <f t="shared" si="92"/>
        <v/>
      </c>
    </row>
    <row r="751" ht="66.75" customHeight="1">
      <c r="A751" s="71" t="s">
        <v>266</v>
      </c>
      <c r="B751" s="35" t="s">
        <v>3822</v>
      </c>
      <c r="C751" s="36" t="s">
        <v>3823</v>
      </c>
      <c r="D751" s="36"/>
      <c r="E751" s="36" t="s">
        <v>729</v>
      </c>
      <c r="F751" s="36" t="s">
        <v>37</v>
      </c>
      <c r="G751" s="56" t="s">
        <v>898</v>
      </c>
      <c r="H751" s="35" t="s">
        <v>3826</v>
      </c>
      <c r="I751" s="35" t="s">
        <v>272</v>
      </c>
      <c r="J751" s="35"/>
      <c r="K751" s="37">
        <f>IFERROR(__xludf.DUMMYFUNCTION("query(assistance!$A$2:$E988,""Select C Where D = '""&amp;L751&amp;""'"")"),32.0)</f>
        <v>32</v>
      </c>
      <c r="L751" s="36" t="s">
        <v>208</v>
      </c>
      <c r="M751" s="38">
        <f t="shared" si="97"/>
        <v>1</v>
      </c>
      <c r="N751" s="39" t="s">
        <v>42</v>
      </c>
      <c r="O751" s="57">
        <v>46040.0</v>
      </c>
      <c r="P751" s="35" t="s">
        <v>43</v>
      </c>
      <c r="Q751" s="35"/>
      <c r="R751" s="35" t="s">
        <v>3827</v>
      </c>
      <c r="S751" s="35" t="b">
        <v>1</v>
      </c>
      <c r="T751" s="35" t="b">
        <v>0</v>
      </c>
      <c r="U751" s="41" t="str">
        <f>IFERROR(__xludf.DUMMYFUNCTION("""["" &amp; JOIN("", "", ARRAYFORMULA("""""""" &amp; TRIM(SPLIT(A751,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51" s="42" t="s">
        <v>804</v>
      </c>
      <c r="W751" s="42" t="s">
        <v>3824</v>
      </c>
      <c r="X751" s="43"/>
      <c r="Y751" s="44" t="str">
        <f>vlookup(G751,zip_codes!$B$6:$J988,3,false)</f>
        <v>Pasadena</v>
      </c>
      <c r="Z751" s="45" t="str">
        <f>vlookup(G751,zip_codes!$B$6:$J988,9,false)</f>
        <v>Pasadena</v>
      </c>
      <c r="AA751" s="44" t="str">
        <f>vlookup(B751,organizations!$B$1:$C988,2,false)</f>
        <v>Harris County Public Health</v>
      </c>
      <c r="AB751" s="55" t="s">
        <v>3825</v>
      </c>
      <c r="AC751" s="47" t="s">
        <v>278</v>
      </c>
      <c r="AD751" s="58" t="s">
        <v>729</v>
      </c>
      <c r="AE751" s="48" t="str">
        <f t="shared" si="85"/>
        <v>Southeast Clinic3737 Red Bluff Road32</v>
      </c>
      <c r="AF751" s="48" t="str">
        <f t="shared" si="92"/>
        <v/>
      </c>
    </row>
    <row r="752" ht="66.75" customHeight="1">
      <c r="A752" s="71" t="s">
        <v>266</v>
      </c>
      <c r="B752" s="35" t="s">
        <v>3822</v>
      </c>
      <c r="C752" s="36" t="s">
        <v>3823</v>
      </c>
      <c r="D752" s="36"/>
      <c r="E752" s="36" t="s">
        <v>729</v>
      </c>
      <c r="F752" s="36" t="s">
        <v>37</v>
      </c>
      <c r="G752" s="56" t="s">
        <v>898</v>
      </c>
      <c r="H752" s="35" t="s">
        <v>434</v>
      </c>
      <c r="I752" s="35" t="s">
        <v>272</v>
      </c>
      <c r="J752" s="35" t="s">
        <v>298</v>
      </c>
      <c r="K752" s="37">
        <f>IFERROR(__xludf.DUMMYFUNCTION("query(assistance!$A$2:$E988,""Select C Where D = '""&amp;L752&amp;""'"")"),33.0)</f>
        <v>33</v>
      </c>
      <c r="L752" s="36" t="s">
        <v>333</v>
      </c>
      <c r="M752" s="38">
        <f t="shared" si="97"/>
        <v>1</v>
      </c>
      <c r="N752" s="39" t="s">
        <v>42</v>
      </c>
      <c r="O752" s="57">
        <v>46050.0</v>
      </c>
      <c r="P752" s="35" t="s">
        <v>43</v>
      </c>
      <c r="Q752" s="35"/>
      <c r="R752" s="35" t="s">
        <v>435</v>
      </c>
      <c r="S752" s="35" t="b">
        <v>0</v>
      </c>
      <c r="T752" s="35" t="b">
        <v>0</v>
      </c>
      <c r="U752" s="41" t="str">
        <f>IFERROR(__xludf.DUMMYFUNCTION("""["" &amp; JOIN("", "", ARRAYFORMULA("""""""" &amp; TRIM(SPLIT(A752,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52" s="42" t="s">
        <v>2588</v>
      </c>
      <c r="W752" s="42" t="s">
        <v>3824</v>
      </c>
      <c r="X752" s="43"/>
      <c r="Y752" s="44" t="str">
        <f>vlookup(G752,zip_codes!$B$6:$J988,3,false)</f>
        <v>Pasadena</v>
      </c>
      <c r="Z752" s="45" t="str">
        <f>vlookup(G752,zip_codes!$B$6:$J988,9,false)</f>
        <v>Pasadena</v>
      </c>
      <c r="AA752" s="44" t="str">
        <f>vlookup(B752,organizations!$B$1:$C988,2,false)</f>
        <v>Harris County Public Health</v>
      </c>
      <c r="AB752" s="55" t="s">
        <v>3825</v>
      </c>
      <c r="AC752" s="47" t="s">
        <v>278</v>
      </c>
      <c r="AD752" s="58" t="s">
        <v>729</v>
      </c>
      <c r="AE752" s="48" t="str">
        <f t="shared" si="85"/>
        <v>Southeast Clinic3737 Red Bluff Road33</v>
      </c>
      <c r="AF752" s="48" t="str">
        <f t="shared" si="92"/>
        <v/>
      </c>
    </row>
    <row r="753" ht="66.75" customHeight="1">
      <c r="A753" s="71" t="s">
        <v>266</v>
      </c>
      <c r="B753" s="35" t="s">
        <v>3822</v>
      </c>
      <c r="C753" s="36" t="s">
        <v>3823</v>
      </c>
      <c r="D753" s="36"/>
      <c r="E753" s="36" t="s">
        <v>729</v>
      </c>
      <c r="F753" s="36" t="s">
        <v>37</v>
      </c>
      <c r="G753" s="56" t="s">
        <v>898</v>
      </c>
      <c r="H753" s="35" t="s">
        <v>434</v>
      </c>
      <c r="I753" s="35" t="s">
        <v>272</v>
      </c>
      <c r="J753" s="35" t="s">
        <v>298</v>
      </c>
      <c r="K753" s="37">
        <f>IFERROR(__xludf.DUMMYFUNCTION("query(assistance!$A$2:$E988,""Select C Where D = '""&amp;L753&amp;""'"")"),55.0)</f>
        <v>55</v>
      </c>
      <c r="L753" s="36" t="s">
        <v>436</v>
      </c>
      <c r="M753" s="38">
        <f t="shared" si="97"/>
        <v>1</v>
      </c>
      <c r="N753" s="39" t="s">
        <v>42</v>
      </c>
      <c r="O753" s="57">
        <v>46050.0</v>
      </c>
      <c r="P753" s="35" t="s">
        <v>43</v>
      </c>
      <c r="Q753" s="35"/>
      <c r="R753" s="35" t="s">
        <v>437</v>
      </c>
      <c r="S753" s="35" t="b">
        <v>0</v>
      </c>
      <c r="T753" s="35" t="b">
        <v>0</v>
      </c>
      <c r="U753" s="41" t="str">
        <f>IFERROR(__xludf.DUMMYFUNCTION("""["" &amp; JOIN("", "", ARRAYFORMULA("""""""" &amp; TRIM(SPLIT(A753,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""77054"", ""77055"", ""77056"", ""77057"", ""77058"", ""77059"", ""77060"", ""77061"", ""77062"", ""77063"", ""77064"", ""77065"", ""77066"", ""77067"", ""77068"", ""77069"", ""77070"", ""77071"", ""77072"", ""77"&amp;"073"", ""77074"", ""77075"", ""77076"", ""77077"", ""77078"", ""77079"", ""77080"", ""77081"", ""77082"", ""77083"", ""77084"", ""77085"", ""77086"", ""77087"", ""77088"", ""77089"", ""77090"", ""77091"", ""77092"", ""77093"", ""77094"", ""77095"", ""7709"&amp;"6"", ""77098"", ""77099"", ""77210"", ""77231"", ""77242"", ""77257"", ""77277"", ""77279"", ""77336"", ""77338"", ""77339"", ""77345"", ""77346"", ""77347"", ""77357"", ""77365"", ""77373"", ""77375"", ""77377"", ""77379"", ""77383"", ""77387"", ""77388"&amp;""", ""77389"", ""77393"", ""77396"", ""77401"", ""77410"", ""77429"", ""77433"", ""77447"", ""77449"", ""77450"", ""77493"", ""77501"", ""77502"", ""77503"", ""77504"", ""77505"", ""77506"", ""77507"", ""77508"", ""77520"", ""77521"", ""77530"", ""77532"""&amp;", ""77535"", ""77536"", ""77546"", ""77547"", ""77562"", ""77571"", ""77581"", ""77586"", ""77587"", ""77598""]")</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v>
      </c>
      <c r="V753" s="42" t="s">
        <v>438</v>
      </c>
      <c r="W753" s="42" t="s">
        <v>3824</v>
      </c>
      <c r="X753" s="43"/>
      <c r="Y753" s="44" t="str">
        <f>vlookup(G753,zip_codes!$B$6:$J988,3,false)</f>
        <v>Pasadena</v>
      </c>
      <c r="Z753" s="45" t="str">
        <f>vlookup(G753,zip_codes!$B$6:$J988,9,false)</f>
        <v>Pasadena</v>
      </c>
      <c r="AA753" s="44" t="str">
        <f>vlookup(B753,organizations!$B$1:$C988,2,false)</f>
        <v>Harris County Public Health</v>
      </c>
      <c r="AB753" s="55" t="s">
        <v>3825</v>
      </c>
      <c r="AC753" s="47" t="s">
        <v>278</v>
      </c>
      <c r="AD753" s="58" t="s">
        <v>729</v>
      </c>
      <c r="AE753" s="48" t="str">
        <f t="shared" si="85"/>
        <v>Southeast Clinic3737 Red Bluff Road55</v>
      </c>
      <c r="AF753" s="48" t="str">
        <f t="shared" si="92"/>
        <v/>
      </c>
    </row>
    <row r="754" ht="66.75" customHeight="1">
      <c r="A754" s="34" t="s">
        <v>234</v>
      </c>
      <c r="B754" s="35" t="s">
        <v>3828</v>
      </c>
      <c r="C754" s="36" t="s">
        <v>3829</v>
      </c>
      <c r="D754" s="36"/>
      <c r="E754" s="36" t="s">
        <v>36</v>
      </c>
      <c r="F754" s="36" t="s">
        <v>37</v>
      </c>
      <c r="G754" s="56" t="s">
        <v>567</v>
      </c>
      <c r="H754" s="35" t="s">
        <v>3830</v>
      </c>
      <c r="I754" s="35" t="s">
        <v>3831</v>
      </c>
      <c r="J754" s="35"/>
      <c r="K754" s="37">
        <f>IFERROR(__xludf.DUMMYFUNCTION("query(assistance!$A$2:$E988,""Select C Where D = '""&amp;L754&amp;""'"")"),35.0)</f>
        <v>35</v>
      </c>
      <c r="L754" s="36" t="s">
        <v>731</v>
      </c>
      <c r="M754" s="38">
        <f t="shared" si="97"/>
        <v>1</v>
      </c>
      <c r="N754" s="39" t="s">
        <v>42</v>
      </c>
      <c r="O754" s="57">
        <v>46057.0</v>
      </c>
      <c r="P754" s="35" t="s">
        <v>43</v>
      </c>
      <c r="Q754" s="35"/>
      <c r="R754" s="35" t="s">
        <v>2309</v>
      </c>
      <c r="S754" s="35" t="b">
        <v>0</v>
      </c>
      <c r="T754" s="35" t="b">
        <v>0</v>
      </c>
      <c r="U754" s="41" t="str">
        <f>IFERROR(__xludf.DUMMYFUNCTION("""["" &amp; JOIN("", "", ARRAYFORMULA("""""""" &amp; TRIM(SPLIT(A754,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754" s="42" t="s">
        <v>3832</v>
      </c>
      <c r="W754" s="42" t="s">
        <v>3833</v>
      </c>
      <c r="X754" s="43"/>
      <c r="Y754" s="44" t="str">
        <f>vlookup(G754,zip_codes!$B$6:$J988,3,false)</f>
        <v>Houston</v>
      </c>
      <c r="Z754" s="45" t="str">
        <f>vlookup(G754,zip_codes!$B$6:$J988,9,false)</f>
        <v>Braeburn, Robindell, Sharpstown</v>
      </c>
      <c r="AA754" s="44" t="str">
        <f>vlookup(B754,organizations!$B$1:$C988,2,false)</f>
        <v>City of Houston</v>
      </c>
      <c r="AB754" s="55" t="s">
        <v>3834</v>
      </c>
      <c r="AC754" s="47" t="str">
        <f t="shared" ref="AC754:AC755" si="98">PARSE_HOURS(I754)</f>
        <v>{"regular":[{"days":["Mo","Tu","We","Th","Fr"],"open":"08:30","close":"23:30"},{"days":["Mo","Tu","We","Th","Fr"],"open":"42:00","close":"15:30"}]}</v>
      </c>
      <c r="AD754" s="58" t="s">
        <v>572</v>
      </c>
      <c r="AE754" s="48"/>
      <c r="AF754" s="48"/>
    </row>
    <row r="755" ht="66.75" customHeight="1">
      <c r="A755" s="34" t="s">
        <v>234</v>
      </c>
      <c r="B755" s="35" t="s">
        <v>3828</v>
      </c>
      <c r="C755" s="36" t="s">
        <v>3829</v>
      </c>
      <c r="D755" s="36"/>
      <c r="E755" s="36" t="s">
        <v>36</v>
      </c>
      <c r="F755" s="36" t="s">
        <v>37</v>
      </c>
      <c r="G755" s="56" t="s">
        <v>567</v>
      </c>
      <c r="H755" s="35" t="s">
        <v>341</v>
      </c>
      <c r="I755" s="35" t="s">
        <v>3835</v>
      </c>
      <c r="J755" s="35"/>
      <c r="K755" s="37">
        <f>IFERROR(__xludf.DUMMYFUNCTION("query(assistance!$A$2:$E988,""Select C Where D = '""&amp;L755&amp;""'"")"),44.0)</f>
        <v>44</v>
      </c>
      <c r="L755" s="36" t="s">
        <v>102</v>
      </c>
      <c r="M755" s="38">
        <f t="shared" si="97"/>
        <v>1</v>
      </c>
      <c r="N755" s="39" t="s">
        <v>42</v>
      </c>
      <c r="O755" s="57">
        <v>46057.0</v>
      </c>
      <c r="P755" s="35" t="s">
        <v>43</v>
      </c>
      <c r="Q755" s="35"/>
      <c r="R755" s="35" t="s">
        <v>246</v>
      </c>
      <c r="S755" s="35" t="b">
        <v>0</v>
      </c>
      <c r="T755" s="35" t="b">
        <v>0</v>
      </c>
      <c r="U755" s="41" t="str">
        <f>IFERROR(__xludf.DUMMYFUNCTION("""["" &amp; JOIN("", "", ARRAYFORMULA("""""""" &amp; TRIM(SPLIT(A755,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755" s="42" t="s">
        <v>3832</v>
      </c>
      <c r="W755" s="42" t="s">
        <v>3833</v>
      </c>
      <c r="X755" s="43"/>
      <c r="Y755" s="44" t="str">
        <f>vlookup(G755,zip_codes!$B$6:$J988,3,false)</f>
        <v>Houston</v>
      </c>
      <c r="Z755" s="45" t="str">
        <f>vlookup(G755,zip_codes!$B$6:$J988,9,false)</f>
        <v>Braeburn, Robindell, Sharpstown</v>
      </c>
      <c r="AA755" s="44" t="str">
        <f>vlookup(B755,organizations!$B$1:$C988,2,false)</f>
        <v>City of Houston</v>
      </c>
      <c r="AB755" s="55" t="s">
        <v>3834</v>
      </c>
      <c r="AC755" s="47" t="str">
        <f t="shared" si="98"/>
        <v>{"regular":[{"days":["Mo"],"open":"09:00","close":"18:00"},{"days":["Tu","We","Th"],"open":"08:00","close":"17:00"}],"special":[{"pattern":"3rd Sa","open":"08:00","close":"12:00"}]}</v>
      </c>
      <c r="AD755" s="58" t="s">
        <v>572</v>
      </c>
      <c r="AE755" s="48"/>
      <c r="AF755" s="48"/>
    </row>
    <row r="756" ht="66.75" customHeight="1">
      <c r="A756" s="49" t="s">
        <v>3836</v>
      </c>
      <c r="B756" s="35" t="s">
        <v>3837</v>
      </c>
      <c r="C756" s="36" t="s">
        <v>3838</v>
      </c>
      <c r="D756" s="36"/>
      <c r="E756" s="36" t="s">
        <v>36</v>
      </c>
      <c r="F756" s="36" t="s">
        <v>37</v>
      </c>
      <c r="G756" s="35" t="s">
        <v>533</v>
      </c>
      <c r="H756" s="35" t="s">
        <v>3839</v>
      </c>
      <c r="I756" s="35" t="s">
        <v>3840</v>
      </c>
      <c r="J756" s="35"/>
      <c r="K756" s="37">
        <f>IFERROR(__xludf.DUMMYFUNCTION("query(assistance!$A$2:$E988,""Select C Where D = '""&amp;L756&amp;""'"")"),13.0)</f>
        <v>13</v>
      </c>
      <c r="L756" s="36" t="s">
        <v>240</v>
      </c>
      <c r="M756" s="39">
        <f>if(N756="Inactive",3,if(N756="Limited", 2, if(N756="Closed", 4, 1)))</f>
        <v>4</v>
      </c>
      <c r="N756" s="51" t="s">
        <v>57</v>
      </c>
      <c r="O756" s="40">
        <v>45663.0</v>
      </c>
      <c r="P756" s="35" t="s">
        <v>58</v>
      </c>
      <c r="Q756" s="50"/>
      <c r="R756" s="50"/>
      <c r="S756" s="35" t="b">
        <v>0</v>
      </c>
      <c r="T756" s="35" t="b">
        <v>0</v>
      </c>
      <c r="U756" s="41" t="str">
        <f>IFERROR(__xludf.DUMMYFUNCTION("""["" &amp; JOIN("", "", ARRAYFORMULA("""""""" &amp; TRIM(SPLIT(A756, "","")) &amp; """""""")) &amp; ""]"""),"[""77090"", ""77091""]")</f>
        <v>["77090", "77091"]</v>
      </c>
      <c r="V756" s="52" t="s">
        <v>3841</v>
      </c>
      <c r="W756" s="52" t="s">
        <v>3842</v>
      </c>
      <c r="X756" s="43"/>
      <c r="Y756" s="44" t="str">
        <f>vlookup(G756,zip_codes!$B$6:$J988,3,false)</f>
        <v>Houston</v>
      </c>
      <c r="Z756" s="45" t="str">
        <f>vlookup(G756,zip_codes!$B$6:$J988,9,false)</f>
        <v>Cypress Station, Ella Crossing, Westador</v>
      </c>
      <c r="AA756" s="44" t="str">
        <f>vlookup(B756,organizations!$B$1:$C988,2,false)</f>
        <v>Springwoods UMC</v>
      </c>
      <c r="AB756" s="46" t="s">
        <v>3843</v>
      </c>
      <c r="AC756" s="47" t="s">
        <v>3844</v>
      </c>
      <c r="AD756" s="58" t="s">
        <v>538</v>
      </c>
      <c r="AE756" s="48" t="str">
        <f t="shared" ref="AE756:AE902" si="99">B756&amp;C756&amp;K756</f>
        <v>Springwoods UMC1711 Cypress Creek Pkwy13</v>
      </c>
      <c r="AF756" s="48" t="str">
        <f t="shared" ref="AF756:AF804" si="100">if(AE756=AE755,"XXX","")</f>
        <v/>
      </c>
    </row>
    <row r="757" ht="66.75" customHeight="1">
      <c r="A757" s="49" t="s">
        <v>3845</v>
      </c>
      <c r="B757" s="35" t="s">
        <v>3846</v>
      </c>
      <c r="C757" s="36" t="s">
        <v>3847</v>
      </c>
      <c r="D757" s="36"/>
      <c r="E757" s="36" t="s">
        <v>36</v>
      </c>
      <c r="F757" s="36" t="s">
        <v>37</v>
      </c>
      <c r="G757" s="35" t="s">
        <v>1405</v>
      </c>
      <c r="H757" s="35" t="s">
        <v>3848</v>
      </c>
      <c r="I757" s="35" t="s">
        <v>3849</v>
      </c>
      <c r="J757" s="35"/>
      <c r="K757" s="37">
        <f>IFERROR(__xludf.DUMMYFUNCTION("query(assistance!$A$2:$E988,""Select C Where D = '""&amp;L757&amp;""'"")"),11.0)</f>
        <v>11</v>
      </c>
      <c r="L757" s="36" t="s">
        <v>322</v>
      </c>
      <c r="M757" s="38">
        <f t="shared" ref="M757:M797" si="101">if(N757="Inactive",3,if(N757="Limited", 2, 1))</f>
        <v>1</v>
      </c>
      <c r="N757" s="39" t="s">
        <v>42</v>
      </c>
      <c r="O757" s="65"/>
      <c r="P757" s="50"/>
      <c r="Q757" s="35"/>
      <c r="R757" s="35"/>
      <c r="S757" s="35" t="b">
        <v>0</v>
      </c>
      <c r="T757" s="35" t="b">
        <v>0</v>
      </c>
      <c r="U757" s="41" t="str">
        <f>IFERROR(__xludf.DUMMYFUNCTION("""["" &amp; JOIN("", "", ARRAYFORMULA("""""""" &amp; TRIM(SPLIT(A757, "","")) &amp; """""""")) &amp; ""]"""),"[""77031"", ""77071""]")</f>
        <v>["77031", "77071"]</v>
      </c>
      <c r="V757" s="52" t="s">
        <v>3850</v>
      </c>
      <c r="W757" s="52" t="s">
        <v>3851</v>
      </c>
      <c r="X757" s="43"/>
      <c r="Y757" s="44" t="str">
        <f>vlookup(G757,zip_codes!$B$6:$J988,3,false)</f>
        <v>Houston</v>
      </c>
      <c r="Z757" s="45" t="str">
        <f>vlookup(G757,zip_codes!$B$6:$J988,9,false)</f>
        <v>Brays Oaks, Fondren Gardens, Westbury</v>
      </c>
      <c r="AA757" s="44" t="str">
        <f>vlookup(B757,organizations!$B$1:$C988,2,false)</f>
        <v>Society of St Vincent de Paul</v>
      </c>
      <c r="AB757" s="46" t="s">
        <v>3852</v>
      </c>
      <c r="AC757" s="47" t="s">
        <v>3853</v>
      </c>
      <c r="AD757" s="48" t="s">
        <v>62</v>
      </c>
      <c r="AE757" s="48" t="str">
        <f t="shared" si="99"/>
        <v>St Albert of Trapani (SVdP D3)11027 S Gessner Road11</v>
      </c>
      <c r="AF757" s="48" t="str">
        <f t="shared" si="100"/>
        <v/>
      </c>
    </row>
    <row r="758" ht="66.75" customHeight="1">
      <c r="A758" s="49" t="s">
        <v>3845</v>
      </c>
      <c r="B758" s="35" t="s">
        <v>3846</v>
      </c>
      <c r="C758" s="36" t="s">
        <v>3847</v>
      </c>
      <c r="D758" s="36"/>
      <c r="E758" s="36" t="s">
        <v>36</v>
      </c>
      <c r="F758" s="36" t="s">
        <v>37</v>
      </c>
      <c r="G758" s="35" t="s">
        <v>1405</v>
      </c>
      <c r="H758" s="35" t="s">
        <v>3848</v>
      </c>
      <c r="I758" s="35" t="s">
        <v>3849</v>
      </c>
      <c r="J758" s="35"/>
      <c r="K758" s="37">
        <f>IFERROR(__xludf.DUMMYFUNCTION("query(assistance!$A$2:$E988,""Select C Where D = '""&amp;L758&amp;""'"")"),12.0)</f>
        <v>12</v>
      </c>
      <c r="L758" s="36" t="s">
        <v>330</v>
      </c>
      <c r="M758" s="38">
        <f t="shared" si="101"/>
        <v>1</v>
      </c>
      <c r="N758" s="39" t="s">
        <v>42</v>
      </c>
      <c r="O758" s="65"/>
      <c r="P758" s="50"/>
      <c r="Q758" s="35"/>
      <c r="R758" s="35"/>
      <c r="S758" s="35" t="b">
        <v>0</v>
      </c>
      <c r="T758" s="35" t="b">
        <v>0</v>
      </c>
      <c r="U758" s="41" t="str">
        <f>IFERROR(__xludf.DUMMYFUNCTION("""["" &amp; JOIN("", "", ARRAYFORMULA("""""""" &amp; TRIM(SPLIT(A758, "","")) &amp; """""""")) &amp; ""]"""),"[""77031"", ""77071""]")</f>
        <v>["77031", "77071"]</v>
      </c>
      <c r="V758" s="52" t="s">
        <v>3850</v>
      </c>
      <c r="W758" s="52" t="s">
        <v>3851</v>
      </c>
      <c r="X758" s="43"/>
      <c r="Y758" s="44" t="str">
        <f>vlookup(G758,zip_codes!$B$6:$J988,3,false)</f>
        <v>Houston</v>
      </c>
      <c r="Z758" s="45" t="str">
        <f>vlookup(G758,zip_codes!$B$6:$J988,9,false)</f>
        <v>Brays Oaks, Fondren Gardens, Westbury</v>
      </c>
      <c r="AA758" s="44" t="str">
        <f>vlookup(B758,organizations!$B$1:$C988,2,false)</f>
        <v>Society of St Vincent de Paul</v>
      </c>
      <c r="AB758" s="46" t="s">
        <v>3852</v>
      </c>
      <c r="AC758" s="47" t="s">
        <v>3853</v>
      </c>
      <c r="AD758" s="48" t="s">
        <v>62</v>
      </c>
      <c r="AE758" s="48" t="str">
        <f t="shared" si="99"/>
        <v>St Albert of Trapani (SVdP D3)11027 S Gessner Road12</v>
      </c>
      <c r="AF758" s="48" t="str">
        <f t="shared" si="100"/>
        <v/>
      </c>
    </row>
    <row r="759" ht="66.75" customHeight="1">
      <c r="A759" s="49" t="s">
        <v>3845</v>
      </c>
      <c r="B759" s="35" t="s">
        <v>3846</v>
      </c>
      <c r="C759" s="36" t="s">
        <v>3847</v>
      </c>
      <c r="D759" s="36"/>
      <c r="E759" s="36" t="s">
        <v>36</v>
      </c>
      <c r="F759" s="36" t="s">
        <v>37</v>
      </c>
      <c r="G759" s="35" t="s">
        <v>1405</v>
      </c>
      <c r="H759" s="35" t="s">
        <v>3848</v>
      </c>
      <c r="I759" s="35" t="s">
        <v>3849</v>
      </c>
      <c r="J759" s="35"/>
      <c r="K759" s="37">
        <f>IFERROR(__xludf.DUMMYFUNCTION("query(assistance!$A$2:$E988,""Select C Where D = '""&amp;L759&amp;""'"")"),13.0)</f>
        <v>13</v>
      </c>
      <c r="L759" s="36" t="s">
        <v>240</v>
      </c>
      <c r="M759" s="38">
        <f t="shared" si="101"/>
        <v>1</v>
      </c>
      <c r="N759" s="39" t="s">
        <v>42</v>
      </c>
      <c r="O759" s="65"/>
      <c r="P759" s="50"/>
      <c r="Q759" s="35"/>
      <c r="R759" s="35"/>
      <c r="S759" s="35" t="b">
        <v>0</v>
      </c>
      <c r="T759" s="35" t="b">
        <v>0</v>
      </c>
      <c r="U759" s="41" t="str">
        <f>IFERROR(__xludf.DUMMYFUNCTION("""["" &amp; JOIN("", "", ARRAYFORMULA("""""""" &amp; TRIM(SPLIT(A759, "","")) &amp; """""""")) &amp; ""]"""),"[""77031"", ""77071""]")</f>
        <v>["77031", "77071"]</v>
      </c>
      <c r="V759" s="52" t="s">
        <v>3850</v>
      </c>
      <c r="W759" s="52" t="s">
        <v>3851</v>
      </c>
      <c r="X759" s="43"/>
      <c r="Y759" s="44" t="str">
        <f>vlookup(G759,zip_codes!$B$6:$J988,3,false)</f>
        <v>Houston</v>
      </c>
      <c r="Z759" s="45" t="str">
        <f>vlookup(G759,zip_codes!$B$6:$J988,9,false)</f>
        <v>Brays Oaks, Fondren Gardens, Westbury</v>
      </c>
      <c r="AA759" s="44" t="str">
        <f>vlookup(B759,organizations!$B$1:$C988,2,false)</f>
        <v>Society of St Vincent de Paul</v>
      </c>
      <c r="AB759" s="46" t="s">
        <v>3852</v>
      </c>
      <c r="AC759" s="47" t="s">
        <v>3853</v>
      </c>
      <c r="AD759" s="48" t="s">
        <v>62</v>
      </c>
      <c r="AE759" s="48" t="str">
        <f t="shared" si="99"/>
        <v>St Albert of Trapani (SVdP D3)11027 S Gessner Road13</v>
      </c>
      <c r="AF759" s="48" t="str">
        <f t="shared" si="100"/>
        <v/>
      </c>
    </row>
    <row r="760" ht="66.75" customHeight="1">
      <c r="A760" s="49" t="s">
        <v>3854</v>
      </c>
      <c r="B760" s="35" t="s">
        <v>3855</v>
      </c>
      <c r="C760" s="36" t="s">
        <v>3856</v>
      </c>
      <c r="D760" s="36"/>
      <c r="E760" s="36" t="s">
        <v>36</v>
      </c>
      <c r="F760" s="36" t="s">
        <v>37</v>
      </c>
      <c r="G760" s="35" t="s">
        <v>1265</v>
      </c>
      <c r="H760" s="35" t="s">
        <v>3857</v>
      </c>
      <c r="I760" s="35" t="s">
        <v>3858</v>
      </c>
      <c r="J760" s="35"/>
      <c r="K760" s="37">
        <f>IFERROR(__xludf.DUMMYFUNCTION("query(assistance!$A$2:$E988,""Select C Where D = '""&amp;L760&amp;""'"")"),11.0)</f>
        <v>11</v>
      </c>
      <c r="L760" s="36" t="s">
        <v>322</v>
      </c>
      <c r="M760" s="38">
        <f t="shared" si="101"/>
        <v>1</v>
      </c>
      <c r="N760" s="39" t="s">
        <v>42</v>
      </c>
      <c r="O760" s="65"/>
      <c r="P760" s="50"/>
      <c r="Q760" s="35"/>
      <c r="R760" s="35"/>
      <c r="S760" s="35" t="b">
        <v>0</v>
      </c>
      <c r="T760" s="35" t="b">
        <v>0</v>
      </c>
      <c r="U760" s="41" t="str">
        <f>IFERROR(__xludf.DUMMYFUNCTION("""["" &amp; JOIN("", "", ARRAYFORMULA("""""""" &amp; TRIM(SPLIT(A760, "","")) &amp; """""""")) &amp; ""]"""),"[""77018"", ""77091"", ""77092""]")</f>
        <v>["77018", "77091", "77092"]</v>
      </c>
      <c r="V760" s="52" t="s">
        <v>3859</v>
      </c>
      <c r="W760" s="52" t="s">
        <v>3860</v>
      </c>
      <c r="X760" s="43"/>
      <c r="Y760" s="44" t="str">
        <f>vlookup(G760,zip_codes!$B$6:$J988,3,false)</f>
        <v>Houston</v>
      </c>
      <c r="Z760" s="45" t="str">
        <f>vlookup(G760,zip_codes!$B$6:$J988,9,false)</f>
        <v>Central Northwest, Fairbanks / Northwest Crossing, Lazybrook / Timbergrove, Oak Forest West, Westside</v>
      </c>
      <c r="AA760" s="44" t="str">
        <f>vlookup(B760,organizations!$B$1:$C988,2,false)</f>
        <v>Society of St Vincent de Paul</v>
      </c>
      <c r="AB760" s="46" t="s">
        <v>3861</v>
      </c>
      <c r="AC760" s="47" t="s">
        <v>3862</v>
      </c>
      <c r="AD760" s="48" t="s">
        <v>2185</v>
      </c>
      <c r="AE760" s="48" t="str">
        <f t="shared" si="99"/>
        <v>St Ambrose (SVdP D4)4213 Mangum Road11</v>
      </c>
      <c r="AF760" s="48" t="str">
        <f t="shared" si="100"/>
        <v/>
      </c>
    </row>
    <row r="761" ht="66.75" customHeight="1">
      <c r="A761" s="49" t="s">
        <v>3854</v>
      </c>
      <c r="B761" s="35" t="s">
        <v>3855</v>
      </c>
      <c r="C761" s="36" t="s">
        <v>3856</v>
      </c>
      <c r="D761" s="36"/>
      <c r="E761" s="36" t="s">
        <v>36</v>
      </c>
      <c r="F761" s="36" t="s">
        <v>37</v>
      </c>
      <c r="G761" s="35" t="s">
        <v>1265</v>
      </c>
      <c r="H761" s="35" t="s">
        <v>3857</v>
      </c>
      <c r="I761" s="35" t="s">
        <v>3858</v>
      </c>
      <c r="J761" s="35"/>
      <c r="K761" s="37">
        <f>IFERROR(__xludf.DUMMYFUNCTION("query(assistance!$A$2:$E988,""Select C Where D = '""&amp;L761&amp;""'"")"),12.0)</f>
        <v>12</v>
      </c>
      <c r="L761" s="36" t="s">
        <v>330</v>
      </c>
      <c r="M761" s="38">
        <f t="shared" si="101"/>
        <v>1</v>
      </c>
      <c r="N761" s="39" t="s">
        <v>42</v>
      </c>
      <c r="O761" s="65"/>
      <c r="P761" s="50"/>
      <c r="Q761" s="35"/>
      <c r="R761" s="35"/>
      <c r="S761" s="35" t="b">
        <v>0</v>
      </c>
      <c r="T761" s="35" t="b">
        <v>0</v>
      </c>
      <c r="U761" s="41" t="str">
        <f>IFERROR(__xludf.DUMMYFUNCTION("""["" &amp; JOIN("", "", ARRAYFORMULA("""""""" &amp; TRIM(SPLIT(A761, "","")) &amp; """""""")) &amp; ""]"""),"[""77018"", ""77091"", ""77092""]")</f>
        <v>["77018", "77091", "77092"]</v>
      </c>
      <c r="V761" s="52" t="s">
        <v>3859</v>
      </c>
      <c r="W761" s="52" t="s">
        <v>3860</v>
      </c>
      <c r="X761" s="43"/>
      <c r="Y761" s="44" t="str">
        <f>vlookup(G761,zip_codes!$B$6:$J988,3,false)</f>
        <v>Houston</v>
      </c>
      <c r="Z761" s="45" t="str">
        <f>vlookup(G761,zip_codes!$B$6:$J988,9,false)</f>
        <v>Central Northwest, Fairbanks / Northwest Crossing, Lazybrook / Timbergrove, Oak Forest West, Westside</v>
      </c>
      <c r="AA761" s="44" t="str">
        <f>vlookup(B761,organizations!$B$1:$C988,2,false)</f>
        <v>Society of St Vincent de Paul</v>
      </c>
      <c r="AB761" s="46" t="s">
        <v>3861</v>
      </c>
      <c r="AC761" s="47" t="s">
        <v>3862</v>
      </c>
      <c r="AD761" s="48" t="s">
        <v>2185</v>
      </c>
      <c r="AE761" s="48" t="str">
        <f t="shared" si="99"/>
        <v>St Ambrose (SVdP D4)4213 Mangum Road12</v>
      </c>
      <c r="AF761" s="48" t="str">
        <f t="shared" si="100"/>
        <v/>
      </c>
    </row>
    <row r="762" ht="66.75" customHeight="1">
      <c r="A762" s="49" t="s">
        <v>3863</v>
      </c>
      <c r="B762" s="35" t="s">
        <v>3864</v>
      </c>
      <c r="C762" s="36" t="s">
        <v>3865</v>
      </c>
      <c r="D762" s="36"/>
      <c r="E762" s="36" t="s">
        <v>3866</v>
      </c>
      <c r="F762" s="36" t="s">
        <v>37</v>
      </c>
      <c r="G762" s="35" t="s">
        <v>3867</v>
      </c>
      <c r="H762" s="35" t="s">
        <v>3868</v>
      </c>
      <c r="I762" s="66"/>
      <c r="J762" s="89"/>
      <c r="K762" s="37">
        <f>IFERROR(__xludf.DUMMYFUNCTION("query(assistance!$A$2:$E988,""Select C Where D = '""&amp;L762&amp;""'"")"),11.0)</f>
        <v>11</v>
      </c>
      <c r="L762" s="36" t="s">
        <v>322</v>
      </c>
      <c r="M762" s="38">
        <f t="shared" si="101"/>
        <v>1</v>
      </c>
      <c r="N762" s="51" t="s">
        <v>42</v>
      </c>
      <c r="O762" s="40">
        <v>45637.0</v>
      </c>
      <c r="P762" s="50"/>
      <c r="Q762" s="35"/>
      <c r="R762" s="35"/>
      <c r="S762" s="35" t="b">
        <v>0</v>
      </c>
      <c r="T762" s="35" t="b">
        <v>0</v>
      </c>
      <c r="U762" s="41" t="str">
        <f>IFERROR(__xludf.DUMMYFUNCTION("""["" &amp; JOIN("", "", ARRAYFORMULA("""""""" &amp; TRIM(SPLIT(A762, "","")) &amp; """""""")) &amp; ""]"""),"[""77013"", ""77015"", ""77029"", ""77044"", ""77049"", ""77530""]")</f>
        <v>["77013", "77015", "77029", "77044", "77049", "77530"]</v>
      </c>
      <c r="V762" s="52" t="s">
        <v>3869</v>
      </c>
      <c r="W762" s="52" t="s">
        <v>3870</v>
      </c>
      <c r="X762" s="43"/>
      <c r="Y762" s="44" t="str">
        <f>vlookup(G762,zip_codes!$B$6:$J988,3,false)</f>
        <v>Channelview</v>
      </c>
      <c r="Z762" s="45" t="str">
        <f>vlookup(G762,zip_codes!$B$6:$J988,9,false)</f>
        <v>Channelview</v>
      </c>
      <c r="AA762" s="44" t="str">
        <f>vlookup(B762,organizations!$B$1:$C988,2,false)</f>
        <v>Society of St Vincent de Paul</v>
      </c>
      <c r="AB762" s="46" t="s">
        <v>3871</v>
      </c>
      <c r="AC762" s="53"/>
      <c r="AD762" s="48" t="s">
        <v>3866</v>
      </c>
      <c r="AE762" s="48" t="str">
        <f t="shared" si="99"/>
        <v>St Andrew (SVdP D5) Channelview827 Sheldon Road11</v>
      </c>
      <c r="AF762" s="48" t="str">
        <f t="shared" si="100"/>
        <v/>
      </c>
    </row>
    <row r="763" ht="66.75" customHeight="1">
      <c r="A763" s="49" t="s">
        <v>3863</v>
      </c>
      <c r="B763" s="35" t="s">
        <v>3864</v>
      </c>
      <c r="C763" s="36" t="s">
        <v>3865</v>
      </c>
      <c r="D763" s="36"/>
      <c r="E763" s="36" t="s">
        <v>3866</v>
      </c>
      <c r="F763" s="36" t="s">
        <v>37</v>
      </c>
      <c r="G763" s="35" t="s">
        <v>3867</v>
      </c>
      <c r="H763" s="35" t="s">
        <v>3868</v>
      </c>
      <c r="I763" s="66"/>
      <c r="J763" s="89"/>
      <c r="K763" s="37">
        <f>IFERROR(__xludf.DUMMYFUNCTION("query(assistance!$A$2:$E988,""Select C Where D = '""&amp;L763&amp;""'"")"),12.0)</f>
        <v>12</v>
      </c>
      <c r="L763" s="36" t="s">
        <v>330</v>
      </c>
      <c r="M763" s="38">
        <f t="shared" si="101"/>
        <v>1</v>
      </c>
      <c r="N763" s="51" t="s">
        <v>42</v>
      </c>
      <c r="O763" s="40">
        <v>45637.0</v>
      </c>
      <c r="P763" s="50"/>
      <c r="Q763" s="35"/>
      <c r="R763" s="35"/>
      <c r="S763" s="35" t="b">
        <v>0</v>
      </c>
      <c r="T763" s="35" t="b">
        <v>0</v>
      </c>
      <c r="U763" s="41" t="str">
        <f>IFERROR(__xludf.DUMMYFUNCTION("""["" &amp; JOIN("", "", ARRAYFORMULA("""""""" &amp; TRIM(SPLIT(A763, "","")) &amp; """""""")) &amp; ""]"""),"[""77013"", ""77015"", ""77029"", ""77044"", ""77049"", ""77530""]")</f>
        <v>["77013", "77015", "77029", "77044", "77049", "77530"]</v>
      </c>
      <c r="V763" s="52" t="s">
        <v>3869</v>
      </c>
      <c r="W763" s="52" t="s">
        <v>3870</v>
      </c>
      <c r="X763" s="43"/>
      <c r="Y763" s="44" t="str">
        <f>vlookup(G763,zip_codes!$B$6:$J988,3,false)</f>
        <v>Channelview</v>
      </c>
      <c r="Z763" s="45" t="str">
        <f>vlookup(G763,zip_codes!$B$6:$J988,9,false)</f>
        <v>Channelview</v>
      </c>
      <c r="AA763" s="44" t="str">
        <f>vlookup(B763,organizations!$B$1:$C988,2,false)</f>
        <v>Society of St Vincent de Paul</v>
      </c>
      <c r="AB763" s="46" t="s">
        <v>3871</v>
      </c>
      <c r="AC763" s="53"/>
      <c r="AD763" s="48" t="s">
        <v>3866</v>
      </c>
      <c r="AE763" s="48" t="str">
        <f t="shared" si="99"/>
        <v>St Andrew (SVdP D5) Channelview827 Sheldon Road12</v>
      </c>
      <c r="AF763" s="48" t="str">
        <f t="shared" si="100"/>
        <v/>
      </c>
    </row>
    <row r="764" ht="66.75" customHeight="1">
      <c r="A764" s="49" t="s">
        <v>3863</v>
      </c>
      <c r="B764" s="35" t="s">
        <v>3864</v>
      </c>
      <c r="C764" s="36" t="s">
        <v>3865</v>
      </c>
      <c r="D764" s="36"/>
      <c r="E764" s="36" t="s">
        <v>3866</v>
      </c>
      <c r="F764" s="36" t="s">
        <v>37</v>
      </c>
      <c r="G764" s="35" t="s">
        <v>3867</v>
      </c>
      <c r="H764" s="35" t="s">
        <v>3868</v>
      </c>
      <c r="I764" s="35" t="s">
        <v>3872</v>
      </c>
      <c r="J764" s="35"/>
      <c r="K764" s="37">
        <f>IFERROR(__xludf.DUMMYFUNCTION("query(assistance!$A$2:$E988,""Select C Where D = '""&amp;L764&amp;""'"")"),13.0)</f>
        <v>13</v>
      </c>
      <c r="L764" s="36" t="s">
        <v>240</v>
      </c>
      <c r="M764" s="38">
        <f t="shared" si="101"/>
        <v>1</v>
      </c>
      <c r="N764" s="51" t="s">
        <v>42</v>
      </c>
      <c r="O764" s="40">
        <v>45637.0</v>
      </c>
      <c r="P764" s="50"/>
      <c r="Q764" s="35"/>
      <c r="R764" s="35"/>
      <c r="S764" s="35" t="b">
        <v>0</v>
      </c>
      <c r="T764" s="35" t="b">
        <v>0</v>
      </c>
      <c r="U764" s="41" t="str">
        <f>IFERROR(__xludf.DUMMYFUNCTION("""["" &amp; JOIN("", "", ARRAYFORMULA("""""""" &amp; TRIM(SPLIT(A764, "","")) &amp; """""""")) &amp; ""]"""),"[""77013"", ""77015"", ""77029"", ""77044"", ""77049"", ""77530""]")</f>
        <v>["77013", "77015", "77029", "77044", "77049", "77530"]</v>
      </c>
      <c r="V764" s="52" t="s">
        <v>3873</v>
      </c>
      <c r="W764" s="52" t="s">
        <v>3870</v>
      </c>
      <c r="X764" s="43"/>
      <c r="Y764" s="44" t="str">
        <f>vlookup(G764,zip_codes!$B$6:$J988,3,false)</f>
        <v>Channelview</v>
      </c>
      <c r="Z764" s="45" t="str">
        <f>vlookup(G764,zip_codes!$B$6:$J988,9,false)</f>
        <v>Channelview</v>
      </c>
      <c r="AA764" s="44" t="str">
        <f>vlookup(B764,organizations!$B$1:$C988,2,false)</f>
        <v>Society of St Vincent de Paul</v>
      </c>
      <c r="AB764" s="46" t="s">
        <v>3871</v>
      </c>
      <c r="AC764" s="47" t="s">
        <v>3874</v>
      </c>
      <c r="AD764" s="48" t="s">
        <v>3866</v>
      </c>
      <c r="AE764" s="48" t="str">
        <f t="shared" si="99"/>
        <v>St Andrew (SVdP D5) Channelview827 Sheldon Road13</v>
      </c>
      <c r="AF764" s="48" t="str">
        <f t="shared" si="100"/>
        <v/>
      </c>
    </row>
    <row r="765" ht="66.75" customHeight="1">
      <c r="A765" s="49" t="s">
        <v>130</v>
      </c>
      <c r="B765" s="35" t="s">
        <v>3875</v>
      </c>
      <c r="C765" s="36" t="s">
        <v>3876</v>
      </c>
      <c r="D765" s="36"/>
      <c r="E765" s="36" t="s">
        <v>129</v>
      </c>
      <c r="F765" s="36" t="s">
        <v>37</v>
      </c>
      <c r="G765" s="35" t="s">
        <v>130</v>
      </c>
      <c r="H765" s="35" t="s">
        <v>3877</v>
      </c>
      <c r="I765" s="66"/>
      <c r="J765" s="35" t="s">
        <v>3637</v>
      </c>
      <c r="K765" s="37">
        <f>IFERROR(__xludf.DUMMYFUNCTION("query(assistance!$A$2:$E988,""Select C Where D = '""&amp;L765&amp;""'"")"),11.0)</f>
        <v>11</v>
      </c>
      <c r="L765" s="36" t="s">
        <v>322</v>
      </c>
      <c r="M765" s="38">
        <f t="shared" si="101"/>
        <v>1</v>
      </c>
      <c r="N765" s="51" t="s">
        <v>42</v>
      </c>
      <c r="O765" s="40">
        <v>45637.0</v>
      </c>
      <c r="P765" s="50"/>
      <c r="Q765" s="35"/>
      <c r="R765" s="35"/>
      <c r="S765" s="35" t="b">
        <v>0</v>
      </c>
      <c r="T765" s="35" t="b">
        <v>0</v>
      </c>
      <c r="U765" s="41" t="str">
        <f>IFERROR(__xludf.DUMMYFUNCTION("""["" &amp; JOIN("", "", ARRAYFORMULA("""""""" &amp; TRIM(SPLIT(A765, "","")) &amp; """""""")) &amp; ""]"""),"[""77459""]")</f>
        <v>["77459"]</v>
      </c>
      <c r="V765" s="52" t="s">
        <v>3878</v>
      </c>
      <c r="W765" s="52" t="s">
        <v>3879</v>
      </c>
      <c r="X765" s="43"/>
      <c r="Y765" s="44" t="str">
        <f>vlookup(G765,zip_codes!$B$6:$J988,3,false)</f>
        <v>Missouri City</v>
      </c>
      <c r="Z765" s="45" t="str">
        <f>vlookup(G765,zip_codes!$B$6:$J988,9,false)</f>
        <v>Missouri City, Plantation Park, Sienna</v>
      </c>
      <c r="AA765" s="44" t="str">
        <f>vlookup(B765,organizations!$B$1:$C988,2,false)</f>
        <v>Society of St Vincent de Paul</v>
      </c>
      <c r="AB765" s="46" t="s">
        <v>3880</v>
      </c>
      <c r="AC765" s="53"/>
      <c r="AD765" s="48" t="s">
        <v>129</v>
      </c>
      <c r="AE765" s="48" t="str">
        <f t="shared" si="99"/>
        <v>St Angela Merici (SVdP D2)9909 Sienna Ranch Road11</v>
      </c>
      <c r="AF765" s="48" t="str">
        <f t="shared" si="100"/>
        <v/>
      </c>
    </row>
    <row r="766" ht="66.75" customHeight="1">
      <c r="A766" s="49" t="s">
        <v>130</v>
      </c>
      <c r="B766" s="35" t="s">
        <v>3875</v>
      </c>
      <c r="C766" s="36" t="s">
        <v>3876</v>
      </c>
      <c r="D766" s="36"/>
      <c r="E766" s="36" t="s">
        <v>129</v>
      </c>
      <c r="F766" s="36" t="s">
        <v>37</v>
      </c>
      <c r="G766" s="35" t="s">
        <v>130</v>
      </c>
      <c r="H766" s="35" t="s">
        <v>3877</v>
      </c>
      <c r="I766" s="50"/>
      <c r="J766" s="64"/>
      <c r="K766" s="37">
        <f>IFERROR(__xludf.DUMMYFUNCTION("query(assistance!$A$2:$E988,""Select C Where D = '""&amp;L766&amp;""'"")"),12.0)</f>
        <v>12</v>
      </c>
      <c r="L766" s="36" t="s">
        <v>330</v>
      </c>
      <c r="M766" s="38">
        <f t="shared" si="101"/>
        <v>1</v>
      </c>
      <c r="N766" s="51" t="s">
        <v>42</v>
      </c>
      <c r="O766" s="40">
        <v>45637.0</v>
      </c>
      <c r="P766" s="50"/>
      <c r="Q766" s="35"/>
      <c r="R766" s="35"/>
      <c r="S766" s="35" t="b">
        <v>0</v>
      </c>
      <c r="T766" s="35" t="b">
        <v>0</v>
      </c>
      <c r="U766" s="41" t="str">
        <f>IFERROR(__xludf.DUMMYFUNCTION("""["" &amp; JOIN("", "", ARRAYFORMULA("""""""" &amp; TRIM(SPLIT(A766, "","")) &amp; """""""")) &amp; ""]"""),"[""77459""]")</f>
        <v>["77459"]</v>
      </c>
      <c r="V766" s="52" t="s">
        <v>3878</v>
      </c>
      <c r="W766" s="52" t="s">
        <v>3879</v>
      </c>
      <c r="X766" s="43"/>
      <c r="Y766" s="44" t="str">
        <f>vlookup(G766,zip_codes!$B$6:$J988,3,false)</f>
        <v>Missouri City</v>
      </c>
      <c r="Z766" s="45" t="str">
        <f>vlookup(G766,zip_codes!$B$6:$J988,9,false)</f>
        <v>Missouri City, Plantation Park, Sienna</v>
      </c>
      <c r="AA766" s="44" t="str">
        <f>vlookup(B766,organizations!$B$1:$C988,2,false)</f>
        <v>Society of St Vincent de Paul</v>
      </c>
      <c r="AB766" s="46" t="s">
        <v>3880</v>
      </c>
      <c r="AC766" s="53"/>
      <c r="AD766" s="48" t="s">
        <v>129</v>
      </c>
      <c r="AE766" s="48" t="str">
        <f t="shared" si="99"/>
        <v>St Angela Merici (SVdP D2)9909 Sienna Ranch Road12</v>
      </c>
      <c r="AF766" s="48" t="str">
        <f t="shared" si="100"/>
        <v/>
      </c>
    </row>
    <row r="767" ht="66.75" customHeight="1">
      <c r="A767" s="49" t="s">
        <v>3881</v>
      </c>
      <c r="B767" s="35" t="s">
        <v>3882</v>
      </c>
      <c r="C767" s="36" t="s">
        <v>3883</v>
      </c>
      <c r="D767" s="36"/>
      <c r="E767" s="36" t="s">
        <v>36</v>
      </c>
      <c r="F767" s="36" t="s">
        <v>37</v>
      </c>
      <c r="G767" s="35" t="s">
        <v>383</v>
      </c>
      <c r="H767" s="35" t="s">
        <v>3884</v>
      </c>
      <c r="I767" s="96"/>
      <c r="J767" s="35" t="s">
        <v>3637</v>
      </c>
      <c r="K767" s="37">
        <f>IFERROR(__xludf.DUMMYFUNCTION("query(assistance!$A$2:$E988,""Select C Where D = '""&amp;L767&amp;""'"")"),11.0)</f>
        <v>11</v>
      </c>
      <c r="L767" s="36" t="s">
        <v>322</v>
      </c>
      <c r="M767" s="38">
        <f t="shared" si="101"/>
        <v>1</v>
      </c>
      <c r="N767" s="51" t="s">
        <v>42</v>
      </c>
      <c r="O767" s="40">
        <v>45758.0</v>
      </c>
      <c r="P767" s="50"/>
      <c r="Q767" s="35"/>
      <c r="R767" s="35"/>
      <c r="S767" s="35" t="b">
        <v>0</v>
      </c>
      <c r="T767" s="35" t="b">
        <v>0</v>
      </c>
      <c r="U767" s="41" t="str">
        <f>IFERROR(__xludf.DUMMYFUNCTION("""["" &amp; JOIN("", "", ARRAYFORMULA("""""""" &amp; TRIM(SPLIT(A767, "","")) &amp; """""""")) &amp; ""]"""),"[""77006"", ""77019"", ""77027"", ""77098""]")</f>
        <v>["77006", "77019", "77027", "77098"]</v>
      </c>
      <c r="V767" s="52" t="s">
        <v>3885</v>
      </c>
      <c r="W767" s="52" t="s">
        <v>3886</v>
      </c>
      <c r="X767" s="43"/>
      <c r="Y767" s="44" t="str">
        <f>vlookup(G767,zip_codes!$B$6:$J988,3,false)</f>
        <v>Houston</v>
      </c>
      <c r="Z767" s="45" t="str">
        <f>vlookup(G767,zip_codes!$B$6:$J988,9,false)</f>
        <v>Greenway / Upper Kirby Area, River Oaks, Upper Kirby</v>
      </c>
      <c r="AA767" s="44" t="str">
        <f>vlookup(B767,organizations!$B$1:$C988,2,false)</f>
        <v>Society of St Vincent de Paul</v>
      </c>
      <c r="AB767" s="46" t="s">
        <v>3887</v>
      </c>
      <c r="AC767" s="53"/>
      <c r="AD767" s="48" t="s">
        <v>3888</v>
      </c>
      <c r="AE767" s="48" t="str">
        <f t="shared" si="99"/>
        <v>St Anne (SVdP)2140 Westheimer Road11</v>
      </c>
      <c r="AF767" s="48" t="str">
        <f t="shared" si="100"/>
        <v/>
      </c>
    </row>
    <row r="768" ht="66.75" customHeight="1">
      <c r="A768" s="49" t="s">
        <v>3881</v>
      </c>
      <c r="B768" s="35" t="s">
        <v>3882</v>
      </c>
      <c r="C768" s="36" t="s">
        <v>3883</v>
      </c>
      <c r="D768" s="36"/>
      <c r="E768" s="36" t="s">
        <v>36</v>
      </c>
      <c r="F768" s="36" t="s">
        <v>37</v>
      </c>
      <c r="G768" s="35" t="s">
        <v>383</v>
      </c>
      <c r="H768" s="35" t="s">
        <v>3884</v>
      </c>
      <c r="I768" s="96"/>
      <c r="J768" s="35" t="s">
        <v>3637</v>
      </c>
      <c r="K768" s="37">
        <f>IFERROR(__xludf.DUMMYFUNCTION("query(assistance!$A$2:$E988,""Select C Where D = '""&amp;L768&amp;""'"")"),12.0)</f>
        <v>12</v>
      </c>
      <c r="L768" s="36" t="s">
        <v>330</v>
      </c>
      <c r="M768" s="38">
        <f t="shared" si="101"/>
        <v>1</v>
      </c>
      <c r="N768" s="51" t="s">
        <v>42</v>
      </c>
      <c r="O768" s="40">
        <v>45758.0</v>
      </c>
      <c r="P768" s="50"/>
      <c r="Q768" s="35"/>
      <c r="R768" s="35"/>
      <c r="S768" s="35" t="b">
        <v>0</v>
      </c>
      <c r="T768" s="35" t="b">
        <v>0</v>
      </c>
      <c r="U768" s="41" t="str">
        <f>IFERROR(__xludf.DUMMYFUNCTION("""["" &amp; JOIN("", "", ARRAYFORMULA("""""""" &amp; TRIM(SPLIT(A768, "","")) &amp; """""""")) &amp; ""]"""),"[""77006"", ""77019"", ""77027"", ""77098""]")</f>
        <v>["77006", "77019", "77027", "77098"]</v>
      </c>
      <c r="V768" s="52" t="s">
        <v>3885</v>
      </c>
      <c r="W768" s="52" t="s">
        <v>3886</v>
      </c>
      <c r="X768" s="43"/>
      <c r="Y768" s="44" t="str">
        <f>vlookup(G768,zip_codes!$B$6:$J988,3,false)</f>
        <v>Houston</v>
      </c>
      <c r="Z768" s="45" t="str">
        <f>vlookup(G768,zip_codes!$B$6:$J988,9,false)</f>
        <v>Greenway / Upper Kirby Area, River Oaks, Upper Kirby</v>
      </c>
      <c r="AA768" s="44" t="str">
        <f>vlookup(B768,organizations!$B$1:$C988,2,false)</f>
        <v>Society of St Vincent de Paul</v>
      </c>
      <c r="AB768" s="46" t="s">
        <v>3887</v>
      </c>
      <c r="AC768" s="53"/>
      <c r="AD768" s="48" t="s">
        <v>3888</v>
      </c>
      <c r="AE768" s="48" t="str">
        <f t="shared" si="99"/>
        <v>St Anne (SVdP)2140 Westheimer Road12</v>
      </c>
      <c r="AF768" s="48" t="str">
        <f t="shared" si="100"/>
        <v/>
      </c>
    </row>
    <row r="769" ht="66.75" customHeight="1">
      <c r="A769" s="49" t="s">
        <v>3889</v>
      </c>
      <c r="B769" s="35" t="s">
        <v>3890</v>
      </c>
      <c r="C769" s="36" t="s">
        <v>3891</v>
      </c>
      <c r="D769" s="36"/>
      <c r="E769" s="36" t="s">
        <v>36</v>
      </c>
      <c r="F769" s="36" t="s">
        <v>37</v>
      </c>
      <c r="G769" s="35" t="s">
        <v>2102</v>
      </c>
      <c r="H769" s="35" t="s">
        <v>3892</v>
      </c>
      <c r="I769" s="35" t="s">
        <v>3893</v>
      </c>
      <c r="J769" s="35"/>
      <c r="K769" s="37">
        <f>IFERROR(__xludf.DUMMYFUNCTION("query(assistance!$A$2:$E988,""Select C Where D = '""&amp;L769&amp;""'"")"),13.0)</f>
        <v>13</v>
      </c>
      <c r="L769" s="36" t="s">
        <v>240</v>
      </c>
      <c r="M769" s="38">
        <f t="shared" si="101"/>
        <v>1</v>
      </c>
      <c r="N769" s="39" t="s">
        <v>42</v>
      </c>
      <c r="O769" s="65"/>
      <c r="P769" s="50"/>
      <c r="Q769" s="35"/>
      <c r="R769" s="35"/>
      <c r="S769" s="35" t="b">
        <v>0</v>
      </c>
      <c r="T769" s="35" t="b">
        <v>0</v>
      </c>
      <c r="U769" s="41" t="str">
        <f>IFERROR(__xludf.DUMMYFUNCTION("""["" &amp; JOIN("", "", ARRAYFORMULA("""""""" &amp; TRIM(SPLIT(A769, "","")) &amp; """""""")) &amp; ""]"""),"[""77018"", ""77022""]")</f>
        <v>["77018", "77022"]</v>
      </c>
      <c r="V769" s="52" t="s">
        <v>3894</v>
      </c>
      <c r="W769" s="52" t="s">
        <v>3895</v>
      </c>
      <c r="X769" s="43"/>
      <c r="Y769" s="44" t="str">
        <f>vlookup(G769,zip_codes!$B$6:$J988,3,false)</f>
        <v>Houston</v>
      </c>
      <c r="Z769" s="45" t="str">
        <f>vlookup(G769,zip_codes!$B$6:$J988,9,false)</f>
        <v>Lindale Park, Near Northside, Northside, Woodland Heights</v>
      </c>
      <c r="AA769" s="44" t="str">
        <f>vlookup(B769,organizations!$B$1:$C988,2,false)</f>
        <v>Society of St Vincent de Paul</v>
      </c>
      <c r="AB769" s="46" t="s">
        <v>3896</v>
      </c>
      <c r="AC769" s="47" t="s">
        <v>3897</v>
      </c>
      <c r="AD769" s="48" t="s">
        <v>356</v>
      </c>
      <c r="AE769" s="48" t="str">
        <f t="shared" si="99"/>
        <v>St Anne de Beaupre (SVdP D1)2810 Link Road13</v>
      </c>
      <c r="AF769" s="48" t="str">
        <f t="shared" si="100"/>
        <v/>
      </c>
    </row>
    <row r="770" ht="66.75" customHeight="1">
      <c r="A770" s="49" t="s">
        <v>3898</v>
      </c>
      <c r="B770" s="35" t="s">
        <v>3899</v>
      </c>
      <c r="C770" s="36" t="s">
        <v>3900</v>
      </c>
      <c r="D770" s="36"/>
      <c r="E770" s="36" t="s">
        <v>3301</v>
      </c>
      <c r="F770" s="36" t="s">
        <v>37</v>
      </c>
      <c r="G770" s="35" t="s">
        <v>3901</v>
      </c>
      <c r="H770" s="35" t="s">
        <v>3902</v>
      </c>
      <c r="I770" s="96"/>
      <c r="J770" s="35" t="s">
        <v>298</v>
      </c>
      <c r="K770" s="37">
        <f>IFERROR(__xludf.DUMMYFUNCTION("query(assistance!$A$2:$E988,""Select C Where D = '""&amp;L770&amp;""'"")"),11.0)</f>
        <v>11</v>
      </c>
      <c r="L770" s="36" t="s">
        <v>322</v>
      </c>
      <c r="M770" s="38">
        <f t="shared" si="101"/>
        <v>1</v>
      </c>
      <c r="N770" s="51" t="s">
        <v>42</v>
      </c>
      <c r="O770" s="40">
        <v>45637.0</v>
      </c>
      <c r="P770" s="50"/>
      <c r="Q770" s="35"/>
      <c r="R770" s="35"/>
      <c r="S770" s="35" t="b">
        <v>0</v>
      </c>
      <c r="T770" s="35" t="b">
        <v>0</v>
      </c>
      <c r="U770" s="41" t="str">
        <f>IFERROR(__xludf.DUMMYFUNCTION("""["" &amp; JOIN("", "", ARRAYFORMULA("""""""" &amp; TRIM(SPLIT(A770, "","")) &amp; """""""")) &amp; ""]"""),"[""77375"", ""77377""]")</f>
        <v>["77375", "77377"]</v>
      </c>
      <c r="V770" s="52" t="s">
        <v>3903</v>
      </c>
      <c r="W770" s="52" t="s">
        <v>3904</v>
      </c>
      <c r="X770" s="43"/>
      <c r="Y770" s="44" t="str">
        <f>vlookup(G770,zip_codes!$B$6:$J988,3,false)</f>
        <v>Tomball</v>
      </c>
      <c r="Z770" s="45" t="str">
        <f>vlookup(G770,zip_codes!$B$6:$J988,9,false)</f>
        <v>Northpointe, Tomball</v>
      </c>
      <c r="AA770" s="44" t="str">
        <f>vlookup(B770,organizations!$B$1:$C988,2,false)</f>
        <v>Society of St Vincent de Paul</v>
      </c>
      <c r="AB770" s="46" t="s">
        <v>3905</v>
      </c>
      <c r="AC770" s="53"/>
      <c r="AD770" s="48" t="s">
        <v>3301</v>
      </c>
      <c r="AE770" s="48" t="str">
        <f t="shared" si="99"/>
        <v>St Anne Tomball (SVdP D6)1111 S Cherry Street11</v>
      </c>
      <c r="AF770" s="48" t="str">
        <f t="shared" si="100"/>
        <v/>
      </c>
    </row>
    <row r="771" ht="66.75" customHeight="1">
      <c r="A771" s="49" t="s">
        <v>3898</v>
      </c>
      <c r="B771" s="35" t="s">
        <v>3899</v>
      </c>
      <c r="C771" s="36" t="s">
        <v>3900</v>
      </c>
      <c r="D771" s="36"/>
      <c r="E771" s="36" t="s">
        <v>3301</v>
      </c>
      <c r="F771" s="36" t="s">
        <v>37</v>
      </c>
      <c r="G771" s="35" t="s">
        <v>3901</v>
      </c>
      <c r="H771" s="35" t="s">
        <v>3902</v>
      </c>
      <c r="I771" s="96"/>
      <c r="J771" s="35" t="s">
        <v>298</v>
      </c>
      <c r="K771" s="37">
        <f>IFERROR(__xludf.DUMMYFUNCTION("query(assistance!$A$2:$E988,""Select C Where D = '""&amp;L771&amp;""'"")"),12.0)</f>
        <v>12</v>
      </c>
      <c r="L771" s="36" t="s">
        <v>330</v>
      </c>
      <c r="M771" s="38">
        <f t="shared" si="101"/>
        <v>1</v>
      </c>
      <c r="N771" s="51" t="s">
        <v>42</v>
      </c>
      <c r="O771" s="40">
        <v>45637.0</v>
      </c>
      <c r="P771" s="50"/>
      <c r="Q771" s="35"/>
      <c r="R771" s="35"/>
      <c r="S771" s="35" t="b">
        <v>0</v>
      </c>
      <c r="T771" s="35" t="b">
        <v>0</v>
      </c>
      <c r="U771" s="41" t="str">
        <f>IFERROR(__xludf.DUMMYFUNCTION("""["" &amp; JOIN("", "", ARRAYFORMULA("""""""" &amp; TRIM(SPLIT(A771, "","")) &amp; """""""")) &amp; ""]"""),"[""77375"", ""77377""]")</f>
        <v>["77375", "77377"]</v>
      </c>
      <c r="V771" s="52" t="s">
        <v>3903</v>
      </c>
      <c r="W771" s="52" t="s">
        <v>3904</v>
      </c>
      <c r="X771" s="43"/>
      <c r="Y771" s="44" t="str">
        <f>vlookup(G771,zip_codes!$B$6:$J988,3,false)</f>
        <v>Tomball</v>
      </c>
      <c r="Z771" s="45" t="str">
        <f>vlookup(G771,zip_codes!$B$6:$J988,9,false)</f>
        <v>Northpointe, Tomball</v>
      </c>
      <c r="AA771" s="44" t="str">
        <f>vlookup(B771,organizations!$B$1:$C988,2,false)</f>
        <v>Society of St Vincent de Paul</v>
      </c>
      <c r="AB771" s="46" t="s">
        <v>3905</v>
      </c>
      <c r="AC771" s="53"/>
      <c r="AD771" s="48" t="s">
        <v>3301</v>
      </c>
      <c r="AE771" s="48" t="str">
        <f t="shared" si="99"/>
        <v>St Anne Tomball (SVdP D6)1111 S Cherry Street12</v>
      </c>
      <c r="AF771" s="48" t="str">
        <f t="shared" si="100"/>
        <v/>
      </c>
    </row>
    <row r="772" ht="66.75" customHeight="1">
      <c r="A772" s="49" t="s">
        <v>3898</v>
      </c>
      <c r="B772" s="35" t="s">
        <v>3899</v>
      </c>
      <c r="C772" s="36" t="s">
        <v>3900</v>
      </c>
      <c r="D772" s="36"/>
      <c r="E772" s="36" t="s">
        <v>3301</v>
      </c>
      <c r="F772" s="36" t="s">
        <v>37</v>
      </c>
      <c r="G772" s="35" t="s">
        <v>3901</v>
      </c>
      <c r="H772" s="35" t="s">
        <v>3902</v>
      </c>
      <c r="I772" s="35"/>
      <c r="J772" s="35" t="s">
        <v>298</v>
      </c>
      <c r="K772" s="37">
        <f>IFERROR(__xludf.DUMMYFUNCTION("query(assistance!$A$2:$E988,""Select C Where D = '""&amp;L772&amp;""'"")"),13.0)</f>
        <v>13</v>
      </c>
      <c r="L772" s="36" t="s">
        <v>240</v>
      </c>
      <c r="M772" s="38">
        <f t="shared" si="101"/>
        <v>1</v>
      </c>
      <c r="N772" s="51" t="s">
        <v>42</v>
      </c>
      <c r="O772" s="40">
        <v>45637.0</v>
      </c>
      <c r="P772" s="50"/>
      <c r="Q772" s="35"/>
      <c r="R772" s="35"/>
      <c r="S772" s="35" t="b">
        <v>0</v>
      </c>
      <c r="T772" s="35" t="b">
        <v>0</v>
      </c>
      <c r="U772" s="41" t="str">
        <f>IFERROR(__xludf.DUMMYFUNCTION("""["" &amp; JOIN("", "", ARRAYFORMULA("""""""" &amp; TRIM(SPLIT(A772, "","")) &amp; """""""")) &amp; ""]"""),"[""77375"", ""77377""]")</f>
        <v>["77375", "77377"]</v>
      </c>
      <c r="V772" s="52" t="s">
        <v>3903</v>
      </c>
      <c r="W772" s="52" t="s">
        <v>3904</v>
      </c>
      <c r="X772" s="43"/>
      <c r="Y772" s="44" t="str">
        <f>vlookup(G772,zip_codes!$B$6:$J988,3,false)</f>
        <v>Tomball</v>
      </c>
      <c r="Z772" s="45" t="str">
        <f>vlookup(G772,zip_codes!$B$6:$J988,9,false)</f>
        <v>Northpointe, Tomball</v>
      </c>
      <c r="AA772" s="44" t="str">
        <f>vlookup(B772,organizations!$B$1:$C988,2,false)</f>
        <v>Society of St Vincent de Paul</v>
      </c>
      <c r="AB772" s="46" t="s">
        <v>3905</v>
      </c>
      <c r="AC772" s="53"/>
      <c r="AD772" s="48" t="s">
        <v>3301</v>
      </c>
      <c r="AE772" s="48" t="str">
        <f t="shared" si="99"/>
        <v>St Anne Tomball (SVdP D6)1111 S Cherry Street13</v>
      </c>
      <c r="AF772" s="48" t="str">
        <f t="shared" si="100"/>
        <v/>
      </c>
    </row>
    <row r="773" ht="66.75" customHeight="1">
      <c r="A773" s="49" t="s">
        <v>3906</v>
      </c>
      <c r="B773" s="35" t="s">
        <v>3907</v>
      </c>
      <c r="C773" s="36" t="s">
        <v>3908</v>
      </c>
      <c r="D773" s="36"/>
      <c r="E773" s="36" t="s">
        <v>451</v>
      </c>
      <c r="F773" s="36" t="s">
        <v>37</v>
      </c>
      <c r="G773" s="35" t="s">
        <v>3909</v>
      </c>
      <c r="H773" s="35" t="s">
        <v>3910</v>
      </c>
      <c r="I773" s="35" t="s">
        <v>3911</v>
      </c>
      <c r="J773" s="35" t="s">
        <v>3912</v>
      </c>
      <c r="K773" s="37">
        <f>IFERROR(__xludf.DUMMYFUNCTION("query(assistance!$A$2:$E988,""Select C Where D = '""&amp;L773&amp;""'"")"),13.0)</f>
        <v>13</v>
      </c>
      <c r="L773" s="36" t="s">
        <v>240</v>
      </c>
      <c r="M773" s="38">
        <f t="shared" si="101"/>
        <v>1</v>
      </c>
      <c r="N773" s="39" t="s">
        <v>42</v>
      </c>
      <c r="O773" s="65"/>
      <c r="P773" s="50"/>
      <c r="Q773" s="35"/>
      <c r="R773" s="35" t="s">
        <v>3913</v>
      </c>
      <c r="S773" s="35" t="b">
        <v>0</v>
      </c>
      <c r="T773" s="35" t="b">
        <v>0</v>
      </c>
      <c r="U773" s="41" t="str">
        <f>IFERROR(__xludf.DUMMYFUNCTION("""["" &amp; JOIN("", "", ARRAYFORMULA("""""""" &amp; TRIM(SPLIT(A773, "","")) &amp; """""""")) &amp; ""]"""),"[""77301"", ""77302"", ""77303"", ""77304"", ""77305"", ""77306"", ""77316"", ""77318"", ""77328"", ""77333"", ""77339"", ""77353"", ""77354"", ""77355"", ""77356"", ""77357"", ""77362"", ""77365"", ""77372"", ""77373"", ""77375"", ""77377"", ""77378"", "&amp;"""77379"", ""77380"", ""77381"", ""77382"", ""77384"", ""77385"", ""77386"", ""77387"", ""77388"", ""77389"", ""77393""]")</f>
        <v>["77301", "77302", "77303", "77304", "77305", "77306", "77316", "77318", "77328", "77333", "77339", "77353", "77354", "77355", "77356", "77357", "77362", "77365", "77372", "77373", "77375", "77377", "77378", "77379", "77380", "77381", "77382", "77384", "77385", "77386", "77387", "77388", "77389", "77393"]</v>
      </c>
      <c r="V773" s="52" t="s">
        <v>3914</v>
      </c>
      <c r="W773" s="52" t="s">
        <v>3915</v>
      </c>
      <c r="X773" s="43"/>
      <c r="Y773" s="44" t="str">
        <f>vlookup(G773,zip_codes!$B$6:$J988,3,false)</f>
        <v>The Woodlands</v>
      </c>
      <c r="Z773" s="45" t="str">
        <f>vlookup(G773,zip_codes!$B$6:$J988,9,false)</f>
        <v>The Woodlands (Alden Bridge, Sterling Ridge)</v>
      </c>
      <c r="AA773" s="44" t="str">
        <f>vlookup(B773,organizations!$B$1:$C988,2,false)</f>
        <v>St Anthony Bread</v>
      </c>
      <c r="AB773" s="46" t="s">
        <v>3916</v>
      </c>
      <c r="AC773" s="47" t="s">
        <v>3917</v>
      </c>
      <c r="AD773" s="48" t="s">
        <v>3918</v>
      </c>
      <c r="AE773" s="48" t="str">
        <f t="shared" si="99"/>
        <v>St Anthony Bread7985 Bay Branch Drive13</v>
      </c>
      <c r="AF773" s="48" t="str">
        <f t="shared" si="100"/>
        <v/>
      </c>
    </row>
    <row r="774" ht="66.75" customHeight="1">
      <c r="A774" s="49" t="s">
        <v>3919</v>
      </c>
      <c r="B774" s="35" t="s">
        <v>3920</v>
      </c>
      <c r="C774" s="36" t="s">
        <v>3921</v>
      </c>
      <c r="D774" s="36"/>
      <c r="E774" s="36" t="s">
        <v>3922</v>
      </c>
      <c r="F774" s="36" t="s">
        <v>37</v>
      </c>
      <c r="G774" s="35" t="s">
        <v>3909</v>
      </c>
      <c r="H774" s="35" t="s">
        <v>3923</v>
      </c>
      <c r="I774" s="96"/>
      <c r="J774" s="35" t="s">
        <v>3637</v>
      </c>
      <c r="K774" s="37">
        <f>IFERROR(__xludf.DUMMYFUNCTION("query(assistance!$A$2:$E988,""Select C Where D = '""&amp;L774&amp;""'"")"),11.0)</f>
        <v>11</v>
      </c>
      <c r="L774" s="36" t="s">
        <v>322</v>
      </c>
      <c r="M774" s="38">
        <f t="shared" si="101"/>
        <v>1</v>
      </c>
      <c r="N774" s="51" t="s">
        <v>42</v>
      </c>
      <c r="O774" s="40">
        <v>45637.0</v>
      </c>
      <c r="P774" s="50"/>
      <c r="Q774" s="35"/>
      <c r="R774" s="35"/>
      <c r="S774" s="35" t="b">
        <v>0</v>
      </c>
      <c r="T774" s="35" t="b">
        <v>0</v>
      </c>
      <c r="U774" s="41" t="str">
        <f>IFERROR(__xludf.DUMMYFUNCTION("""["" &amp; JOIN("", "", ARRAYFORMULA("""""""" &amp; TRIM(SPLIT(A774, "","")) &amp; """""""")) &amp; ""]"""),"[""77354"", ""77380"", ""77381"", ""77382"", ""77383"", ""77384"", ""77385"", ""77386"", ""77389""]")</f>
        <v>["77354", "77380", "77381", "77382", "77383", "77384", "77385", "77386", "77389"]</v>
      </c>
      <c r="V774" s="52" t="s">
        <v>3924</v>
      </c>
      <c r="W774" s="52" t="s">
        <v>3925</v>
      </c>
      <c r="X774" s="43"/>
      <c r="Y774" s="44" t="str">
        <f>vlookup(G774,zip_codes!$B$6:$J988,3,false)</f>
        <v>The Woodlands</v>
      </c>
      <c r="Z774" s="45" t="str">
        <f>vlookup(G774,zip_codes!$B$6:$J988,9,false)</f>
        <v>The Woodlands (Alden Bridge, Sterling Ridge)</v>
      </c>
      <c r="AA774" s="44" t="str">
        <f>vlookup(B774,organizations!$B$1:$C988,2,false)</f>
        <v>Society of St Vincent de Paul</v>
      </c>
      <c r="AB774" s="46" t="s">
        <v>3926</v>
      </c>
      <c r="AC774" s="53"/>
      <c r="AD774" s="48" t="s">
        <v>3918</v>
      </c>
      <c r="AE774" s="48" t="str">
        <f t="shared" si="99"/>
        <v>St Anthony of Padua (SVdP D6) The Woodlands7801 Bay Branch Drive11</v>
      </c>
      <c r="AF774" s="48" t="str">
        <f t="shared" si="100"/>
        <v/>
      </c>
    </row>
    <row r="775" ht="66.75" customHeight="1">
      <c r="A775" s="49" t="s">
        <v>3919</v>
      </c>
      <c r="B775" s="35" t="s">
        <v>3920</v>
      </c>
      <c r="C775" s="36" t="s">
        <v>3921</v>
      </c>
      <c r="D775" s="36"/>
      <c r="E775" s="36" t="s">
        <v>3922</v>
      </c>
      <c r="F775" s="36" t="s">
        <v>37</v>
      </c>
      <c r="G775" s="35" t="s">
        <v>3909</v>
      </c>
      <c r="H775" s="35" t="s">
        <v>3923</v>
      </c>
      <c r="I775" s="96"/>
      <c r="J775" s="35" t="s">
        <v>3637</v>
      </c>
      <c r="K775" s="37">
        <f>IFERROR(__xludf.DUMMYFUNCTION("query(assistance!$A$2:$E988,""Select C Where D = '""&amp;L775&amp;""'"")"),12.0)</f>
        <v>12</v>
      </c>
      <c r="L775" s="36" t="s">
        <v>330</v>
      </c>
      <c r="M775" s="38">
        <f t="shared" si="101"/>
        <v>1</v>
      </c>
      <c r="N775" s="51" t="s">
        <v>42</v>
      </c>
      <c r="O775" s="40">
        <v>45637.0</v>
      </c>
      <c r="P775" s="50"/>
      <c r="Q775" s="35"/>
      <c r="R775" s="35"/>
      <c r="S775" s="35" t="b">
        <v>0</v>
      </c>
      <c r="T775" s="35" t="b">
        <v>0</v>
      </c>
      <c r="U775" s="41" t="str">
        <f>IFERROR(__xludf.DUMMYFUNCTION("""["" &amp; JOIN("", "", ARRAYFORMULA("""""""" &amp; TRIM(SPLIT(A775, "","")) &amp; """""""")) &amp; ""]"""),"[""77354"", ""77380"", ""77381"", ""77382"", ""77383"", ""77384"", ""77385"", ""77386"", ""77389""]")</f>
        <v>["77354", "77380", "77381", "77382", "77383", "77384", "77385", "77386", "77389"]</v>
      </c>
      <c r="V775" s="52" t="s">
        <v>3924</v>
      </c>
      <c r="W775" s="52" t="s">
        <v>3925</v>
      </c>
      <c r="X775" s="43"/>
      <c r="Y775" s="44" t="str">
        <f>vlookup(G775,zip_codes!$B$6:$J988,3,false)</f>
        <v>The Woodlands</v>
      </c>
      <c r="Z775" s="45" t="str">
        <f>vlookup(G775,zip_codes!$B$6:$J988,9,false)</f>
        <v>The Woodlands (Alden Bridge, Sterling Ridge)</v>
      </c>
      <c r="AA775" s="44" t="str">
        <f>vlookup(B775,organizations!$B$1:$C988,2,false)</f>
        <v>Society of St Vincent de Paul</v>
      </c>
      <c r="AB775" s="46" t="s">
        <v>3926</v>
      </c>
      <c r="AC775" s="53"/>
      <c r="AD775" s="48" t="s">
        <v>3918</v>
      </c>
      <c r="AE775" s="48" t="str">
        <f t="shared" si="99"/>
        <v>St Anthony of Padua (SVdP D6) The Woodlands7801 Bay Branch Drive12</v>
      </c>
      <c r="AF775" s="48" t="str">
        <f t="shared" si="100"/>
        <v/>
      </c>
    </row>
    <row r="776" ht="66.75" customHeight="1">
      <c r="A776" s="49" t="s">
        <v>3919</v>
      </c>
      <c r="B776" s="35" t="s">
        <v>3920</v>
      </c>
      <c r="C776" s="36" t="s">
        <v>3921</v>
      </c>
      <c r="D776" s="36"/>
      <c r="E776" s="36" t="s">
        <v>3922</v>
      </c>
      <c r="F776" s="36" t="s">
        <v>37</v>
      </c>
      <c r="G776" s="35" t="s">
        <v>3909</v>
      </c>
      <c r="H776" s="35" t="s">
        <v>3923</v>
      </c>
      <c r="I776" s="35" t="s">
        <v>3911</v>
      </c>
      <c r="J776" s="35" t="s">
        <v>3912</v>
      </c>
      <c r="K776" s="37">
        <f>IFERROR(__xludf.DUMMYFUNCTION("query(assistance!$A$2:$E988,""Select C Where D = '""&amp;L776&amp;""'"")"),13.0)</f>
        <v>13</v>
      </c>
      <c r="L776" s="36" t="s">
        <v>240</v>
      </c>
      <c r="M776" s="38">
        <f t="shared" si="101"/>
        <v>1</v>
      </c>
      <c r="N776" s="51" t="s">
        <v>42</v>
      </c>
      <c r="O776" s="40">
        <v>45637.0</v>
      </c>
      <c r="P776" s="50"/>
      <c r="Q776" s="35"/>
      <c r="R776" s="35"/>
      <c r="S776" s="35" t="b">
        <v>0</v>
      </c>
      <c r="T776" s="35" t="b">
        <v>0</v>
      </c>
      <c r="U776" s="41" t="str">
        <f>IFERROR(__xludf.DUMMYFUNCTION("""["" &amp; JOIN("", "", ARRAYFORMULA("""""""" &amp; TRIM(SPLIT(A776, "","")) &amp; """""""")) &amp; ""]"""),"[""77354"", ""77380"", ""77381"", ""77382"", ""77383"", ""77384"", ""77385"", ""77386"", ""77389""]")</f>
        <v>["77354", "77380", "77381", "77382", "77383", "77384", "77385", "77386", "77389"]</v>
      </c>
      <c r="V776" s="52" t="s">
        <v>3914</v>
      </c>
      <c r="W776" s="52" t="s">
        <v>3925</v>
      </c>
      <c r="X776" s="43"/>
      <c r="Y776" s="44" t="str">
        <f>vlookup(G776,zip_codes!$B$6:$J988,3,false)</f>
        <v>The Woodlands</v>
      </c>
      <c r="Z776" s="45" t="str">
        <f>vlookup(G776,zip_codes!$B$6:$J988,9,false)</f>
        <v>The Woodlands (Alden Bridge, Sterling Ridge)</v>
      </c>
      <c r="AA776" s="44" t="str">
        <f>vlookup(B776,organizations!$B$1:$C988,2,false)</f>
        <v>Society of St Vincent de Paul</v>
      </c>
      <c r="AB776" s="46" t="s">
        <v>3926</v>
      </c>
      <c r="AC776" s="47" t="s">
        <v>3917</v>
      </c>
      <c r="AD776" s="48" t="s">
        <v>3918</v>
      </c>
      <c r="AE776" s="48" t="str">
        <f t="shared" si="99"/>
        <v>St Anthony of Padua (SVdP D6) The Woodlands7801 Bay Branch Drive13</v>
      </c>
      <c r="AF776" s="48" t="str">
        <f t="shared" si="100"/>
        <v/>
      </c>
    </row>
    <row r="777" ht="66.75" customHeight="1">
      <c r="A777" s="49" t="s">
        <v>1088</v>
      </c>
      <c r="B777" s="35" t="s">
        <v>3927</v>
      </c>
      <c r="C777" s="36" t="s">
        <v>3928</v>
      </c>
      <c r="D777" s="36"/>
      <c r="E777" s="36" t="s">
        <v>148</v>
      </c>
      <c r="F777" s="36" t="s">
        <v>37</v>
      </c>
      <c r="G777" s="35" t="s">
        <v>1091</v>
      </c>
      <c r="H777" s="35" t="s">
        <v>1641</v>
      </c>
      <c r="I777" s="96"/>
      <c r="J777" s="35" t="s">
        <v>298</v>
      </c>
      <c r="K777" s="37">
        <f>IFERROR(__xludf.DUMMYFUNCTION("query(assistance!$A$2:$E988,""Select C Where D = '""&amp;L777&amp;""'"")"),11.0)</f>
        <v>11</v>
      </c>
      <c r="L777" s="36" t="s">
        <v>322</v>
      </c>
      <c r="M777" s="38">
        <f t="shared" si="101"/>
        <v>1</v>
      </c>
      <c r="N777" s="51" t="s">
        <v>42</v>
      </c>
      <c r="O777" s="40">
        <v>45637.0</v>
      </c>
      <c r="P777" s="50"/>
      <c r="Q777" s="35"/>
      <c r="R777" s="35" t="s">
        <v>3929</v>
      </c>
      <c r="S777" s="35" t="b">
        <v>0</v>
      </c>
      <c r="T777" s="35" t="b">
        <v>0</v>
      </c>
      <c r="U777" s="41" t="str">
        <f>IFERROR(__xludf.DUMMYFUNCTION("""["" &amp; JOIN("", "", ARRAYFORMULA("""""""" &amp; TRIM(SPLIT(A777, "","")) &amp; """""""")) &amp; ""]"""),"[""77449"", ""77450"", ""77493"", ""77494""]")</f>
        <v>["77449", "77450", "77493", "77494"]</v>
      </c>
      <c r="V777" s="52" t="s">
        <v>3930</v>
      </c>
      <c r="W777" s="52" t="s">
        <v>3931</v>
      </c>
      <c r="X777" s="52" t="s">
        <v>3932</v>
      </c>
      <c r="Y777" s="44" t="str">
        <f>vlookup(G777,zip_codes!$B$6:$J988,3,false)</f>
        <v>Katy</v>
      </c>
      <c r="Z777" s="45" t="str">
        <f>vlookup(G777,zip_codes!$B$6:$J988,9,false)</f>
        <v>Cane Island, Katy (Old Town)</v>
      </c>
      <c r="AA777" s="44" t="str">
        <f>vlookup(B777,organizations!$B$1:$C988,2,false)</f>
        <v>Society of St Vincent de Paul</v>
      </c>
      <c r="AB777" s="46" t="s">
        <v>3933</v>
      </c>
      <c r="AC777" s="53"/>
      <c r="AD777" s="58" t="s">
        <v>3934</v>
      </c>
      <c r="AE777" s="48" t="str">
        <f t="shared" si="99"/>
        <v>St Bartholomew (SVdP D4) Katy5356 11th Street11</v>
      </c>
      <c r="AF777" s="48" t="str">
        <f t="shared" si="100"/>
        <v/>
      </c>
    </row>
    <row r="778" ht="66.75" customHeight="1">
      <c r="A778" s="49" t="s">
        <v>1088</v>
      </c>
      <c r="B778" s="35" t="s">
        <v>3927</v>
      </c>
      <c r="C778" s="36" t="s">
        <v>3928</v>
      </c>
      <c r="D778" s="36"/>
      <c r="E778" s="36" t="s">
        <v>148</v>
      </c>
      <c r="F778" s="36" t="s">
        <v>37</v>
      </c>
      <c r="G778" s="35" t="s">
        <v>1091</v>
      </c>
      <c r="H778" s="35" t="s">
        <v>1641</v>
      </c>
      <c r="I778" s="96"/>
      <c r="J778" s="35" t="s">
        <v>298</v>
      </c>
      <c r="K778" s="37">
        <f>IFERROR(__xludf.DUMMYFUNCTION("query(assistance!$A$2:$E988,""Select C Where D = '""&amp;L778&amp;""'"")"),12.0)</f>
        <v>12</v>
      </c>
      <c r="L778" s="36" t="s">
        <v>330</v>
      </c>
      <c r="M778" s="38">
        <f t="shared" si="101"/>
        <v>1</v>
      </c>
      <c r="N778" s="51" t="s">
        <v>42</v>
      </c>
      <c r="O778" s="40">
        <v>45637.0</v>
      </c>
      <c r="P778" s="50"/>
      <c r="Q778" s="35"/>
      <c r="R778" s="35"/>
      <c r="S778" s="35" t="b">
        <v>0</v>
      </c>
      <c r="T778" s="35" t="b">
        <v>0</v>
      </c>
      <c r="U778" s="41" t="str">
        <f>IFERROR(__xludf.DUMMYFUNCTION("""["" &amp; JOIN("", "", ARRAYFORMULA("""""""" &amp; TRIM(SPLIT(A778, "","")) &amp; """""""")) &amp; ""]"""),"[""77449"", ""77450"", ""77493"", ""77494""]")</f>
        <v>["77449", "77450", "77493", "77494"]</v>
      </c>
      <c r="V778" s="52" t="s">
        <v>3930</v>
      </c>
      <c r="W778" s="52" t="s">
        <v>3931</v>
      </c>
      <c r="X778" s="52" t="s">
        <v>3932</v>
      </c>
      <c r="Y778" s="44" t="str">
        <f>vlookup(G778,zip_codes!$B$6:$J988,3,false)</f>
        <v>Katy</v>
      </c>
      <c r="Z778" s="45" t="str">
        <f>vlookup(G778,zip_codes!$B$6:$J988,9,false)</f>
        <v>Cane Island, Katy (Old Town)</v>
      </c>
      <c r="AA778" s="44" t="str">
        <f>vlookup(B778,organizations!$B$1:$C988,2,false)</f>
        <v>Society of St Vincent de Paul</v>
      </c>
      <c r="AB778" s="46" t="s">
        <v>3933</v>
      </c>
      <c r="AC778" s="53"/>
      <c r="AD778" s="58" t="s">
        <v>3934</v>
      </c>
      <c r="AE778" s="48" t="str">
        <f t="shared" si="99"/>
        <v>St Bartholomew (SVdP D4) Katy5356 11th Street12</v>
      </c>
      <c r="AF778" s="48" t="str">
        <f t="shared" si="100"/>
        <v/>
      </c>
    </row>
    <row r="779" ht="66.75" customHeight="1">
      <c r="A779" s="49" t="s">
        <v>1088</v>
      </c>
      <c r="B779" s="35" t="s">
        <v>3927</v>
      </c>
      <c r="C779" s="36" t="s">
        <v>3928</v>
      </c>
      <c r="D779" s="36"/>
      <c r="E779" s="36" t="s">
        <v>148</v>
      </c>
      <c r="F779" s="36" t="s">
        <v>37</v>
      </c>
      <c r="G779" s="35" t="s">
        <v>1091</v>
      </c>
      <c r="H779" s="35" t="s">
        <v>3935</v>
      </c>
      <c r="I779" s="35" t="s">
        <v>1647</v>
      </c>
      <c r="J779" s="35" t="s">
        <v>3936</v>
      </c>
      <c r="K779" s="37">
        <f>IFERROR(__xludf.DUMMYFUNCTION("query(assistance!$A$2:$E988,""Select C Where D = '""&amp;L779&amp;""'"")"),13.0)</f>
        <v>13</v>
      </c>
      <c r="L779" s="36" t="s">
        <v>240</v>
      </c>
      <c r="M779" s="38">
        <f t="shared" si="101"/>
        <v>1</v>
      </c>
      <c r="N779" s="51" t="s">
        <v>42</v>
      </c>
      <c r="O779" s="40">
        <v>45637.0</v>
      </c>
      <c r="P779" s="50"/>
      <c r="Q779" s="35"/>
      <c r="R779" s="35"/>
      <c r="S779" s="35" t="b">
        <v>0</v>
      </c>
      <c r="T779" s="35" t="b">
        <v>0</v>
      </c>
      <c r="U779" s="41" t="str">
        <f>IFERROR(__xludf.DUMMYFUNCTION("""["" &amp; JOIN("", "", ARRAYFORMULA("""""""" &amp; TRIM(SPLIT(A779, "","")) &amp; """""""")) &amp; ""]"""),"[""77449"", ""77450"", ""77493"", ""77494""]")</f>
        <v>["77449", "77450", "77493", "77494"]</v>
      </c>
      <c r="V779" s="52" t="s">
        <v>3930</v>
      </c>
      <c r="W779" s="52" t="s">
        <v>3931</v>
      </c>
      <c r="X779" s="52" t="s">
        <v>3932</v>
      </c>
      <c r="Y779" s="44" t="str">
        <f>vlookup(G779,zip_codes!$B$6:$J988,3,false)</f>
        <v>Katy</v>
      </c>
      <c r="Z779" s="45" t="str">
        <f>vlookup(G779,zip_codes!$B$6:$J988,9,false)</f>
        <v>Cane Island, Katy (Old Town)</v>
      </c>
      <c r="AA779" s="44" t="str">
        <f>vlookup(B779,organizations!$B$1:$C988,2,false)</f>
        <v>Society of St Vincent de Paul</v>
      </c>
      <c r="AB779" s="46" t="s">
        <v>3933</v>
      </c>
      <c r="AC779" s="47" t="s">
        <v>1649</v>
      </c>
      <c r="AD779" s="58" t="s">
        <v>3934</v>
      </c>
      <c r="AE779" s="48" t="str">
        <f t="shared" si="99"/>
        <v>St Bartholomew (SVdP D4) Katy5356 11th Street13</v>
      </c>
      <c r="AF779" s="48" t="str">
        <f t="shared" si="100"/>
        <v/>
      </c>
    </row>
    <row r="780" ht="66.75" customHeight="1">
      <c r="A780" s="49" t="s">
        <v>3937</v>
      </c>
      <c r="B780" s="35" t="s">
        <v>3938</v>
      </c>
      <c r="C780" s="36" t="s">
        <v>3939</v>
      </c>
      <c r="D780" s="36"/>
      <c r="E780" s="36" t="s">
        <v>36</v>
      </c>
      <c r="F780" s="36" t="s">
        <v>37</v>
      </c>
      <c r="G780" s="35" t="s">
        <v>3940</v>
      </c>
      <c r="H780" s="35" t="s">
        <v>3941</v>
      </c>
      <c r="I780" s="35" t="s">
        <v>3942</v>
      </c>
      <c r="J780" s="35"/>
      <c r="K780" s="37">
        <f>IFERROR(__xludf.DUMMYFUNCTION("query(assistance!$A$2:$E988,""Select C Where D = '""&amp;L780&amp;""'"")"),12.0)</f>
        <v>12</v>
      </c>
      <c r="L780" s="36" t="s">
        <v>330</v>
      </c>
      <c r="M780" s="38">
        <f t="shared" si="101"/>
        <v>1</v>
      </c>
      <c r="N780" s="39" t="s">
        <v>42</v>
      </c>
      <c r="O780" s="65"/>
      <c r="P780" s="50"/>
      <c r="Q780" s="50"/>
      <c r="R780" s="50"/>
      <c r="S780" s="35" t="b">
        <v>0</v>
      </c>
      <c r="T780" s="35" t="b">
        <v>0</v>
      </c>
      <c r="U780" s="41" t="str">
        <f>IFERROR(__xludf.DUMMYFUNCTION("""["" &amp; JOIN("", "", ARRAYFORMULA("""""""" &amp; TRIM(SPLIT(A780, "","")) &amp; """""""")) &amp; ""]"""),"[""77058"", ""77059"", ""77062"", ""77598""]")</f>
        <v>["77058", "77059", "77062", "77598"]</v>
      </c>
      <c r="V780" s="52" t="s">
        <v>3943</v>
      </c>
      <c r="W780" s="52" t="s">
        <v>3944</v>
      </c>
      <c r="X780" s="43"/>
      <c r="Y780" s="44" t="str">
        <f>vlookup(G780,zip_codes!$B$6:$J988,3,false)</f>
        <v>Houston</v>
      </c>
      <c r="Z780" s="45" t="str">
        <f>vlookup(G780,zip_codes!$B$6:$J988,9,false)</f>
        <v>Clear Lake</v>
      </c>
      <c r="AA780" s="44" t="str">
        <f>vlookup(B780,organizations!$B$1:$C988,2,false)</f>
        <v>St Bernadette Clear Lake</v>
      </c>
      <c r="AB780" s="46" t="s">
        <v>3945</v>
      </c>
      <c r="AC780" s="47" t="s">
        <v>3776</v>
      </c>
      <c r="AD780" s="48" t="s">
        <v>1670</v>
      </c>
      <c r="AE780" s="48" t="str">
        <f t="shared" si="99"/>
        <v>St Bernadette Clear Lake15500 El Camino Real12</v>
      </c>
      <c r="AF780" s="48" t="str">
        <f t="shared" si="100"/>
        <v/>
      </c>
    </row>
    <row r="781" ht="66.75" customHeight="1">
      <c r="A781" s="49" t="s">
        <v>3937</v>
      </c>
      <c r="B781" s="35" t="s">
        <v>3938</v>
      </c>
      <c r="C781" s="36" t="s">
        <v>3939</v>
      </c>
      <c r="D781" s="36"/>
      <c r="E781" s="36" t="s">
        <v>36</v>
      </c>
      <c r="F781" s="36" t="s">
        <v>37</v>
      </c>
      <c r="G781" s="35" t="s">
        <v>3940</v>
      </c>
      <c r="H781" s="35" t="s">
        <v>3941</v>
      </c>
      <c r="I781" s="35" t="s">
        <v>3942</v>
      </c>
      <c r="J781" s="35"/>
      <c r="K781" s="37">
        <f>IFERROR(__xludf.DUMMYFUNCTION("query(assistance!$A$2:$E988,""Select C Where D = '""&amp;L781&amp;""'"")"),13.0)</f>
        <v>13</v>
      </c>
      <c r="L781" s="36" t="s">
        <v>240</v>
      </c>
      <c r="M781" s="38">
        <f t="shared" si="101"/>
        <v>1</v>
      </c>
      <c r="N781" s="39" t="s">
        <v>42</v>
      </c>
      <c r="O781" s="65"/>
      <c r="P781" s="50"/>
      <c r="Q781" s="50"/>
      <c r="R781" s="50"/>
      <c r="S781" s="35" t="b">
        <v>0</v>
      </c>
      <c r="T781" s="35" t="b">
        <v>0</v>
      </c>
      <c r="U781" s="41" t="str">
        <f>IFERROR(__xludf.DUMMYFUNCTION("""["" &amp; JOIN("", "", ARRAYFORMULA("""""""" &amp; TRIM(SPLIT(A781, "","")) &amp; """""""")) &amp; ""]"""),"[""77058"", ""77059"", ""77062"", ""77598""]")</f>
        <v>["77058", "77059", "77062", "77598"]</v>
      </c>
      <c r="V781" s="52" t="s">
        <v>3943</v>
      </c>
      <c r="W781" s="52" t="s">
        <v>3944</v>
      </c>
      <c r="X781" s="43"/>
      <c r="Y781" s="44" t="str">
        <f>vlookup(G781,zip_codes!$B$6:$J988,3,false)</f>
        <v>Houston</v>
      </c>
      <c r="Z781" s="45" t="str">
        <f>vlookup(G781,zip_codes!$B$6:$J988,9,false)</f>
        <v>Clear Lake</v>
      </c>
      <c r="AA781" s="44" t="str">
        <f>vlookup(B781,organizations!$B$1:$C988,2,false)</f>
        <v>St Bernadette Clear Lake</v>
      </c>
      <c r="AB781" s="46" t="s">
        <v>3945</v>
      </c>
      <c r="AC781" s="47" t="s">
        <v>3776</v>
      </c>
      <c r="AD781" s="48" t="s">
        <v>1670</v>
      </c>
      <c r="AE781" s="48" t="str">
        <f t="shared" si="99"/>
        <v>St Bernadette Clear Lake15500 El Camino Real13</v>
      </c>
      <c r="AF781" s="48" t="str">
        <f t="shared" si="100"/>
        <v/>
      </c>
    </row>
    <row r="782" ht="66.75" customHeight="1">
      <c r="A782" s="49" t="s">
        <v>3937</v>
      </c>
      <c r="B782" s="35" t="s">
        <v>3938</v>
      </c>
      <c r="C782" s="36" t="s">
        <v>3939</v>
      </c>
      <c r="D782" s="36"/>
      <c r="E782" s="36" t="s">
        <v>36</v>
      </c>
      <c r="F782" s="36" t="s">
        <v>37</v>
      </c>
      <c r="G782" s="35" t="s">
        <v>3940</v>
      </c>
      <c r="H782" s="35" t="s">
        <v>3941</v>
      </c>
      <c r="I782" s="35" t="s">
        <v>3942</v>
      </c>
      <c r="J782" s="35"/>
      <c r="K782" s="37">
        <f>IFERROR(__xludf.DUMMYFUNCTION("query(assistance!$A$2:$E988,""Select C Where D = '""&amp;L782&amp;""'"")"),14.0)</f>
        <v>14</v>
      </c>
      <c r="L782" s="36" t="s">
        <v>391</v>
      </c>
      <c r="M782" s="38">
        <f t="shared" si="101"/>
        <v>1</v>
      </c>
      <c r="N782" s="39" t="s">
        <v>42</v>
      </c>
      <c r="O782" s="65"/>
      <c r="P782" s="50"/>
      <c r="Q782" s="50"/>
      <c r="R782" s="50"/>
      <c r="S782" s="35" t="b">
        <v>0</v>
      </c>
      <c r="T782" s="35" t="b">
        <v>0</v>
      </c>
      <c r="U782" s="41" t="str">
        <f>IFERROR(__xludf.DUMMYFUNCTION("""["" &amp; JOIN("", "", ARRAYFORMULA("""""""" &amp; TRIM(SPLIT(A782, "","")) &amp; """""""")) &amp; ""]"""),"[""77058"", ""77059"", ""77062"", ""77598""]")</f>
        <v>["77058", "77059", "77062", "77598"]</v>
      </c>
      <c r="V782" s="52" t="s">
        <v>3943</v>
      </c>
      <c r="W782" s="52" t="s">
        <v>3944</v>
      </c>
      <c r="X782" s="43"/>
      <c r="Y782" s="44" t="str">
        <f>vlookup(G782,zip_codes!$B$6:$J988,3,false)</f>
        <v>Houston</v>
      </c>
      <c r="Z782" s="45" t="str">
        <f>vlookup(G782,zip_codes!$B$6:$J988,9,false)</f>
        <v>Clear Lake</v>
      </c>
      <c r="AA782" s="44" t="str">
        <f>vlookup(B782,organizations!$B$1:$C988,2,false)</f>
        <v>St Bernadette Clear Lake</v>
      </c>
      <c r="AB782" s="46" t="s">
        <v>3945</v>
      </c>
      <c r="AC782" s="47" t="s">
        <v>3776</v>
      </c>
      <c r="AD782" s="48" t="s">
        <v>1670</v>
      </c>
      <c r="AE782" s="48" t="str">
        <f t="shared" si="99"/>
        <v>St Bernadette Clear Lake15500 El Camino Real14</v>
      </c>
      <c r="AF782" s="48" t="str">
        <f t="shared" si="100"/>
        <v/>
      </c>
    </row>
    <row r="783" ht="66.75" customHeight="1">
      <c r="A783" s="49" t="s">
        <v>3937</v>
      </c>
      <c r="B783" s="35" t="s">
        <v>3938</v>
      </c>
      <c r="C783" s="36" t="s">
        <v>3939</v>
      </c>
      <c r="D783" s="36"/>
      <c r="E783" s="36" t="s">
        <v>36</v>
      </c>
      <c r="F783" s="36" t="s">
        <v>37</v>
      </c>
      <c r="G783" s="35" t="s">
        <v>3940</v>
      </c>
      <c r="H783" s="35" t="s">
        <v>3941</v>
      </c>
      <c r="I783" s="35" t="s">
        <v>3942</v>
      </c>
      <c r="J783" s="35"/>
      <c r="K783" s="37">
        <f>IFERROR(__xludf.DUMMYFUNCTION("query(assistance!$A$2:$E988,""Select C Where D = '""&amp;L783&amp;""'"")"),64.0)</f>
        <v>64</v>
      </c>
      <c r="L783" s="36" t="s">
        <v>817</v>
      </c>
      <c r="M783" s="38">
        <f t="shared" si="101"/>
        <v>1</v>
      </c>
      <c r="N783" s="39" t="s">
        <v>42</v>
      </c>
      <c r="O783" s="65"/>
      <c r="P783" s="50"/>
      <c r="Q783" s="35"/>
      <c r="R783" s="35" t="s">
        <v>948</v>
      </c>
      <c r="S783" s="35" t="b">
        <v>0</v>
      </c>
      <c r="T783" s="35" t="b">
        <v>0</v>
      </c>
      <c r="U783" s="41" t="str">
        <f>IFERROR(__xludf.DUMMYFUNCTION("""["" &amp; JOIN("", "", ARRAYFORMULA("""""""" &amp; TRIM(SPLIT(A783, "","")) &amp; """""""")) &amp; ""]"""),"[""77058"", ""77059"", ""77062"", ""77598""]")</f>
        <v>["77058", "77059", "77062", "77598"]</v>
      </c>
      <c r="V783" s="52" t="s">
        <v>3943</v>
      </c>
      <c r="W783" s="52" t="s">
        <v>3944</v>
      </c>
      <c r="X783" s="43"/>
      <c r="Y783" s="44" t="str">
        <f>vlookup(G783,zip_codes!$B$6:$J988,3,false)</f>
        <v>Houston</v>
      </c>
      <c r="Z783" s="45" t="str">
        <f>vlookup(G783,zip_codes!$B$6:$J988,9,false)</f>
        <v>Clear Lake</v>
      </c>
      <c r="AA783" s="44" t="str">
        <f>vlookup(B783,organizations!$B$1:$C988,2,false)</f>
        <v>St Bernadette Clear Lake</v>
      </c>
      <c r="AB783" s="46" t="s">
        <v>3945</v>
      </c>
      <c r="AC783" s="47" t="s">
        <v>3776</v>
      </c>
      <c r="AD783" s="48" t="s">
        <v>1670</v>
      </c>
      <c r="AE783" s="48" t="str">
        <f t="shared" si="99"/>
        <v>St Bernadette Clear Lake15500 El Camino Real64</v>
      </c>
      <c r="AF783" s="48" t="str">
        <f t="shared" si="100"/>
        <v/>
      </c>
    </row>
    <row r="784" ht="66.75" customHeight="1">
      <c r="A784" s="49" t="s">
        <v>3946</v>
      </c>
      <c r="B784" s="35" t="s">
        <v>3947</v>
      </c>
      <c r="C784" s="36" t="s">
        <v>3948</v>
      </c>
      <c r="D784" s="36"/>
      <c r="E784" s="36" t="s">
        <v>36</v>
      </c>
      <c r="F784" s="36" t="s">
        <v>37</v>
      </c>
      <c r="G784" s="35" t="s">
        <v>3946</v>
      </c>
      <c r="H784" s="35" t="s">
        <v>3949</v>
      </c>
      <c r="I784" s="66"/>
      <c r="J784" s="89"/>
      <c r="K784" s="37">
        <f>IFERROR(__xludf.DUMMYFUNCTION("query(assistance!$A$2:$E988,""Select C Where D = '""&amp;L784&amp;""'"")"),13.0)</f>
        <v>13</v>
      </c>
      <c r="L784" s="36" t="s">
        <v>240</v>
      </c>
      <c r="M784" s="38">
        <f t="shared" si="101"/>
        <v>1</v>
      </c>
      <c r="N784" s="39" t="s">
        <v>42</v>
      </c>
      <c r="O784" s="65"/>
      <c r="P784" s="50"/>
      <c r="Q784" s="50"/>
      <c r="R784" s="50"/>
      <c r="S784" s="35" t="b">
        <v>0</v>
      </c>
      <c r="T784" s="35" t="b">
        <v>0</v>
      </c>
      <c r="U784" s="41" t="str">
        <f>IFERROR(__xludf.DUMMYFUNCTION("""["" &amp; JOIN("", "", ARRAYFORMULA("""""""" &amp; TRIM(SPLIT(A784, "","")) &amp; """""""")) &amp; ""]"""),"[""77043""]")</f>
        <v>["77043"]</v>
      </c>
      <c r="V784" s="52" t="s">
        <v>3950</v>
      </c>
      <c r="W784" s="52" t="s">
        <v>3951</v>
      </c>
      <c r="X784" s="43"/>
      <c r="Y784" s="44" t="str">
        <f>vlookup(G784,zip_codes!$B$6:$J988,3,false)</f>
        <v>Houston</v>
      </c>
      <c r="Z784" s="45" t="str">
        <f>vlookup(G784,zip_codes!$B$6:$J988,9,false)</f>
        <v>Northwest Houston, Spring Branch West</v>
      </c>
      <c r="AA784" s="44" t="str">
        <f>vlookup(B784,organizations!$B$1:$C988,2,false)</f>
        <v>St Catherine of Sienna</v>
      </c>
      <c r="AB784" s="46" t="s">
        <v>3952</v>
      </c>
      <c r="AC784" s="53"/>
      <c r="AD784" s="48" t="s">
        <v>715</v>
      </c>
      <c r="AE784" s="48" t="str">
        <f t="shared" si="99"/>
        <v>St Catherine of Sienna10688 Shadow Wood Drive13</v>
      </c>
      <c r="AF784" s="48" t="str">
        <f t="shared" si="100"/>
        <v/>
      </c>
    </row>
    <row r="785" ht="66.75" customHeight="1">
      <c r="A785" s="49" t="s">
        <v>3946</v>
      </c>
      <c r="B785" s="35" t="s">
        <v>3947</v>
      </c>
      <c r="C785" s="36" t="s">
        <v>3948</v>
      </c>
      <c r="D785" s="36"/>
      <c r="E785" s="36" t="s">
        <v>36</v>
      </c>
      <c r="F785" s="36" t="s">
        <v>37</v>
      </c>
      <c r="G785" s="35" t="s">
        <v>3946</v>
      </c>
      <c r="H785" s="35" t="s">
        <v>3949</v>
      </c>
      <c r="I785" s="66"/>
      <c r="J785" s="89"/>
      <c r="K785" s="37">
        <f>IFERROR(__xludf.DUMMYFUNCTION("query(assistance!$A$2:$E988,""Select C Where D = '""&amp;L785&amp;""'"")"),14.0)</f>
        <v>14</v>
      </c>
      <c r="L785" s="36" t="s">
        <v>391</v>
      </c>
      <c r="M785" s="38">
        <f t="shared" si="101"/>
        <v>1</v>
      </c>
      <c r="N785" s="39" t="s">
        <v>42</v>
      </c>
      <c r="O785" s="65"/>
      <c r="P785" s="50"/>
      <c r="Q785" s="50"/>
      <c r="R785" s="50"/>
      <c r="S785" s="35" t="b">
        <v>0</v>
      </c>
      <c r="T785" s="35" t="b">
        <v>0</v>
      </c>
      <c r="U785" s="41" t="str">
        <f>IFERROR(__xludf.DUMMYFUNCTION("""["" &amp; JOIN("", "", ARRAYFORMULA("""""""" &amp; TRIM(SPLIT(A785, "","")) &amp; """""""")) &amp; ""]"""),"[""77043""]")</f>
        <v>["77043"]</v>
      </c>
      <c r="V785" s="52" t="s">
        <v>3950</v>
      </c>
      <c r="W785" s="52" t="s">
        <v>3951</v>
      </c>
      <c r="X785" s="43"/>
      <c r="Y785" s="44" t="str">
        <f>vlookup(G785,zip_codes!$B$6:$J988,3,false)</f>
        <v>Houston</v>
      </c>
      <c r="Z785" s="45" t="str">
        <f>vlookup(G785,zip_codes!$B$6:$J988,9,false)</f>
        <v>Northwest Houston, Spring Branch West</v>
      </c>
      <c r="AA785" s="44" t="str">
        <f>vlookup(B785,organizations!$B$1:$C988,2,false)</f>
        <v>St Catherine of Sienna</v>
      </c>
      <c r="AB785" s="46" t="s">
        <v>3952</v>
      </c>
      <c r="AC785" s="53"/>
      <c r="AD785" s="48" t="s">
        <v>715</v>
      </c>
      <c r="AE785" s="48" t="str">
        <f t="shared" si="99"/>
        <v>St Catherine of Sienna10688 Shadow Wood Drive14</v>
      </c>
      <c r="AF785" s="48" t="str">
        <f t="shared" si="100"/>
        <v/>
      </c>
    </row>
    <row r="786" ht="66.75" customHeight="1">
      <c r="A786" s="49" t="s">
        <v>3953</v>
      </c>
      <c r="B786" s="35" t="s">
        <v>3954</v>
      </c>
      <c r="C786" s="36" t="s">
        <v>3955</v>
      </c>
      <c r="D786" s="36"/>
      <c r="E786" s="36" t="s">
        <v>36</v>
      </c>
      <c r="F786" s="36" t="s">
        <v>37</v>
      </c>
      <c r="G786" s="35" t="s">
        <v>497</v>
      </c>
      <c r="H786" s="35" t="s">
        <v>3956</v>
      </c>
      <c r="I786" s="35" t="s">
        <v>3957</v>
      </c>
      <c r="J786" s="35"/>
      <c r="K786" s="37">
        <f>IFERROR(__xludf.DUMMYFUNCTION("query(assistance!$A$2:$E988,""Select C Where D = '""&amp;L786&amp;""'"")"),11.0)</f>
        <v>11</v>
      </c>
      <c r="L786" s="36" t="s">
        <v>322</v>
      </c>
      <c r="M786" s="38">
        <f t="shared" si="101"/>
        <v>1</v>
      </c>
      <c r="N786" s="51" t="s">
        <v>42</v>
      </c>
      <c r="O786" s="40">
        <v>45637.0</v>
      </c>
      <c r="P786" s="50"/>
      <c r="Q786" s="35"/>
      <c r="R786" s="35"/>
      <c r="S786" s="35" t="b">
        <v>0</v>
      </c>
      <c r="T786" s="35" t="b">
        <v>0</v>
      </c>
      <c r="U786" s="41" t="str">
        <f>IFERROR(__xludf.DUMMYFUNCTION("""["" &amp; JOIN("", "", ARRAYFORMULA("""""""" &amp; TRIM(SPLIT(A786, "","")) &amp; """""""")) &amp; ""]"""),"[""77024"", ""77043"", ""77055"", ""77080""]")</f>
        <v>["77024", "77043", "77055", "77080"]</v>
      </c>
      <c r="V786" s="52" t="s">
        <v>3958</v>
      </c>
      <c r="W786" s="52" t="s">
        <v>3959</v>
      </c>
      <c r="X786" s="43"/>
      <c r="Y786" s="44" t="str">
        <f>vlookup(G786,zip_codes!$B$6:$J988,3,false)</f>
        <v>Houston</v>
      </c>
      <c r="Z786" s="45" t="str">
        <f>vlookup(G786,zip_codes!$B$6:$J988,9,false)</f>
        <v>Hedwig Village, Hunters Creek, Memorial City, Memorial Villages, Northwest Houston, Westside</v>
      </c>
      <c r="AA786" s="44" t="str">
        <f>vlookup(B786,organizations!$B$1:$C988,2,false)</f>
        <v>Society of St Vincent de Paul</v>
      </c>
      <c r="AB786" s="46" t="s">
        <v>3960</v>
      </c>
      <c r="AC786" s="47" t="s">
        <v>3961</v>
      </c>
      <c r="AD786" s="48" t="s">
        <v>1059</v>
      </c>
      <c r="AE786" s="48" t="str">
        <f t="shared" si="99"/>
        <v>St Cecilia (SVdP D4)11720 Joan of Arc Drive11</v>
      </c>
      <c r="AF786" s="48" t="str">
        <f t="shared" si="100"/>
        <v/>
      </c>
    </row>
    <row r="787" ht="66.75" customHeight="1">
      <c r="A787" s="49" t="s">
        <v>3953</v>
      </c>
      <c r="B787" s="35" t="s">
        <v>3954</v>
      </c>
      <c r="C787" s="36" t="s">
        <v>3955</v>
      </c>
      <c r="D787" s="36"/>
      <c r="E787" s="36" t="s">
        <v>36</v>
      </c>
      <c r="F787" s="36" t="s">
        <v>37</v>
      </c>
      <c r="G787" s="35" t="s">
        <v>497</v>
      </c>
      <c r="H787" s="35" t="s">
        <v>3956</v>
      </c>
      <c r="I787" s="35" t="s">
        <v>3957</v>
      </c>
      <c r="J787" s="35"/>
      <c r="K787" s="37">
        <f>IFERROR(__xludf.DUMMYFUNCTION("query(assistance!$A$2:$E988,""Select C Where D = '""&amp;L787&amp;""'"")"),12.0)</f>
        <v>12</v>
      </c>
      <c r="L787" s="36" t="s">
        <v>330</v>
      </c>
      <c r="M787" s="38">
        <f t="shared" si="101"/>
        <v>1</v>
      </c>
      <c r="N787" s="51" t="s">
        <v>42</v>
      </c>
      <c r="O787" s="40">
        <v>45637.0</v>
      </c>
      <c r="P787" s="50"/>
      <c r="Q787" s="35"/>
      <c r="R787" s="35"/>
      <c r="S787" s="35" t="b">
        <v>0</v>
      </c>
      <c r="T787" s="35" t="b">
        <v>0</v>
      </c>
      <c r="U787" s="41" t="str">
        <f>IFERROR(__xludf.DUMMYFUNCTION("""["" &amp; JOIN("", "", ARRAYFORMULA("""""""" &amp; TRIM(SPLIT(A787, "","")) &amp; """""""")) &amp; ""]"""),"[""77024"", ""77043"", ""77055"", ""77080""]")</f>
        <v>["77024", "77043", "77055", "77080"]</v>
      </c>
      <c r="V787" s="52" t="s">
        <v>3958</v>
      </c>
      <c r="W787" s="52" t="s">
        <v>3959</v>
      </c>
      <c r="X787" s="43"/>
      <c r="Y787" s="44" t="str">
        <f>vlookup(G787,zip_codes!$B$6:$J988,3,false)</f>
        <v>Houston</v>
      </c>
      <c r="Z787" s="45" t="str">
        <f>vlookup(G787,zip_codes!$B$6:$J988,9,false)</f>
        <v>Hedwig Village, Hunters Creek, Memorial City, Memorial Villages, Northwest Houston, Westside</v>
      </c>
      <c r="AA787" s="44" t="str">
        <f>vlookup(B787,organizations!$B$1:$C988,2,false)</f>
        <v>Society of St Vincent de Paul</v>
      </c>
      <c r="AB787" s="46" t="s">
        <v>3960</v>
      </c>
      <c r="AC787" s="47" t="s">
        <v>3961</v>
      </c>
      <c r="AD787" s="48" t="s">
        <v>1059</v>
      </c>
      <c r="AE787" s="48" t="str">
        <f t="shared" si="99"/>
        <v>St Cecilia (SVdP D4)11720 Joan of Arc Drive12</v>
      </c>
      <c r="AF787" s="48" t="str">
        <f t="shared" si="100"/>
        <v/>
      </c>
    </row>
    <row r="788" ht="66.75" customHeight="1">
      <c r="A788" s="49" t="s">
        <v>3962</v>
      </c>
      <c r="B788" s="35" t="s">
        <v>3963</v>
      </c>
      <c r="C788" s="36" t="s">
        <v>3964</v>
      </c>
      <c r="D788" s="36"/>
      <c r="E788" s="36" t="s">
        <v>36</v>
      </c>
      <c r="F788" s="36" t="s">
        <v>37</v>
      </c>
      <c r="G788" s="35" t="s">
        <v>876</v>
      </c>
      <c r="H788" s="35" t="s">
        <v>3965</v>
      </c>
      <c r="I788" s="35" t="s">
        <v>40</v>
      </c>
      <c r="J788" s="35"/>
      <c r="K788" s="37">
        <f>IFERROR(__xludf.DUMMYFUNCTION("query(assistance!$A$2:$E988,""Select C Where D = '""&amp;L788&amp;""'"")"),11.0)</f>
        <v>11</v>
      </c>
      <c r="L788" s="36" t="s">
        <v>322</v>
      </c>
      <c r="M788" s="38">
        <f t="shared" si="101"/>
        <v>1</v>
      </c>
      <c r="N788" s="51" t="s">
        <v>42</v>
      </c>
      <c r="O788" s="40">
        <v>45637.0</v>
      </c>
      <c r="P788" s="50"/>
      <c r="Q788" s="35"/>
      <c r="R788" s="35"/>
      <c r="S788" s="35" t="b">
        <v>0</v>
      </c>
      <c r="T788" s="35" t="b">
        <v>0</v>
      </c>
      <c r="U788" s="41" t="str">
        <f>IFERROR(__xludf.DUMMYFUNCTION("""["" &amp; JOIN("", "", ARRAYFORMULA("""""""" &amp; TRIM(SPLIT(A788, "","")) &amp; """""""")) &amp; ""]"""),"[""77022"", ""77076""]")</f>
        <v>["77022", "77076"]</v>
      </c>
      <c r="V788" s="52" t="s">
        <v>3966</v>
      </c>
      <c r="W788" s="52" t="s">
        <v>3967</v>
      </c>
      <c r="X788" s="43"/>
      <c r="Y788" s="44" t="str">
        <f>vlookup(G788,zip_codes!$B$6:$J988,3,false)</f>
        <v>Houston</v>
      </c>
      <c r="Z788" s="45" t="str">
        <f>vlookup(G788,zip_codes!$B$6:$J988,9,false)</f>
        <v>Independence Heights, Northline, Northside / Northline</v>
      </c>
      <c r="AA788" s="44" t="str">
        <f>vlookup(B788,organizations!$B$1:$C988,2,false)</f>
        <v>Society of St Vincent de Paul</v>
      </c>
      <c r="AB788" s="46" t="s">
        <v>3968</v>
      </c>
      <c r="AC788" s="47" t="s">
        <v>48</v>
      </c>
      <c r="AD788" s="48" t="s">
        <v>74</v>
      </c>
      <c r="AE788" s="48" t="str">
        <f t="shared" si="99"/>
        <v>St Charles Borromeo (SVdP D1)501 Tidwell Road11</v>
      </c>
      <c r="AF788" s="48" t="str">
        <f t="shared" si="100"/>
        <v/>
      </c>
    </row>
    <row r="789" ht="66.75" customHeight="1">
      <c r="A789" s="49" t="s">
        <v>3962</v>
      </c>
      <c r="B789" s="35" t="s">
        <v>3963</v>
      </c>
      <c r="C789" s="36" t="s">
        <v>3964</v>
      </c>
      <c r="D789" s="36"/>
      <c r="E789" s="36" t="s">
        <v>36</v>
      </c>
      <c r="F789" s="36" t="s">
        <v>37</v>
      </c>
      <c r="G789" s="35" t="s">
        <v>876</v>
      </c>
      <c r="H789" s="35" t="s">
        <v>3965</v>
      </c>
      <c r="I789" s="35" t="s">
        <v>40</v>
      </c>
      <c r="J789" s="35"/>
      <c r="K789" s="37">
        <f>IFERROR(__xludf.DUMMYFUNCTION("query(assistance!$A$2:$E988,""Select C Where D = '""&amp;L789&amp;""'"")"),12.0)</f>
        <v>12</v>
      </c>
      <c r="L789" s="36" t="s">
        <v>330</v>
      </c>
      <c r="M789" s="38">
        <f t="shared" si="101"/>
        <v>1</v>
      </c>
      <c r="N789" s="51" t="s">
        <v>42</v>
      </c>
      <c r="O789" s="40">
        <v>45637.0</v>
      </c>
      <c r="P789" s="50"/>
      <c r="Q789" s="35"/>
      <c r="R789" s="35"/>
      <c r="S789" s="35" t="b">
        <v>0</v>
      </c>
      <c r="T789" s="35" t="b">
        <v>0</v>
      </c>
      <c r="U789" s="41" t="str">
        <f>IFERROR(__xludf.DUMMYFUNCTION("""["" &amp; JOIN("", "", ARRAYFORMULA("""""""" &amp; TRIM(SPLIT(A789, "","")) &amp; """""""")) &amp; ""]"""),"[""77022"", ""77076""]")</f>
        <v>["77022", "77076"]</v>
      </c>
      <c r="V789" s="52" t="s">
        <v>3966</v>
      </c>
      <c r="W789" s="52" t="s">
        <v>3967</v>
      </c>
      <c r="X789" s="43"/>
      <c r="Y789" s="44" t="str">
        <f>vlookup(G789,zip_codes!$B$6:$J988,3,false)</f>
        <v>Houston</v>
      </c>
      <c r="Z789" s="45" t="str">
        <f>vlookup(G789,zip_codes!$B$6:$J988,9,false)</f>
        <v>Independence Heights, Northline, Northside / Northline</v>
      </c>
      <c r="AA789" s="44" t="str">
        <f>vlookup(B789,organizations!$B$1:$C988,2,false)</f>
        <v>Society of St Vincent de Paul</v>
      </c>
      <c r="AB789" s="46" t="s">
        <v>3968</v>
      </c>
      <c r="AC789" s="47" t="s">
        <v>48</v>
      </c>
      <c r="AD789" s="48" t="s">
        <v>74</v>
      </c>
      <c r="AE789" s="48" t="str">
        <f t="shared" si="99"/>
        <v>St Charles Borromeo (SVdP D1)501 Tidwell Road12</v>
      </c>
      <c r="AF789" s="48" t="str">
        <f t="shared" si="100"/>
        <v/>
      </c>
    </row>
    <row r="790" ht="66.75" customHeight="1">
      <c r="A790" s="49" t="s">
        <v>3962</v>
      </c>
      <c r="B790" s="35" t="s">
        <v>3963</v>
      </c>
      <c r="C790" s="36" t="s">
        <v>3964</v>
      </c>
      <c r="D790" s="36"/>
      <c r="E790" s="36" t="s">
        <v>36</v>
      </c>
      <c r="F790" s="36" t="s">
        <v>37</v>
      </c>
      <c r="G790" s="35" t="s">
        <v>876</v>
      </c>
      <c r="H790" s="35" t="s">
        <v>3969</v>
      </c>
      <c r="I790" s="35" t="s">
        <v>3970</v>
      </c>
      <c r="J790" s="35"/>
      <c r="K790" s="37">
        <f>IFERROR(__xludf.DUMMYFUNCTION("query(assistance!$A$2:$E988,""Select C Where D = '""&amp;L790&amp;""'"")"),13.0)</f>
        <v>13</v>
      </c>
      <c r="L790" s="36" t="s">
        <v>240</v>
      </c>
      <c r="M790" s="38">
        <f t="shared" si="101"/>
        <v>1</v>
      </c>
      <c r="N790" s="51" t="s">
        <v>42</v>
      </c>
      <c r="O790" s="40">
        <v>45637.0</v>
      </c>
      <c r="P790" s="50"/>
      <c r="Q790" s="35"/>
      <c r="R790" s="35" t="s">
        <v>3971</v>
      </c>
      <c r="S790" s="35" t="b">
        <v>0</v>
      </c>
      <c r="T790" s="35" t="b">
        <v>0</v>
      </c>
      <c r="U790" s="41" t="str">
        <f>IFERROR(__xludf.DUMMYFUNCTION("""["" &amp; JOIN("", "", ARRAYFORMULA("""""""" &amp; TRIM(SPLIT(A790, "","")) &amp; """""""")) &amp; ""]"""),"[""77022"", ""77076""]")</f>
        <v>["77022", "77076"]</v>
      </c>
      <c r="V790" s="52" t="s">
        <v>3966</v>
      </c>
      <c r="W790" s="52" t="s">
        <v>3967</v>
      </c>
      <c r="X790" s="43"/>
      <c r="Y790" s="44" t="str">
        <f>vlookup(G790,zip_codes!$B$6:$J988,3,false)</f>
        <v>Houston</v>
      </c>
      <c r="Z790" s="45" t="str">
        <f>vlookup(G790,zip_codes!$B$6:$J988,9,false)</f>
        <v>Independence Heights, Northline, Northside / Northline</v>
      </c>
      <c r="AA790" s="44" t="str">
        <f>vlookup(B790,organizations!$B$1:$C988,2,false)</f>
        <v>Society of St Vincent de Paul</v>
      </c>
      <c r="AB790" s="46" t="s">
        <v>3968</v>
      </c>
      <c r="AC790" s="47" t="s">
        <v>3972</v>
      </c>
      <c r="AD790" s="48" t="s">
        <v>74</v>
      </c>
      <c r="AE790" s="48" t="str">
        <f t="shared" si="99"/>
        <v>St Charles Borromeo (SVdP D1)501 Tidwell Road13</v>
      </c>
      <c r="AF790" s="48" t="str">
        <f t="shared" si="100"/>
        <v/>
      </c>
    </row>
    <row r="791" ht="66.75" customHeight="1">
      <c r="A791" s="49" t="s">
        <v>3973</v>
      </c>
      <c r="B791" s="35" t="s">
        <v>3974</v>
      </c>
      <c r="C791" s="36" t="s">
        <v>3975</v>
      </c>
      <c r="D791" s="36"/>
      <c r="E791" s="36" t="s">
        <v>36</v>
      </c>
      <c r="F791" s="36" t="s">
        <v>37</v>
      </c>
      <c r="G791" s="35" t="s">
        <v>3976</v>
      </c>
      <c r="H791" s="35" t="s">
        <v>3977</v>
      </c>
      <c r="I791" s="35" t="s">
        <v>3978</v>
      </c>
      <c r="J791" s="35"/>
      <c r="K791" s="37">
        <f>IFERROR(__xludf.DUMMYFUNCTION("query(assistance!$A$2:$E988,""Select C Where D = '""&amp;L791&amp;""'"")"),11.0)</f>
        <v>11</v>
      </c>
      <c r="L791" s="36" t="s">
        <v>322</v>
      </c>
      <c r="M791" s="38">
        <f t="shared" si="101"/>
        <v>1</v>
      </c>
      <c r="N791" s="39" t="s">
        <v>42</v>
      </c>
      <c r="O791" s="65"/>
      <c r="P791" s="50"/>
      <c r="Q791" s="50"/>
      <c r="R791" s="50"/>
      <c r="S791" s="35" t="b">
        <v>0</v>
      </c>
      <c r="T791" s="35" t="b">
        <v>0</v>
      </c>
      <c r="U791" s="41" t="str">
        <f>IFERROR(__xludf.DUMMYFUNCTION("""["" &amp; JOIN("", "", ARRAYFORMULA("""""""" &amp; TRIM(SPLIT(A791, "","")) &amp; """""""")) &amp; ""]"""),"[""77058"", ""77059"", ""77062"", ""77546"", ""77565"", ""77573"", ""77586"", ""77598""]")</f>
        <v>["77058", "77059", "77062", "77546", "77565", "77573", "77586", "77598"]</v>
      </c>
      <c r="V791" s="52" t="s">
        <v>3979</v>
      </c>
      <c r="W791" s="52" t="s">
        <v>3980</v>
      </c>
      <c r="X791" s="43"/>
      <c r="Y791" s="44" t="str">
        <f>vlookup(G791,zip_codes!$B$6:$J988,3,false)</f>
        <v>Houston</v>
      </c>
      <c r="Z791" s="45" t="str">
        <f>vlookup(G791,zip_codes!$B$6:$J988,9,false)</f>
        <v>Clear Lake, Pine Brook</v>
      </c>
      <c r="AA791" s="44" t="str">
        <f>vlookup(B791,organizations!$B$1:$C988,2,false)</f>
        <v>St Clare of Assisi (Christ in Action)</v>
      </c>
      <c r="AB791" s="46" t="s">
        <v>3981</v>
      </c>
      <c r="AC791" s="47" t="s">
        <v>3526</v>
      </c>
      <c r="AD791" s="48" t="s">
        <v>1670</v>
      </c>
      <c r="AE791" s="48" t="str">
        <f t="shared" si="99"/>
        <v>St Clare of Assisi (Christ in Action)3131 El Dorado Blvd11</v>
      </c>
      <c r="AF791" s="48" t="str">
        <f t="shared" si="100"/>
        <v/>
      </c>
    </row>
    <row r="792" ht="66.75" customHeight="1">
      <c r="A792" s="49" t="s">
        <v>3973</v>
      </c>
      <c r="B792" s="35" t="s">
        <v>3974</v>
      </c>
      <c r="C792" s="36" t="s">
        <v>3975</v>
      </c>
      <c r="D792" s="36"/>
      <c r="E792" s="36" t="s">
        <v>36</v>
      </c>
      <c r="F792" s="36" t="s">
        <v>37</v>
      </c>
      <c r="G792" s="35" t="s">
        <v>3976</v>
      </c>
      <c r="H792" s="35" t="s">
        <v>3977</v>
      </c>
      <c r="I792" s="35" t="s">
        <v>3978</v>
      </c>
      <c r="J792" s="35"/>
      <c r="K792" s="37">
        <f>IFERROR(__xludf.DUMMYFUNCTION("query(assistance!$A$2:$E988,""Select C Where D = '""&amp;L792&amp;""'"")"),12.0)</f>
        <v>12</v>
      </c>
      <c r="L792" s="36" t="s">
        <v>330</v>
      </c>
      <c r="M792" s="38">
        <f t="shared" si="101"/>
        <v>1</v>
      </c>
      <c r="N792" s="39" t="s">
        <v>42</v>
      </c>
      <c r="O792" s="65"/>
      <c r="P792" s="50"/>
      <c r="Q792" s="50"/>
      <c r="R792" s="50"/>
      <c r="S792" s="35" t="b">
        <v>0</v>
      </c>
      <c r="T792" s="35" t="b">
        <v>0</v>
      </c>
      <c r="U792" s="41" t="str">
        <f>IFERROR(__xludf.DUMMYFUNCTION("""["" &amp; JOIN("", "", ARRAYFORMULA("""""""" &amp; TRIM(SPLIT(A792, "","")) &amp; """""""")) &amp; ""]"""),"[""77058"", ""77059"", ""77062"", ""77546"", ""77565"", ""77573"", ""77586"", ""77598""]")</f>
        <v>["77058", "77059", "77062", "77546", "77565", "77573", "77586", "77598"]</v>
      </c>
      <c r="V792" s="52" t="s">
        <v>3979</v>
      </c>
      <c r="W792" s="52" t="s">
        <v>3980</v>
      </c>
      <c r="X792" s="43"/>
      <c r="Y792" s="44" t="str">
        <f>vlookup(G792,zip_codes!$B$6:$J988,3,false)</f>
        <v>Houston</v>
      </c>
      <c r="Z792" s="45" t="str">
        <f>vlookup(G792,zip_codes!$B$6:$J988,9,false)</f>
        <v>Clear Lake, Pine Brook</v>
      </c>
      <c r="AA792" s="44" t="str">
        <f>vlookup(B792,organizations!$B$1:$C988,2,false)</f>
        <v>St Clare of Assisi (Christ in Action)</v>
      </c>
      <c r="AB792" s="46" t="s">
        <v>3981</v>
      </c>
      <c r="AC792" s="47" t="s">
        <v>3526</v>
      </c>
      <c r="AD792" s="48" t="s">
        <v>1670</v>
      </c>
      <c r="AE792" s="48" t="str">
        <f t="shared" si="99"/>
        <v>St Clare of Assisi (Christ in Action)3131 El Dorado Blvd12</v>
      </c>
      <c r="AF792" s="48" t="str">
        <f t="shared" si="100"/>
        <v/>
      </c>
    </row>
    <row r="793" ht="66.75" customHeight="1">
      <c r="A793" s="49" t="s">
        <v>3982</v>
      </c>
      <c r="B793" s="35" t="s">
        <v>3983</v>
      </c>
      <c r="C793" s="36" t="s">
        <v>3984</v>
      </c>
      <c r="D793" s="36"/>
      <c r="E793" s="36" t="s">
        <v>451</v>
      </c>
      <c r="F793" s="36" t="s">
        <v>37</v>
      </c>
      <c r="G793" s="35" t="s">
        <v>3985</v>
      </c>
      <c r="H793" s="35" t="s">
        <v>3986</v>
      </c>
      <c r="I793" s="35" t="s">
        <v>3987</v>
      </c>
      <c r="J793" s="35"/>
      <c r="K793" s="37">
        <f>IFERROR(__xludf.DUMMYFUNCTION("query(assistance!$A$2:$E988,""Select C Where D = '""&amp;L793&amp;""'"")"),11.0)</f>
        <v>11</v>
      </c>
      <c r="L793" s="36" t="s">
        <v>322</v>
      </c>
      <c r="M793" s="38">
        <f t="shared" si="101"/>
        <v>1</v>
      </c>
      <c r="N793" s="39" t="s">
        <v>42</v>
      </c>
      <c r="O793" s="65"/>
      <c r="P793" s="50"/>
      <c r="Q793" s="50"/>
      <c r="R793" s="50"/>
      <c r="S793" s="35" t="b">
        <v>0</v>
      </c>
      <c r="T793" s="35" t="b">
        <v>0</v>
      </c>
      <c r="U793" s="41" t="str">
        <f>IFERROR(__xludf.DUMMYFUNCTION("""["" &amp; JOIN("", "", ARRAYFORMULA("""""""" &amp; TRIM(SPLIT(A793, "","")) &amp; """""""")) &amp; ""]"""),"[""77388"", ""77389"", ""77390""]")</f>
        <v>["77388", "77389", "77390"]</v>
      </c>
      <c r="V793" s="52" t="s">
        <v>3988</v>
      </c>
      <c r="W793" s="52" t="s">
        <v>3989</v>
      </c>
      <c r="X793" s="43"/>
      <c r="Y793" s="44" t="str">
        <f>vlookup(G793,zip_codes!$B$6:$J988,3,false)</f>
        <v>Spring</v>
      </c>
      <c r="Z793" s="45" t="str">
        <f>vlookup(G793,zip_codes!$B$6:$J988,9,false)</f>
        <v>Auburn Lakes, Northampton, Spring</v>
      </c>
      <c r="AA793" s="44" t="str">
        <f>vlookup(B793,organizations!$B$1:$C988,2,false)</f>
        <v>St Edward Spring</v>
      </c>
      <c r="AB793" s="46" t="s">
        <v>3990</v>
      </c>
      <c r="AC793" s="47" t="s">
        <v>3991</v>
      </c>
      <c r="AD793" s="48" t="s">
        <v>451</v>
      </c>
      <c r="AE793" s="48" t="str">
        <f t="shared" si="99"/>
        <v>St Edward Spring2601 Spring Stuebner Road11</v>
      </c>
      <c r="AF793" s="48" t="str">
        <f t="shared" si="100"/>
        <v/>
      </c>
    </row>
    <row r="794" ht="66.75" customHeight="1">
      <c r="A794" s="49" t="s">
        <v>3982</v>
      </c>
      <c r="B794" s="35" t="s">
        <v>3983</v>
      </c>
      <c r="C794" s="36" t="s">
        <v>3984</v>
      </c>
      <c r="D794" s="36"/>
      <c r="E794" s="36" t="s">
        <v>451</v>
      </c>
      <c r="F794" s="36" t="s">
        <v>37</v>
      </c>
      <c r="G794" s="35" t="s">
        <v>3985</v>
      </c>
      <c r="H794" s="35" t="s">
        <v>3986</v>
      </c>
      <c r="I794" s="35" t="s">
        <v>3987</v>
      </c>
      <c r="J794" s="35"/>
      <c r="K794" s="37">
        <f>IFERROR(__xludf.DUMMYFUNCTION("query(assistance!$A$2:$E988,""Select C Where D = '""&amp;L794&amp;""'"")"),12.0)</f>
        <v>12</v>
      </c>
      <c r="L794" s="36" t="s">
        <v>330</v>
      </c>
      <c r="M794" s="38">
        <f t="shared" si="101"/>
        <v>1</v>
      </c>
      <c r="N794" s="39" t="s">
        <v>42</v>
      </c>
      <c r="O794" s="65"/>
      <c r="P794" s="50"/>
      <c r="Q794" s="50"/>
      <c r="R794" s="50"/>
      <c r="S794" s="35" t="b">
        <v>0</v>
      </c>
      <c r="T794" s="35" t="b">
        <v>0</v>
      </c>
      <c r="U794" s="41" t="str">
        <f>IFERROR(__xludf.DUMMYFUNCTION("""["" &amp; JOIN("", "", ARRAYFORMULA("""""""" &amp; TRIM(SPLIT(A794, "","")) &amp; """""""")) &amp; ""]"""),"[""77388"", ""77389"", ""77390""]")</f>
        <v>["77388", "77389", "77390"]</v>
      </c>
      <c r="V794" s="52" t="s">
        <v>3988</v>
      </c>
      <c r="W794" s="52" t="s">
        <v>3989</v>
      </c>
      <c r="X794" s="43"/>
      <c r="Y794" s="44" t="str">
        <f>vlookup(G794,zip_codes!$B$6:$J988,3,false)</f>
        <v>Spring</v>
      </c>
      <c r="Z794" s="45" t="str">
        <f>vlookup(G794,zip_codes!$B$6:$J988,9,false)</f>
        <v>Auburn Lakes, Northampton, Spring</v>
      </c>
      <c r="AA794" s="44" t="str">
        <f>vlookup(B794,organizations!$B$1:$C988,2,false)</f>
        <v>St Edward Spring</v>
      </c>
      <c r="AB794" s="46" t="s">
        <v>3990</v>
      </c>
      <c r="AC794" s="47" t="s">
        <v>3991</v>
      </c>
      <c r="AD794" s="48" t="s">
        <v>451</v>
      </c>
      <c r="AE794" s="48" t="str">
        <f t="shared" si="99"/>
        <v>St Edward Spring2601 Spring Stuebner Road12</v>
      </c>
      <c r="AF794" s="48" t="str">
        <f t="shared" si="100"/>
        <v/>
      </c>
    </row>
    <row r="795" ht="66.75" customHeight="1">
      <c r="A795" s="49" t="s">
        <v>3992</v>
      </c>
      <c r="B795" s="35" t="s">
        <v>3993</v>
      </c>
      <c r="C795" s="36" t="s">
        <v>3994</v>
      </c>
      <c r="D795" s="36"/>
      <c r="E795" s="36" t="s">
        <v>36</v>
      </c>
      <c r="F795" s="36" t="s">
        <v>37</v>
      </c>
      <c r="G795" s="35" t="s">
        <v>3064</v>
      </c>
      <c r="H795" s="35" t="s">
        <v>3995</v>
      </c>
      <c r="I795" s="35" t="s">
        <v>3996</v>
      </c>
      <c r="J795" s="35"/>
      <c r="K795" s="37">
        <f>IFERROR(__xludf.DUMMYFUNCTION("query(assistance!$A$2:$E988,""Select C Where D = '""&amp;L795&amp;""'"")"),11.0)</f>
        <v>11</v>
      </c>
      <c r="L795" s="36" t="s">
        <v>322</v>
      </c>
      <c r="M795" s="38">
        <f t="shared" si="101"/>
        <v>1</v>
      </c>
      <c r="N795" s="51" t="s">
        <v>42</v>
      </c>
      <c r="O795" s="40">
        <v>45637.0</v>
      </c>
      <c r="P795" s="50"/>
      <c r="Q795" s="35"/>
      <c r="R795" s="35"/>
      <c r="S795" s="35" t="b">
        <v>0</v>
      </c>
      <c r="T795" s="35" t="b">
        <v>0</v>
      </c>
      <c r="U795" s="41" t="str">
        <f>IFERROR(__xludf.DUMMYFUNCTION("""["" &amp; JOIN("", "", ARRAYFORMULA("""""""" &amp; TRIM(SPLIT(A795, "","")) &amp; """""""")) &amp; ""]"""),"[""77041"", ""77084"", ""77095""]")</f>
        <v>["77041", "77084", "77095"]</v>
      </c>
      <c r="V795" s="52" t="s">
        <v>3997</v>
      </c>
      <c r="W795" s="52" t="s">
        <v>3998</v>
      </c>
      <c r="X795" s="43"/>
      <c r="Y795" s="44" t="str">
        <f>vlookup(G795,zip_codes!$B$6:$J988,3,false)</f>
        <v>Houston</v>
      </c>
      <c r="Z795" s="45" t="str">
        <f>vlookup(G795,zip_codes!$B$6:$J988,9,false)</f>
        <v>Addicks Park Ten, Bear Creek, Copperfield</v>
      </c>
      <c r="AA795" s="44" t="str">
        <f>vlookup(B795,organizations!$B$1:$C988,2,false)</f>
        <v>Society of St Vincent de Paul</v>
      </c>
      <c r="AB795" s="46" t="s">
        <v>3999</v>
      </c>
      <c r="AC795" s="47" t="s">
        <v>4000</v>
      </c>
      <c r="AD795" s="58" t="s">
        <v>4001</v>
      </c>
      <c r="AE795" s="48" t="str">
        <f t="shared" si="99"/>
        <v>St Elizabeth Ann Seton (SVdP D4)6646 Addicks Satsuma Drive11</v>
      </c>
      <c r="AF795" s="48" t="str">
        <f t="shared" si="100"/>
        <v/>
      </c>
    </row>
    <row r="796" ht="66.75" customHeight="1">
      <c r="A796" s="49" t="s">
        <v>3992</v>
      </c>
      <c r="B796" s="35" t="s">
        <v>3993</v>
      </c>
      <c r="C796" s="36" t="s">
        <v>3994</v>
      </c>
      <c r="D796" s="36"/>
      <c r="E796" s="36" t="s">
        <v>36</v>
      </c>
      <c r="F796" s="36" t="s">
        <v>37</v>
      </c>
      <c r="G796" s="35" t="s">
        <v>3064</v>
      </c>
      <c r="H796" s="35" t="s">
        <v>3995</v>
      </c>
      <c r="I796" s="35" t="s">
        <v>3996</v>
      </c>
      <c r="J796" s="35"/>
      <c r="K796" s="37">
        <f>IFERROR(__xludf.DUMMYFUNCTION("query(assistance!$A$2:$E988,""Select C Where D = '""&amp;L796&amp;""'"")"),12.0)</f>
        <v>12</v>
      </c>
      <c r="L796" s="36" t="s">
        <v>330</v>
      </c>
      <c r="M796" s="38">
        <f t="shared" si="101"/>
        <v>1</v>
      </c>
      <c r="N796" s="51" t="s">
        <v>42</v>
      </c>
      <c r="O796" s="40">
        <v>45637.0</v>
      </c>
      <c r="P796" s="50"/>
      <c r="Q796" s="35"/>
      <c r="R796" s="35"/>
      <c r="S796" s="35" t="b">
        <v>0</v>
      </c>
      <c r="T796" s="35" t="b">
        <v>0</v>
      </c>
      <c r="U796" s="41" t="str">
        <f>IFERROR(__xludf.DUMMYFUNCTION("""["" &amp; JOIN("", "", ARRAYFORMULA("""""""" &amp; TRIM(SPLIT(A796, "","")) &amp; """""""")) &amp; ""]"""),"[""77041"", ""77084"", ""77095""]")</f>
        <v>["77041", "77084", "77095"]</v>
      </c>
      <c r="V796" s="52" t="s">
        <v>3997</v>
      </c>
      <c r="W796" s="52" t="s">
        <v>3998</v>
      </c>
      <c r="X796" s="43"/>
      <c r="Y796" s="44" t="str">
        <f>vlookup(G796,zip_codes!$B$6:$J988,3,false)</f>
        <v>Houston</v>
      </c>
      <c r="Z796" s="45" t="str">
        <f>vlookup(G796,zip_codes!$B$6:$J988,9,false)</f>
        <v>Addicks Park Ten, Bear Creek, Copperfield</v>
      </c>
      <c r="AA796" s="44" t="str">
        <f>vlookup(B796,organizations!$B$1:$C988,2,false)</f>
        <v>Society of St Vincent de Paul</v>
      </c>
      <c r="AB796" s="46" t="s">
        <v>3999</v>
      </c>
      <c r="AC796" s="47" t="s">
        <v>4000</v>
      </c>
      <c r="AD796" s="58" t="s">
        <v>4001</v>
      </c>
      <c r="AE796" s="48" t="str">
        <f t="shared" si="99"/>
        <v>St Elizabeth Ann Seton (SVdP D4)6646 Addicks Satsuma Drive12</v>
      </c>
      <c r="AF796" s="48" t="str">
        <f t="shared" si="100"/>
        <v/>
      </c>
    </row>
    <row r="797" ht="66.75" customHeight="1">
      <c r="A797" s="49" t="s">
        <v>3992</v>
      </c>
      <c r="B797" s="35" t="s">
        <v>3993</v>
      </c>
      <c r="C797" s="36" t="s">
        <v>3994</v>
      </c>
      <c r="D797" s="36"/>
      <c r="E797" s="36" t="s">
        <v>36</v>
      </c>
      <c r="F797" s="36" t="s">
        <v>37</v>
      </c>
      <c r="G797" s="35" t="s">
        <v>3064</v>
      </c>
      <c r="H797" s="35" t="s">
        <v>3995</v>
      </c>
      <c r="I797" s="35" t="s">
        <v>4002</v>
      </c>
      <c r="J797" s="35"/>
      <c r="K797" s="37">
        <f>IFERROR(__xludf.DUMMYFUNCTION("query(assistance!$A$2:$E988,""Select C Where D = '""&amp;L797&amp;""'"")"),13.0)</f>
        <v>13</v>
      </c>
      <c r="L797" s="36" t="s">
        <v>240</v>
      </c>
      <c r="M797" s="38">
        <f t="shared" si="101"/>
        <v>1</v>
      </c>
      <c r="N797" s="51" t="s">
        <v>42</v>
      </c>
      <c r="O797" s="40">
        <v>45637.0</v>
      </c>
      <c r="P797" s="50"/>
      <c r="Q797" s="35"/>
      <c r="R797" s="35"/>
      <c r="S797" s="35" t="b">
        <v>0</v>
      </c>
      <c r="T797" s="35" t="b">
        <v>0</v>
      </c>
      <c r="U797" s="41" t="str">
        <f>IFERROR(__xludf.DUMMYFUNCTION("""["" &amp; JOIN("", "", ARRAYFORMULA("""""""" &amp; TRIM(SPLIT(A797, "","")) &amp; """""""")) &amp; ""]"""),"[""77041"", ""77084"", ""77095""]")</f>
        <v>["77041", "77084", "77095"]</v>
      </c>
      <c r="V797" s="52" t="s">
        <v>3997</v>
      </c>
      <c r="W797" s="52" t="s">
        <v>3998</v>
      </c>
      <c r="X797" s="43"/>
      <c r="Y797" s="44" t="str">
        <f>vlookup(G797,zip_codes!$B$6:$J988,3,false)</f>
        <v>Houston</v>
      </c>
      <c r="Z797" s="45" t="str">
        <f>vlookup(G797,zip_codes!$B$6:$J988,9,false)</f>
        <v>Addicks Park Ten, Bear Creek, Copperfield</v>
      </c>
      <c r="AA797" s="44" t="str">
        <f>vlookup(B797,organizations!$B$1:$C988,2,false)</f>
        <v>Society of St Vincent de Paul</v>
      </c>
      <c r="AB797" s="46" t="s">
        <v>3999</v>
      </c>
      <c r="AC797" s="47" t="s">
        <v>4003</v>
      </c>
      <c r="AD797" s="58" t="s">
        <v>4001</v>
      </c>
      <c r="AE797" s="48" t="str">
        <f t="shared" si="99"/>
        <v>St Elizabeth Ann Seton (SVdP D4)6646 Addicks Satsuma Drive13</v>
      </c>
      <c r="AF797" s="48" t="str">
        <f t="shared" si="100"/>
        <v/>
      </c>
    </row>
    <row r="798" ht="66.75" customHeight="1">
      <c r="A798" s="49" t="s">
        <v>2902</v>
      </c>
      <c r="B798" s="35" t="s">
        <v>4004</v>
      </c>
      <c r="C798" s="36" t="s">
        <v>4005</v>
      </c>
      <c r="D798" s="36"/>
      <c r="E798" s="36" t="s">
        <v>36</v>
      </c>
      <c r="F798" s="36" t="s">
        <v>37</v>
      </c>
      <c r="G798" s="35" t="s">
        <v>2902</v>
      </c>
      <c r="H798" s="35" t="s">
        <v>4006</v>
      </c>
      <c r="I798" s="35" t="s">
        <v>4007</v>
      </c>
      <c r="J798" s="35"/>
      <c r="K798" s="37">
        <f>IFERROR(__xludf.DUMMYFUNCTION("query(assistance!$A$2:$E988,""Select C Where D = '""&amp;L798&amp;""'"")"),13.0)</f>
        <v>13</v>
      </c>
      <c r="L798" s="36" t="s">
        <v>240</v>
      </c>
      <c r="M798" s="39">
        <f>if(N798="Inactive",3,if(N798="Limited", 2, if(N798="Closed", 4, 1)))</f>
        <v>3</v>
      </c>
      <c r="N798" s="51" t="s">
        <v>973</v>
      </c>
      <c r="O798" s="65"/>
      <c r="P798" s="50"/>
      <c r="Q798" s="50"/>
      <c r="R798" s="50"/>
      <c r="S798" s="35" t="b">
        <v>0</v>
      </c>
      <c r="T798" s="35" t="b">
        <v>0</v>
      </c>
      <c r="U798" s="41" t="str">
        <f>IFERROR(__xludf.DUMMYFUNCTION("""["" &amp; JOIN("", "", ARRAYFORMULA("""""""" &amp; TRIM(SPLIT(A798, "","")) &amp; """""""")) &amp; ""]"""),"[""77034""]")</f>
        <v>["77034"]</v>
      </c>
      <c r="V798" s="52" t="s">
        <v>4008</v>
      </c>
      <c r="W798" s="52" t="s">
        <v>4009</v>
      </c>
      <c r="X798" s="43"/>
      <c r="Y798" s="44" t="str">
        <f>vlookup(G798,zip_codes!$B$6:$J988,3,false)</f>
        <v>Houston</v>
      </c>
      <c r="Z798" s="45" t="str">
        <f>vlookup(G798,zip_codes!$B$6:$J988,9,false)</f>
        <v>Edgebrook Area, Ellington, Southbelt</v>
      </c>
      <c r="AA798" s="44" t="str">
        <f>vlookup(B798,organizations!$B$1:$C988,2,false)</f>
        <v>St Francis Cabrini</v>
      </c>
      <c r="AB798" s="46" t="s">
        <v>4010</v>
      </c>
      <c r="AC798" s="47" t="s">
        <v>4011</v>
      </c>
      <c r="AD798" s="48" t="s">
        <v>2907</v>
      </c>
      <c r="AE798" s="48" t="str">
        <f t="shared" si="99"/>
        <v>St Francis Cabrini10727 Hartsook Street13</v>
      </c>
      <c r="AF798" s="48" t="str">
        <f t="shared" si="100"/>
        <v/>
      </c>
    </row>
    <row r="799" ht="66.75" customHeight="1">
      <c r="A799" s="49" t="s">
        <v>4012</v>
      </c>
      <c r="B799" s="35" t="s">
        <v>4013</v>
      </c>
      <c r="C799" s="36" t="s">
        <v>4014</v>
      </c>
      <c r="D799" s="36"/>
      <c r="E799" s="36" t="s">
        <v>36</v>
      </c>
      <c r="F799" s="36" t="s">
        <v>37</v>
      </c>
      <c r="G799" s="35" t="s">
        <v>599</v>
      </c>
      <c r="H799" s="35" t="s">
        <v>4015</v>
      </c>
      <c r="I799" s="96"/>
      <c r="J799" s="35" t="s">
        <v>4016</v>
      </c>
      <c r="K799" s="37">
        <f>IFERROR(__xludf.DUMMYFUNCTION("query(assistance!$A$2:$E988,""Select C Where D = '""&amp;L799&amp;""'"")"),11.0)</f>
        <v>11</v>
      </c>
      <c r="L799" s="36" t="s">
        <v>322</v>
      </c>
      <c r="M799" s="38">
        <f t="shared" ref="M799:M801" si="102">if(N799="Inactive",3,if(N799="Limited", 2, 1))</f>
        <v>1</v>
      </c>
      <c r="N799" s="39" t="s">
        <v>42</v>
      </c>
      <c r="O799" s="65"/>
      <c r="P799" s="50"/>
      <c r="Q799" s="35"/>
      <c r="R799" s="35"/>
      <c r="S799" s="35" t="b">
        <v>0</v>
      </c>
      <c r="T799" s="35" t="b">
        <v>0</v>
      </c>
      <c r="U799" s="41" t="str">
        <f>IFERROR(__xludf.DUMMYFUNCTION("""["" &amp; JOIN("", "", ARRAYFORMULA("""""""" &amp; TRIM(SPLIT(A799, "","")) &amp; """""""")) &amp; ""]"""),"[""77036"", ""77074""]")</f>
        <v>["77036", "77074"]</v>
      </c>
      <c r="V799" s="52" t="s">
        <v>4017</v>
      </c>
      <c r="W799" s="52" t="s">
        <v>4018</v>
      </c>
      <c r="X799" s="43"/>
      <c r="Y799" s="44" t="str">
        <f>vlookup(G799,zip_codes!$B$6:$J988,3,false)</f>
        <v>Houston</v>
      </c>
      <c r="Z799" s="45" t="str">
        <f>vlookup(G799,zip_codes!$B$6:$J988,9,false)</f>
        <v>Chinatown, Sharpstown, Westside</v>
      </c>
      <c r="AA799" s="44" t="str">
        <f>vlookup(B799,organizations!$B$1:$C988,2,false)</f>
        <v>Society of St Vincent de Paul</v>
      </c>
      <c r="AB799" s="46" t="s">
        <v>4019</v>
      </c>
      <c r="AC799" s="53"/>
      <c r="AD799" s="48" t="s">
        <v>572</v>
      </c>
      <c r="AE799" s="48" t="str">
        <f t="shared" si="99"/>
        <v>St Francis de Sales (SVdP D3)8200 Roos Road11</v>
      </c>
      <c r="AF799" s="48" t="str">
        <f t="shared" si="100"/>
        <v/>
      </c>
    </row>
    <row r="800" ht="66.75" customHeight="1">
      <c r="A800" s="49" t="s">
        <v>4012</v>
      </c>
      <c r="B800" s="35" t="s">
        <v>4013</v>
      </c>
      <c r="C800" s="36" t="s">
        <v>4014</v>
      </c>
      <c r="D800" s="36"/>
      <c r="E800" s="36" t="s">
        <v>36</v>
      </c>
      <c r="F800" s="36" t="s">
        <v>37</v>
      </c>
      <c r="G800" s="35" t="s">
        <v>599</v>
      </c>
      <c r="H800" s="35" t="s">
        <v>4015</v>
      </c>
      <c r="I800" s="35" t="s">
        <v>4020</v>
      </c>
      <c r="J800" s="35"/>
      <c r="K800" s="37">
        <f>IFERROR(__xludf.DUMMYFUNCTION("query(assistance!$A$2:$E988,""Select C Where D = '""&amp;L800&amp;""'"")"),12.0)</f>
        <v>12</v>
      </c>
      <c r="L800" s="36" t="s">
        <v>330</v>
      </c>
      <c r="M800" s="38">
        <f t="shared" si="102"/>
        <v>1</v>
      </c>
      <c r="N800" s="39" t="s">
        <v>42</v>
      </c>
      <c r="O800" s="65"/>
      <c r="P800" s="50"/>
      <c r="Q800" s="35"/>
      <c r="R800" s="35"/>
      <c r="S800" s="35" t="b">
        <v>0</v>
      </c>
      <c r="T800" s="35" t="b">
        <v>0</v>
      </c>
      <c r="U800" s="41" t="str">
        <f>IFERROR(__xludf.DUMMYFUNCTION("""["" &amp; JOIN("", "", ARRAYFORMULA("""""""" &amp; TRIM(SPLIT(A800, "","")) &amp; """""""")) &amp; ""]"""),"[""77036"", ""77074""]")</f>
        <v>["77036", "77074"]</v>
      </c>
      <c r="V800" s="52" t="s">
        <v>4017</v>
      </c>
      <c r="W800" s="52" t="s">
        <v>4018</v>
      </c>
      <c r="X800" s="43"/>
      <c r="Y800" s="44" t="str">
        <f>vlookup(G800,zip_codes!$B$6:$J988,3,false)</f>
        <v>Houston</v>
      </c>
      <c r="Z800" s="45" t="str">
        <f>vlookup(G800,zip_codes!$B$6:$J988,9,false)</f>
        <v>Chinatown, Sharpstown, Westside</v>
      </c>
      <c r="AA800" s="44" t="str">
        <f>vlookup(B800,organizations!$B$1:$C988,2,false)</f>
        <v>Society of St Vincent de Paul</v>
      </c>
      <c r="AB800" s="46" t="s">
        <v>4019</v>
      </c>
      <c r="AC800" s="47" t="s">
        <v>4021</v>
      </c>
      <c r="AD800" s="48" t="s">
        <v>572</v>
      </c>
      <c r="AE800" s="48" t="str">
        <f t="shared" si="99"/>
        <v>St Francis de Sales (SVdP D3)8200 Roos Road12</v>
      </c>
      <c r="AF800" s="48" t="str">
        <f t="shared" si="100"/>
        <v/>
      </c>
    </row>
    <row r="801" ht="66.75" customHeight="1">
      <c r="A801" s="49" t="s">
        <v>1949</v>
      </c>
      <c r="B801" s="35" t="s">
        <v>4022</v>
      </c>
      <c r="C801" s="36" t="s">
        <v>4023</v>
      </c>
      <c r="D801" s="36"/>
      <c r="E801" s="36" t="s">
        <v>36</v>
      </c>
      <c r="F801" s="36" t="s">
        <v>37</v>
      </c>
      <c r="G801" s="35" t="s">
        <v>762</v>
      </c>
      <c r="H801" s="35" t="s">
        <v>4024</v>
      </c>
      <c r="I801" s="35" t="s">
        <v>4025</v>
      </c>
      <c r="J801" s="35"/>
      <c r="K801" s="37">
        <f>IFERROR(__xludf.DUMMYFUNCTION("query(assistance!$A$2:$E988,""Select C Where D = '""&amp;L801&amp;""'"")"),13.0)</f>
        <v>13</v>
      </c>
      <c r="L801" s="36" t="s">
        <v>240</v>
      </c>
      <c r="M801" s="38">
        <f t="shared" si="102"/>
        <v>1</v>
      </c>
      <c r="N801" s="39" t="s">
        <v>42</v>
      </c>
      <c r="O801" s="65"/>
      <c r="P801" s="50"/>
      <c r="Q801" s="50"/>
      <c r="R801" s="50"/>
      <c r="S801" s="35" t="b">
        <v>0</v>
      </c>
      <c r="T801" s="35" t="b">
        <v>0</v>
      </c>
      <c r="U801" s="41" t="str">
        <f>IFERROR(__xludf.DUMMYFUNCTION("""["" &amp; JOIN("", "", ARRAYFORMULA("""""""" &amp; TRIM(SPLIT(A801, "","")) &amp; """""""")) &amp; ""]"""),"[""77028""]")</f>
        <v>["77028"]</v>
      </c>
      <c r="V801" s="52" t="s">
        <v>4026</v>
      </c>
      <c r="W801" s="52" t="s">
        <v>4027</v>
      </c>
      <c r="X801" s="43"/>
      <c r="Y801" s="44" t="str">
        <f>vlookup(G801,zip_codes!$B$6:$J988,3,false)</f>
        <v>Houston</v>
      </c>
      <c r="Z801" s="45" t="str">
        <f>vlookup(G801,zip_codes!$B$6:$J988,9,false)</f>
        <v>Kashmere Gardens, Northside, Trinity / Houston Gardens</v>
      </c>
      <c r="AA801" s="44" t="str">
        <f>vlookup(B801,organizations!$B$1:$C988,2,false)</f>
        <v>St Francis of Assisi</v>
      </c>
      <c r="AB801" s="46" t="s">
        <v>4028</v>
      </c>
      <c r="AC801" s="47" t="s">
        <v>4029</v>
      </c>
      <c r="AD801" s="48" t="s">
        <v>356</v>
      </c>
      <c r="AE801" s="48" t="str">
        <f t="shared" si="99"/>
        <v>St Francis of Assisi5102 Dabney Street13</v>
      </c>
      <c r="AF801" s="48" t="str">
        <f t="shared" si="100"/>
        <v/>
      </c>
    </row>
    <row r="802" ht="66.75" customHeight="1">
      <c r="A802" s="49" t="s">
        <v>4030</v>
      </c>
      <c r="B802" s="35" t="s">
        <v>4031</v>
      </c>
      <c r="C802" s="36" t="s">
        <v>4032</v>
      </c>
      <c r="D802" s="36"/>
      <c r="E802" s="36" t="s">
        <v>36</v>
      </c>
      <c r="F802" s="36" t="s">
        <v>37</v>
      </c>
      <c r="G802" s="35" t="s">
        <v>881</v>
      </c>
      <c r="H802" s="35" t="s">
        <v>4033</v>
      </c>
      <c r="I802" s="35" t="s">
        <v>4034</v>
      </c>
      <c r="J802" s="35"/>
      <c r="K802" s="37">
        <f>IFERROR(__xludf.DUMMYFUNCTION("query(assistance!$A$2:$E988,""Select C Where D = '""&amp;L802&amp;""'"")"),13.0)</f>
        <v>13</v>
      </c>
      <c r="L802" s="36" t="s">
        <v>240</v>
      </c>
      <c r="M802" s="39">
        <f>if(N802="Inactive",3,if(N802="Limited", 2, if(N802="Closed", 4, 1)))</f>
        <v>3</v>
      </c>
      <c r="N802" s="39" t="s">
        <v>973</v>
      </c>
      <c r="O802" s="57">
        <v>45982.0</v>
      </c>
      <c r="P802" s="35" t="s">
        <v>43</v>
      </c>
      <c r="Q802" s="35"/>
      <c r="R802" s="35"/>
      <c r="S802" s="35" t="b">
        <v>0</v>
      </c>
      <c r="T802" s="35" t="b">
        <v>0</v>
      </c>
      <c r="U802" s="41" t="str">
        <f>IFERROR(__xludf.DUMMYFUNCTION("""["" &amp; JOIN("", "", ARRAYFORMULA("""""""" &amp; TRIM(SPLIT(A802, "","")) &amp; """""""")) &amp; ""]"""),"[""77033"", ""77047"", ""77051""]")</f>
        <v>["77033", "77047", "77051"]</v>
      </c>
      <c r="V802" s="52" t="s">
        <v>4035</v>
      </c>
      <c r="W802" s="52" t="s">
        <v>4036</v>
      </c>
      <c r="X802" s="43"/>
      <c r="Y802" s="44" t="str">
        <f>vlookup(G802,zip_codes!$B$6:$J988,3,false)</f>
        <v>Houston</v>
      </c>
      <c r="Z802" s="45" t="str">
        <f>vlookup(G802,zip_codes!$B$6:$J988,9,false)</f>
        <v>Central Southwest, South Park, South Side, Sunnyside</v>
      </c>
      <c r="AA802" s="44" t="str">
        <f>vlookup(B802,organizations!$B$1:$C988,2,false)</f>
        <v>Society of St Vincent de Paul</v>
      </c>
      <c r="AB802" s="46" t="s">
        <v>4037</v>
      </c>
      <c r="AC802" s="47" t="s">
        <v>4038</v>
      </c>
      <c r="AD802" s="48" t="s">
        <v>49</v>
      </c>
      <c r="AE802" s="48" t="str">
        <f t="shared" si="99"/>
        <v>St Francis Xavier (SVdP D3)4600 Reed Road13</v>
      </c>
      <c r="AF802" s="48" t="str">
        <f t="shared" si="100"/>
        <v/>
      </c>
    </row>
    <row r="803" ht="66.75" customHeight="1">
      <c r="A803" s="49" t="s">
        <v>4039</v>
      </c>
      <c r="B803" s="35" t="s">
        <v>4040</v>
      </c>
      <c r="C803" s="36" t="s">
        <v>4041</v>
      </c>
      <c r="D803" s="36"/>
      <c r="E803" s="36" t="s">
        <v>1150</v>
      </c>
      <c r="F803" s="36" t="s">
        <v>37</v>
      </c>
      <c r="G803" s="35" t="s">
        <v>4042</v>
      </c>
      <c r="H803" s="35" t="s">
        <v>4043</v>
      </c>
      <c r="I803" s="96"/>
      <c r="J803" s="35" t="s">
        <v>3637</v>
      </c>
      <c r="K803" s="37">
        <f>IFERROR(__xludf.DUMMYFUNCTION("query(assistance!$A$2:$E988,""Select C Where D = '""&amp;L803&amp;""'"")"),12.0)</f>
        <v>12</v>
      </c>
      <c r="L803" s="36" t="s">
        <v>330</v>
      </c>
      <c r="M803" s="38">
        <f t="shared" ref="M803:M873" si="103">if(N803="Inactive",3,if(N803="Limited", 2, 1))</f>
        <v>1</v>
      </c>
      <c r="N803" s="51" t="s">
        <v>42</v>
      </c>
      <c r="O803" s="40">
        <v>45637.0</v>
      </c>
      <c r="P803" s="50"/>
      <c r="Q803" s="35"/>
      <c r="R803" s="35"/>
      <c r="S803" s="35" t="b">
        <v>0</v>
      </c>
      <c r="T803" s="35" t="b">
        <v>0</v>
      </c>
      <c r="U803" s="41" t="str">
        <f>IFERROR(__xludf.DUMMYFUNCTION("""["" &amp; JOIN("", "", ARRAYFORMULA("""""""" &amp; TRIM(SPLIT(A803, "","")) &amp; """""""")) &amp; ""]"""),"[""77511"", ""77546"", ""77581"", ""77583"", ""77584""]")</f>
        <v>["77511", "77546", "77581", "77583", "77584"]</v>
      </c>
      <c r="V803" s="52" t="s">
        <v>4044</v>
      </c>
      <c r="W803" s="52" t="s">
        <v>4045</v>
      </c>
      <c r="X803" s="43"/>
      <c r="Y803" s="44" t="str">
        <f>vlookup(G803,zip_codes!$B$6:$J988,3,false)</f>
        <v>Pearland</v>
      </c>
      <c r="Z803" s="45" t="str">
        <f>vlookup(G803,zip_codes!$B$6:$J988,9,false)</f>
        <v>Pearland</v>
      </c>
      <c r="AA803" s="44" t="str">
        <f>vlookup(B803,organizations!$B$1:$C988,2,false)</f>
        <v>Society of St Vincent de Paul</v>
      </c>
      <c r="AB803" s="46" t="s">
        <v>4046</v>
      </c>
      <c r="AC803" s="53"/>
      <c r="AD803" s="48" t="s">
        <v>1150</v>
      </c>
      <c r="AE803" s="48" t="str">
        <f t="shared" si="99"/>
        <v>St Helen (SVdP D7) Pearland2209 Old Alvin Road12</v>
      </c>
      <c r="AF803" s="48" t="str">
        <f t="shared" si="100"/>
        <v/>
      </c>
    </row>
    <row r="804" ht="66.75" customHeight="1">
      <c r="A804" s="49" t="s">
        <v>4039</v>
      </c>
      <c r="B804" s="35" t="s">
        <v>4040</v>
      </c>
      <c r="C804" s="36" t="s">
        <v>4041</v>
      </c>
      <c r="D804" s="36"/>
      <c r="E804" s="36" t="s">
        <v>1150</v>
      </c>
      <c r="F804" s="36" t="s">
        <v>37</v>
      </c>
      <c r="G804" s="35" t="s">
        <v>4042</v>
      </c>
      <c r="H804" s="35" t="s">
        <v>4043</v>
      </c>
      <c r="I804" s="35" t="s">
        <v>4047</v>
      </c>
      <c r="J804" s="35"/>
      <c r="K804" s="37">
        <f>IFERROR(__xludf.DUMMYFUNCTION("query(assistance!$A$2:$E988,""Select C Where D = '""&amp;L804&amp;""'"")"),13.0)</f>
        <v>13</v>
      </c>
      <c r="L804" s="36" t="s">
        <v>240</v>
      </c>
      <c r="M804" s="38">
        <f t="shared" si="103"/>
        <v>1</v>
      </c>
      <c r="N804" s="51" t="s">
        <v>42</v>
      </c>
      <c r="O804" s="40">
        <v>45637.0</v>
      </c>
      <c r="P804" s="50"/>
      <c r="Q804" s="35"/>
      <c r="R804" s="35" t="s">
        <v>4048</v>
      </c>
      <c r="S804" s="35" t="b">
        <v>0</v>
      </c>
      <c r="T804" s="35" t="b">
        <v>0</v>
      </c>
      <c r="U804" s="41" t="str">
        <f>IFERROR(__xludf.DUMMYFUNCTION("""["" &amp; JOIN("", "", ARRAYFORMULA("""""""" &amp; TRIM(SPLIT(A804, "","")) &amp; """""""")) &amp; ""]"""),"[""77511"", ""77546"", ""77581"", ""77583"", ""77584""]")</f>
        <v>["77511", "77546", "77581", "77583", "77584"]</v>
      </c>
      <c r="V804" s="52" t="s">
        <v>4044</v>
      </c>
      <c r="W804" s="52" t="s">
        <v>4045</v>
      </c>
      <c r="X804" s="43"/>
      <c r="Y804" s="44" t="str">
        <f>vlookup(G804,zip_codes!$B$6:$J988,3,false)</f>
        <v>Pearland</v>
      </c>
      <c r="Z804" s="45" t="str">
        <f>vlookup(G804,zip_codes!$B$6:$J988,9,false)</f>
        <v>Pearland</v>
      </c>
      <c r="AA804" s="44" t="str">
        <f>vlookup(B804,organizations!$B$1:$C988,2,false)</f>
        <v>Society of St Vincent de Paul</v>
      </c>
      <c r="AB804" s="46" t="s">
        <v>4046</v>
      </c>
      <c r="AC804" s="47" t="s">
        <v>4049</v>
      </c>
      <c r="AD804" s="48" t="s">
        <v>1150</v>
      </c>
      <c r="AE804" s="48" t="str">
        <f t="shared" si="99"/>
        <v>St Helen (SVdP D7) Pearland2209 Old Alvin Road13</v>
      </c>
      <c r="AF804" s="48" t="str">
        <f t="shared" si="100"/>
        <v/>
      </c>
    </row>
    <row r="805" ht="66.75" customHeight="1">
      <c r="A805" s="49" t="s">
        <v>4050</v>
      </c>
      <c r="B805" s="35" t="s">
        <v>4051</v>
      </c>
      <c r="C805" s="36" t="s">
        <v>4052</v>
      </c>
      <c r="D805" s="36"/>
      <c r="E805" s="36" t="s">
        <v>1467</v>
      </c>
      <c r="F805" s="36" t="s">
        <v>37</v>
      </c>
      <c r="G805" s="35" t="s">
        <v>1464</v>
      </c>
      <c r="H805" s="35" t="s">
        <v>4053</v>
      </c>
      <c r="I805" s="66"/>
      <c r="J805" s="89"/>
      <c r="K805" s="37">
        <f>IFERROR(__xludf.DUMMYFUNCTION("query(assistance!$A$2:$E988,""Select C Where D = '""&amp;L805&amp;""'"")"),11.0)</f>
        <v>11</v>
      </c>
      <c r="L805" s="36" t="s">
        <v>322</v>
      </c>
      <c r="M805" s="38">
        <f t="shared" si="103"/>
        <v>1</v>
      </c>
      <c r="N805" s="51" t="s">
        <v>42</v>
      </c>
      <c r="O805" s="40">
        <v>45637.0</v>
      </c>
      <c r="P805" s="50"/>
      <c r="Q805" s="35"/>
      <c r="R805" s="35"/>
      <c r="S805" s="35" t="b">
        <v>0</v>
      </c>
      <c r="T805" s="35" t="b">
        <v>0</v>
      </c>
      <c r="U805" s="41" t="str">
        <f>IFERROR(__xludf.DUMMYFUNCTION("""["" &amp; JOIN("", "", ARRAYFORMULA("""""""" &amp; TRIM(SPLIT(A805, "","")) &amp; """""""")) &amp; ""]"""),"[""77505"", ""77536"", ""77571""]")</f>
        <v>["77505", "77536", "77571"]</v>
      </c>
      <c r="V805" s="52" t="s">
        <v>4054</v>
      </c>
      <c r="W805" s="52" t="s">
        <v>4055</v>
      </c>
      <c r="X805" s="43"/>
      <c r="Y805" s="44" t="str">
        <f>vlookup(G805,zip_codes!$B$6:$J988,3,false)</f>
        <v>Deer Park</v>
      </c>
      <c r="Z805" s="45" t="str">
        <f>vlookup(G805,zip_codes!$B$6:$J988,9,false)</f>
        <v>Deer Park, Deer Park Gardens</v>
      </c>
      <c r="AA805" s="44" t="str">
        <f>vlookup(B805,organizations!$B$1:$C988,2,false)</f>
        <v>Society of St Vincent de Paul</v>
      </c>
      <c r="AB805" s="46" t="s">
        <v>4056</v>
      </c>
      <c r="AC805" s="53" t="str">
        <f t="shared" ref="AC805:AC806" si="104">PARSE_HOURS(I805)</f>
        <v/>
      </c>
      <c r="AD805" s="48" t="s">
        <v>1467</v>
      </c>
      <c r="AE805" s="48" t="str">
        <f t="shared" si="99"/>
        <v>St Hyacinth (SVdP D5) Deer Park2921 Center Street11</v>
      </c>
      <c r="AF805" s="48" t="str">
        <f>if(AE805=AE803,"XXX","")</f>
        <v/>
      </c>
    </row>
    <row r="806" ht="66.75" customHeight="1">
      <c r="A806" s="49" t="s">
        <v>4050</v>
      </c>
      <c r="B806" s="35" t="s">
        <v>4051</v>
      </c>
      <c r="C806" s="36" t="s">
        <v>4052</v>
      </c>
      <c r="D806" s="36"/>
      <c r="E806" s="36" t="s">
        <v>1467</v>
      </c>
      <c r="F806" s="36" t="s">
        <v>37</v>
      </c>
      <c r="G806" s="35" t="s">
        <v>1464</v>
      </c>
      <c r="H806" s="35" t="s">
        <v>4053</v>
      </c>
      <c r="I806" s="66"/>
      <c r="J806" s="89"/>
      <c r="K806" s="37">
        <f>IFERROR(__xludf.DUMMYFUNCTION("query(assistance!$A$2:$E988,""Select C Where D = '""&amp;L806&amp;""'"")"),12.0)</f>
        <v>12</v>
      </c>
      <c r="L806" s="36" t="s">
        <v>330</v>
      </c>
      <c r="M806" s="38">
        <f t="shared" si="103"/>
        <v>1</v>
      </c>
      <c r="N806" s="51" t="s">
        <v>42</v>
      </c>
      <c r="O806" s="40">
        <v>45637.0</v>
      </c>
      <c r="P806" s="50"/>
      <c r="Q806" s="35"/>
      <c r="R806" s="35"/>
      <c r="S806" s="35" t="b">
        <v>0</v>
      </c>
      <c r="T806" s="35" t="b">
        <v>0</v>
      </c>
      <c r="U806" s="41" t="str">
        <f>IFERROR(__xludf.DUMMYFUNCTION("""["" &amp; JOIN("", "", ARRAYFORMULA("""""""" &amp; TRIM(SPLIT(A806, "","")) &amp; """""""")) &amp; ""]"""),"[""77505"", ""77536"", ""77571""]")</f>
        <v>["77505", "77536", "77571"]</v>
      </c>
      <c r="V806" s="52" t="s">
        <v>4054</v>
      </c>
      <c r="W806" s="52" t="s">
        <v>4055</v>
      </c>
      <c r="X806" s="43"/>
      <c r="Y806" s="44" t="str">
        <f>vlookup(G806,zip_codes!$B$6:$J988,3,false)</f>
        <v>Deer Park</v>
      </c>
      <c r="Z806" s="45" t="str">
        <f>vlookup(G806,zip_codes!$B$6:$J988,9,false)</f>
        <v>Deer Park, Deer Park Gardens</v>
      </c>
      <c r="AA806" s="44" t="str">
        <f>vlookup(B806,organizations!$B$1:$C988,2,false)</f>
        <v>Society of St Vincent de Paul</v>
      </c>
      <c r="AB806" s="46" t="s">
        <v>4056</v>
      </c>
      <c r="AC806" s="53" t="str">
        <f t="shared" si="104"/>
        <v/>
      </c>
      <c r="AD806" s="48" t="s">
        <v>1467</v>
      </c>
      <c r="AE806" s="48" t="str">
        <f t="shared" si="99"/>
        <v>St Hyacinth (SVdP D5) Deer Park2921 Center Street12</v>
      </c>
      <c r="AF806" s="48" t="str">
        <f t="shared" ref="AF806:AF902" si="105">if(AE806=AE805,"XXX","")</f>
        <v/>
      </c>
    </row>
    <row r="807" ht="66.75" customHeight="1">
      <c r="A807" s="49" t="s">
        <v>4057</v>
      </c>
      <c r="B807" s="35" t="s">
        <v>4058</v>
      </c>
      <c r="C807" s="36" t="s">
        <v>4059</v>
      </c>
      <c r="D807" s="36"/>
      <c r="E807" s="36" t="s">
        <v>451</v>
      </c>
      <c r="F807" s="36" t="s">
        <v>37</v>
      </c>
      <c r="G807" s="35" t="s">
        <v>4060</v>
      </c>
      <c r="H807" s="35" t="s">
        <v>4061</v>
      </c>
      <c r="I807" s="35" t="s">
        <v>4062</v>
      </c>
      <c r="J807" s="35"/>
      <c r="K807" s="37">
        <f>IFERROR(__xludf.DUMMYFUNCTION("query(assistance!$A$2:$E988,""Select C Where D = '""&amp;L807&amp;""'"")"),11.0)</f>
        <v>11</v>
      </c>
      <c r="L807" s="36" t="s">
        <v>322</v>
      </c>
      <c r="M807" s="38">
        <f t="shared" si="103"/>
        <v>1</v>
      </c>
      <c r="N807" s="39" t="s">
        <v>42</v>
      </c>
      <c r="O807" s="65"/>
      <c r="P807" s="50"/>
      <c r="Q807" s="50"/>
      <c r="R807" s="50"/>
      <c r="S807" s="35" t="b">
        <v>0</v>
      </c>
      <c r="T807" s="35" t="b">
        <v>0</v>
      </c>
      <c r="U807" s="41" t="str">
        <f>IFERROR(__xludf.DUMMYFUNCTION("""["" &amp; JOIN("", "", ARRAYFORMULA("""""""" &amp; TRIM(SPLIT(A807, "","")) &amp; """""""")) &amp; ""]"""),"[""77073"", ""77373""]")</f>
        <v>["77073", "77373"]</v>
      </c>
      <c r="V807" s="52" t="s">
        <v>4063</v>
      </c>
      <c r="W807" s="52" t="s">
        <v>4064</v>
      </c>
      <c r="X807" s="43"/>
      <c r="Y807" s="44" t="str">
        <f>vlookup(G807,zip_codes!$B$6:$J988,3,false)</f>
        <v>Spring</v>
      </c>
      <c r="Z807" s="45" t="str">
        <f>vlookup(G807,zip_codes!$B$6:$J988,9,false)</f>
        <v>Old Town Spring, Spring</v>
      </c>
      <c r="AA807" s="44" t="str">
        <f>vlookup(B807,organizations!$B$1:$C988,2,false)</f>
        <v>St James Spring</v>
      </c>
      <c r="AB807" s="46" t="s">
        <v>4065</v>
      </c>
      <c r="AC807" s="47" t="s">
        <v>2667</v>
      </c>
      <c r="AD807" s="48" t="s">
        <v>451</v>
      </c>
      <c r="AE807" s="48" t="str">
        <f t="shared" si="99"/>
        <v>St James Spring22800 Aldine Westfield Road11</v>
      </c>
      <c r="AF807" s="48" t="str">
        <f t="shared" si="105"/>
        <v/>
      </c>
    </row>
    <row r="808" ht="66.75" customHeight="1">
      <c r="A808" s="49" t="s">
        <v>4057</v>
      </c>
      <c r="B808" s="35" t="s">
        <v>4058</v>
      </c>
      <c r="C808" s="36" t="s">
        <v>4059</v>
      </c>
      <c r="D808" s="36"/>
      <c r="E808" s="36" t="s">
        <v>451</v>
      </c>
      <c r="F808" s="36" t="s">
        <v>37</v>
      </c>
      <c r="G808" s="35" t="s">
        <v>4060</v>
      </c>
      <c r="H808" s="35" t="s">
        <v>4061</v>
      </c>
      <c r="I808" s="35" t="s">
        <v>4062</v>
      </c>
      <c r="J808" s="35"/>
      <c r="K808" s="37">
        <f>IFERROR(__xludf.DUMMYFUNCTION("query(assistance!$A$2:$E988,""Select C Where D = '""&amp;L808&amp;""'"")"),12.0)</f>
        <v>12</v>
      </c>
      <c r="L808" s="36" t="s">
        <v>330</v>
      </c>
      <c r="M808" s="38">
        <f t="shared" si="103"/>
        <v>1</v>
      </c>
      <c r="N808" s="39" t="s">
        <v>42</v>
      </c>
      <c r="O808" s="65"/>
      <c r="P808" s="50"/>
      <c r="Q808" s="50"/>
      <c r="R808" s="50"/>
      <c r="S808" s="35" t="b">
        <v>0</v>
      </c>
      <c r="T808" s="35" t="b">
        <v>0</v>
      </c>
      <c r="U808" s="41" t="str">
        <f>IFERROR(__xludf.DUMMYFUNCTION("""["" &amp; JOIN("", "", ARRAYFORMULA("""""""" &amp; TRIM(SPLIT(A808, "","")) &amp; """""""")) &amp; ""]"""),"[""77073"", ""77373""]")</f>
        <v>["77073", "77373"]</v>
      </c>
      <c r="V808" s="52" t="s">
        <v>4063</v>
      </c>
      <c r="W808" s="52" t="s">
        <v>4064</v>
      </c>
      <c r="X808" s="43"/>
      <c r="Y808" s="44" t="str">
        <f>vlookup(G808,zip_codes!$B$6:$J988,3,false)</f>
        <v>Spring</v>
      </c>
      <c r="Z808" s="45" t="str">
        <f>vlookup(G808,zip_codes!$B$6:$J988,9,false)</f>
        <v>Old Town Spring, Spring</v>
      </c>
      <c r="AA808" s="44" t="str">
        <f>vlookup(B808,organizations!$B$1:$C988,2,false)</f>
        <v>St James Spring</v>
      </c>
      <c r="AB808" s="46" t="s">
        <v>4065</v>
      </c>
      <c r="AC808" s="47" t="s">
        <v>2667</v>
      </c>
      <c r="AD808" s="48" t="s">
        <v>451</v>
      </c>
      <c r="AE808" s="48" t="str">
        <f t="shared" si="99"/>
        <v>St James Spring22800 Aldine Westfield Road12</v>
      </c>
      <c r="AF808" s="48" t="str">
        <f t="shared" si="105"/>
        <v/>
      </c>
    </row>
    <row r="809" ht="66.75" customHeight="1">
      <c r="A809" s="49" t="s">
        <v>4066</v>
      </c>
      <c r="B809" s="35" t="s">
        <v>4067</v>
      </c>
      <c r="C809" s="36" t="s">
        <v>4068</v>
      </c>
      <c r="D809" s="36"/>
      <c r="E809" s="36" t="s">
        <v>36</v>
      </c>
      <c r="F809" s="36" t="s">
        <v>37</v>
      </c>
      <c r="G809" s="35" t="s">
        <v>694</v>
      </c>
      <c r="H809" s="35" t="s">
        <v>4069</v>
      </c>
      <c r="I809" s="35" t="s">
        <v>4070</v>
      </c>
      <c r="J809" s="35"/>
      <c r="K809" s="37">
        <f>IFERROR(__xludf.DUMMYFUNCTION("query(assistance!$A$2:$E988,""Select C Where D = '""&amp;L809&amp;""'"")"),11.0)</f>
        <v>11</v>
      </c>
      <c r="L809" s="36" t="s">
        <v>322</v>
      </c>
      <c r="M809" s="38">
        <f t="shared" si="103"/>
        <v>1</v>
      </c>
      <c r="N809" s="51" t="s">
        <v>42</v>
      </c>
      <c r="O809" s="40">
        <v>45637.0</v>
      </c>
      <c r="P809" s="50"/>
      <c r="Q809" s="35"/>
      <c r="R809" s="35"/>
      <c r="S809" s="35" t="b">
        <v>0</v>
      </c>
      <c r="T809" s="35" t="b">
        <v>0</v>
      </c>
      <c r="U809" s="41" t="str">
        <f>IFERROR(__xludf.DUMMYFUNCTION("""["" &amp; JOIN("", "", ARRAYFORMULA("""""""" &amp; TRIM(SPLIT(A809, "","")) &amp; """""""")) &amp; ""]"""),"[""77040"", ""77043"", ""77055"", ""77080""]")</f>
        <v>["77040", "77043", "77055", "77080"]</v>
      </c>
      <c r="V809" s="52" t="s">
        <v>4071</v>
      </c>
      <c r="W809" s="52" t="s">
        <v>4072</v>
      </c>
      <c r="X809" s="43"/>
      <c r="Y809" s="44" t="str">
        <f>vlookup(G809,zip_codes!$B$6:$J988,3,false)</f>
        <v>Houston</v>
      </c>
      <c r="Z809" s="45" t="str">
        <f>vlookup(G809,zip_codes!$B$6:$J988,9,false)</f>
        <v>Northwest Houston, Spring Branch Central</v>
      </c>
      <c r="AA809" s="44" t="str">
        <f>vlookup(B809,organizations!$B$1:$C988,2,false)</f>
        <v>Society of St Vincent de Paul</v>
      </c>
      <c r="AB809" s="46" t="s">
        <v>4073</v>
      </c>
      <c r="AC809" s="47" t="s">
        <v>4074</v>
      </c>
      <c r="AD809" s="48" t="s">
        <v>697</v>
      </c>
      <c r="AE809" s="48" t="str">
        <f t="shared" si="99"/>
        <v>St Jerome (SVdP)8825 Kempwood Drive11</v>
      </c>
      <c r="AF809" s="48" t="str">
        <f t="shared" si="105"/>
        <v/>
      </c>
    </row>
    <row r="810" ht="66.75" customHeight="1">
      <c r="A810" s="49" t="s">
        <v>4066</v>
      </c>
      <c r="B810" s="35" t="s">
        <v>4067</v>
      </c>
      <c r="C810" s="36" t="s">
        <v>4068</v>
      </c>
      <c r="D810" s="36"/>
      <c r="E810" s="36" t="s">
        <v>36</v>
      </c>
      <c r="F810" s="36" t="s">
        <v>37</v>
      </c>
      <c r="G810" s="35" t="s">
        <v>694</v>
      </c>
      <c r="H810" s="35" t="s">
        <v>4069</v>
      </c>
      <c r="I810" s="35" t="s">
        <v>4070</v>
      </c>
      <c r="J810" s="35"/>
      <c r="K810" s="37">
        <f>IFERROR(__xludf.DUMMYFUNCTION("query(assistance!$A$2:$E988,""Select C Where D = '""&amp;L810&amp;""'"")"),12.0)</f>
        <v>12</v>
      </c>
      <c r="L810" s="36" t="s">
        <v>330</v>
      </c>
      <c r="M810" s="38">
        <f t="shared" si="103"/>
        <v>1</v>
      </c>
      <c r="N810" s="51" t="s">
        <v>42</v>
      </c>
      <c r="O810" s="40">
        <v>45637.0</v>
      </c>
      <c r="P810" s="50"/>
      <c r="Q810" s="35"/>
      <c r="R810" s="35"/>
      <c r="S810" s="35" t="b">
        <v>0</v>
      </c>
      <c r="T810" s="35" t="b">
        <v>0</v>
      </c>
      <c r="U810" s="41" t="str">
        <f>IFERROR(__xludf.DUMMYFUNCTION("""["" &amp; JOIN("", "", ARRAYFORMULA("""""""" &amp; TRIM(SPLIT(A810, "","")) &amp; """""""")) &amp; ""]"""),"[""77040"", ""77043"", ""77055"", ""77080""]")</f>
        <v>["77040", "77043", "77055", "77080"]</v>
      </c>
      <c r="V810" s="52" t="s">
        <v>4071</v>
      </c>
      <c r="W810" s="52" t="s">
        <v>4072</v>
      </c>
      <c r="X810" s="43"/>
      <c r="Y810" s="44" t="str">
        <f>vlookup(G810,zip_codes!$B$6:$J988,3,false)</f>
        <v>Houston</v>
      </c>
      <c r="Z810" s="45" t="str">
        <f>vlookup(G810,zip_codes!$B$6:$J988,9,false)</f>
        <v>Northwest Houston, Spring Branch Central</v>
      </c>
      <c r="AA810" s="44" t="str">
        <f>vlookup(B810,organizations!$B$1:$C988,2,false)</f>
        <v>Society of St Vincent de Paul</v>
      </c>
      <c r="AB810" s="46" t="s">
        <v>4073</v>
      </c>
      <c r="AC810" s="47" t="s">
        <v>4074</v>
      </c>
      <c r="AD810" s="48" t="s">
        <v>697</v>
      </c>
      <c r="AE810" s="48" t="str">
        <f t="shared" si="99"/>
        <v>St Jerome (SVdP)8825 Kempwood Drive12</v>
      </c>
      <c r="AF810" s="48" t="str">
        <f t="shared" si="105"/>
        <v/>
      </c>
    </row>
    <row r="811" ht="66.75" customHeight="1">
      <c r="A811" s="49" t="s">
        <v>3087</v>
      </c>
      <c r="B811" s="35" t="s">
        <v>4075</v>
      </c>
      <c r="C811" s="36" t="s">
        <v>4076</v>
      </c>
      <c r="D811" s="36"/>
      <c r="E811" s="36" t="s">
        <v>3086</v>
      </c>
      <c r="F811" s="36" t="s">
        <v>37</v>
      </c>
      <c r="G811" s="35" t="s">
        <v>3087</v>
      </c>
      <c r="H811" s="35" t="s">
        <v>4077</v>
      </c>
      <c r="I811" s="35" t="s">
        <v>4078</v>
      </c>
      <c r="J811" s="35"/>
      <c r="K811" s="37">
        <f>IFERROR(__xludf.DUMMYFUNCTION("query(assistance!$A$2:$E988,""Select C Where D = '""&amp;L811&amp;""'"")"),13.0)</f>
        <v>13</v>
      </c>
      <c r="L811" s="36" t="s">
        <v>240</v>
      </c>
      <c r="M811" s="38">
        <f t="shared" si="103"/>
        <v>1</v>
      </c>
      <c r="N811" s="39" t="s">
        <v>42</v>
      </c>
      <c r="O811" s="65"/>
      <c r="P811" s="50"/>
      <c r="Q811" s="50"/>
      <c r="R811" s="50"/>
      <c r="S811" s="35" t="b">
        <v>0</v>
      </c>
      <c r="T811" s="35" t="b">
        <v>0</v>
      </c>
      <c r="U811" s="41" t="str">
        <f>IFERROR(__xludf.DUMMYFUNCTION("""["" &amp; JOIN("", "", ARRAYFORMULA("""""""" &amp; TRIM(SPLIT(A811, "","")) &amp; """""""")) &amp; ""]"""),"[""77357""]")</f>
        <v>["77357"]</v>
      </c>
      <c r="V811" s="52" t="s">
        <v>4079</v>
      </c>
      <c r="W811" s="52" t="s">
        <v>4080</v>
      </c>
      <c r="X811" s="43"/>
      <c r="Y811" s="44" t="str">
        <f>vlookup(G811,zip_codes!$B$6:$J988,3,false)</f>
        <v>New Caney</v>
      </c>
      <c r="Z811" s="45" t="str">
        <f>vlookup(G811,zip_codes!$B$6:$J988,9,false)</f>
        <v>New Caney</v>
      </c>
      <c r="AA811" s="44" t="str">
        <f>vlookup(B811,organizations!$B$1:$C988,2,false)</f>
        <v>St John of the Cross New Caney</v>
      </c>
      <c r="AB811" s="46" t="s">
        <v>4081</v>
      </c>
      <c r="AC811" s="47" t="s">
        <v>4082</v>
      </c>
      <c r="AD811" s="48" t="s">
        <v>3086</v>
      </c>
      <c r="AE811" s="48" t="str">
        <f t="shared" si="99"/>
        <v>St John of the Cross New Caney20000 TX-494 Loop13</v>
      </c>
      <c r="AF811" s="48" t="str">
        <f t="shared" si="105"/>
        <v/>
      </c>
    </row>
    <row r="812" ht="66.75" customHeight="1">
      <c r="A812" s="49" t="s">
        <v>4083</v>
      </c>
      <c r="B812" s="35" t="s">
        <v>4084</v>
      </c>
      <c r="C812" s="36" t="s">
        <v>4085</v>
      </c>
      <c r="D812" s="36"/>
      <c r="E812" s="36" t="s">
        <v>4086</v>
      </c>
      <c r="F812" s="36" t="s">
        <v>37</v>
      </c>
      <c r="G812" s="35" t="s">
        <v>4083</v>
      </c>
      <c r="H812" s="35" t="s">
        <v>4087</v>
      </c>
      <c r="I812" s="35" t="s">
        <v>4088</v>
      </c>
      <c r="J812" s="35"/>
      <c r="K812" s="37">
        <f>IFERROR(__xludf.DUMMYFUNCTION("query(assistance!$A$2:$E988,""Select C Where D = '""&amp;L812&amp;""'"")"),11.0)</f>
        <v>11</v>
      </c>
      <c r="L812" s="36" t="s">
        <v>322</v>
      </c>
      <c r="M812" s="38">
        <f t="shared" si="103"/>
        <v>1</v>
      </c>
      <c r="N812" s="39" t="s">
        <v>42</v>
      </c>
      <c r="O812" s="65"/>
      <c r="P812" s="50"/>
      <c r="Q812" s="50"/>
      <c r="R812" s="50"/>
      <c r="S812" s="35" t="b">
        <v>0</v>
      </c>
      <c r="T812" s="35" t="b">
        <v>0</v>
      </c>
      <c r="U812" s="41" t="str">
        <f>IFERROR(__xludf.DUMMYFUNCTION("""["" &amp; JOIN("", "", ARRAYFORMULA("""""""" &amp; TRIM(SPLIT(A812, "","")) &amp; """""""")) &amp; ""]"""),"[""77511""]")</f>
        <v>["77511"]</v>
      </c>
      <c r="V812" s="52" t="s">
        <v>4089</v>
      </c>
      <c r="W812" s="52" t="s">
        <v>4090</v>
      </c>
      <c r="X812" s="43"/>
      <c r="Y812" s="44" t="str">
        <f>vlookup(G812,zip_codes!$B$6:$J988,3,false)</f>
        <v>Alvin</v>
      </c>
      <c r="Z812" s="45" t="str">
        <f>vlookup(G812,zip_codes!$B$6:$J988,9,false)</f>
        <v>Alvin</v>
      </c>
      <c r="AA812" s="44" t="str">
        <f>vlookup(B812,organizations!$B$1:$C988,2,false)</f>
        <v>St John the Baptist Alvin</v>
      </c>
      <c r="AB812" s="46" t="s">
        <v>4091</v>
      </c>
      <c r="AC812" s="47" t="s">
        <v>4092</v>
      </c>
      <c r="AD812" s="48" t="s">
        <v>4086</v>
      </c>
      <c r="AE812" s="48" t="str">
        <f t="shared" si="99"/>
        <v>St John the Baptist Alvin110 E South Street11</v>
      </c>
      <c r="AF812" s="48" t="str">
        <f t="shared" si="105"/>
        <v/>
      </c>
    </row>
    <row r="813" ht="66.75" customHeight="1">
      <c r="A813" s="49" t="s">
        <v>4083</v>
      </c>
      <c r="B813" s="35" t="s">
        <v>4084</v>
      </c>
      <c r="C813" s="36" t="s">
        <v>4085</v>
      </c>
      <c r="D813" s="36"/>
      <c r="E813" s="36" t="s">
        <v>4086</v>
      </c>
      <c r="F813" s="36" t="s">
        <v>37</v>
      </c>
      <c r="G813" s="35" t="s">
        <v>4083</v>
      </c>
      <c r="H813" s="35" t="s">
        <v>4087</v>
      </c>
      <c r="I813" s="35" t="s">
        <v>4088</v>
      </c>
      <c r="J813" s="35"/>
      <c r="K813" s="37">
        <f>IFERROR(__xludf.DUMMYFUNCTION("query(assistance!$A$2:$E988,""Select C Where D = '""&amp;L813&amp;""'"")"),12.0)</f>
        <v>12</v>
      </c>
      <c r="L813" s="36" t="s">
        <v>330</v>
      </c>
      <c r="M813" s="38">
        <f t="shared" si="103"/>
        <v>1</v>
      </c>
      <c r="N813" s="39" t="s">
        <v>42</v>
      </c>
      <c r="O813" s="65"/>
      <c r="P813" s="50"/>
      <c r="Q813" s="50"/>
      <c r="R813" s="50"/>
      <c r="S813" s="35" t="b">
        <v>0</v>
      </c>
      <c r="T813" s="35" t="b">
        <v>0</v>
      </c>
      <c r="U813" s="41" t="str">
        <f>IFERROR(__xludf.DUMMYFUNCTION("""["" &amp; JOIN("", "", ARRAYFORMULA("""""""" &amp; TRIM(SPLIT(A813, "","")) &amp; """""""")) &amp; ""]"""),"[""77511""]")</f>
        <v>["77511"]</v>
      </c>
      <c r="V813" s="52" t="s">
        <v>4089</v>
      </c>
      <c r="W813" s="52" t="s">
        <v>4090</v>
      </c>
      <c r="X813" s="43"/>
      <c r="Y813" s="44" t="str">
        <f>vlookup(G813,zip_codes!$B$6:$J988,3,false)</f>
        <v>Alvin</v>
      </c>
      <c r="Z813" s="45" t="str">
        <f>vlookup(G813,zip_codes!$B$6:$J988,9,false)</f>
        <v>Alvin</v>
      </c>
      <c r="AA813" s="44" t="str">
        <f>vlookup(B813,organizations!$B$1:$C988,2,false)</f>
        <v>St John the Baptist Alvin</v>
      </c>
      <c r="AB813" s="46" t="s">
        <v>4091</v>
      </c>
      <c r="AC813" s="47" t="s">
        <v>4092</v>
      </c>
      <c r="AD813" s="48" t="s">
        <v>4086</v>
      </c>
      <c r="AE813" s="48" t="str">
        <f t="shared" si="99"/>
        <v>St John the Baptist Alvin110 E South Street12</v>
      </c>
      <c r="AF813" s="48" t="str">
        <f t="shared" si="105"/>
        <v/>
      </c>
    </row>
    <row r="814" ht="66.75" customHeight="1">
      <c r="A814" s="49" t="s">
        <v>4093</v>
      </c>
      <c r="B814" s="35" t="s">
        <v>4094</v>
      </c>
      <c r="C814" s="36" t="s">
        <v>4095</v>
      </c>
      <c r="D814" s="36"/>
      <c r="E814" s="36" t="s">
        <v>36</v>
      </c>
      <c r="F814" s="36" t="s">
        <v>37</v>
      </c>
      <c r="G814" s="35" t="s">
        <v>3200</v>
      </c>
      <c r="H814" s="35" t="s">
        <v>4096</v>
      </c>
      <c r="I814" s="35" t="s">
        <v>959</v>
      </c>
      <c r="J814" s="35"/>
      <c r="K814" s="37">
        <f>IFERROR(__xludf.DUMMYFUNCTION("query(assistance!$A$2:$E988,""Select C Where D = '""&amp;L814&amp;""'"")"),12.0)</f>
        <v>12</v>
      </c>
      <c r="L814" s="36" t="s">
        <v>330</v>
      </c>
      <c r="M814" s="38">
        <f t="shared" si="103"/>
        <v>1</v>
      </c>
      <c r="N814" s="39" t="s">
        <v>42</v>
      </c>
      <c r="O814" s="65"/>
      <c r="P814" s="50"/>
      <c r="Q814" s="35"/>
      <c r="R814" s="35" t="s">
        <v>4097</v>
      </c>
      <c r="S814" s="35" t="b">
        <v>0</v>
      </c>
      <c r="T814" s="35" t="b">
        <v>0</v>
      </c>
      <c r="U814" s="41" t="str">
        <f>IFERROR(__xludf.DUMMYFUNCTION("""["" &amp; JOIN("", "", ARRAYFORMULA("""""""" &amp; TRIM(SPLIT(A814, "","")) &amp; """""""")) &amp; ""]"""),"[""77077"", ""77079""]")</f>
        <v>["77077", "77079"]</v>
      </c>
      <c r="V814" s="52" t="s">
        <v>4098</v>
      </c>
      <c r="W814" s="52" t="s">
        <v>4099</v>
      </c>
      <c r="X814" s="43"/>
      <c r="Y814" s="44" t="str">
        <f>vlookup(G814,zip_codes!$B$6:$J988,3,false)</f>
        <v>Houston</v>
      </c>
      <c r="Z814" s="45" t="str">
        <f>vlookup(G814,zip_codes!$B$6:$J988,9,false)</f>
        <v>Fleetwood, Memorial</v>
      </c>
      <c r="AA814" s="44" t="str">
        <f>vlookup(B814,organizations!$B$1:$C988,2,false)</f>
        <v>St John Vianney</v>
      </c>
      <c r="AB814" s="46" t="s">
        <v>4100</v>
      </c>
      <c r="AC814" s="47" t="s">
        <v>961</v>
      </c>
      <c r="AD814" s="48" t="s">
        <v>3204</v>
      </c>
      <c r="AE814" s="48" t="str">
        <f t="shared" si="99"/>
        <v>St John Vianney625 Nottingham Oaks Trail12</v>
      </c>
      <c r="AF814" s="48" t="str">
        <f t="shared" si="105"/>
        <v/>
      </c>
    </row>
    <row r="815" ht="66.75" customHeight="1">
      <c r="A815" s="49" t="s">
        <v>4101</v>
      </c>
      <c r="B815" s="35" t="s">
        <v>4102</v>
      </c>
      <c r="C815" s="36" t="s">
        <v>4103</v>
      </c>
      <c r="D815" s="36"/>
      <c r="E815" s="36" t="s">
        <v>4104</v>
      </c>
      <c r="F815" s="36" t="s">
        <v>37</v>
      </c>
      <c r="G815" s="35" t="s">
        <v>4105</v>
      </c>
      <c r="H815" s="35" t="s">
        <v>4106</v>
      </c>
      <c r="I815" s="35" t="s">
        <v>4107</v>
      </c>
      <c r="J815" s="35"/>
      <c r="K815" s="37">
        <f>IFERROR(__xludf.DUMMYFUNCTION("query(assistance!$A$2:$E988,""Select C Where D = '""&amp;L815&amp;""'"")"),11.0)</f>
        <v>11</v>
      </c>
      <c r="L815" s="36" t="s">
        <v>322</v>
      </c>
      <c r="M815" s="38">
        <f t="shared" si="103"/>
        <v>1</v>
      </c>
      <c r="N815" s="39" t="s">
        <v>42</v>
      </c>
      <c r="O815" s="65"/>
      <c r="P815" s="50"/>
      <c r="Q815" s="35"/>
      <c r="R815" s="35"/>
      <c r="S815" s="35" t="b">
        <v>0</v>
      </c>
      <c r="T815" s="35" t="b">
        <v>0</v>
      </c>
      <c r="U815" s="41" t="str">
        <f>IFERROR(__xludf.DUMMYFUNCTION("""["" &amp; JOIN("", "", ARRAYFORMULA("""""""" &amp; TRIM(SPLIT(A815, "","")) &amp; """""""")) &amp; ""]"""),"[""77340"", ""77358""]")</f>
        <v>["77340", "77358"]</v>
      </c>
      <c r="V815" s="52" t="s">
        <v>4108</v>
      </c>
      <c r="W815" s="52" t="s">
        <v>4109</v>
      </c>
      <c r="X815" s="43"/>
      <c r="Y815" s="44" t="str">
        <f>vlookup(G815,zip_codes!$B$6:$J988,3,false)</f>
        <v>New Waverly</v>
      </c>
      <c r="Z815" s="45" t="str">
        <f>vlookup(G815,zip_codes!$B$6:$J988,9,false)</f>
        <v>New Waverly</v>
      </c>
      <c r="AA815" s="44" t="str">
        <f>vlookup(B815,organizations!$B$1:$C988,2,false)</f>
        <v>Society of St Vincent de Paul</v>
      </c>
      <c r="AB815" s="46" t="s">
        <v>4110</v>
      </c>
      <c r="AC815" s="47" t="s">
        <v>4111</v>
      </c>
      <c r="AD815" s="48" t="s">
        <v>4104</v>
      </c>
      <c r="AE815" s="48" t="str">
        <f t="shared" si="99"/>
        <v>St Joseph (SVdP D6) New Waverly101 Elmore Street11</v>
      </c>
      <c r="AF815" s="48" t="str">
        <f t="shared" si="105"/>
        <v/>
      </c>
    </row>
    <row r="816" ht="66.75" customHeight="1">
      <c r="A816" s="49" t="s">
        <v>4101</v>
      </c>
      <c r="B816" s="35" t="s">
        <v>4102</v>
      </c>
      <c r="C816" s="36" t="s">
        <v>4103</v>
      </c>
      <c r="D816" s="36"/>
      <c r="E816" s="36" t="s">
        <v>4104</v>
      </c>
      <c r="F816" s="36" t="s">
        <v>37</v>
      </c>
      <c r="G816" s="35" t="s">
        <v>4105</v>
      </c>
      <c r="H816" s="35" t="s">
        <v>4106</v>
      </c>
      <c r="I816" s="35" t="s">
        <v>4107</v>
      </c>
      <c r="J816" s="35"/>
      <c r="K816" s="37">
        <f>IFERROR(__xludf.DUMMYFUNCTION("query(assistance!$A$2:$E988,""Select C Where D = '""&amp;L816&amp;""'"")"),12.0)</f>
        <v>12</v>
      </c>
      <c r="L816" s="36" t="s">
        <v>330</v>
      </c>
      <c r="M816" s="38">
        <f t="shared" si="103"/>
        <v>1</v>
      </c>
      <c r="N816" s="39" t="s">
        <v>42</v>
      </c>
      <c r="O816" s="65"/>
      <c r="P816" s="50"/>
      <c r="Q816" s="35"/>
      <c r="R816" s="35"/>
      <c r="S816" s="35" t="b">
        <v>0</v>
      </c>
      <c r="T816" s="35" t="b">
        <v>0</v>
      </c>
      <c r="U816" s="41" t="str">
        <f>IFERROR(__xludf.DUMMYFUNCTION("""["" &amp; JOIN("", "", ARRAYFORMULA("""""""" &amp; TRIM(SPLIT(A816, "","")) &amp; """""""")) &amp; ""]"""),"[""77340"", ""77358""]")</f>
        <v>["77340", "77358"]</v>
      </c>
      <c r="V816" s="52" t="s">
        <v>4108</v>
      </c>
      <c r="W816" s="52" t="s">
        <v>4109</v>
      </c>
      <c r="X816" s="43"/>
      <c r="Y816" s="44" t="str">
        <f>vlookup(G816,zip_codes!$B$6:$J988,3,false)</f>
        <v>New Waverly</v>
      </c>
      <c r="Z816" s="45" t="str">
        <f>vlookup(G816,zip_codes!$B$6:$J988,9,false)</f>
        <v>New Waverly</v>
      </c>
      <c r="AA816" s="44" t="str">
        <f>vlookup(B816,organizations!$B$1:$C988,2,false)</f>
        <v>Society of St Vincent de Paul</v>
      </c>
      <c r="AB816" s="46" t="s">
        <v>4110</v>
      </c>
      <c r="AC816" s="47" t="s">
        <v>4111</v>
      </c>
      <c r="AD816" s="48" t="s">
        <v>4104</v>
      </c>
      <c r="AE816" s="48" t="str">
        <f t="shared" si="99"/>
        <v>St Joseph (SVdP D6) New Waverly101 Elmore Street12</v>
      </c>
      <c r="AF816" s="48" t="str">
        <f t="shared" si="105"/>
        <v/>
      </c>
    </row>
    <row r="817" ht="66.75" customHeight="1">
      <c r="A817" s="49" t="s">
        <v>4101</v>
      </c>
      <c r="B817" s="35" t="s">
        <v>4102</v>
      </c>
      <c r="C817" s="36" t="s">
        <v>4103</v>
      </c>
      <c r="D817" s="36"/>
      <c r="E817" s="36" t="s">
        <v>4104</v>
      </c>
      <c r="F817" s="36" t="s">
        <v>37</v>
      </c>
      <c r="G817" s="35" t="s">
        <v>4105</v>
      </c>
      <c r="H817" s="35" t="s">
        <v>4106</v>
      </c>
      <c r="I817" s="35" t="s">
        <v>4112</v>
      </c>
      <c r="J817" s="35"/>
      <c r="K817" s="37">
        <f>IFERROR(__xludf.DUMMYFUNCTION("query(assistance!$A$2:$E988,""Select C Where D = '""&amp;L817&amp;""'"")"),13.0)</f>
        <v>13</v>
      </c>
      <c r="L817" s="36" t="s">
        <v>240</v>
      </c>
      <c r="M817" s="38">
        <f t="shared" si="103"/>
        <v>1</v>
      </c>
      <c r="N817" s="39" t="s">
        <v>42</v>
      </c>
      <c r="O817" s="65"/>
      <c r="P817" s="50"/>
      <c r="Q817" s="35"/>
      <c r="R817" s="35"/>
      <c r="S817" s="35" t="b">
        <v>0</v>
      </c>
      <c r="T817" s="35" t="b">
        <v>0</v>
      </c>
      <c r="U817" s="41" t="str">
        <f>IFERROR(__xludf.DUMMYFUNCTION("""["" &amp; JOIN("", "", ARRAYFORMULA("""""""" &amp; TRIM(SPLIT(A817, "","")) &amp; """""""")) &amp; ""]"""),"[""77340"", ""77358""]")</f>
        <v>["77340", "77358"]</v>
      </c>
      <c r="V817" s="52" t="s">
        <v>4108</v>
      </c>
      <c r="W817" s="52" t="s">
        <v>4109</v>
      </c>
      <c r="X817" s="43"/>
      <c r="Y817" s="44" t="str">
        <f>vlookup(G817,zip_codes!$B$6:$J988,3,false)</f>
        <v>New Waverly</v>
      </c>
      <c r="Z817" s="45" t="str">
        <f>vlookup(G817,zip_codes!$B$6:$J988,9,false)</f>
        <v>New Waverly</v>
      </c>
      <c r="AA817" s="44" t="str">
        <f>vlookup(B817,organizations!$B$1:$C988,2,false)</f>
        <v>Society of St Vincent de Paul</v>
      </c>
      <c r="AB817" s="46" t="s">
        <v>4110</v>
      </c>
      <c r="AC817" s="47" t="s">
        <v>4113</v>
      </c>
      <c r="AD817" s="48" t="s">
        <v>4104</v>
      </c>
      <c r="AE817" s="48" t="str">
        <f t="shared" si="99"/>
        <v>St Joseph (SVdP D6) New Waverly101 Elmore Street13</v>
      </c>
      <c r="AF817" s="48" t="str">
        <f t="shared" si="105"/>
        <v/>
      </c>
    </row>
    <row r="818" ht="66.75" customHeight="1">
      <c r="A818" s="49" t="s">
        <v>4114</v>
      </c>
      <c r="B818" s="35" t="s">
        <v>4115</v>
      </c>
      <c r="C818" s="36" t="s">
        <v>4116</v>
      </c>
      <c r="D818" s="36"/>
      <c r="E818" s="36" t="s">
        <v>4117</v>
      </c>
      <c r="F818" s="36" t="s">
        <v>37</v>
      </c>
      <c r="G818" s="35" t="s">
        <v>4118</v>
      </c>
      <c r="H818" s="35" t="s">
        <v>4119</v>
      </c>
      <c r="I818" s="35" t="s">
        <v>40</v>
      </c>
      <c r="J818" s="35"/>
      <c r="K818" s="37">
        <f>IFERROR(__xludf.DUMMYFUNCTION("query(assistance!$A$2:$E988,""Select C Where D = '""&amp;L818&amp;""'"")"),13.0)</f>
        <v>13</v>
      </c>
      <c r="L818" s="36" t="s">
        <v>240</v>
      </c>
      <c r="M818" s="38">
        <f t="shared" si="103"/>
        <v>1</v>
      </c>
      <c r="N818" s="39" t="s">
        <v>42</v>
      </c>
      <c r="O818" s="65"/>
      <c r="P818" s="50"/>
      <c r="Q818" s="50"/>
      <c r="R818" s="50"/>
      <c r="S818" s="35" t="b">
        <v>0</v>
      </c>
      <c r="T818" s="35" t="b">
        <v>0</v>
      </c>
      <c r="U818" s="41" t="str">
        <f>IFERROR(__xludf.DUMMYFUNCTION("""["" &amp; JOIN("", "", ARRAYFORMULA("""""""" &amp; TRIM(SPLIT(A818, "","")) &amp; """""""")) &amp; ""]"""),"[""77422"", ""77426""]")</f>
        <v>["77422", "77426"]</v>
      </c>
      <c r="V818" s="52" t="s">
        <v>4120</v>
      </c>
      <c r="W818" s="52" t="s">
        <v>4121</v>
      </c>
      <c r="X818" s="43"/>
      <c r="Y818" s="44" t="str">
        <f>vlookup(G818,zip_codes!$B$6:$J988,3,false)</f>
        <v>Brookshire</v>
      </c>
      <c r="Z818" s="45" t="str">
        <f>vlookup(G818,zip_codes!$B$6:$J988,9,false)</f>
        <v>Brazoria</v>
      </c>
      <c r="AA818" s="44" t="str">
        <f>vlookup(B818,organizations!$B$1:$C988,2,false)</f>
        <v>St Joseph Brazoria</v>
      </c>
      <c r="AB818" s="46" t="s">
        <v>4122</v>
      </c>
      <c r="AC818" s="47" t="s">
        <v>48</v>
      </c>
      <c r="AD818" s="48" t="s">
        <v>4117</v>
      </c>
      <c r="AE818" s="48" t="str">
        <f t="shared" si="99"/>
        <v>St Joseph Brazoria219 County Road 76213</v>
      </c>
      <c r="AF818" s="48" t="str">
        <f t="shared" si="105"/>
        <v/>
      </c>
    </row>
    <row r="819" ht="66.75" customHeight="1">
      <c r="A819" s="49" t="s">
        <v>346</v>
      </c>
      <c r="B819" s="35" t="s">
        <v>4123</v>
      </c>
      <c r="C819" s="36" t="s">
        <v>3171</v>
      </c>
      <c r="D819" s="36"/>
      <c r="E819" s="36" t="s">
        <v>36</v>
      </c>
      <c r="F819" s="36" t="s">
        <v>37</v>
      </c>
      <c r="G819" s="35" t="s">
        <v>1023</v>
      </c>
      <c r="H819" s="35" t="s">
        <v>4124</v>
      </c>
      <c r="I819" s="35" t="s">
        <v>4125</v>
      </c>
      <c r="J819" s="35"/>
      <c r="K819" s="37">
        <f>IFERROR(__xludf.DUMMYFUNCTION("query(assistance!$A$2:$E988,""Select C Where D = '""&amp;L819&amp;""'"")"),11.0)</f>
        <v>11</v>
      </c>
      <c r="L819" s="36" t="s">
        <v>322</v>
      </c>
      <c r="M819" s="38">
        <f t="shared" si="103"/>
        <v>1</v>
      </c>
      <c r="N819" s="39" t="s">
        <v>42</v>
      </c>
      <c r="O819" s="57">
        <v>45816.0</v>
      </c>
      <c r="P819" s="35" t="s">
        <v>43</v>
      </c>
      <c r="Q819" s="50"/>
      <c r="R819" s="50"/>
      <c r="S819" s="35" t="b">
        <v>0</v>
      </c>
      <c r="T819" s="35" t="b">
        <v>0</v>
      </c>
      <c r="U819" s="41" t="str">
        <f>IFERROR(__xludf.DUMMYFUNCTION("""["" &amp; JOIN("", "", ARRAYFORMULA("""""""" &amp; TRIM(SPLIT(A819, "","")) &amp; """""""")) &amp; ""]"""),"[""77007"", ""77008"", ""77009""]")</f>
        <v>["77007", "77008", "77009"]</v>
      </c>
      <c r="V819" s="52" t="s">
        <v>4126</v>
      </c>
      <c r="W819" s="52" t="s">
        <v>4127</v>
      </c>
      <c r="X819" s="43"/>
      <c r="Y819" s="44" t="str">
        <f>vlookup(G819,zip_codes!$B$6:$J988,3,false)</f>
        <v>Houston</v>
      </c>
      <c r="Z819" s="45" t="str">
        <f>vlookup(G819,zip_codes!$B$6:$J988,9,false)</f>
        <v>Downtown Houston, Memorial Park, Rice Military, Sawyer Heights, Washington Avenue Coalition / Memorial Park, Washington Corridor</v>
      </c>
      <c r="AA819" s="44" t="str">
        <f>vlookup(B819,organizations!$B$1:$C988,2,false)</f>
        <v>St Joseph Catholic Church</v>
      </c>
      <c r="AB819" s="46" t="s">
        <v>3175</v>
      </c>
      <c r="AC819" s="47" t="s">
        <v>4128</v>
      </c>
      <c r="AD819" s="48" t="s">
        <v>1296</v>
      </c>
      <c r="AE819" s="48" t="str">
        <f t="shared" si="99"/>
        <v>St Joseph Catholic Church1505 Kane Street11</v>
      </c>
      <c r="AF819" s="48" t="str">
        <f t="shared" si="105"/>
        <v/>
      </c>
    </row>
    <row r="820" ht="66.75" customHeight="1">
      <c r="A820" s="49" t="s">
        <v>346</v>
      </c>
      <c r="B820" s="35" t="s">
        <v>4123</v>
      </c>
      <c r="C820" s="36" t="s">
        <v>3171</v>
      </c>
      <c r="D820" s="36"/>
      <c r="E820" s="36" t="s">
        <v>36</v>
      </c>
      <c r="F820" s="36" t="s">
        <v>37</v>
      </c>
      <c r="G820" s="35" t="s">
        <v>1023</v>
      </c>
      <c r="H820" s="35" t="s">
        <v>4124</v>
      </c>
      <c r="I820" s="35" t="s">
        <v>4125</v>
      </c>
      <c r="J820" s="35"/>
      <c r="K820" s="37">
        <f>IFERROR(__xludf.DUMMYFUNCTION("query(assistance!$A$2:$E988,""Select C Where D = '""&amp;L820&amp;""'"")"),12.0)</f>
        <v>12</v>
      </c>
      <c r="L820" s="36" t="s">
        <v>330</v>
      </c>
      <c r="M820" s="38">
        <f t="shared" si="103"/>
        <v>1</v>
      </c>
      <c r="N820" s="39" t="s">
        <v>42</v>
      </c>
      <c r="O820" s="57">
        <v>45816.0</v>
      </c>
      <c r="P820" s="35" t="s">
        <v>43</v>
      </c>
      <c r="Q820" s="50"/>
      <c r="R820" s="50"/>
      <c r="S820" s="35" t="b">
        <v>0</v>
      </c>
      <c r="T820" s="35" t="b">
        <v>0</v>
      </c>
      <c r="U820" s="41" t="str">
        <f>IFERROR(__xludf.DUMMYFUNCTION("""["" &amp; JOIN("", "", ARRAYFORMULA("""""""" &amp; TRIM(SPLIT(A820, "","")) &amp; """""""")) &amp; ""]"""),"[""77007"", ""77008"", ""77009""]")</f>
        <v>["77007", "77008", "77009"]</v>
      </c>
      <c r="V820" s="52" t="s">
        <v>4126</v>
      </c>
      <c r="W820" s="52" t="s">
        <v>4127</v>
      </c>
      <c r="X820" s="43"/>
      <c r="Y820" s="44" t="str">
        <f>vlookup(G820,zip_codes!$B$6:$J988,3,false)</f>
        <v>Houston</v>
      </c>
      <c r="Z820" s="45" t="str">
        <f>vlookup(G820,zip_codes!$B$6:$J988,9,false)</f>
        <v>Downtown Houston, Memorial Park, Rice Military, Sawyer Heights, Washington Avenue Coalition / Memorial Park, Washington Corridor</v>
      </c>
      <c r="AA820" s="44" t="str">
        <f>vlookup(B820,organizations!$B$1:$C988,2,false)</f>
        <v>St Joseph Catholic Church</v>
      </c>
      <c r="AB820" s="46" t="s">
        <v>3175</v>
      </c>
      <c r="AC820" s="47" t="s">
        <v>4128</v>
      </c>
      <c r="AD820" s="48" t="s">
        <v>1296</v>
      </c>
      <c r="AE820" s="48" t="str">
        <f t="shared" si="99"/>
        <v>St Joseph Catholic Church1505 Kane Street12</v>
      </c>
      <c r="AF820" s="48" t="str">
        <f t="shared" si="105"/>
        <v/>
      </c>
    </row>
    <row r="821" ht="66.75" customHeight="1">
      <c r="A821" s="49" t="s">
        <v>346</v>
      </c>
      <c r="B821" s="35" t="s">
        <v>4123</v>
      </c>
      <c r="C821" s="36" t="s">
        <v>3171</v>
      </c>
      <c r="D821" s="36"/>
      <c r="E821" s="36" t="s">
        <v>36</v>
      </c>
      <c r="F821" s="36" t="s">
        <v>37</v>
      </c>
      <c r="G821" s="35" t="s">
        <v>1023</v>
      </c>
      <c r="H821" s="35" t="s">
        <v>4124</v>
      </c>
      <c r="I821" s="35" t="s">
        <v>4125</v>
      </c>
      <c r="J821" s="35"/>
      <c r="K821" s="37">
        <f>IFERROR(__xludf.DUMMYFUNCTION("query(assistance!$A$2:$E988,""Select C Where D = '""&amp;L821&amp;""'"")"),13.0)</f>
        <v>13</v>
      </c>
      <c r="L821" s="36" t="s">
        <v>240</v>
      </c>
      <c r="M821" s="38">
        <f t="shared" si="103"/>
        <v>1</v>
      </c>
      <c r="N821" s="39" t="s">
        <v>42</v>
      </c>
      <c r="O821" s="57">
        <v>45816.0</v>
      </c>
      <c r="P821" s="35" t="s">
        <v>43</v>
      </c>
      <c r="Q821" s="35"/>
      <c r="R821" s="35" t="s">
        <v>4129</v>
      </c>
      <c r="S821" s="35" t="b">
        <v>0</v>
      </c>
      <c r="T821" s="35" t="b">
        <v>0</v>
      </c>
      <c r="U821" s="41" t="str">
        <f>IFERROR(__xludf.DUMMYFUNCTION("""["" &amp; JOIN("", "", ARRAYFORMULA("""""""" &amp; TRIM(SPLIT(A821, "","")) &amp; """""""")) &amp; ""]"""),"[""77007"", ""77008"", ""77009""]")</f>
        <v>["77007", "77008", "77009"]</v>
      </c>
      <c r="V821" s="52" t="s">
        <v>4126</v>
      </c>
      <c r="W821" s="52" t="s">
        <v>4127</v>
      </c>
      <c r="X821" s="43"/>
      <c r="Y821" s="44" t="str">
        <f>vlookup(G821,zip_codes!$B$6:$J988,3,false)</f>
        <v>Houston</v>
      </c>
      <c r="Z821" s="45" t="str">
        <f>vlookup(G821,zip_codes!$B$6:$J988,9,false)</f>
        <v>Downtown Houston, Memorial Park, Rice Military, Sawyer Heights, Washington Avenue Coalition / Memorial Park, Washington Corridor</v>
      </c>
      <c r="AA821" s="44" t="str">
        <f>vlookup(B821,organizations!$B$1:$C988,2,false)</f>
        <v>St Joseph Catholic Church</v>
      </c>
      <c r="AB821" s="46" t="s">
        <v>3175</v>
      </c>
      <c r="AC821" s="47" t="s">
        <v>4128</v>
      </c>
      <c r="AD821" s="48" t="s">
        <v>1296</v>
      </c>
      <c r="AE821" s="48" t="str">
        <f t="shared" si="99"/>
        <v>St Joseph Catholic Church1505 Kane Street13</v>
      </c>
      <c r="AF821" s="48" t="str">
        <f t="shared" si="105"/>
        <v/>
      </c>
    </row>
    <row r="822" ht="66.75" customHeight="1">
      <c r="A822" s="49" t="s">
        <v>346</v>
      </c>
      <c r="B822" s="35" t="s">
        <v>4123</v>
      </c>
      <c r="C822" s="36" t="s">
        <v>3171</v>
      </c>
      <c r="D822" s="36"/>
      <c r="E822" s="36" t="s">
        <v>36</v>
      </c>
      <c r="F822" s="36" t="s">
        <v>37</v>
      </c>
      <c r="G822" s="35" t="s">
        <v>1023</v>
      </c>
      <c r="H822" s="35" t="s">
        <v>4124</v>
      </c>
      <c r="I822" s="35" t="s">
        <v>4125</v>
      </c>
      <c r="J822" s="35"/>
      <c r="K822" s="37">
        <f>IFERROR(__xludf.DUMMYFUNCTION("query(assistance!$A$2:$E988,""Select C Where D = '""&amp;L822&amp;""'"")"),14.0)</f>
        <v>14</v>
      </c>
      <c r="L822" s="36" t="s">
        <v>391</v>
      </c>
      <c r="M822" s="38">
        <f t="shared" si="103"/>
        <v>1</v>
      </c>
      <c r="N822" s="39" t="s">
        <v>42</v>
      </c>
      <c r="O822" s="57">
        <v>45816.0</v>
      </c>
      <c r="P822" s="35" t="s">
        <v>43</v>
      </c>
      <c r="Q822" s="50"/>
      <c r="R822" s="50"/>
      <c r="S822" s="35" t="b">
        <v>0</v>
      </c>
      <c r="T822" s="35" t="b">
        <v>0</v>
      </c>
      <c r="U822" s="41" t="str">
        <f>IFERROR(__xludf.DUMMYFUNCTION("""["" &amp; JOIN("", "", ARRAYFORMULA("""""""" &amp; TRIM(SPLIT(A822, "","")) &amp; """""""")) &amp; ""]"""),"[""77007"", ""77008"", ""77009""]")</f>
        <v>["77007", "77008", "77009"]</v>
      </c>
      <c r="V822" s="52" t="s">
        <v>4126</v>
      </c>
      <c r="W822" s="52" t="s">
        <v>4127</v>
      </c>
      <c r="X822" s="43"/>
      <c r="Y822" s="44" t="str">
        <f>vlookup(G822,zip_codes!$B$6:$J988,3,false)</f>
        <v>Houston</v>
      </c>
      <c r="Z822" s="45" t="str">
        <f>vlookup(G822,zip_codes!$B$6:$J988,9,false)</f>
        <v>Downtown Houston, Memorial Park, Rice Military, Sawyer Heights, Washington Avenue Coalition / Memorial Park, Washington Corridor</v>
      </c>
      <c r="AA822" s="44" t="str">
        <f>vlookup(B822,organizations!$B$1:$C988,2,false)</f>
        <v>St Joseph Catholic Church</v>
      </c>
      <c r="AB822" s="46" t="s">
        <v>3175</v>
      </c>
      <c r="AC822" s="47" t="s">
        <v>4128</v>
      </c>
      <c r="AD822" s="48" t="s">
        <v>1296</v>
      </c>
      <c r="AE822" s="48" t="str">
        <f t="shared" si="99"/>
        <v>St Joseph Catholic Church1505 Kane Street14</v>
      </c>
      <c r="AF822" s="48" t="str">
        <f t="shared" si="105"/>
        <v/>
      </c>
    </row>
    <row r="823" ht="66.75" customHeight="1">
      <c r="A823" s="49" t="s">
        <v>50</v>
      </c>
      <c r="B823" s="35" t="s">
        <v>4123</v>
      </c>
      <c r="C823" s="36" t="s">
        <v>3171</v>
      </c>
      <c r="D823" s="36"/>
      <c r="E823" s="36" t="s">
        <v>36</v>
      </c>
      <c r="F823" s="36" t="s">
        <v>37</v>
      </c>
      <c r="G823" s="35" t="s">
        <v>1023</v>
      </c>
      <c r="H823" s="35" t="s">
        <v>4124</v>
      </c>
      <c r="I823" s="35" t="s">
        <v>351</v>
      </c>
      <c r="J823" s="35"/>
      <c r="K823" s="37">
        <f>IFERROR(__xludf.DUMMYFUNCTION("query(assistance!$A$2:$E988,""Select C Where D = '""&amp;L823&amp;""'"")"),23.0)</f>
        <v>23</v>
      </c>
      <c r="L823" s="36" t="s">
        <v>2999</v>
      </c>
      <c r="M823" s="38">
        <f t="shared" si="103"/>
        <v>1</v>
      </c>
      <c r="N823" s="39" t="s">
        <v>42</v>
      </c>
      <c r="O823" s="57">
        <v>45816.0</v>
      </c>
      <c r="P823" s="35" t="s">
        <v>43</v>
      </c>
      <c r="Q823" s="35"/>
      <c r="R823" s="35" t="s">
        <v>4130</v>
      </c>
      <c r="S823" s="35" t="b">
        <v>0</v>
      </c>
      <c r="T823" s="35" t="b">
        <v>0</v>
      </c>
      <c r="U823" s="41" t="str">
        <f>IFERROR(__xludf.DUMMYFUNCTION("""["" &amp; JOIN("", "", ARRAYFORMULA("""""""" &amp; TRIM(SPLIT(A823, "","")) &amp; """""""")) &amp; ""]"""),"[""99999""]")</f>
        <v>["99999"]</v>
      </c>
      <c r="V823" s="52" t="s">
        <v>4126</v>
      </c>
      <c r="W823" s="52" t="s">
        <v>4127</v>
      </c>
      <c r="X823" s="43"/>
      <c r="Y823" s="44" t="str">
        <f>vlookup(G823,zip_codes!$B$6:$J988,3,false)</f>
        <v>Houston</v>
      </c>
      <c r="Z823" s="45" t="str">
        <f>vlookup(G823,zip_codes!$B$6:$J988,9,false)</f>
        <v>Downtown Houston, Memorial Park, Rice Military, Sawyer Heights, Washington Avenue Coalition / Memorial Park, Washington Corridor</v>
      </c>
      <c r="AA823" s="44" t="str">
        <f>vlookup(B823,organizations!$B$1:$C988,2,false)</f>
        <v>St Joseph Catholic Church</v>
      </c>
      <c r="AB823" s="46" t="s">
        <v>3175</v>
      </c>
      <c r="AC823" s="47" t="s">
        <v>355</v>
      </c>
      <c r="AD823" s="48" t="s">
        <v>1296</v>
      </c>
      <c r="AE823" s="48" t="str">
        <f t="shared" si="99"/>
        <v>St Joseph Catholic Church1505 Kane Street23</v>
      </c>
      <c r="AF823" s="48" t="str">
        <f t="shared" si="105"/>
        <v/>
      </c>
    </row>
    <row r="824" ht="66.75" customHeight="1">
      <c r="A824" s="49" t="s">
        <v>4131</v>
      </c>
      <c r="B824" s="35" t="s">
        <v>4132</v>
      </c>
      <c r="C824" s="36" t="s">
        <v>4133</v>
      </c>
      <c r="D824" s="36"/>
      <c r="E824" s="36" t="s">
        <v>4134</v>
      </c>
      <c r="F824" s="36" t="s">
        <v>37</v>
      </c>
      <c r="G824" s="35" t="s">
        <v>4131</v>
      </c>
      <c r="H824" s="35" t="s">
        <v>4135</v>
      </c>
      <c r="I824" s="35" t="s">
        <v>4136</v>
      </c>
      <c r="J824" s="35"/>
      <c r="K824" s="37">
        <f>IFERROR(__xludf.DUMMYFUNCTION("query(assistance!$A$2:$E988,""Select C Where D = '""&amp;L824&amp;""'"")"),13.0)</f>
        <v>13</v>
      </c>
      <c r="L824" s="36" t="s">
        <v>240</v>
      </c>
      <c r="M824" s="38">
        <f t="shared" si="103"/>
        <v>1</v>
      </c>
      <c r="N824" s="39" t="s">
        <v>42</v>
      </c>
      <c r="O824" s="65"/>
      <c r="P824" s="50"/>
      <c r="Q824" s="50"/>
      <c r="R824" s="50"/>
      <c r="S824" s="35" t="b">
        <v>0</v>
      </c>
      <c r="T824" s="35" t="b">
        <v>0</v>
      </c>
      <c r="U824" s="41" t="str">
        <f>IFERROR(__xludf.DUMMYFUNCTION("""["" &amp; JOIN("", "", ARRAYFORMULA("""""""" &amp; TRIM(SPLIT(A824, "","")) &amp; """""""")) &amp; ""]"""),"[""77535""]")</f>
        <v>["77535"]</v>
      </c>
      <c r="V824" s="52" t="s">
        <v>4137</v>
      </c>
      <c r="W824" s="52" t="s">
        <v>4138</v>
      </c>
      <c r="X824" s="43"/>
      <c r="Y824" s="44" t="str">
        <f>vlookup(G824,zip_codes!$B$6:$J988,3,false)</f>
        <v>Dayton</v>
      </c>
      <c r="Z824" s="45" t="str">
        <f>vlookup(G824,zip_codes!$B$6:$J988,9,false)</f>
        <v>Dayton</v>
      </c>
      <c r="AA824" s="44" t="str">
        <f>vlookup(B824,organizations!$B$1:$C988,2,false)</f>
        <v>St Joseph the Worker Dayton</v>
      </c>
      <c r="AB824" s="46" t="s">
        <v>4139</v>
      </c>
      <c r="AC824" s="47" t="s">
        <v>4140</v>
      </c>
      <c r="AD824" s="48" t="s">
        <v>4134</v>
      </c>
      <c r="AE824" s="48" t="str">
        <f t="shared" si="99"/>
        <v>St Joseph the Worker Dayton804 S Cleveland Street13</v>
      </c>
      <c r="AF824" s="48" t="str">
        <f t="shared" si="105"/>
        <v/>
      </c>
    </row>
    <row r="825" ht="66.75" customHeight="1">
      <c r="A825" s="49" t="s">
        <v>4141</v>
      </c>
      <c r="B825" s="35" t="s">
        <v>4142</v>
      </c>
      <c r="C825" s="36" t="s">
        <v>4143</v>
      </c>
      <c r="D825" s="36"/>
      <c r="E825" s="36" t="s">
        <v>36</v>
      </c>
      <c r="F825" s="36" t="s">
        <v>37</v>
      </c>
      <c r="G825" s="35" t="s">
        <v>642</v>
      </c>
      <c r="H825" s="35" t="s">
        <v>4144</v>
      </c>
      <c r="I825" s="35" t="s">
        <v>4145</v>
      </c>
      <c r="J825" s="35"/>
      <c r="K825" s="37">
        <f>IFERROR(__xludf.DUMMYFUNCTION("query(assistance!$A$2:$E988,""Select C Where D = '""&amp;L825&amp;""'"")"),13.0)</f>
        <v>13</v>
      </c>
      <c r="L825" s="36" t="s">
        <v>240</v>
      </c>
      <c r="M825" s="38">
        <f t="shared" si="103"/>
        <v>1</v>
      </c>
      <c r="N825" s="39" t="s">
        <v>42</v>
      </c>
      <c r="O825" s="65"/>
      <c r="P825" s="50"/>
      <c r="Q825" s="50"/>
      <c r="R825" s="50"/>
      <c r="S825" s="35" t="b">
        <v>0</v>
      </c>
      <c r="T825" s="35" t="b">
        <v>0</v>
      </c>
      <c r="U825" s="41" t="str">
        <f>IFERROR(__xludf.DUMMYFUNCTION("""["" &amp; JOIN("", "", ARRAYFORMULA("""""""" &amp; TRIM(SPLIT(A825, "","")) &amp; """""""")) &amp; ""]"""),"[""77082"", ""77083""]")</f>
        <v>["77082", "77083"]</v>
      </c>
      <c r="V825" s="52" t="s">
        <v>4146</v>
      </c>
      <c r="W825" s="52" t="s">
        <v>4147</v>
      </c>
      <c r="X825" s="43"/>
      <c r="Y825" s="44" t="str">
        <f>vlookup(G825,zip_codes!$B$6:$J988,3,false)</f>
        <v>Houston</v>
      </c>
      <c r="Z825" s="45" t="str">
        <f>vlookup(G825,zip_codes!$B$6:$J988,9,false)</f>
        <v>Alief, Eldridge/West Oaks, Westside</v>
      </c>
      <c r="AA825" s="44" t="str">
        <f>vlookup(B825,organizations!$B$1:$C988,2,false)</f>
        <v>St Justin Martyr</v>
      </c>
      <c r="AB825" s="46" t="s">
        <v>4148</v>
      </c>
      <c r="AC825" s="47" t="s">
        <v>4149</v>
      </c>
      <c r="AD825" s="48" t="s">
        <v>1059</v>
      </c>
      <c r="AE825" s="48" t="str">
        <f t="shared" si="99"/>
        <v>St Justin Martyr13350 Ashford Point Drive13</v>
      </c>
      <c r="AF825" s="48" t="str">
        <f t="shared" si="105"/>
        <v/>
      </c>
    </row>
    <row r="826" ht="66.75" customHeight="1">
      <c r="A826" s="49" t="s">
        <v>4150</v>
      </c>
      <c r="B826" s="35" t="s">
        <v>4151</v>
      </c>
      <c r="C826" s="36" t="s">
        <v>4152</v>
      </c>
      <c r="D826" s="36"/>
      <c r="E826" s="36" t="s">
        <v>138</v>
      </c>
      <c r="F826" s="36" t="s">
        <v>37</v>
      </c>
      <c r="G826" s="35" t="s">
        <v>139</v>
      </c>
      <c r="H826" s="35" t="s">
        <v>4153</v>
      </c>
      <c r="I826" s="35" t="s">
        <v>4154</v>
      </c>
      <c r="J826" s="35"/>
      <c r="K826" s="37">
        <f>IFERROR(__xludf.DUMMYFUNCTION("query(assistance!$A$2:$E988,""Select C Where D = '""&amp;L826&amp;""'"")"),11.0)</f>
        <v>11</v>
      </c>
      <c r="L826" s="36" t="s">
        <v>322</v>
      </c>
      <c r="M826" s="38">
        <f t="shared" si="103"/>
        <v>1</v>
      </c>
      <c r="N826" s="39" t="s">
        <v>42</v>
      </c>
      <c r="O826" s="65"/>
      <c r="P826" s="50"/>
      <c r="Q826" s="50"/>
      <c r="R826" s="50"/>
      <c r="S826" s="35" t="b">
        <v>0</v>
      </c>
      <c r="T826" s="35" t="b">
        <v>0</v>
      </c>
      <c r="U826" s="41" t="str">
        <f>IFERROR(__xludf.DUMMYFUNCTION("""["" &amp; JOIN("", "", ARRAYFORMULA("""""""" &amp; TRIM(SPLIT(A826, "","")) &amp; """""""")) &amp; ""]"""),"[""77445"", ""77449""]")</f>
        <v>["77445", "77449"]</v>
      </c>
      <c r="V826" s="52" t="s">
        <v>4155</v>
      </c>
      <c r="W826" s="52" t="s">
        <v>4156</v>
      </c>
      <c r="X826" s="43"/>
      <c r="Y826" s="44" t="str">
        <f>vlookup(G826,zip_codes!$B$6:$J988,3,false)</f>
        <v>Hempstead</v>
      </c>
      <c r="Z826" s="45" t="str">
        <f>vlookup(G826,zip_codes!$B$6:$J988,9,false)</f>
        <v>Hempstead, Northside</v>
      </c>
      <c r="AA826" s="44" t="str">
        <f>vlookup(B826,organizations!$B$1:$C988,2,false)</f>
        <v>St Katherine of Drexel Hempstead</v>
      </c>
      <c r="AB826" s="46" t="s">
        <v>4157</v>
      </c>
      <c r="AC826" s="47" t="s">
        <v>4158</v>
      </c>
      <c r="AD826" s="48" t="s">
        <v>138</v>
      </c>
      <c r="AE826" s="48" t="str">
        <f t="shared" si="99"/>
        <v>St Katherine of Drexel Hempstead800 FM 148811</v>
      </c>
      <c r="AF826" s="48" t="str">
        <f t="shared" si="105"/>
        <v/>
      </c>
    </row>
    <row r="827" ht="66.75" customHeight="1">
      <c r="A827" s="49" t="s">
        <v>4150</v>
      </c>
      <c r="B827" s="35" t="s">
        <v>4151</v>
      </c>
      <c r="C827" s="36" t="s">
        <v>4152</v>
      </c>
      <c r="D827" s="36"/>
      <c r="E827" s="36" t="s">
        <v>138</v>
      </c>
      <c r="F827" s="36" t="s">
        <v>37</v>
      </c>
      <c r="G827" s="35" t="s">
        <v>139</v>
      </c>
      <c r="H827" s="35" t="s">
        <v>4153</v>
      </c>
      <c r="I827" s="35" t="s">
        <v>4154</v>
      </c>
      <c r="J827" s="35"/>
      <c r="K827" s="37">
        <f>IFERROR(__xludf.DUMMYFUNCTION("query(assistance!$A$2:$E988,""Select C Where D = '""&amp;L827&amp;""'"")"),12.0)</f>
        <v>12</v>
      </c>
      <c r="L827" s="36" t="s">
        <v>330</v>
      </c>
      <c r="M827" s="38">
        <f t="shared" si="103"/>
        <v>1</v>
      </c>
      <c r="N827" s="39" t="s">
        <v>42</v>
      </c>
      <c r="O827" s="65"/>
      <c r="P827" s="50"/>
      <c r="Q827" s="50"/>
      <c r="R827" s="50"/>
      <c r="S827" s="35" t="b">
        <v>0</v>
      </c>
      <c r="T827" s="35" t="b">
        <v>0</v>
      </c>
      <c r="U827" s="41" t="str">
        <f>IFERROR(__xludf.DUMMYFUNCTION("""["" &amp; JOIN("", "", ARRAYFORMULA("""""""" &amp; TRIM(SPLIT(A827, "","")) &amp; """""""")) &amp; ""]"""),"[""77445"", ""77449""]")</f>
        <v>["77445", "77449"]</v>
      </c>
      <c r="V827" s="52" t="s">
        <v>4155</v>
      </c>
      <c r="W827" s="52" t="s">
        <v>4156</v>
      </c>
      <c r="X827" s="43"/>
      <c r="Y827" s="44" t="str">
        <f>vlookup(G827,zip_codes!$B$6:$J988,3,false)</f>
        <v>Hempstead</v>
      </c>
      <c r="Z827" s="45" t="str">
        <f>vlookup(G827,zip_codes!$B$6:$J988,9,false)</f>
        <v>Hempstead, Northside</v>
      </c>
      <c r="AA827" s="44" t="str">
        <f>vlookup(B827,organizations!$B$1:$C988,2,false)</f>
        <v>St Katherine of Drexel Hempstead</v>
      </c>
      <c r="AB827" s="46" t="s">
        <v>4157</v>
      </c>
      <c r="AC827" s="47" t="s">
        <v>4158</v>
      </c>
      <c r="AD827" s="48" t="s">
        <v>138</v>
      </c>
      <c r="AE827" s="48" t="str">
        <f t="shared" si="99"/>
        <v>St Katherine of Drexel Hempstead800 FM 148812</v>
      </c>
      <c r="AF827" s="48" t="str">
        <f t="shared" si="105"/>
        <v/>
      </c>
    </row>
    <row r="828" ht="66.75" customHeight="1">
      <c r="A828" s="49" t="s">
        <v>4150</v>
      </c>
      <c r="B828" s="35" t="s">
        <v>4151</v>
      </c>
      <c r="C828" s="36" t="s">
        <v>4152</v>
      </c>
      <c r="D828" s="36"/>
      <c r="E828" s="36" t="s">
        <v>138</v>
      </c>
      <c r="F828" s="36" t="s">
        <v>37</v>
      </c>
      <c r="G828" s="35" t="s">
        <v>139</v>
      </c>
      <c r="H828" s="35" t="s">
        <v>4153</v>
      </c>
      <c r="I828" s="35" t="s">
        <v>4154</v>
      </c>
      <c r="J828" s="35"/>
      <c r="K828" s="37">
        <f>IFERROR(__xludf.DUMMYFUNCTION("query(assistance!$A$2:$E988,""Select C Where D = '""&amp;L828&amp;""'"")"),13.0)</f>
        <v>13</v>
      </c>
      <c r="L828" s="36" t="s">
        <v>240</v>
      </c>
      <c r="M828" s="38">
        <f t="shared" si="103"/>
        <v>1</v>
      </c>
      <c r="N828" s="39" t="s">
        <v>42</v>
      </c>
      <c r="O828" s="65"/>
      <c r="P828" s="50"/>
      <c r="Q828" s="50"/>
      <c r="R828" s="50"/>
      <c r="S828" s="35" t="b">
        <v>0</v>
      </c>
      <c r="T828" s="35" t="b">
        <v>0</v>
      </c>
      <c r="U828" s="41" t="str">
        <f>IFERROR(__xludf.DUMMYFUNCTION("""["" &amp; JOIN("", "", ARRAYFORMULA("""""""" &amp; TRIM(SPLIT(A828, "","")) &amp; """""""")) &amp; ""]"""),"[""77445"", ""77449""]")</f>
        <v>["77445", "77449"]</v>
      </c>
      <c r="V828" s="52" t="s">
        <v>4155</v>
      </c>
      <c r="W828" s="52" t="s">
        <v>4156</v>
      </c>
      <c r="X828" s="43"/>
      <c r="Y828" s="44" t="str">
        <f>vlookup(G828,zip_codes!$B$6:$J988,3,false)</f>
        <v>Hempstead</v>
      </c>
      <c r="Z828" s="45" t="str">
        <f>vlookup(G828,zip_codes!$B$6:$J988,9,false)</f>
        <v>Hempstead, Northside</v>
      </c>
      <c r="AA828" s="44" t="str">
        <f>vlookup(B828,organizations!$B$1:$C988,2,false)</f>
        <v>St Katherine of Drexel Hempstead</v>
      </c>
      <c r="AB828" s="46" t="s">
        <v>4157</v>
      </c>
      <c r="AC828" s="47" t="s">
        <v>4158</v>
      </c>
      <c r="AD828" s="48" t="s">
        <v>138</v>
      </c>
      <c r="AE828" s="48" t="str">
        <f t="shared" si="99"/>
        <v>St Katherine of Drexel Hempstead800 FM 148813</v>
      </c>
      <c r="AF828" s="48" t="str">
        <f t="shared" si="105"/>
        <v/>
      </c>
    </row>
    <row r="829" ht="66.75" customHeight="1">
      <c r="A829" s="49" t="s">
        <v>4150</v>
      </c>
      <c r="B829" s="35" t="s">
        <v>4151</v>
      </c>
      <c r="C829" s="36" t="s">
        <v>4152</v>
      </c>
      <c r="D829" s="36"/>
      <c r="E829" s="36" t="s">
        <v>138</v>
      </c>
      <c r="F829" s="36" t="s">
        <v>37</v>
      </c>
      <c r="G829" s="35" t="s">
        <v>139</v>
      </c>
      <c r="H829" s="35" t="s">
        <v>4153</v>
      </c>
      <c r="I829" s="35" t="s">
        <v>4154</v>
      </c>
      <c r="J829" s="35"/>
      <c r="K829" s="37">
        <f>IFERROR(__xludf.DUMMYFUNCTION("query(assistance!$A$2:$E988,""Select C Where D = '""&amp;L829&amp;""'"")"),14.0)</f>
        <v>14</v>
      </c>
      <c r="L829" s="36" t="s">
        <v>391</v>
      </c>
      <c r="M829" s="38">
        <f t="shared" si="103"/>
        <v>1</v>
      </c>
      <c r="N829" s="39" t="s">
        <v>42</v>
      </c>
      <c r="O829" s="65"/>
      <c r="P829" s="50"/>
      <c r="Q829" s="50"/>
      <c r="R829" s="50"/>
      <c r="S829" s="35" t="b">
        <v>0</v>
      </c>
      <c r="T829" s="35" t="b">
        <v>0</v>
      </c>
      <c r="U829" s="41" t="str">
        <f>IFERROR(__xludf.DUMMYFUNCTION("""["" &amp; JOIN("", "", ARRAYFORMULA("""""""" &amp; TRIM(SPLIT(A829, "","")) &amp; """""""")) &amp; ""]"""),"[""77445"", ""77449""]")</f>
        <v>["77445", "77449"]</v>
      </c>
      <c r="V829" s="52" t="s">
        <v>4155</v>
      </c>
      <c r="W829" s="52" t="s">
        <v>4156</v>
      </c>
      <c r="X829" s="43"/>
      <c r="Y829" s="44" t="str">
        <f>vlookup(G829,zip_codes!$B$6:$J988,3,false)</f>
        <v>Hempstead</v>
      </c>
      <c r="Z829" s="45" t="str">
        <f>vlookup(G829,zip_codes!$B$6:$J988,9,false)</f>
        <v>Hempstead, Northside</v>
      </c>
      <c r="AA829" s="44" t="str">
        <f>vlookup(B829,organizations!$B$1:$C988,2,false)</f>
        <v>St Katherine of Drexel Hempstead</v>
      </c>
      <c r="AB829" s="46" t="s">
        <v>4157</v>
      </c>
      <c r="AC829" s="47" t="s">
        <v>4158</v>
      </c>
      <c r="AD829" s="48" t="s">
        <v>138</v>
      </c>
      <c r="AE829" s="48" t="str">
        <f t="shared" si="99"/>
        <v>St Katherine of Drexel Hempstead800 FM 148814</v>
      </c>
      <c r="AF829" s="48" t="str">
        <f t="shared" si="105"/>
        <v/>
      </c>
    </row>
    <row r="830" ht="66.75" customHeight="1">
      <c r="A830" s="49" t="s">
        <v>4159</v>
      </c>
      <c r="B830" s="35" t="s">
        <v>4160</v>
      </c>
      <c r="C830" s="36" t="s">
        <v>4161</v>
      </c>
      <c r="D830" s="36"/>
      <c r="E830" s="36" t="s">
        <v>36</v>
      </c>
      <c r="F830" s="36" t="s">
        <v>37</v>
      </c>
      <c r="G830" s="35" t="s">
        <v>4162</v>
      </c>
      <c r="H830" s="35" t="s">
        <v>4163</v>
      </c>
      <c r="I830" s="66"/>
      <c r="J830" s="89"/>
      <c r="K830" s="37">
        <f>IFERROR(__xludf.DUMMYFUNCTION("query(assistance!$A$2:$E988,""Select C Where D = '""&amp;L830&amp;""'"")"),13.0)</f>
        <v>13</v>
      </c>
      <c r="L830" s="36" t="s">
        <v>240</v>
      </c>
      <c r="M830" s="38">
        <f t="shared" si="103"/>
        <v>2</v>
      </c>
      <c r="N830" s="51" t="s">
        <v>385</v>
      </c>
      <c r="O830" s="65"/>
      <c r="P830" s="35" t="s">
        <v>4164</v>
      </c>
      <c r="Q830" s="50"/>
      <c r="R830" s="50"/>
      <c r="S830" s="35" t="b">
        <v>0</v>
      </c>
      <c r="T830" s="35" t="b">
        <v>0</v>
      </c>
      <c r="U830" s="41" t="str">
        <f>IFERROR(__xludf.DUMMYFUNCTION("""["" &amp; JOIN("", "", ARRAYFORMULA("""""""" &amp; TRIM(SPLIT(A830, "","")) &amp; """""""")) &amp; ""]"""),"[""77034"", ""77075"", ""77076""]")</f>
        <v>["77034", "77075", "77076"]</v>
      </c>
      <c r="V830" s="52" t="s">
        <v>4165</v>
      </c>
      <c r="W830" s="52" t="s">
        <v>4166</v>
      </c>
      <c r="X830" s="43"/>
      <c r="Y830" s="44" t="str">
        <f>vlookup(G830,zip_codes!$B$6:$J988,3,false)</f>
        <v>Houston</v>
      </c>
      <c r="Z830" s="45" t="str">
        <f>vlookup(G830,zip_codes!$B$6:$J988,9,false)</f>
        <v>Sagemont, South Belt / Ellington</v>
      </c>
      <c r="AA830" s="44" t="str">
        <f>vlookup(B830,organizations!$B$1:$C988,2,false)</f>
        <v>St Luke the Evangelist</v>
      </c>
      <c r="AB830" s="46" t="s">
        <v>4167</v>
      </c>
      <c r="AC830" s="53"/>
      <c r="AD830" s="48" t="s">
        <v>4168</v>
      </c>
      <c r="AE830" s="48" t="str">
        <f t="shared" si="99"/>
        <v>St Luke the Evangelist11011 Hall Road13</v>
      </c>
      <c r="AF830" s="48" t="str">
        <f t="shared" si="105"/>
        <v/>
      </c>
    </row>
    <row r="831" ht="66.75" customHeight="1">
      <c r="A831" s="49" t="s">
        <v>4169</v>
      </c>
      <c r="B831" s="35" t="s">
        <v>4170</v>
      </c>
      <c r="C831" s="36" t="s">
        <v>4171</v>
      </c>
      <c r="D831" s="36"/>
      <c r="E831" s="36" t="s">
        <v>4172</v>
      </c>
      <c r="F831" s="36" t="s">
        <v>37</v>
      </c>
      <c r="G831" s="35" t="s">
        <v>4173</v>
      </c>
      <c r="H831" s="35" t="s">
        <v>4174</v>
      </c>
      <c r="I831" s="35" t="s">
        <v>4175</v>
      </c>
      <c r="J831" s="35"/>
      <c r="K831" s="37">
        <f>IFERROR(__xludf.DUMMYFUNCTION("query(assistance!$A$2:$E988,""Select C Where D = '""&amp;L831&amp;""'"")"),11.0)</f>
        <v>11</v>
      </c>
      <c r="L831" s="36" t="s">
        <v>322</v>
      </c>
      <c r="M831" s="38">
        <f t="shared" si="103"/>
        <v>1</v>
      </c>
      <c r="N831" s="39" t="s">
        <v>42</v>
      </c>
      <c r="O831" s="65"/>
      <c r="P831" s="50"/>
      <c r="Q831" s="35"/>
      <c r="R831" s="35"/>
      <c r="S831" s="35" t="b">
        <v>0</v>
      </c>
      <c r="T831" s="35" t="b">
        <v>0</v>
      </c>
      <c r="U831" s="41" t="str">
        <f>IFERROR(__xludf.DUMMYFUNCTION("""["" &amp; JOIN("", "", ARRAYFORMULA("""""""" &amp; TRIM(SPLIT(A831, "","")) &amp; """""""")) &amp; ""]"""),"[""77044"", ""77336"", ""77338"", ""77339"", ""77345"", ""77346"", ""77357"", ""77365"", ""77372"", ""77396""]")</f>
        <v>["77044", "77336", "77338", "77339", "77345", "77346", "77357", "77365", "77372", "77396"]</v>
      </c>
      <c r="V831" s="52" t="s">
        <v>4176</v>
      </c>
      <c r="W831" s="52" t="s">
        <v>4177</v>
      </c>
      <c r="X831" s="43"/>
      <c r="Y831" s="44" t="str">
        <f>vlookup(G831,zip_codes!$B$6:$J988,3,false)</f>
        <v>Porter</v>
      </c>
      <c r="Z831" s="45" t="str">
        <f>vlookup(G831,zip_codes!$B$6:$J988,9,false)</f>
        <v>Kingwood, Porter</v>
      </c>
      <c r="AA831" s="44" t="str">
        <f>vlookup(B831,organizations!$B$1:$C988,2,false)</f>
        <v>Society of St Vincent de Paul</v>
      </c>
      <c r="AB831" s="46" t="s">
        <v>4178</v>
      </c>
      <c r="AC831" s="47" t="s">
        <v>1478</v>
      </c>
      <c r="AD831" s="48" t="s">
        <v>3790</v>
      </c>
      <c r="AE831" s="48" t="str">
        <f t="shared" si="99"/>
        <v>St Martha (SVdP D1) Kingwood4301 Woodridge Parkway11</v>
      </c>
      <c r="AF831" s="48" t="str">
        <f t="shared" si="105"/>
        <v/>
      </c>
    </row>
    <row r="832" ht="66.75" customHeight="1">
      <c r="A832" s="49" t="s">
        <v>4169</v>
      </c>
      <c r="B832" s="35" t="s">
        <v>4170</v>
      </c>
      <c r="C832" s="36" t="s">
        <v>4171</v>
      </c>
      <c r="D832" s="36"/>
      <c r="E832" s="36" t="s">
        <v>4172</v>
      </c>
      <c r="F832" s="36" t="s">
        <v>37</v>
      </c>
      <c r="G832" s="35" t="s">
        <v>4173</v>
      </c>
      <c r="H832" s="35" t="s">
        <v>4174</v>
      </c>
      <c r="I832" s="35" t="s">
        <v>4175</v>
      </c>
      <c r="J832" s="35"/>
      <c r="K832" s="37">
        <f>IFERROR(__xludf.DUMMYFUNCTION("query(assistance!$A$2:$E988,""Select C Where D = '""&amp;L832&amp;""'"")"),12.0)</f>
        <v>12</v>
      </c>
      <c r="L832" s="36" t="s">
        <v>330</v>
      </c>
      <c r="M832" s="38">
        <f t="shared" si="103"/>
        <v>1</v>
      </c>
      <c r="N832" s="39" t="s">
        <v>42</v>
      </c>
      <c r="O832" s="65"/>
      <c r="P832" s="50"/>
      <c r="Q832" s="35"/>
      <c r="R832" s="35"/>
      <c r="S832" s="35" t="b">
        <v>0</v>
      </c>
      <c r="T832" s="35" t="b">
        <v>0</v>
      </c>
      <c r="U832" s="41" t="str">
        <f>IFERROR(__xludf.DUMMYFUNCTION("""["" &amp; JOIN("", "", ARRAYFORMULA("""""""" &amp; TRIM(SPLIT(A832, "","")) &amp; """""""")) &amp; ""]"""),"[""77044"", ""77336"", ""77338"", ""77339"", ""77345"", ""77346"", ""77357"", ""77365"", ""77372"", ""77396""]")</f>
        <v>["77044", "77336", "77338", "77339", "77345", "77346", "77357", "77365", "77372", "77396"]</v>
      </c>
      <c r="V832" s="52" t="s">
        <v>4176</v>
      </c>
      <c r="W832" s="52" t="s">
        <v>4177</v>
      </c>
      <c r="X832" s="43"/>
      <c r="Y832" s="44" t="str">
        <f>vlookup(G832,zip_codes!$B$6:$J988,3,false)</f>
        <v>Porter</v>
      </c>
      <c r="Z832" s="45" t="str">
        <f>vlookup(G832,zip_codes!$B$6:$J988,9,false)</f>
        <v>Kingwood, Porter</v>
      </c>
      <c r="AA832" s="44" t="str">
        <f>vlookup(B832,organizations!$B$1:$C988,2,false)</f>
        <v>Society of St Vincent de Paul</v>
      </c>
      <c r="AB832" s="46" t="s">
        <v>4178</v>
      </c>
      <c r="AC832" s="47" t="s">
        <v>1478</v>
      </c>
      <c r="AD832" s="48" t="s">
        <v>3790</v>
      </c>
      <c r="AE832" s="48" t="str">
        <f t="shared" si="99"/>
        <v>St Martha (SVdP D1) Kingwood4301 Woodridge Parkway12</v>
      </c>
      <c r="AF832" s="48" t="str">
        <f t="shared" si="105"/>
        <v/>
      </c>
    </row>
    <row r="833" ht="66.75" customHeight="1">
      <c r="A833" s="49" t="s">
        <v>4179</v>
      </c>
      <c r="B833" s="35" t="s">
        <v>4180</v>
      </c>
      <c r="C833" s="36" t="s">
        <v>4181</v>
      </c>
      <c r="D833" s="36"/>
      <c r="E833" s="36" t="s">
        <v>1274</v>
      </c>
      <c r="F833" s="36" t="s">
        <v>37</v>
      </c>
      <c r="G833" s="35" t="s">
        <v>1275</v>
      </c>
      <c r="H833" s="35" t="s">
        <v>4182</v>
      </c>
      <c r="I833" s="35" t="s">
        <v>4183</v>
      </c>
      <c r="J833" s="35"/>
      <c r="K833" s="37">
        <f>IFERROR(__xludf.DUMMYFUNCTION("query(assistance!$A$2:$E988,""Select C Where D = '""&amp;L833&amp;""'"")"),11.0)</f>
        <v>11</v>
      </c>
      <c r="L833" s="36" t="s">
        <v>322</v>
      </c>
      <c r="M833" s="38">
        <f t="shared" si="103"/>
        <v>1</v>
      </c>
      <c r="N833" s="39" t="s">
        <v>42</v>
      </c>
      <c r="O833" s="65"/>
      <c r="P833" s="50"/>
      <c r="Q833" s="35"/>
      <c r="R833" s="35"/>
      <c r="S833" s="35" t="b">
        <v>0</v>
      </c>
      <c r="T833" s="35" t="b">
        <v>0</v>
      </c>
      <c r="U833" s="41" t="str">
        <f>IFERROR(__xludf.DUMMYFUNCTION("""["" &amp; JOIN("", "", ARRAYFORMULA("""""""" &amp; TRIM(SPLIT(A833, "","")) &amp; """""""")) &amp; ""]"""),"[""77520"", ""77521"", ""77535"", ""77562""]")</f>
        <v>["77520", "77521", "77535", "77562"]</v>
      </c>
      <c r="V833" s="52" t="s">
        <v>4184</v>
      </c>
      <c r="W833" s="52" t="s">
        <v>4185</v>
      </c>
      <c r="X833" s="43"/>
      <c r="Y833" s="44" t="str">
        <f>vlookup(G833,zip_codes!$B$6:$J988,3,false)</f>
        <v>Crosby</v>
      </c>
      <c r="Z833" s="45" t="str">
        <f>vlookup(G833,zip_codes!$B$6:$J988,9,false)</f>
        <v>Burris, Crosby</v>
      </c>
      <c r="AA833" s="44" t="str">
        <f>vlookup(B833,organizations!$B$1:$C988,2,false)</f>
        <v>Society of St Vincent de Paul</v>
      </c>
      <c r="AB833" s="46" t="s">
        <v>4186</v>
      </c>
      <c r="AC833" s="47" t="s">
        <v>4187</v>
      </c>
      <c r="AD833" s="48" t="s">
        <v>1274</v>
      </c>
      <c r="AE833" s="48" t="str">
        <f t="shared" si="99"/>
        <v>St Martin de Porres (SVdP D5)12606 Crosby Lynchburg Road11</v>
      </c>
      <c r="AF833" s="48" t="str">
        <f t="shared" si="105"/>
        <v/>
      </c>
    </row>
    <row r="834" ht="66.75" customHeight="1">
      <c r="A834" s="49" t="s">
        <v>4179</v>
      </c>
      <c r="B834" s="35" t="s">
        <v>4180</v>
      </c>
      <c r="C834" s="36" t="s">
        <v>4181</v>
      </c>
      <c r="D834" s="36"/>
      <c r="E834" s="36" t="s">
        <v>1274</v>
      </c>
      <c r="F834" s="36" t="s">
        <v>37</v>
      </c>
      <c r="G834" s="35" t="s">
        <v>1275</v>
      </c>
      <c r="H834" s="35" t="s">
        <v>4182</v>
      </c>
      <c r="I834" s="35" t="s">
        <v>4183</v>
      </c>
      <c r="J834" s="35"/>
      <c r="K834" s="37">
        <f>IFERROR(__xludf.DUMMYFUNCTION("query(assistance!$A$2:$E988,""Select C Where D = '""&amp;L834&amp;""'"")"),12.0)</f>
        <v>12</v>
      </c>
      <c r="L834" s="36" t="s">
        <v>330</v>
      </c>
      <c r="M834" s="38">
        <f t="shared" si="103"/>
        <v>1</v>
      </c>
      <c r="N834" s="39" t="s">
        <v>42</v>
      </c>
      <c r="O834" s="65"/>
      <c r="P834" s="50"/>
      <c r="Q834" s="35"/>
      <c r="R834" s="35"/>
      <c r="S834" s="35" t="b">
        <v>0</v>
      </c>
      <c r="T834" s="35" t="b">
        <v>0</v>
      </c>
      <c r="U834" s="41" t="str">
        <f>IFERROR(__xludf.DUMMYFUNCTION("""["" &amp; JOIN("", "", ARRAYFORMULA("""""""" &amp; TRIM(SPLIT(A834, "","")) &amp; """""""")) &amp; ""]"""),"[""77520"", ""77521"", ""77535"", ""77562""]")</f>
        <v>["77520", "77521", "77535", "77562"]</v>
      </c>
      <c r="V834" s="52" t="s">
        <v>4184</v>
      </c>
      <c r="W834" s="52" t="s">
        <v>4185</v>
      </c>
      <c r="X834" s="43"/>
      <c r="Y834" s="44" t="str">
        <f>vlookup(G834,zip_codes!$B$6:$J988,3,false)</f>
        <v>Crosby</v>
      </c>
      <c r="Z834" s="45" t="str">
        <f>vlookup(G834,zip_codes!$B$6:$J988,9,false)</f>
        <v>Burris, Crosby</v>
      </c>
      <c r="AA834" s="44" t="str">
        <f>vlookup(B834,organizations!$B$1:$C988,2,false)</f>
        <v>Society of St Vincent de Paul</v>
      </c>
      <c r="AB834" s="46" t="s">
        <v>4186</v>
      </c>
      <c r="AC834" s="47" t="s">
        <v>4187</v>
      </c>
      <c r="AD834" s="48" t="s">
        <v>1274</v>
      </c>
      <c r="AE834" s="48" t="str">
        <f t="shared" si="99"/>
        <v>St Martin de Porres (SVdP D5)12606 Crosby Lynchburg Road12</v>
      </c>
      <c r="AF834" s="48" t="str">
        <f t="shared" si="105"/>
        <v/>
      </c>
    </row>
    <row r="835" ht="66.75" customHeight="1">
      <c r="A835" s="49" t="s">
        <v>4188</v>
      </c>
      <c r="B835" s="35" t="s">
        <v>4189</v>
      </c>
      <c r="C835" s="36" t="s">
        <v>4190</v>
      </c>
      <c r="D835" s="36"/>
      <c r="E835" s="36" t="s">
        <v>488</v>
      </c>
      <c r="F835" s="36" t="s">
        <v>37</v>
      </c>
      <c r="G835" s="35" t="s">
        <v>489</v>
      </c>
      <c r="H835" s="35" t="s">
        <v>4191</v>
      </c>
      <c r="I835" s="35" t="s">
        <v>4192</v>
      </c>
      <c r="J835" s="35"/>
      <c r="K835" s="37">
        <f>IFERROR(__xludf.DUMMYFUNCTION("query(assistance!$A$2:$E988,""Select C Where D = '""&amp;L835&amp;""'"")"),13.0)</f>
        <v>13</v>
      </c>
      <c r="L835" s="36" t="s">
        <v>240</v>
      </c>
      <c r="M835" s="38">
        <f t="shared" si="103"/>
        <v>1</v>
      </c>
      <c r="N835" s="39" t="s">
        <v>42</v>
      </c>
      <c r="O835" s="65"/>
      <c r="P835" s="50"/>
      <c r="Q835" s="50"/>
      <c r="R835" s="50"/>
      <c r="S835" s="35" t="b">
        <v>0</v>
      </c>
      <c r="T835" s="35" t="b">
        <v>0</v>
      </c>
      <c r="U835" s="41" t="str">
        <f>IFERROR(__xludf.DUMMYFUNCTION("""["" &amp; JOIN("", "", ARRAYFORMULA("""""""" &amp; TRIM(SPLIT(A835, "","")) &amp; """""""")) &amp; ""]"""),"[""77044"", ""77338"", ""77346"", ""77347"", ""77396""]")</f>
        <v>["77044", "77338", "77346", "77347", "77396"]</v>
      </c>
      <c r="V835" s="52" t="s">
        <v>4193</v>
      </c>
      <c r="W835" s="52" t="s">
        <v>4194</v>
      </c>
      <c r="X835" s="43"/>
      <c r="Y835" s="44" t="str">
        <f>vlookup(G835,zip_codes!$B$6:$J988,3,false)</f>
        <v>Humble</v>
      </c>
      <c r="Z835" s="45" t="str">
        <f>vlookup(G835,zip_codes!$B$6:$J988,9,false)</f>
        <v>Humble, Humble (Old Town), Northshire</v>
      </c>
      <c r="AA835" s="44" t="str">
        <f>vlookup(B835,organizations!$B$1:$C988,2,false)</f>
        <v>St Mary Magdalene Humble</v>
      </c>
      <c r="AB835" s="46" t="s">
        <v>4195</v>
      </c>
      <c r="AC835" s="47" t="s">
        <v>4196</v>
      </c>
      <c r="AD835" s="48" t="s">
        <v>488</v>
      </c>
      <c r="AE835" s="48" t="str">
        <f t="shared" si="99"/>
        <v>St Mary Magdalene Humble527 South Houston Avenue13</v>
      </c>
      <c r="AF835" s="48" t="str">
        <f t="shared" si="105"/>
        <v/>
      </c>
    </row>
    <row r="836" ht="66.75" customHeight="1">
      <c r="A836" s="49" t="s">
        <v>4197</v>
      </c>
      <c r="B836" s="35" t="s">
        <v>4198</v>
      </c>
      <c r="C836" s="36" t="s">
        <v>4199</v>
      </c>
      <c r="D836" s="36"/>
      <c r="E836" s="36" t="s">
        <v>394</v>
      </c>
      <c r="F836" s="36" t="s">
        <v>37</v>
      </c>
      <c r="G836" s="35" t="s">
        <v>395</v>
      </c>
      <c r="H836" s="35" t="s">
        <v>4200</v>
      </c>
      <c r="I836" s="35" t="s">
        <v>4201</v>
      </c>
      <c r="J836" s="35"/>
      <c r="K836" s="37">
        <f>IFERROR(__xludf.DUMMYFUNCTION("query(assistance!$A$2:$E988,""Select C Where D = '""&amp;L836&amp;""'"")"),13.0)</f>
        <v>13</v>
      </c>
      <c r="L836" s="36" t="s">
        <v>240</v>
      </c>
      <c r="M836" s="38">
        <f t="shared" si="103"/>
        <v>1</v>
      </c>
      <c r="N836" s="39" t="s">
        <v>42</v>
      </c>
      <c r="O836" s="65"/>
      <c r="P836" s="50"/>
      <c r="Q836" s="50"/>
      <c r="R836" s="50"/>
      <c r="S836" s="35" t="b">
        <v>0</v>
      </c>
      <c r="T836" s="35" t="b">
        <v>0</v>
      </c>
      <c r="U836" s="41" t="str">
        <f>IFERROR(__xludf.DUMMYFUNCTION("""["" &amp; JOIN("", "", ARRAYFORMULA("""""""" &amp; TRIM(SPLIT(A836, "","")) &amp; """""""")) &amp; ""]"""),"[""77518"", ""77539"", ""77565"", ""77573"", ""77586"", ""77598""]")</f>
        <v>["77518", "77539", "77565", "77573", "77586", "77598"]</v>
      </c>
      <c r="V836" s="52" t="s">
        <v>4202</v>
      </c>
      <c r="W836" s="52" t="s">
        <v>4203</v>
      </c>
      <c r="X836" s="43"/>
      <c r="Y836" s="44" t="str">
        <f>vlookup(G836,zip_codes!$B$6:$J988,3,false)</f>
        <v>League City</v>
      </c>
      <c r="Z836" s="45" t="str">
        <f>vlookup(G836,zip_codes!$B$6:$J988,9,false)</f>
        <v>League City, South Shore Harbour, Victory Lakes</v>
      </c>
      <c r="AA836" s="44" t="str">
        <f>vlookup(B836,organizations!$B$1:$C988,2,false)</f>
        <v>St Mary of the Expectation</v>
      </c>
      <c r="AB836" s="46" t="s">
        <v>4204</v>
      </c>
      <c r="AC836" s="47" t="s">
        <v>4205</v>
      </c>
      <c r="AD836" s="48" t="s">
        <v>394</v>
      </c>
      <c r="AE836" s="48" t="str">
        <f t="shared" si="99"/>
        <v>St Mary of the Expectation1612 E Walker Street13</v>
      </c>
      <c r="AF836" s="48" t="str">
        <f t="shared" si="105"/>
        <v/>
      </c>
    </row>
    <row r="837" ht="66.75" customHeight="1">
      <c r="A837" s="49" t="s">
        <v>4206</v>
      </c>
      <c r="B837" s="35" t="s">
        <v>4207</v>
      </c>
      <c r="C837" s="36" t="s">
        <v>1248</v>
      </c>
      <c r="D837" s="36"/>
      <c r="E837" s="36" t="s">
        <v>36</v>
      </c>
      <c r="F837" s="36" t="s">
        <v>37</v>
      </c>
      <c r="G837" s="35" t="s">
        <v>749</v>
      </c>
      <c r="H837" s="35" t="s">
        <v>4208</v>
      </c>
      <c r="I837" s="50"/>
      <c r="J837" s="64"/>
      <c r="K837" s="37">
        <f>IFERROR(__xludf.DUMMYFUNCTION("query(assistance!$A$2:$E988,""Select C Where D = '""&amp;L837&amp;""'"")"),11.0)</f>
        <v>11</v>
      </c>
      <c r="L837" s="36" t="s">
        <v>322</v>
      </c>
      <c r="M837" s="38">
        <f t="shared" si="103"/>
        <v>1</v>
      </c>
      <c r="N837" s="39" t="s">
        <v>42</v>
      </c>
      <c r="O837" s="65"/>
      <c r="P837" s="50"/>
      <c r="Q837" s="35"/>
      <c r="R837" s="35"/>
      <c r="S837" s="35" t="b">
        <v>0</v>
      </c>
      <c r="T837" s="35" t="b">
        <v>0</v>
      </c>
      <c r="U837" s="41" t="str">
        <f>IFERROR(__xludf.DUMMYFUNCTION("""["" &amp; JOIN("", "", ARRAYFORMULA("""""""" &amp; TRIM(SPLIT(A837, "","")) &amp; """""""")) &amp; ""]"""),"[""77004"", ""77021""]")</f>
        <v>["77004", "77021"]</v>
      </c>
      <c r="V837" s="52" t="s">
        <v>4209</v>
      </c>
      <c r="W837" s="52" t="s">
        <v>4210</v>
      </c>
      <c r="X837" s="43"/>
      <c r="Y837" s="44" t="str">
        <f>vlookup(G837,zip_codes!$B$6:$J988,3,false)</f>
        <v>Houston</v>
      </c>
      <c r="Z837" s="45" t="str">
        <f>vlookup(G837,zip_codes!$B$6:$J988,9,false)</f>
        <v>East Downtown, Downtown Houston, Houston Museum District, Midtown, Museum District, South Central Houston, South Side, Third Ward, University Place</v>
      </c>
      <c r="AA837" s="44" t="str">
        <f>vlookup(B837,organizations!$B$1:$C988,2,false)</f>
        <v>Society of St Vincent de Paul</v>
      </c>
      <c r="AB837" s="46" t="s">
        <v>4211</v>
      </c>
      <c r="AC837" s="53"/>
      <c r="AD837" s="48" t="s">
        <v>49</v>
      </c>
      <c r="AE837" s="48" t="str">
        <f t="shared" si="99"/>
        <v>St Mary of the Purification (SVdP D3)3006 Rosedale Street11</v>
      </c>
      <c r="AF837" s="48" t="str">
        <f t="shared" si="105"/>
        <v/>
      </c>
    </row>
    <row r="838" ht="66.75" customHeight="1">
      <c r="A838" s="49" t="s">
        <v>4206</v>
      </c>
      <c r="B838" s="35" t="s">
        <v>4207</v>
      </c>
      <c r="C838" s="36" t="s">
        <v>1248</v>
      </c>
      <c r="D838" s="36"/>
      <c r="E838" s="36" t="s">
        <v>36</v>
      </c>
      <c r="F838" s="36" t="s">
        <v>37</v>
      </c>
      <c r="G838" s="35" t="s">
        <v>749</v>
      </c>
      <c r="H838" s="35" t="s">
        <v>4208</v>
      </c>
      <c r="I838" s="50"/>
      <c r="J838" s="64"/>
      <c r="K838" s="37">
        <f>IFERROR(__xludf.DUMMYFUNCTION("query(assistance!$A$2:$E988,""Select C Where D = '""&amp;L838&amp;""'"")"),12.0)</f>
        <v>12</v>
      </c>
      <c r="L838" s="36" t="s">
        <v>330</v>
      </c>
      <c r="M838" s="38">
        <f t="shared" si="103"/>
        <v>1</v>
      </c>
      <c r="N838" s="39" t="s">
        <v>42</v>
      </c>
      <c r="O838" s="65"/>
      <c r="P838" s="50"/>
      <c r="Q838" s="35"/>
      <c r="R838" s="35"/>
      <c r="S838" s="35" t="b">
        <v>0</v>
      </c>
      <c r="T838" s="35" t="b">
        <v>0</v>
      </c>
      <c r="U838" s="41" t="str">
        <f>IFERROR(__xludf.DUMMYFUNCTION("""["" &amp; JOIN("", "", ARRAYFORMULA("""""""" &amp; TRIM(SPLIT(A838, "","")) &amp; """""""")) &amp; ""]"""),"[""77004"", ""77021""]")</f>
        <v>["77004", "77021"]</v>
      </c>
      <c r="V838" s="52" t="s">
        <v>4209</v>
      </c>
      <c r="W838" s="52" t="s">
        <v>4210</v>
      </c>
      <c r="X838" s="43"/>
      <c r="Y838" s="44" t="str">
        <f>vlookup(G838,zip_codes!$B$6:$J988,3,false)</f>
        <v>Houston</v>
      </c>
      <c r="Z838" s="45" t="str">
        <f>vlookup(G838,zip_codes!$B$6:$J988,9,false)</f>
        <v>East Downtown, Downtown Houston, Houston Museum District, Midtown, Museum District, South Central Houston, South Side, Third Ward, University Place</v>
      </c>
      <c r="AA838" s="44" t="str">
        <f>vlookup(B838,organizations!$B$1:$C988,2,false)</f>
        <v>Society of St Vincent de Paul</v>
      </c>
      <c r="AB838" s="46" t="s">
        <v>4211</v>
      </c>
      <c r="AC838" s="53"/>
      <c r="AD838" s="48" t="s">
        <v>49</v>
      </c>
      <c r="AE838" s="48" t="str">
        <f t="shared" si="99"/>
        <v>St Mary of the Purification (SVdP D3)3006 Rosedale Street12</v>
      </c>
      <c r="AF838" s="48" t="str">
        <f t="shared" si="105"/>
        <v/>
      </c>
    </row>
    <row r="839" ht="66.75" customHeight="1">
      <c r="A839" s="49" t="s">
        <v>4212</v>
      </c>
      <c r="B839" s="35" t="s">
        <v>4213</v>
      </c>
      <c r="C839" s="36" t="s">
        <v>4214</v>
      </c>
      <c r="D839" s="36"/>
      <c r="E839" s="36" t="s">
        <v>4215</v>
      </c>
      <c r="F839" s="36" t="s">
        <v>37</v>
      </c>
      <c r="G839" s="35" t="s">
        <v>4212</v>
      </c>
      <c r="H839" s="35" t="s">
        <v>4216</v>
      </c>
      <c r="I839" s="35" t="s">
        <v>4070</v>
      </c>
      <c r="J839" s="35"/>
      <c r="K839" s="37">
        <f>IFERROR(__xludf.DUMMYFUNCTION("query(assistance!$A$2:$E988,""Select C Where D = '""&amp;L839&amp;""'"")"),11.0)</f>
        <v>11</v>
      </c>
      <c r="L839" s="36" t="s">
        <v>322</v>
      </c>
      <c r="M839" s="38">
        <f t="shared" si="103"/>
        <v>1</v>
      </c>
      <c r="N839" s="39" t="s">
        <v>42</v>
      </c>
      <c r="O839" s="65"/>
      <c r="P839" s="50"/>
      <c r="Q839" s="35"/>
      <c r="R839" s="35"/>
      <c r="S839" s="35" t="b">
        <v>0</v>
      </c>
      <c r="T839" s="35" t="b">
        <v>0</v>
      </c>
      <c r="U839" s="41" t="str">
        <f>IFERROR(__xludf.DUMMYFUNCTION("""["" &amp; JOIN("", "", ARRAYFORMULA("""""""" &amp; TRIM(SPLIT(A839, "","")) &amp; """""""")) &amp; ""]"""),"[""77571""]")</f>
        <v>["77571"]</v>
      </c>
      <c r="V839" s="52" t="s">
        <v>4217</v>
      </c>
      <c r="W839" s="52" t="s">
        <v>4218</v>
      </c>
      <c r="X839" s="43"/>
      <c r="Y839" s="44" t="str">
        <f>vlookup(G839,zip_codes!$B$6:$J988,3,false)</f>
        <v>La Porte</v>
      </c>
      <c r="Z839" s="45" t="str">
        <f>vlookup(G839,zip_codes!$B$6:$J988,9,false)</f>
        <v>Beach Park, La Porte</v>
      </c>
      <c r="AA839" s="44" t="str">
        <f>vlookup(B839,organizations!$B$1:$C988,2,false)</f>
        <v>Society of St Vincent de Paul</v>
      </c>
      <c r="AB839" s="46" t="s">
        <v>4219</v>
      </c>
      <c r="AC839" s="47" t="s">
        <v>4074</v>
      </c>
      <c r="AD839" s="48" t="s">
        <v>4220</v>
      </c>
      <c r="AE839" s="48" t="str">
        <f t="shared" si="99"/>
        <v>St Mary's (SVdP D5) La Porte816 Park Drive11</v>
      </c>
      <c r="AF839" s="48" t="str">
        <f t="shared" si="105"/>
        <v/>
      </c>
    </row>
    <row r="840" ht="66.75" customHeight="1">
      <c r="A840" s="49" t="s">
        <v>4212</v>
      </c>
      <c r="B840" s="35" t="s">
        <v>4213</v>
      </c>
      <c r="C840" s="36" t="s">
        <v>4214</v>
      </c>
      <c r="D840" s="36"/>
      <c r="E840" s="36" t="s">
        <v>4215</v>
      </c>
      <c r="F840" s="36" t="s">
        <v>37</v>
      </c>
      <c r="G840" s="35" t="s">
        <v>4212</v>
      </c>
      <c r="H840" s="35" t="s">
        <v>4216</v>
      </c>
      <c r="I840" s="35" t="s">
        <v>4070</v>
      </c>
      <c r="J840" s="35"/>
      <c r="K840" s="37">
        <f>IFERROR(__xludf.DUMMYFUNCTION("query(assistance!$A$2:$E988,""Select C Where D = '""&amp;L840&amp;""'"")"),12.0)</f>
        <v>12</v>
      </c>
      <c r="L840" s="36" t="s">
        <v>330</v>
      </c>
      <c r="M840" s="38">
        <f t="shared" si="103"/>
        <v>1</v>
      </c>
      <c r="N840" s="39" t="s">
        <v>42</v>
      </c>
      <c r="O840" s="65"/>
      <c r="P840" s="50"/>
      <c r="Q840" s="35"/>
      <c r="R840" s="35"/>
      <c r="S840" s="35" t="b">
        <v>0</v>
      </c>
      <c r="T840" s="35" t="b">
        <v>0</v>
      </c>
      <c r="U840" s="41" t="str">
        <f>IFERROR(__xludf.DUMMYFUNCTION("""["" &amp; JOIN("", "", ARRAYFORMULA("""""""" &amp; TRIM(SPLIT(A840, "","")) &amp; """""""")) &amp; ""]"""),"[""77571""]")</f>
        <v>["77571"]</v>
      </c>
      <c r="V840" s="52" t="s">
        <v>4217</v>
      </c>
      <c r="W840" s="52" t="s">
        <v>4218</v>
      </c>
      <c r="X840" s="43"/>
      <c r="Y840" s="44" t="str">
        <f>vlookup(G840,zip_codes!$B$6:$J988,3,false)</f>
        <v>La Porte</v>
      </c>
      <c r="Z840" s="45" t="str">
        <f>vlookup(G840,zip_codes!$B$6:$J988,9,false)</f>
        <v>Beach Park, La Porte</v>
      </c>
      <c r="AA840" s="44" t="str">
        <f>vlookup(B840,organizations!$B$1:$C988,2,false)</f>
        <v>Society of St Vincent de Paul</v>
      </c>
      <c r="AB840" s="46" t="s">
        <v>4219</v>
      </c>
      <c r="AC840" s="47" t="s">
        <v>4074</v>
      </c>
      <c r="AD840" s="48" t="s">
        <v>4220</v>
      </c>
      <c r="AE840" s="48" t="str">
        <f t="shared" si="99"/>
        <v>St Mary's (SVdP D5) La Porte816 Park Drive12</v>
      </c>
      <c r="AF840" s="48" t="str">
        <f t="shared" si="105"/>
        <v/>
      </c>
    </row>
    <row r="841" ht="66.75" customHeight="1">
      <c r="A841" s="49" t="s">
        <v>4212</v>
      </c>
      <c r="B841" s="35" t="s">
        <v>4213</v>
      </c>
      <c r="C841" s="36" t="s">
        <v>4214</v>
      </c>
      <c r="D841" s="36"/>
      <c r="E841" s="36" t="s">
        <v>4215</v>
      </c>
      <c r="F841" s="36" t="s">
        <v>37</v>
      </c>
      <c r="G841" s="35" t="s">
        <v>4212</v>
      </c>
      <c r="H841" s="35" t="s">
        <v>4216</v>
      </c>
      <c r="I841" s="35" t="s">
        <v>4070</v>
      </c>
      <c r="J841" s="35"/>
      <c r="K841" s="37">
        <f>IFERROR(__xludf.DUMMYFUNCTION("query(assistance!$A$2:$E988,""Select C Where D = '""&amp;L841&amp;""'"")"),14.0)</f>
        <v>14</v>
      </c>
      <c r="L841" s="36" t="s">
        <v>391</v>
      </c>
      <c r="M841" s="38">
        <f t="shared" si="103"/>
        <v>1</v>
      </c>
      <c r="N841" s="39" t="s">
        <v>42</v>
      </c>
      <c r="O841" s="65"/>
      <c r="P841" s="50"/>
      <c r="Q841" s="35"/>
      <c r="R841" s="35" t="s">
        <v>4221</v>
      </c>
      <c r="S841" s="35" t="b">
        <v>0</v>
      </c>
      <c r="T841" s="35" t="b">
        <v>0</v>
      </c>
      <c r="U841" s="41" t="str">
        <f>IFERROR(__xludf.DUMMYFUNCTION("""["" &amp; JOIN("", "", ARRAYFORMULA("""""""" &amp; TRIM(SPLIT(A841, "","")) &amp; """""""")) &amp; ""]"""),"[""77571""]")</f>
        <v>["77571"]</v>
      </c>
      <c r="V841" s="52" t="s">
        <v>4217</v>
      </c>
      <c r="W841" s="52" t="s">
        <v>4218</v>
      </c>
      <c r="X841" s="43"/>
      <c r="Y841" s="44" t="str">
        <f>vlookup(G841,zip_codes!$B$6:$J988,3,false)</f>
        <v>La Porte</v>
      </c>
      <c r="Z841" s="45" t="str">
        <f>vlookup(G841,zip_codes!$B$6:$J988,9,false)</f>
        <v>Beach Park, La Porte</v>
      </c>
      <c r="AA841" s="44" t="str">
        <f>vlookup(B841,organizations!$B$1:$C988,2,false)</f>
        <v>Society of St Vincent de Paul</v>
      </c>
      <c r="AB841" s="46" t="s">
        <v>4219</v>
      </c>
      <c r="AC841" s="47" t="s">
        <v>4074</v>
      </c>
      <c r="AD841" s="48" t="s">
        <v>4220</v>
      </c>
      <c r="AE841" s="48" t="str">
        <f t="shared" si="99"/>
        <v>St Mary's (SVdP D5) La Porte816 Park Drive14</v>
      </c>
      <c r="AF841" s="48" t="str">
        <f t="shared" si="105"/>
        <v/>
      </c>
    </row>
    <row r="842" ht="66.75" customHeight="1">
      <c r="A842" s="49" t="s">
        <v>4222</v>
      </c>
      <c r="B842" s="35" t="s">
        <v>4223</v>
      </c>
      <c r="C842" s="36" t="s">
        <v>4224</v>
      </c>
      <c r="D842" s="36"/>
      <c r="E842" s="36" t="s">
        <v>4225</v>
      </c>
      <c r="F842" s="36" t="s">
        <v>37</v>
      </c>
      <c r="G842" s="35" t="s">
        <v>4226</v>
      </c>
      <c r="H842" s="35" t="s">
        <v>4227</v>
      </c>
      <c r="I842" s="35" t="s">
        <v>516</v>
      </c>
      <c r="J842" s="35"/>
      <c r="K842" s="37">
        <f>IFERROR(__xludf.DUMMYFUNCTION("query(assistance!$A$2:$E988,""Select C Where D = '""&amp;L842&amp;""'"")"),11.0)</f>
        <v>11</v>
      </c>
      <c r="L842" s="36" t="s">
        <v>322</v>
      </c>
      <c r="M842" s="38">
        <f t="shared" si="103"/>
        <v>1</v>
      </c>
      <c r="N842" s="39" t="s">
        <v>42</v>
      </c>
      <c r="O842" s="65"/>
      <c r="P842" s="50"/>
      <c r="Q842" s="35"/>
      <c r="R842" s="35"/>
      <c r="S842" s="35" t="b">
        <v>0</v>
      </c>
      <c r="T842" s="35" t="b">
        <v>0</v>
      </c>
      <c r="U842" s="41" t="str">
        <f>IFERROR(__xludf.DUMMYFUNCTION("""["" &amp; JOIN("", "", ARRAYFORMULA("""""""" &amp; TRIM(SPLIT(A842, "","")) &amp; """""""")) &amp; ""]"""),"[""77316"", ""77333"", ""77363""]")</f>
        <v>["77316", "77333", "77363"]</v>
      </c>
      <c r="V842" s="52" t="s">
        <v>4228</v>
      </c>
      <c r="W842" s="52" t="s">
        <v>4229</v>
      </c>
      <c r="X842" s="43"/>
      <c r="Y842" s="44" t="str">
        <f>vlookup(G842,zip_codes!$B$6:$J988,3,false)</f>
        <v>Plantersville</v>
      </c>
      <c r="Z842" s="45" t="str">
        <f>vlookup(G842,zip_codes!$B$6:$J988,9,false)</f>
        <v>Plantersville</v>
      </c>
      <c r="AA842" s="44" t="str">
        <f>vlookup(B842,organizations!$B$1:$C988,2,false)</f>
        <v>Society of St Vincent de Paul</v>
      </c>
      <c r="AB842" s="46" t="s">
        <v>4230</v>
      </c>
      <c r="AC842" s="47" t="s">
        <v>520</v>
      </c>
      <c r="AD842" s="48" t="s">
        <v>4225</v>
      </c>
      <c r="AE842" s="48" t="str">
        <f t="shared" si="99"/>
        <v>St Mary's (SVdP D6) Plantersville8227 County Road 20511</v>
      </c>
      <c r="AF842" s="48" t="str">
        <f t="shared" si="105"/>
        <v/>
      </c>
    </row>
    <row r="843" ht="66.75" customHeight="1">
      <c r="A843" s="49" t="s">
        <v>4222</v>
      </c>
      <c r="B843" s="35" t="s">
        <v>4223</v>
      </c>
      <c r="C843" s="36" t="s">
        <v>4224</v>
      </c>
      <c r="D843" s="36"/>
      <c r="E843" s="36" t="s">
        <v>4225</v>
      </c>
      <c r="F843" s="36" t="s">
        <v>37</v>
      </c>
      <c r="G843" s="35" t="s">
        <v>4226</v>
      </c>
      <c r="H843" s="35" t="s">
        <v>4227</v>
      </c>
      <c r="I843" s="35" t="s">
        <v>516</v>
      </c>
      <c r="J843" s="35"/>
      <c r="K843" s="37">
        <f>IFERROR(__xludf.DUMMYFUNCTION("query(assistance!$A$2:$E988,""Select C Where D = '""&amp;L843&amp;""'"")"),12.0)</f>
        <v>12</v>
      </c>
      <c r="L843" s="36" t="s">
        <v>330</v>
      </c>
      <c r="M843" s="38">
        <f t="shared" si="103"/>
        <v>1</v>
      </c>
      <c r="N843" s="39" t="s">
        <v>42</v>
      </c>
      <c r="O843" s="65"/>
      <c r="P843" s="50"/>
      <c r="Q843" s="35"/>
      <c r="R843" s="35"/>
      <c r="S843" s="35" t="b">
        <v>0</v>
      </c>
      <c r="T843" s="35" t="b">
        <v>0</v>
      </c>
      <c r="U843" s="41" t="str">
        <f>IFERROR(__xludf.DUMMYFUNCTION("""["" &amp; JOIN("", "", ARRAYFORMULA("""""""" &amp; TRIM(SPLIT(A843, "","")) &amp; """""""")) &amp; ""]"""),"[""77316"", ""77333"", ""77363""]")</f>
        <v>["77316", "77333", "77363"]</v>
      </c>
      <c r="V843" s="52" t="s">
        <v>4228</v>
      </c>
      <c r="W843" s="52" t="s">
        <v>4229</v>
      </c>
      <c r="X843" s="43"/>
      <c r="Y843" s="44" t="str">
        <f>vlookup(G843,zip_codes!$B$6:$J988,3,false)</f>
        <v>Plantersville</v>
      </c>
      <c r="Z843" s="45" t="str">
        <f>vlookup(G843,zip_codes!$B$6:$J988,9,false)</f>
        <v>Plantersville</v>
      </c>
      <c r="AA843" s="44" t="str">
        <f>vlookup(B843,organizations!$B$1:$C988,2,false)</f>
        <v>Society of St Vincent de Paul</v>
      </c>
      <c r="AB843" s="46" t="s">
        <v>4230</v>
      </c>
      <c r="AC843" s="47" t="s">
        <v>520</v>
      </c>
      <c r="AD843" s="48" t="s">
        <v>4225</v>
      </c>
      <c r="AE843" s="48" t="str">
        <f t="shared" si="99"/>
        <v>St Mary's (SVdP D6) Plantersville8227 County Road 20512</v>
      </c>
      <c r="AF843" s="48" t="str">
        <f t="shared" si="105"/>
        <v/>
      </c>
    </row>
    <row r="844" ht="66.75" customHeight="1">
      <c r="A844" s="49" t="s">
        <v>4222</v>
      </c>
      <c r="B844" s="35" t="s">
        <v>4223</v>
      </c>
      <c r="C844" s="36" t="s">
        <v>4224</v>
      </c>
      <c r="D844" s="36"/>
      <c r="E844" s="36" t="s">
        <v>4225</v>
      </c>
      <c r="F844" s="36" t="s">
        <v>37</v>
      </c>
      <c r="G844" s="35" t="s">
        <v>4226</v>
      </c>
      <c r="H844" s="35" t="s">
        <v>4227</v>
      </c>
      <c r="I844" s="35" t="s">
        <v>516</v>
      </c>
      <c r="J844" s="35"/>
      <c r="K844" s="37">
        <f>IFERROR(__xludf.DUMMYFUNCTION("query(assistance!$A$2:$E988,""Select C Where D = '""&amp;L844&amp;""'"")"),13.0)</f>
        <v>13</v>
      </c>
      <c r="L844" s="36" t="s">
        <v>240</v>
      </c>
      <c r="M844" s="38">
        <f t="shared" si="103"/>
        <v>1</v>
      </c>
      <c r="N844" s="39" t="s">
        <v>42</v>
      </c>
      <c r="O844" s="65"/>
      <c r="P844" s="50"/>
      <c r="Q844" s="35"/>
      <c r="R844" s="35"/>
      <c r="S844" s="35" t="b">
        <v>0</v>
      </c>
      <c r="T844" s="35" t="b">
        <v>0</v>
      </c>
      <c r="U844" s="41" t="str">
        <f>IFERROR(__xludf.DUMMYFUNCTION("""["" &amp; JOIN("", "", ARRAYFORMULA("""""""" &amp; TRIM(SPLIT(A844, "","")) &amp; """""""")) &amp; ""]"""),"[""77316"", ""77333"", ""77363""]")</f>
        <v>["77316", "77333", "77363"]</v>
      </c>
      <c r="V844" s="52" t="s">
        <v>4228</v>
      </c>
      <c r="W844" s="52" t="s">
        <v>4229</v>
      </c>
      <c r="X844" s="43"/>
      <c r="Y844" s="44" t="str">
        <f>vlookup(G844,zip_codes!$B$6:$J988,3,false)</f>
        <v>Plantersville</v>
      </c>
      <c r="Z844" s="45" t="str">
        <f>vlookup(G844,zip_codes!$B$6:$J988,9,false)</f>
        <v>Plantersville</v>
      </c>
      <c r="AA844" s="44" t="str">
        <f>vlookup(B844,organizations!$B$1:$C988,2,false)</f>
        <v>Society of St Vincent de Paul</v>
      </c>
      <c r="AB844" s="46" t="s">
        <v>4230</v>
      </c>
      <c r="AC844" s="47" t="s">
        <v>520</v>
      </c>
      <c r="AD844" s="48" t="s">
        <v>4225</v>
      </c>
      <c r="AE844" s="48" t="str">
        <f t="shared" si="99"/>
        <v>St Mary's (SVdP D6) Plantersville8227 County Road 20513</v>
      </c>
      <c r="AF844" s="48" t="str">
        <f t="shared" si="105"/>
        <v/>
      </c>
    </row>
    <row r="845" ht="66.75" customHeight="1">
      <c r="A845" s="49" t="s">
        <v>1220</v>
      </c>
      <c r="B845" s="35" t="s">
        <v>4231</v>
      </c>
      <c r="C845" s="36" t="s">
        <v>4232</v>
      </c>
      <c r="D845" s="36"/>
      <c r="E845" s="36" t="s">
        <v>1219</v>
      </c>
      <c r="F845" s="36" t="s">
        <v>37</v>
      </c>
      <c r="G845" s="35" t="s">
        <v>1220</v>
      </c>
      <c r="H845" s="35" t="s">
        <v>4233</v>
      </c>
      <c r="I845" s="35" t="s">
        <v>4234</v>
      </c>
      <c r="J845" s="35"/>
      <c r="K845" s="37">
        <f>IFERROR(__xludf.DUMMYFUNCTION("query(assistance!$A$2:$E988,""Select C Where D = '""&amp;L845&amp;""'"")"),13.0)</f>
        <v>13</v>
      </c>
      <c r="L845" s="36" t="s">
        <v>240</v>
      </c>
      <c r="M845" s="38">
        <f t="shared" si="103"/>
        <v>1</v>
      </c>
      <c r="N845" s="39" t="s">
        <v>42</v>
      </c>
      <c r="O845" s="65"/>
      <c r="P845" s="50"/>
      <c r="Q845" s="35"/>
      <c r="R845" s="35"/>
      <c r="S845" s="35" t="b">
        <v>0</v>
      </c>
      <c r="T845" s="35" t="b">
        <v>0</v>
      </c>
      <c r="U845" s="41" t="str">
        <f>IFERROR(__xludf.DUMMYFUNCTION("""["" &amp; JOIN("", "", ARRAYFORMULA("""""""" &amp; TRIM(SPLIT(A845, "","")) &amp; """""""")) &amp; ""]"""),"[""77590""]")</f>
        <v>["77590"]</v>
      </c>
      <c r="V845" s="52" t="s">
        <v>4235</v>
      </c>
      <c r="W845" s="52" t="s">
        <v>4236</v>
      </c>
      <c r="X845" s="43"/>
      <c r="Y845" s="44" t="str">
        <f>vlookup(G845,zip_codes!$B$6:$J988,3,false)</f>
        <v>Texas City</v>
      </c>
      <c r="Z845" s="45" t="str">
        <f>vlookup(G845,zip_codes!$B$6:$J988,9,false)</f>
        <v>Texas City</v>
      </c>
      <c r="AA845" s="44" t="str">
        <f>vlookup(B845,organizations!$B$1:$C988,2,false)</f>
        <v>Society of St Vincent de Paul</v>
      </c>
      <c r="AB845" s="46" t="s">
        <v>4237</v>
      </c>
      <c r="AC845" s="47" t="s">
        <v>4238</v>
      </c>
      <c r="AD845" s="48" t="s">
        <v>1219</v>
      </c>
      <c r="AE845" s="48" t="str">
        <f t="shared" si="99"/>
        <v>St Mary's Texas City (SVdP D7)1604 9th Avenue N13</v>
      </c>
      <c r="AF845" s="48" t="str">
        <f t="shared" si="105"/>
        <v/>
      </c>
    </row>
    <row r="846" ht="66.75" customHeight="1">
      <c r="A846" s="49" t="s">
        <v>4239</v>
      </c>
      <c r="B846" s="35" t="s">
        <v>4240</v>
      </c>
      <c r="C846" s="36" t="s">
        <v>4241</v>
      </c>
      <c r="D846" s="36"/>
      <c r="E846" s="36" t="s">
        <v>36</v>
      </c>
      <c r="F846" s="36" t="s">
        <v>37</v>
      </c>
      <c r="G846" s="35" t="s">
        <v>1414</v>
      </c>
      <c r="H846" s="35" t="s">
        <v>4242</v>
      </c>
      <c r="I846" s="35" t="s">
        <v>4136</v>
      </c>
      <c r="J846" s="35"/>
      <c r="K846" s="37">
        <f>IFERROR(__xludf.DUMMYFUNCTION("query(assistance!$A$2:$E988,""Select C Where D = '""&amp;L846&amp;""'"")"),13.0)</f>
        <v>13</v>
      </c>
      <c r="L846" s="36" t="s">
        <v>240</v>
      </c>
      <c r="M846" s="38">
        <f t="shared" si="103"/>
        <v>1</v>
      </c>
      <c r="N846" s="39" t="s">
        <v>42</v>
      </c>
      <c r="O846" s="65"/>
      <c r="P846" s="50"/>
      <c r="Q846" s="50"/>
      <c r="R846" s="50"/>
      <c r="S846" s="35" t="b">
        <v>0</v>
      </c>
      <c r="T846" s="35" t="b">
        <v>0</v>
      </c>
      <c r="U846" s="41" t="str">
        <f>IFERROR(__xludf.DUMMYFUNCTION("""["" &amp; JOIN("", "", ARRAYFORMULA("""""""" &amp; TRIM(SPLIT(A846, "","")) &amp; """""""")) &amp; ""]"""),"[""77041"", ""77088""]")</f>
        <v>["77041", "77088"]</v>
      </c>
      <c r="V846" s="52" t="s">
        <v>4243</v>
      </c>
      <c r="W846" s="52" t="s">
        <v>4244</v>
      </c>
      <c r="X846" s="43"/>
      <c r="Y846" s="44" t="str">
        <f>vlookup(G846,zip_codes!$B$6:$J988,3,false)</f>
        <v>Houston</v>
      </c>
      <c r="Z846" s="45" t="str">
        <f>vlookup(G846,zip_codes!$B$6:$J988,9,false)</f>
        <v>Fairbanks / Northwest Crossing, Jersey Village, Northside, Oak Hollow</v>
      </c>
      <c r="AA846" s="44" t="str">
        <f>vlookup(B846,organizations!$B$1:$C988,2,false)</f>
        <v>St Matthew the Evangelist</v>
      </c>
      <c r="AB846" s="46" t="s">
        <v>4245</v>
      </c>
      <c r="AC846" s="47" t="s">
        <v>4140</v>
      </c>
      <c r="AD846" s="48" t="s">
        <v>356</v>
      </c>
      <c r="AE846" s="48" t="str">
        <f t="shared" si="99"/>
        <v>St Matthew the Evangelist9915 Hollister Street13</v>
      </c>
      <c r="AF846" s="48" t="str">
        <f t="shared" si="105"/>
        <v/>
      </c>
    </row>
    <row r="847" ht="66.75" customHeight="1">
      <c r="A847" s="49" t="s">
        <v>4246</v>
      </c>
      <c r="B847" s="35" t="s">
        <v>4247</v>
      </c>
      <c r="C847" s="36" t="s">
        <v>4248</v>
      </c>
      <c r="D847" s="36"/>
      <c r="E847" s="36" t="s">
        <v>256</v>
      </c>
      <c r="F847" s="36" t="s">
        <v>37</v>
      </c>
      <c r="G847" s="35" t="s">
        <v>257</v>
      </c>
      <c r="H847" s="35" t="s">
        <v>4249</v>
      </c>
      <c r="I847" s="50"/>
      <c r="J847" s="64"/>
      <c r="K847" s="37">
        <f>IFERROR(__xludf.DUMMYFUNCTION("query(assistance!$A$2:$E988,""Select C Where D = '""&amp;L847&amp;""'"")"),11.0)</f>
        <v>11</v>
      </c>
      <c r="L847" s="36" t="s">
        <v>322</v>
      </c>
      <c r="M847" s="38">
        <f t="shared" si="103"/>
        <v>1</v>
      </c>
      <c r="N847" s="51" t="s">
        <v>42</v>
      </c>
      <c r="O847" s="40">
        <v>45637.0</v>
      </c>
      <c r="P847" s="50"/>
      <c r="Q847" s="35"/>
      <c r="R847" s="35"/>
      <c r="S847" s="35" t="b">
        <v>0</v>
      </c>
      <c r="T847" s="35" t="b">
        <v>0</v>
      </c>
      <c r="U847" s="41" t="str">
        <f>IFERROR(__xludf.DUMMYFUNCTION("""["" &amp; JOIN("", "", ARRAYFORMULA("""""""" &amp; TRIM(SPLIT(A847, "","")) &amp; """""""")) &amp; ""]"""),"[""77354"", ""77355"", ""77362""]")</f>
        <v>["77354", "77355", "77362"]</v>
      </c>
      <c r="V847" s="52" t="s">
        <v>4250</v>
      </c>
      <c r="W847" s="52" t="s">
        <v>4251</v>
      </c>
      <c r="X847" s="43"/>
      <c r="Y847" s="44" t="str">
        <f>vlookup(G847,zip_codes!$B$6:$J988,3,false)</f>
        <v>Magnolia</v>
      </c>
      <c r="Z847" s="45" t="str">
        <f>vlookup(G847,zip_codes!$B$6:$J988,9,false)</f>
        <v>Magnolia</v>
      </c>
      <c r="AA847" s="44" t="str">
        <f>vlookup(B847,organizations!$B$1:$C988,2,false)</f>
        <v>Society of St Vincent de Paul</v>
      </c>
      <c r="AB847" s="46" t="s">
        <v>4252</v>
      </c>
      <c r="AC847" s="53"/>
      <c r="AD847" s="48" t="s">
        <v>256</v>
      </c>
      <c r="AE847" s="48" t="str">
        <f t="shared" si="99"/>
        <v>St Matthias (SVdP D6) Magnolia302 Magnolia Blvd11</v>
      </c>
      <c r="AF847" s="48" t="str">
        <f t="shared" si="105"/>
        <v/>
      </c>
    </row>
    <row r="848" ht="66.75" customHeight="1">
      <c r="A848" s="49" t="s">
        <v>4246</v>
      </c>
      <c r="B848" s="35" t="s">
        <v>4247</v>
      </c>
      <c r="C848" s="36" t="s">
        <v>4248</v>
      </c>
      <c r="D848" s="36"/>
      <c r="E848" s="36" t="s">
        <v>256</v>
      </c>
      <c r="F848" s="36" t="s">
        <v>37</v>
      </c>
      <c r="G848" s="35" t="s">
        <v>257</v>
      </c>
      <c r="H848" s="35" t="s">
        <v>4249</v>
      </c>
      <c r="I848" s="50"/>
      <c r="J848" s="64"/>
      <c r="K848" s="37">
        <f>IFERROR(__xludf.DUMMYFUNCTION("query(assistance!$A$2:$E988,""Select C Where D = '""&amp;L848&amp;""'"")"),12.0)</f>
        <v>12</v>
      </c>
      <c r="L848" s="36" t="s">
        <v>330</v>
      </c>
      <c r="M848" s="38">
        <f t="shared" si="103"/>
        <v>1</v>
      </c>
      <c r="N848" s="51" t="s">
        <v>42</v>
      </c>
      <c r="O848" s="40">
        <v>45637.0</v>
      </c>
      <c r="P848" s="50"/>
      <c r="Q848" s="35"/>
      <c r="R848" s="35"/>
      <c r="S848" s="35" t="b">
        <v>0</v>
      </c>
      <c r="T848" s="35" t="b">
        <v>0</v>
      </c>
      <c r="U848" s="41" t="str">
        <f>IFERROR(__xludf.DUMMYFUNCTION("""["" &amp; JOIN("", "", ARRAYFORMULA("""""""" &amp; TRIM(SPLIT(A848, "","")) &amp; """""""")) &amp; ""]"""),"[""77354"", ""77355"", ""77362""]")</f>
        <v>["77354", "77355", "77362"]</v>
      </c>
      <c r="V848" s="52" t="s">
        <v>4250</v>
      </c>
      <c r="W848" s="52" t="s">
        <v>4251</v>
      </c>
      <c r="X848" s="43"/>
      <c r="Y848" s="44" t="str">
        <f>vlookup(G848,zip_codes!$B$6:$J988,3,false)</f>
        <v>Magnolia</v>
      </c>
      <c r="Z848" s="45" t="str">
        <f>vlookup(G848,zip_codes!$B$6:$J988,9,false)</f>
        <v>Magnolia</v>
      </c>
      <c r="AA848" s="44" t="str">
        <f>vlookup(B848,organizations!$B$1:$C988,2,false)</f>
        <v>Society of St Vincent de Paul</v>
      </c>
      <c r="AB848" s="46" t="s">
        <v>4252</v>
      </c>
      <c r="AC848" s="53"/>
      <c r="AD848" s="48" t="s">
        <v>256</v>
      </c>
      <c r="AE848" s="48" t="str">
        <f t="shared" si="99"/>
        <v>St Matthias (SVdP D6) Magnolia302 Magnolia Blvd12</v>
      </c>
      <c r="AF848" s="48" t="str">
        <f t="shared" si="105"/>
        <v/>
      </c>
    </row>
    <row r="849" ht="66.75" customHeight="1">
      <c r="A849" s="49" t="s">
        <v>4246</v>
      </c>
      <c r="B849" s="35" t="s">
        <v>4247</v>
      </c>
      <c r="C849" s="36" t="s">
        <v>4248</v>
      </c>
      <c r="D849" s="36"/>
      <c r="E849" s="36" t="s">
        <v>256</v>
      </c>
      <c r="F849" s="36" t="s">
        <v>37</v>
      </c>
      <c r="G849" s="35" t="s">
        <v>257</v>
      </c>
      <c r="H849" s="35" t="s">
        <v>4249</v>
      </c>
      <c r="I849" s="35" t="s">
        <v>4253</v>
      </c>
      <c r="J849" s="35"/>
      <c r="K849" s="37">
        <f>IFERROR(__xludf.DUMMYFUNCTION("query(assistance!$A$2:$E988,""Select C Where D = '""&amp;L849&amp;""'"")"),13.0)</f>
        <v>13</v>
      </c>
      <c r="L849" s="36" t="s">
        <v>240</v>
      </c>
      <c r="M849" s="38">
        <f t="shared" si="103"/>
        <v>1</v>
      </c>
      <c r="N849" s="51" t="s">
        <v>42</v>
      </c>
      <c r="O849" s="40">
        <v>45637.0</v>
      </c>
      <c r="P849" s="50"/>
      <c r="Q849" s="35"/>
      <c r="R849" s="35" t="s">
        <v>4254</v>
      </c>
      <c r="S849" s="35" t="b">
        <v>0</v>
      </c>
      <c r="T849" s="35" t="b">
        <v>0</v>
      </c>
      <c r="U849" s="41" t="str">
        <f>IFERROR(__xludf.DUMMYFUNCTION("""["" &amp; JOIN("", "", ARRAYFORMULA("""""""" &amp; TRIM(SPLIT(A849, "","")) &amp; """""""")) &amp; ""]"""),"[""77354"", ""77355"", ""77362""]")</f>
        <v>["77354", "77355", "77362"]</v>
      </c>
      <c r="V849" s="52" t="s">
        <v>4250</v>
      </c>
      <c r="W849" s="52" t="s">
        <v>4251</v>
      </c>
      <c r="X849" s="43"/>
      <c r="Y849" s="44" t="str">
        <f>vlookup(G849,zip_codes!$B$6:$J988,3,false)</f>
        <v>Magnolia</v>
      </c>
      <c r="Z849" s="45" t="str">
        <f>vlookup(G849,zip_codes!$B$6:$J988,9,false)</f>
        <v>Magnolia</v>
      </c>
      <c r="AA849" s="44" t="str">
        <f>vlookup(B849,organizations!$B$1:$C988,2,false)</f>
        <v>Society of St Vincent de Paul</v>
      </c>
      <c r="AB849" s="46" t="s">
        <v>4252</v>
      </c>
      <c r="AC849" s="47" t="s">
        <v>4255</v>
      </c>
      <c r="AD849" s="48" t="s">
        <v>256</v>
      </c>
      <c r="AE849" s="48" t="str">
        <f t="shared" si="99"/>
        <v>St Matthias (SVdP D6) Magnolia302 Magnolia Blvd13</v>
      </c>
      <c r="AF849" s="48" t="str">
        <f t="shared" si="105"/>
        <v/>
      </c>
    </row>
    <row r="850" ht="66.75" customHeight="1">
      <c r="A850" s="49" t="s">
        <v>4246</v>
      </c>
      <c r="B850" s="35" t="s">
        <v>4247</v>
      </c>
      <c r="C850" s="36" t="s">
        <v>4248</v>
      </c>
      <c r="D850" s="36"/>
      <c r="E850" s="36" t="s">
        <v>256</v>
      </c>
      <c r="F850" s="36" t="s">
        <v>37</v>
      </c>
      <c r="G850" s="35" t="s">
        <v>257</v>
      </c>
      <c r="H850" s="35" t="s">
        <v>4249</v>
      </c>
      <c r="I850" s="66"/>
      <c r="J850" s="89"/>
      <c r="K850" s="37">
        <f>IFERROR(__xludf.DUMMYFUNCTION("query(assistance!$A$2:$E988,""Select C Where D = '""&amp;L850&amp;""'"")"),32.0)</f>
        <v>32</v>
      </c>
      <c r="L850" s="36" t="s">
        <v>208</v>
      </c>
      <c r="M850" s="38">
        <f t="shared" si="103"/>
        <v>1</v>
      </c>
      <c r="N850" s="51" t="s">
        <v>42</v>
      </c>
      <c r="O850" s="40">
        <v>45637.0</v>
      </c>
      <c r="P850" s="50"/>
      <c r="Q850" s="35"/>
      <c r="R850" s="35" t="s">
        <v>4256</v>
      </c>
      <c r="S850" s="35" t="b">
        <v>1</v>
      </c>
      <c r="T850" s="35" t="b">
        <v>0</v>
      </c>
      <c r="U850" s="41" t="str">
        <f>IFERROR(__xludf.DUMMYFUNCTION("""["" &amp; JOIN("", "", ARRAYFORMULA("""""""" &amp; TRIM(SPLIT(A850, "","")) &amp; """""""")) &amp; ""]"""),"[""77354"", ""77355"", ""77362""]")</f>
        <v>["77354", "77355", "77362"]</v>
      </c>
      <c r="V850" s="52" t="s">
        <v>4250</v>
      </c>
      <c r="W850" s="52" t="s">
        <v>4251</v>
      </c>
      <c r="X850" s="43"/>
      <c r="Y850" s="44" t="str">
        <f>vlookup(G850,zip_codes!$B$6:$J988,3,false)</f>
        <v>Magnolia</v>
      </c>
      <c r="Z850" s="45" t="str">
        <f>vlookup(G850,zip_codes!$B$6:$J988,9,false)</f>
        <v>Magnolia</v>
      </c>
      <c r="AA850" s="44" t="str">
        <f>vlookup(B850,organizations!$B$1:$C988,2,false)</f>
        <v>Society of St Vincent de Paul</v>
      </c>
      <c r="AB850" s="46" t="s">
        <v>4252</v>
      </c>
      <c r="AC850" s="53"/>
      <c r="AD850" s="48" t="s">
        <v>256</v>
      </c>
      <c r="AE850" s="48" t="str">
        <f t="shared" si="99"/>
        <v>St Matthias (SVdP D6) Magnolia302 Magnolia Blvd32</v>
      </c>
      <c r="AF850" s="48" t="str">
        <f t="shared" si="105"/>
        <v/>
      </c>
    </row>
    <row r="851" ht="66.75" customHeight="1">
      <c r="A851" s="49" t="s">
        <v>4246</v>
      </c>
      <c r="B851" s="35" t="s">
        <v>4247</v>
      </c>
      <c r="C851" s="36" t="s">
        <v>4248</v>
      </c>
      <c r="D851" s="36"/>
      <c r="E851" s="36" t="s">
        <v>256</v>
      </c>
      <c r="F851" s="36" t="s">
        <v>37</v>
      </c>
      <c r="G851" s="35" t="s">
        <v>257</v>
      </c>
      <c r="H851" s="35" t="s">
        <v>4249</v>
      </c>
      <c r="I851" s="66"/>
      <c r="J851" s="89"/>
      <c r="K851" s="37">
        <f>IFERROR(__xludf.DUMMYFUNCTION("query(assistance!$A$2:$E988,""Select C Where D = '""&amp;L851&amp;""'"")"),36.0)</f>
        <v>36</v>
      </c>
      <c r="L851" s="36" t="s">
        <v>227</v>
      </c>
      <c r="M851" s="38">
        <f t="shared" si="103"/>
        <v>1</v>
      </c>
      <c r="N851" s="51" t="s">
        <v>42</v>
      </c>
      <c r="O851" s="40">
        <v>45637.0</v>
      </c>
      <c r="P851" s="50"/>
      <c r="Q851" s="35"/>
      <c r="R851" s="35" t="s">
        <v>4257</v>
      </c>
      <c r="S851" s="35" t="b">
        <v>0</v>
      </c>
      <c r="T851" s="35" t="b">
        <v>0</v>
      </c>
      <c r="U851" s="41" t="str">
        <f>IFERROR(__xludf.DUMMYFUNCTION("""["" &amp; JOIN("", "", ARRAYFORMULA("""""""" &amp; TRIM(SPLIT(A851, "","")) &amp; """""""")) &amp; ""]"""),"[""77354"", ""77355"", ""77362""]")</f>
        <v>["77354", "77355", "77362"]</v>
      </c>
      <c r="V851" s="52" t="s">
        <v>4250</v>
      </c>
      <c r="W851" s="52" t="s">
        <v>4251</v>
      </c>
      <c r="X851" s="43"/>
      <c r="Y851" s="44" t="str">
        <f>vlookup(G851,zip_codes!$B$6:$J988,3,false)</f>
        <v>Magnolia</v>
      </c>
      <c r="Z851" s="45" t="str">
        <f>vlookup(G851,zip_codes!$B$6:$J988,9,false)</f>
        <v>Magnolia</v>
      </c>
      <c r="AA851" s="44" t="str">
        <f>vlookup(B851,organizations!$B$1:$C988,2,false)</f>
        <v>Society of St Vincent de Paul</v>
      </c>
      <c r="AB851" s="46" t="s">
        <v>4252</v>
      </c>
      <c r="AC851" s="53"/>
      <c r="AD851" s="48" t="s">
        <v>256</v>
      </c>
      <c r="AE851" s="48" t="str">
        <f t="shared" si="99"/>
        <v>St Matthias (SVdP D6) Magnolia302 Magnolia Blvd36</v>
      </c>
      <c r="AF851" s="48" t="str">
        <f t="shared" si="105"/>
        <v/>
      </c>
    </row>
    <row r="852" ht="66.75" customHeight="1">
      <c r="A852" s="49" t="s">
        <v>4258</v>
      </c>
      <c r="B852" s="35" t="s">
        <v>4259</v>
      </c>
      <c r="C852" s="36" t="s">
        <v>4260</v>
      </c>
      <c r="D852" s="36"/>
      <c r="E852" s="36" t="s">
        <v>4261</v>
      </c>
      <c r="F852" s="36" t="s">
        <v>37</v>
      </c>
      <c r="G852" s="35" t="s">
        <v>4262</v>
      </c>
      <c r="H852" s="35" t="s">
        <v>4263</v>
      </c>
      <c r="I852" s="35" t="s">
        <v>4264</v>
      </c>
      <c r="J852" s="35"/>
      <c r="K852" s="37">
        <f>IFERROR(__xludf.DUMMYFUNCTION("query(assistance!$A$2:$E988,""Select C Where D = '""&amp;L852&amp;""'"")"),11.0)</f>
        <v>11</v>
      </c>
      <c r="L852" s="36" t="s">
        <v>322</v>
      </c>
      <c r="M852" s="38">
        <f t="shared" si="103"/>
        <v>1</v>
      </c>
      <c r="N852" s="39" t="s">
        <v>42</v>
      </c>
      <c r="O852" s="65"/>
      <c r="P852" s="50"/>
      <c r="Q852" s="35"/>
      <c r="R852" s="35"/>
      <c r="S852" s="35" t="b">
        <v>0</v>
      </c>
      <c r="T852" s="35" t="b">
        <v>0</v>
      </c>
      <c r="U852" s="41" t="str">
        <f>IFERROR(__xludf.DUMMYFUNCTION("""["" &amp; JOIN("", "", ARRAYFORMULA("""""""" &amp; TRIM(SPLIT(A852, "","")) &amp; """""""")) &amp; ""]"""),"[""77430"", ""77444"", ""77461""]")</f>
        <v>["77430", "77444", "77461"]</v>
      </c>
      <c r="V852" s="52" t="s">
        <v>4265</v>
      </c>
      <c r="W852" s="52" t="s">
        <v>4266</v>
      </c>
      <c r="X852" s="43"/>
      <c r="Y852" s="44" t="str">
        <f>vlookup(G852,zip_codes!$B$6:$J988,3,false)</f>
        <v>Needville</v>
      </c>
      <c r="Z852" s="45" t="str">
        <f>vlookup(G852,zip_codes!$B$6:$J988,9,false)</f>
        <v>Needville</v>
      </c>
      <c r="AA852" s="44" t="str">
        <f>vlookup(B852,organizations!$B$1:$C988,2,false)</f>
        <v>Society of St Vincent de Paul</v>
      </c>
      <c r="AB852" s="46" t="s">
        <v>4267</v>
      </c>
      <c r="AC852" s="47" t="s">
        <v>4268</v>
      </c>
      <c r="AD852" s="48" t="s">
        <v>4261</v>
      </c>
      <c r="AE852" s="48" t="str">
        <f t="shared" si="99"/>
        <v>St Michael the Archangel (SVdP D2) Needville9214 Main Street11</v>
      </c>
      <c r="AF852" s="48" t="str">
        <f t="shared" si="105"/>
        <v/>
      </c>
    </row>
    <row r="853" ht="66.75" customHeight="1">
      <c r="A853" s="49" t="s">
        <v>4258</v>
      </c>
      <c r="B853" s="35" t="s">
        <v>4259</v>
      </c>
      <c r="C853" s="36" t="s">
        <v>4260</v>
      </c>
      <c r="D853" s="36"/>
      <c r="E853" s="36" t="s">
        <v>4261</v>
      </c>
      <c r="F853" s="36" t="s">
        <v>37</v>
      </c>
      <c r="G853" s="35" t="s">
        <v>4262</v>
      </c>
      <c r="H853" s="35" t="s">
        <v>4263</v>
      </c>
      <c r="I853" s="35" t="s">
        <v>4264</v>
      </c>
      <c r="J853" s="35"/>
      <c r="K853" s="37">
        <f>IFERROR(__xludf.DUMMYFUNCTION("query(assistance!$A$2:$E988,""Select C Where D = '""&amp;L853&amp;""'"")"),12.0)</f>
        <v>12</v>
      </c>
      <c r="L853" s="36" t="s">
        <v>330</v>
      </c>
      <c r="M853" s="38">
        <f t="shared" si="103"/>
        <v>1</v>
      </c>
      <c r="N853" s="39" t="s">
        <v>42</v>
      </c>
      <c r="O853" s="65"/>
      <c r="P853" s="50"/>
      <c r="Q853" s="35"/>
      <c r="R853" s="35"/>
      <c r="S853" s="35" t="b">
        <v>0</v>
      </c>
      <c r="T853" s="35" t="b">
        <v>0</v>
      </c>
      <c r="U853" s="41" t="str">
        <f>IFERROR(__xludf.DUMMYFUNCTION("""["" &amp; JOIN("", "", ARRAYFORMULA("""""""" &amp; TRIM(SPLIT(A853, "","")) &amp; """""""")) &amp; ""]"""),"[""77430"", ""77444"", ""77461""]")</f>
        <v>["77430", "77444", "77461"]</v>
      </c>
      <c r="V853" s="52" t="s">
        <v>4265</v>
      </c>
      <c r="W853" s="52" t="s">
        <v>4266</v>
      </c>
      <c r="X853" s="43"/>
      <c r="Y853" s="44" t="str">
        <f>vlookup(G853,zip_codes!$B$6:$J988,3,false)</f>
        <v>Needville</v>
      </c>
      <c r="Z853" s="45" t="str">
        <f>vlookup(G853,zip_codes!$B$6:$J988,9,false)</f>
        <v>Needville</v>
      </c>
      <c r="AA853" s="44" t="str">
        <f>vlookup(B853,organizations!$B$1:$C988,2,false)</f>
        <v>Society of St Vincent de Paul</v>
      </c>
      <c r="AB853" s="46" t="s">
        <v>4267</v>
      </c>
      <c r="AC853" s="47" t="s">
        <v>4268</v>
      </c>
      <c r="AD853" s="48" t="s">
        <v>4261</v>
      </c>
      <c r="AE853" s="48" t="str">
        <f t="shared" si="99"/>
        <v>St Michael the Archangel (SVdP D2) Needville9214 Main Street12</v>
      </c>
      <c r="AF853" s="48" t="str">
        <f t="shared" si="105"/>
        <v/>
      </c>
    </row>
    <row r="854" ht="66.75" customHeight="1">
      <c r="A854" s="49" t="s">
        <v>4269</v>
      </c>
      <c r="B854" s="35" t="s">
        <v>4270</v>
      </c>
      <c r="C854" s="36" t="s">
        <v>3548</v>
      </c>
      <c r="D854" s="36"/>
      <c r="E854" s="36" t="s">
        <v>36</v>
      </c>
      <c r="F854" s="36" t="s">
        <v>37</v>
      </c>
      <c r="G854" s="35" t="s">
        <v>1053</v>
      </c>
      <c r="H854" s="35" t="s">
        <v>4271</v>
      </c>
      <c r="I854" s="35" t="s">
        <v>4272</v>
      </c>
      <c r="J854" s="35"/>
      <c r="K854" s="37">
        <f>IFERROR(__xludf.DUMMYFUNCTION("query(assistance!$A$2:$E988,""Select C Where D = '""&amp;L854&amp;""'"")"),11.0)</f>
        <v>11</v>
      </c>
      <c r="L854" s="36" t="s">
        <v>322</v>
      </c>
      <c r="M854" s="38">
        <f t="shared" si="103"/>
        <v>1</v>
      </c>
      <c r="N854" s="51" t="s">
        <v>42</v>
      </c>
      <c r="O854" s="40">
        <v>45637.0</v>
      </c>
      <c r="P854" s="50"/>
      <c r="Q854" s="35"/>
      <c r="R854" s="35"/>
      <c r="S854" s="35" t="b">
        <v>0</v>
      </c>
      <c r="T854" s="35" t="b">
        <v>0</v>
      </c>
      <c r="U854" s="41" t="str">
        <f>IFERROR(__xludf.DUMMYFUNCTION("""["" &amp; JOIN("", "", ARRAYFORMULA("""""""" &amp; TRIM(SPLIT(A854, "","")) &amp; """""""")) &amp; ""]"""),"[""77027"", ""77056"", ""77057"", ""77063""]")</f>
        <v>["77027", "77056", "77057", "77063"]</v>
      </c>
      <c r="V854" s="52" t="s">
        <v>4273</v>
      </c>
      <c r="W854" s="52" t="s">
        <v>4274</v>
      </c>
      <c r="X854" s="43"/>
      <c r="Y854" s="44" t="str">
        <f>vlookup(G854,zip_codes!$B$6:$J988,3,false)</f>
        <v>Houston</v>
      </c>
      <c r="Z854" s="45" t="str">
        <f>vlookup(G854,zip_codes!$B$6:$J988,9,false)</f>
        <v>Galleria, Tanglewood, Uptown, Westside</v>
      </c>
      <c r="AA854" s="44" t="str">
        <f>vlookup(B854,organizations!$B$1:$C988,2,false)</f>
        <v>Society of St Vincent de Paul</v>
      </c>
      <c r="AB854" s="46" t="s">
        <v>3553</v>
      </c>
      <c r="AC854" s="47" t="s">
        <v>4275</v>
      </c>
      <c r="AD854" s="48" t="s">
        <v>1059</v>
      </c>
      <c r="AE854" s="48" t="str">
        <f t="shared" si="99"/>
        <v>St Michael the Archangel (SVdP D3)1801 Sage Road11</v>
      </c>
      <c r="AF854" s="48" t="str">
        <f t="shared" si="105"/>
        <v/>
      </c>
    </row>
    <row r="855" ht="66.75" customHeight="1">
      <c r="A855" s="49" t="s">
        <v>4269</v>
      </c>
      <c r="B855" s="35" t="s">
        <v>4270</v>
      </c>
      <c r="C855" s="36" t="s">
        <v>3548</v>
      </c>
      <c r="D855" s="36"/>
      <c r="E855" s="36" t="s">
        <v>36</v>
      </c>
      <c r="F855" s="36" t="s">
        <v>37</v>
      </c>
      <c r="G855" s="35" t="s">
        <v>1053</v>
      </c>
      <c r="H855" s="35" t="s">
        <v>4271</v>
      </c>
      <c r="I855" s="35" t="s">
        <v>4272</v>
      </c>
      <c r="J855" s="35"/>
      <c r="K855" s="37">
        <f>IFERROR(__xludf.DUMMYFUNCTION("query(assistance!$A$2:$E988,""Select C Where D = '""&amp;L855&amp;""'"")"),12.0)</f>
        <v>12</v>
      </c>
      <c r="L855" s="36" t="s">
        <v>330</v>
      </c>
      <c r="M855" s="38">
        <f t="shared" si="103"/>
        <v>1</v>
      </c>
      <c r="N855" s="51" t="s">
        <v>42</v>
      </c>
      <c r="O855" s="40">
        <v>45637.0</v>
      </c>
      <c r="P855" s="50"/>
      <c r="Q855" s="35"/>
      <c r="R855" s="35"/>
      <c r="S855" s="35" t="b">
        <v>0</v>
      </c>
      <c r="T855" s="35" t="b">
        <v>0</v>
      </c>
      <c r="U855" s="41" t="str">
        <f>IFERROR(__xludf.DUMMYFUNCTION("""["" &amp; JOIN("", "", ARRAYFORMULA("""""""" &amp; TRIM(SPLIT(A855, "","")) &amp; """""""")) &amp; ""]"""),"[""77027"", ""77056"", ""77057"", ""77063""]")</f>
        <v>["77027", "77056", "77057", "77063"]</v>
      </c>
      <c r="V855" s="52" t="s">
        <v>4273</v>
      </c>
      <c r="W855" s="52" t="s">
        <v>4274</v>
      </c>
      <c r="X855" s="43"/>
      <c r="Y855" s="44" t="str">
        <f>vlookup(G855,zip_codes!$B$6:$J988,3,false)</f>
        <v>Houston</v>
      </c>
      <c r="Z855" s="45" t="str">
        <f>vlookup(G855,zip_codes!$B$6:$J988,9,false)</f>
        <v>Galleria, Tanglewood, Uptown, Westside</v>
      </c>
      <c r="AA855" s="44" t="str">
        <f>vlookup(B855,organizations!$B$1:$C988,2,false)</f>
        <v>Society of St Vincent de Paul</v>
      </c>
      <c r="AB855" s="46" t="s">
        <v>3553</v>
      </c>
      <c r="AC855" s="47" t="s">
        <v>4275</v>
      </c>
      <c r="AD855" s="48" t="s">
        <v>1059</v>
      </c>
      <c r="AE855" s="48" t="str">
        <f t="shared" si="99"/>
        <v>St Michael the Archangel (SVdP D3)1801 Sage Road12</v>
      </c>
      <c r="AF855" s="48" t="str">
        <f t="shared" si="105"/>
        <v/>
      </c>
    </row>
    <row r="856" ht="66.75" customHeight="1">
      <c r="A856" s="49" t="s">
        <v>4276</v>
      </c>
      <c r="B856" s="35" t="s">
        <v>4277</v>
      </c>
      <c r="C856" s="36" t="s">
        <v>4278</v>
      </c>
      <c r="D856" s="36"/>
      <c r="E856" s="36" t="s">
        <v>4279</v>
      </c>
      <c r="F856" s="36" t="s">
        <v>37</v>
      </c>
      <c r="G856" s="35" t="s">
        <v>4280</v>
      </c>
      <c r="H856" s="35" t="s">
        <v>4281</v>
      </c>
      <c r="I856" s="35" t="s">
        <v>272</v>
      </c>
      <c r="J856" s="35"/>
      <c r="K856" s="37">
        <f>IFERROR(__xludf.DUMMYFUNCTION("query(assistance!$A$2:$E988,""Select C Where D = '""&amp;L856&amp;""'"")"),11.0)</f>
        <v>11</v>
      </c>
      <c r="L856" s="36" t="s">
        <v>322</v>
      </c>
      <c r="M856" s="38">
        <f t="shared" si="103"/>
        <v>1</v>
      </c>
      <c r="N856" s="39" t="s">
        <v>42</v>
      </c>
      <c r="O856" s="65"/>
      <c r="P856" s="50"/>
      <c r="Q856" s="35"/>
      <c r="R856" s="35"/>
      <c r="S856" s="35" t="b">
        <v>0</v>
      </c>
      <c r="T856" s="35" t="b">
        <v>0</v>
      </c>
      <c r="U856" s="41" t="str">
        <f>IFERROR(__xludf.DUMMYFUNCTION("""["" &amp; JOIN("", "", ARRAYFORMULA("""""""" &amp; TRIM(SPLIT(A856, "","")) &amp; """""""")) &amp; ""]"""),"[""77531"", ""77541"", ""77566""]")</f>
        <v>["77531", "77541", "77566"]</v>
      </c>
      <c r="V856" s="52" t="s">
        <v>4282</v>
      </c>
      <c r="W856" s="52" t="s">
        <v>4283</v>
      </c>
      <c r="X856" s="43"/>
      <c r="Y856" s="44" t="str">
        <f>vlookup(G856,zip_codes!$B$6:$J988,3,false)</f>
        <v>Lake Jackson</v>
      </c>
      <c r="Z856" s="45" t="str">
        <f>vlookup(G856,zip_codes!$B$6:$J988,9,false)</f>
        <v>Lake Jackson</v>
      </c>
      <c r="AA856" s="44" t="str">
        <f>vlookup(B856,organizations!$B$1:$C988,2,false)</f>
        <v>Society of St Vincent de Paul</v>
      </c>
      <c r="AB856" s="46" t="s">
        <v>4284</v>
      </c>
      <c r="AC856" s="47" t="s">
        <v>278</v>
      </c>
      <c r="AD856" s="48" t="s">
        <v>4279</v>
      </c>
      <c r="AE856" s="48" t="str">
        <f t="shared" si="99"/>
        <v>St Michael the Archangel (SVdP D7) Lake Jackson100 Oak Drive South11</v>
      </c>
      <c r="AF856" s="48" t="str">
        <f t="shared" si="105"/>
        <v/>
      </c>
    </row>
    <row r="857" ht="66.75" customHeight="1">
      <c r="A857" s="49" t="s">
        <v>4276</v>
      </c>
      <c r="B857" s="35" t="s">
        <v>4277</v>
      </c>
      <c r="C857" s="36" t="s">
        <v>4278</v>
      </c>
      <c r="D857" s="36"/>
      <c r="E857" s="36" t="s">
        <v>4279</v>
      </c>
      <c r="F857" s="36" t="s">
        <v>37</v>
      </c>
      <c r="G857" s="35" t="s">
        <v>4280</v>
      </c>
      <c r="H857" s="35" t="s">
        <v>4281</v>
      </c>
      <c r="I857" s="35" t="s">
        <v>272</v>
      </c>
      <c r="J857" s="35"/>
      <c r="K857" s="37">
        <f>IFERROR(__xludf.DUMMYFUNCTION("query(assistance!$A$2:$E988,""Select C Where D = '""&amp;L857&amp;""'"")"),12.0)</f>
        <v>12</v>
      </c>
      <c r="L857" s="36" t="s">
        <v>330</v>
      </c>
      <c r="M857" s="38">
        <f t="shared" si="103"/>
        <v>1</v>
      </c>
      <c r="N857" s="39" t="s">
        <v>42</v>
      </c>
      <c r="O857" s="65"/>
      <c r="P857" s="50"/>
      <c r="Q857" s="35"/>
      <c r="R857" s="35"/>
      <c r="S857" s="35" t="b">
        <v>0</v>
      </c>
      <c r="T857" s="35" t="b">
        <v>0</v>
      </c>
      <c r="U857" s="41" t="str">
        <f>IFERROR(__xludf.DUMMYFUNCTION("""["" &amp; JOIN("", "", ARRAYFORMULA("""""""" &amp; TRIM(SPLIT(A857, "","")) &amp; """""""")) &amp; ""]"""),"[""77531"", ""77541"", ""77566""]")</f>
        <v>["77531", "77541", "77566"]</v>
      </c>
      <c r="V857" s="52" t="s">
        <v>4282</v>
      </c>
      <c r="W857" s="52" t="s">
        <v>4283</v>
      </c>
      <c r="X857" s="43"/>
      <c r="Y857" s="44" t="str">
        <f>vlookup(G857,zip_codes!$B$6:$J988,3,false)</f>
        <v>Lake Jackson</v>
      </c>
      <c r="Z857" s="45" t="str">
        <f>vlookup(G857,zip_codes!$B$6:$J988,9,false)</f>
        <v>Lake Jackson</v>
      </c>
      <c r="AA857" s="44" t="str">
        <f>vlookup(B857,organizations!$B$1:$C988,2,false)</f>
        <v>Society of St Vincent de Paul</v>
      </c>
      <c r="AB857" s="46" t="s">
        <v>4284</v>
      </c>
      <c r="AC857" s="47" t="s">
        <v>278</v>
      </c>
      <c r="AD857" s="48" t="s">
        <v>4279</v>
      </c>
      <c r="AE857" s="48" t="str">
        <f t="shared" si="99"/>
        <v>St Michael the Archangel (SVdP D7) Lake Jackson100 Oak Drive South12</v>
      </c>
      <c r="AF857" s="48" t="str">
        <f t="shared" si="105"/>
        <v/>
      </c>
    </row>
    <row r="858" ht="66.75" customHeight="1">
      <c r="A858" s="49" t="s">
        <v>4276</v>
      </c>
      <c r="B858" s="35" t="s">
        <v>4277</v>
      </c>
      <c r="C858" s="36" t="s">
        <v>4278</v>
      </c>
      <c r="D858" s="36"/>
      <c r="E858" s="36" t="s">
        <v>4279</v>
      </c>
      <c r="F858" s="36" t="s">
        <v>37</v>
      </c>
      <c r="G858" s="35" t="s">
        <v>4280</v>
      </c>
      <c r="H858" s="35" t="s">
        <v>4281</v>
      </c>
      <c r="I858" s="35" t="s">
        <v>272</v>
      </c>
      <c r="J858" s="35"/>
      <c r="K858" s="37">
        <f>IFERROR(__xludf.DUMMYFUNCTION("query(assistance!$A$2:$E988,""Select C Where D = '""&amp;L858&amp;""'"")"),13.0)</f>
        <v>13</v>
      </c>
      <c r="L858" s="36" t="s">
        <v>240</v>
      </c>
      <c r="M858" s="38">
        <f t="shared" si="103"/>
        <v>1</v>
      </c>
      <c r="N858" s="39" t="s">
        <v>42</v>
      </c>
      <c r="O858" s="65"/>
      <c r="P858" s="50"/>
      <c r="Q858" s="35"/>
      <c r="R858" s="35"/>
      <c r="S858" s="35" t="b">
        <v>0</v>
      </c>
      <c r="T858" s="35" t="b">
        <v>0</v>
      </c>
      <c r="U858" s="41" t="str">
        <f>IFERROR(__xludf.DUMMYFUNCTION("""["" &amp; JOIN("", "", ARRAYFORMULA("""""""" &amp; TRIM(SPLIT(A858, "","")) &amp; """""""")) &amp; ""]"""),"[""77531"", ""77541"", ""77566""]")</f>
        <v>["77531", "77541", "77566"]</v>
      </c>
      <c r="V858" s="52" t="s">
        <v>4282</v>
      </c>
      <c r="W858" s="52" t="s">
        <v>4283</v>
      </c>
      <c r="X858" s="43"/>
      <c r="Y858" s="44" t="str">
        <f>vlookup(G858,zip_codes!$B$6:$J988,3,false)</f>
        <v>Lake Jackson</v>
      </c>
      <c r="Z858" s="45" t="str">
        <f>vlookup(G858,zip_codes!$B$6:$J988,9,false)</f>
        <v>Lake Jackson</v>
      </c>
      <c r="AA858" s="44" t="str">
        <f>vlookup(B858,organizations!$B$1:$C988,2,false)</f>
        <v>Society of St Vincent de Paul</v>
      </c>
      <c r="AB858" s="46" t="s">
        <v>4284</v>
      </c>
      <c r="AC858" s="47" t="s">
        <v>278</v>
      </c>
      <c r="AD858" s="48" t="s">
        <v>4279</v>
      </c>
      <c r="AE858" s="48" t="str">
        <f t="shared" si="99"/>
        <v>St Michael the Archangel (SVdP D7) Lake Jackson100 Oak Drive South13</v>
      </c>
      <c r="AF858" s="48" t="str">
        <f t="shared" si="105"/>
        <v/>
      </c>
    </row>
    <row r="859" ht="66.75" customHeight="1">
      <c r="A859" s="49" t="s">
        <v>4285</v>
      </c>
      <c r="B859" s="35" t="s">
        <v>4286</v>
      </c>
      <c r="C859" s="36" t="s">
        <v>4287</v>
      </c>
      <c r="D859" s="36"/>
      <c r="E859" s="36" t="s">
        <v>36</v>
      </c>
      <c r="F859" s="36" t="s">
        <v>37</v>
      </c>
      <c r="G859" s="35" t="s">
        <v>1898</v>
      </c>
      <c r="H859" s="35" t="s">
        <v>4288</v>
      </c>
      <c r="I859" s="35" t="s">
        <v>4289</v>
      </c>
      <c r="J859" s="35"/>
      <c r="K859" s="37">
        <f>IFERROR(__xludf.DUMMYFUNCTION("query(assistance!$A$2:$E988,""Select C Where D = '""&amp;L859&amp;""'"")"),13.0)</f>
        <v>13</v>
      </c>
      <c r="L859" s="36" t="s">
        <v>240</v>
      </c>
      <c r="M859" s="38">
        <f t="shared" si="103"/>
        <v>1</v>
      </c>
      <c r="N859" s="51" t="s">
        <v>42</v>
      </c>
      <c r="O859" s="40">
        <v>45637.0</v>
      </c>
      <c r="P859" s="50"/>
      <c r="Q859" s="35"/>
      <c r="R859" s="35"/>
      <c r="S859" s="35" t="b">
        <v>0</v>
      </c>
      <c r="T859" s="35" t="b">
        <v>0</v>
      </c>
      <c r="U859" s="41" t="str">
        <f>IFERROR(__xludf.DUMMYFUNCTION("""["" &amp; JOIN("", "", ARRAYFORMULA("""""""" &amp; TRIM(SPLIT(A859, "","")) &amp; """""""")) &amp; ""]"""),"[""77086"", ""77088"", ""77091""]")</f>
        <v>["77086", "77088", "77091"]</v>
      </c>
      <c r="V859" s="52" t="s">
        <v>4290</v>
      </c>
      <c r="W859" s="52" t="s">
        <v>4291</v>
      </c>
      <c r="X859" s="52" t="s">
        <v>4292</v>
      </c>
      <c r="Y859" s="44" t="str">
        <f>vlookup(G859,zip_codes!$B$6:$J988,3,false)</f>
        <v>Houston</v>
      </c>
      <c r="Z859" s="45" t="str">
        <f>vlookup(G859,zip_codes!$B$6:$J988,9,false)</f>
        <v>Acres Home, Inwood, Northside</v>
      </c>
      <c r="AA859" s="44" t="str">
        <f>vlookup(B859,organizations!$B$1:$C988,2,false)</f>
        <v>Society of St Vincent de Paul</v>
      </c>
      <c r="AB859" s="46" t="s">
        <v>4293</v>
      </c>
      <c r="AC859" s="47" t="s">
        <v>4294</v>
      </c>
      <c r="AD859" s="48" t="s">
        <v>2069</v>
      </c>
      <c r="AE859" s="48" t="str">
        <f t="shared" si="99"/>
        <v>St Monica (SVdP D1)8421 W Montgomery Road13</v>
      </c>
      <c r="AF859" s="48" t="str">
        <f t="shared" si="105"/>
        <v/>
      </c>
    </row>
    <row r="860" ht="66.75" customHeight="1">
      <c r="A860" s="49" t="s">
        <v>4295</v>
      </c>
      <c r="B860" s="35" t="s">
        <v>4296</v>
      </c>
      <c r="C860" s="36" t="s">
        <v>4297</v>
      </c>
      <c r="D860" s="36"/>
      <c r="E860" s="36" t="s">
        <v>36</v>
      </c>
      <c r="F860" s="36" t="s">
        <v>37</v>
      </c>
      <c r="G860" s="35" t="s">
        <v>2102</v>
      </c>
      <c r="H860" s="35" t="s">
        <v>4298</v>
      </c>
      <c r="I860" s="96"/>
      <c r="J860" s="35" t="s">
        <v>3637</v>
      </c>
      <c r="K860" s="37">
        <f>IFERROR(__xludf.DUMMYFUNCTION("query(assistance!$A$2:$E988,""Select C Where D = '""&amp;L860&amp;""'"")"),11.0)</f>
        <v>11</v>
      </c>
      <c r="L860" s="36" t="s">
        <v>322</v>
      </c>
      <c r="M860" s="38">
        <f t="shared" si="103"/>
        <v>1</v>
      </c>
      <c r="N860" s="51" t="s">
        <v>42</v>
      </c>
      <c r="O860" s="40">
        <v>45637.0</v>
      </c>
      <c r="P860" s="50"/>
      <c r="Q860" s="35"/>
      <c r="R860" s="35"/>
      <c r="S860" s="35" t="b">
        <v>0</v>
      </c>
      <c r="T860" s="35" t="b">
        <v>0</v>
      </c>
      <c r="U860" s="41" t="str">
        <f>IFERROR(__xludf.DUMMYFUNCTION("""["" &amp; JOIN("", "", ARRAYFORMULA("""""""" &amp; TRIM(SPLIT(A860, "","")) &amp; """""""")) &amp; ""]"""),"[""77009"", ""77026""]")</f>
        <v>["77009", "77026"]</v>
      </c>
      <c r="V860" s="52" t="s">
        <v>4299</v>
      </c>
      <c r="W860" s="52" t="s">
        <v>4300</v>
      </c>
      <c r="X860" s="43"/>
      <c r="Y860" s="44" t="str">
        <f>vlookup(G860,zip_codes!$B$6:$J988,3,false)</f>
        <v>Houston</v>
      </c>
      <c r="Z860" s="45" t="str">
        <f>vlookup(G860,zip_codes!$B$6:$J988,9,false)</f>
        <v>Lindale Park, Near Northside, Northside, Woodland Heights</v>
      </c>
      <c r="AA860" s="44" t="str">
        <f>vlookup(B860,organizations!$B$1:$C988,2,false)</f>
        <v>Society of St Vincent de Paul</v>
      </c>
      <c r="AB860" s="46" t="s">
        <v>4301</v>
      </c>
      <c r="AC860" s="53"/>
      <c r="AD860" s="48" t="s">
        <v>356</v>
      </c>
      <c r="AE860" s="48" t="str">
        <f t="shared" si="99"/>
        <v>St Patrick (SVdP)4918 Cochran Street11</v>
      </c>
      <c r="AF860" s="48" t="str">
        <f t="shared" si="105"/>
        <v/>
      </c>
    </row>
    <row r="861" ht="66.75" customHeight="1">
      <c r="A861" s="49" t="s">
        <v>4295</v>
      </c>
      <c r="B861" s="35" t="s">
        <v>4296</v>
      </c>
      <c r="C861" s="36" t="s">
        <v>4297</v>
      </c>
      <c r="D861" s="36"/>
      <c r="E861" s="36" t="s">
        <v>36</v>
      </c>
      <c r="F861" s="36" t="s">
        <v>37</v>
      </c>
      <c r="G861" s="35" t="s">
        <v>2102</v>
      </c>
      <c r="H861" s="35" t="s">
        <v>4298</v>
      </c>
      <c r="I861" s="35" t="s">
        <v>516</v>
      </c>
      <c r="J861" s="35"/>
      <c r="K861" s="37">
        <f>IFERROR(__xludf.DUMMYFUNCTION("query(assistance!$A$2:$E988,""Select C Where D = '""&amp;L861&amp;""'"")"),12.0)</f>
        <v>12</v>
      </c>
      <c r="L861" s="36" t="s">
        <v>330</v>
      </c>
      <c r="M861" s="38">
        <f t="shared" si="103"/>
        <v>1</v>
      </c>
      <c r="N861" s="51" t="s">
        <v>42</v>
      </c>
      <c r="O861" s="40">
        <v>45637.0</v>
      </c>
      <c r="P861" s="50"/>
      <c r="Q861" s="35"/>
      <c r="R861" s="35"/>
      <c r="S861" s="35" t="b">
        <v>0</v>
      </c>
      <c r="T861" s="35" t="b">
        <v>0</v>
      </c>
      <c r="U861" s="41" t="str">
        <f>IFERROR(__xludf.DUMMYFUNCTION("""["" &amp; JOIN("", "", ARRAYFORMULA("""""""" &amp; TRIM(SPLIT(A861, "","")) &amp; """""""")) &amp; ""]"""),"[""77009"", ""77026""]")</f>
        <v>["77009", "77026"]</v>
      </c>
      <c r="V861" s="52" t="s">
        <v>4299</v>
      </c>
      <c r="W861" s="52" t="s">
        <v>4300</v>
      </c>
      <c r="X861" s="43"/>
      <c r="Y861" s="44" t="str">
        <f>vlookup(G861,zip_codes!$B$6:$J988,3,false)</f>
        <v>Houston</v>
      </c>
      <c r="Z861" s="45" t="str">
        <f>vlookup(G861,zip_codes!$B$6:$J988,9,false)</f>
        <v>Lindale Park, Near Northside, Northside, Woodland Heights</v>
      </c>
      <c r="AA861" s="44" t="str">
        <f>vlookup(B861,organizations!$B$1:$C988,2,false)</f>
        <v>Society of St Vincent de Paul</v>
      </c>
      <c r="AB861" s="46" t="s">
        <v>4301</v>
      </c>
      <c r="AC861" s="47" t="s">
        <v>520</v>
      </c>
      <c r="AD861" s="48" t="s">
        <v>356</v>
      </c>
      <c r="AE861" s="48" t="str">
        <f t="shared" si="99"/>
        <v>St Patrick (SVdP)4918 Cochran Street12</v>
      </c>
      <c r="AF861" s="48" t="str">
        <f t="shared" si="105"/>
        <v/>
      </c>
    </row>
    <row r="862" ht="66.75" customHeight="1">
      <c r="A862" s="49" t="s">
        <v>4302</v>
      </c>
      <c r="B862" s="35" t="s">
        <v>4303</v>
      </c>
      <c r="C862" s="36" t="s">
        <v>4304</v>
      </c>
      <c r="D862" s="36"/>
      <c r="E862" s="36" t="s">
        <v>36</v>
      </c>
      <c r="F862" s="36" t="s">
        <v>37</v>
      </c>
      <c r="G862" s="35" t="s">
        <v>4305</v>
      </c>
      <c r="H862" s="35" t="s">
        <v>4306</v>
      </c>
      <c r="I862" s="35"/>
      <c r="J862" s="35" t="s">
        <v>4307</v>
      </c>
      <c r="K862" s="37">
        <f>IFERROR(__xludf.DUMMYFUNCTION("query(assistance!$A$2:$E988,""Select C Where D = '""&amp;L862&amp;""'"")"),11.0)</f>
        <v>11</v>
      </c>
      <c r="L862" s="36" t="s">
        <v>322</v>
      </c>
      <c r="M862" s="38">
        <f t="shared" si="103"/>
        <v>1</v>
      </c>
      <c r="N862" s="51" t="s">
        <v>42</v>
      </c>
      <c r="O862" s="40">
        <v>45637.0</v>
      </c>
      <c r="P862" s="50"/>
      <c r="Q862" s="35"/>
      <c r="R862" s="35"/>
      <c r="S862" s="35" t="b">
        <v>0</v>
      </c>
      <c r="T862" s="35" t="b">
        <v>0</v>
      </c>
      <c r="U862" s="41" t="str">
        <f>IFERROR(__xludf.DUMMYFUNCTION("""["" &amp; JOIN("", "", ARRAYFORMULA("""""""" &amp; TRIM(SPLIT(A862, "","")) &amp; """""""")) &amp; ""]"""),"[""77058"", ""77059"", ""77062"", ""77573"", ""77586"", ""77598""]")</f>
        <v>["77058", "77059", "77062", "77573", "77586", "77598"]</v>
      </c>
      <c r="V862" s="52" t="s">
        <v>4308</v>
      </c>
      <c r="W862" s="52" t="s">
        <v>4309</v>
      </c>
      <c r="X862" s="43"/>
      <c r="Y862" s="44" t="str">
        <f>vlookup(G862,zip_codes!$B$6:$J988,3,false)</f>
        <v>Houston</v>
      </c>
      <c r="Z862" s="45" t="str">
        <f>vlookup(G862,zip_codes!$B$6:$J988,9,false)</f>
        <v>Clear Lake, Nassau Bay</v>
      </c>
      <c r="AA862" s="44" t="str">
        <f>vlookup(B862,organizations!$B$1:$C988,2,false)</f>
        <v>Society of St Vincent de Paul</v>
      </c>
      <c r="AB862" s="46" t="s">
        <v>4310</v>
      </c>
      <c r="AC862" s="53"/>
      <c r="AD862" s="58" t="s">
        <v>4311</v>
      </c>
      <c r="AE862" s="48" t="str">
        <f t="shared" si="99"/>
        <v>St Paul the Apostle (SVdP D7)18223 Point Lookout Drive11</v>
      </c>
      <c r="AF862" s="48" t="str">
        <f t="shared" si="105"/>
        <v/>
      </c>
    </row>
    <row r="863" ht="66.75" customHeight="1">
      <c r="A863" s="49" t="s">
        <v>4302</v>
      </c>
      <c r="B863" s="35" t="s">
        <v>4303</v>
      </c>
      <c r="C863" s="36" t="s">
        <v>4304</v>
      </c>
      <c r="D863" s="36"/>
      <c r="E863" s="36" t="s">
        <v>36</v>
      </c>
      <c r="F863" s="36" t="s">
        <v>37</v>
      </c>
      <c r="G863" s="35" t="s">
        <v>4305</v>
      </c>
      <c r="H863" s="35" t="s">
        <v>4306</v>
      </c>
      <c r="I863" s="96"/>
      <c r="J863" s="35" t="s">
        <v>4307</v>
      </c>
      <c r="K863" s="37">
        <f>IFERROR(__xludf.DUMMYFUNCTION("query(assistance!$A$2:$E988,""Select C Where D = '""&amp;L863&amp;""'"")"),12.0)</f>
        <v>12</v>
      </c>
      <c r="L863" s="36" t="s">
        <v>330</v>
      </c>
      <c r="M863" s="38">
        <f t="shared" si="103"/>
        <v>1</v>
      </c>
      <c r="N863" s="51" t="s">
        <v>42</v>
      </c>
      <c r="O863" s="40">
        <v>45637.0</v>
      </c>
      <c r="P863" s="50"/>
      <c r="Q863" s="35"/>
      <c r="R863" s="35"/>
      <c r="S863" s="35" t="b">
        <v>0</v>
      </c>
      <c r="T863" s="35" t="b">
        <v>0</v>
      </c>
      <c r="U863" s="41" t="str">
        <f>IFERROR(__xludf.DUMMYFUNCTION("""["" &amp; JOIN("", "", ARRAYFORMULA("""""""" &amp; TRIM(SPLIT(A863, "","")) &amp; """""""")) &amp; ""]"""),"[""77058"", ""77059"", ""77062"", ""77573"", ""77586"", ""77598""]")</f>
        <v>["77058", "77059", "77062", "77573", "77586", "77598"]</v>
      </c>
      <c r="V863" s="52" t="s">
        <v>4308</v>
      </c>
      <c r="W863" s="52" t="s">
        <v>4309</v>
      </c>
      <c r="X863" s="43"/>
      <c r="Y863" s="44" t="str">
        <f>vlookup(G863,zip_codes!$B$6:$J988,3,false)</f>
        <v>Houston</v>
      </c>
      <c r="Z863" s="45" t="str">
        <f>vlookup(G863,zip_codes!$B$6:$J988,9,false)</f>
        <v>Clear Lake, Nassau Bay</v>
      </c>
      <c r="AA863" s="44" t="str">
        <f>vlookup(B863,organizations!$B$1:$C988,2,false)</f>
        <v>Society of St Vincent de Paul</v>
      </c>
      <c r="AB863" s="46" t="s">
        <v>4310</v>
      </c>
      <c r="AC863" s="53"/>
      <c r="AD863" s="58" t="s">
        <v>4311</v>
      </c>
      <c r="AE863" s="48" t="str">
        <f t="shared" si="99"/>
        <v>St Paul the Apostle (SVdP D7)18223 Point Lookout Drive12</v>
      </c>
      <c r="AF863" s="48" t="str">
        <f t="shared" si="105"/>
        <v/>
      </c>
    </row>
    <row r="864" ht="66.75" customHeight="1">
      <c r="A864" s="49" t="s">
        <v>4302</v>
      </c>
      <c r="B864" s="35" t="s">
        <v>4303</v>
      </c>
      <c r="C864" s="36" t="s">
        <v>4304</v>
      </c>
      <c r="D864" s="36"/>
      <c r="E864" s="36" t="s">
        <v>36</v>
      </c>
      <c r="F864" s="36" t="s">
        <v>37</v>
      </c>
      <c r="G864" s="35" t="s">
        <v>4305</v>
      </c>
      <c r="H864" s="35" t="s">
        <v>4306</v>
      </c>
      <c r="I864" s="35" t="s">
        <v>4312</v>
      </c>
      <c r="J864" s="35"/>
      <c r="K864" s="37">
        <f>IFERROR(__xludf.DUMMYFUNCTION("query(assistance!$A$2:$E988,""Select C Where D = '""&amp;L864&amp;""'"")"),13.0)</f>
        <v>13</v>
      </c>
      <c r="L864" s="36" t="s">
        <v>240</v>
      </c>
      <c r="M864" s="38">
        <f t="shared" si="103"/>
        <v>1</v>
      </c>
      <c r="N864" s="51" t="s">
        <v>42</v>
      </c>
      <c r="O864" s="40">
        <v>45637.0</v>
      </c>
      <c r="P864" s="50"/>
      <c r="Q864" s="35"/>
      <c r="R864" s="35" t="s">
        <v>4313</v>
      </c>
      <c r="S864" s="35" t="b">
        <v>0</v>
      </c>
      <c r="T864" s="35" t="b">
        <v>0</v>
      </c>
      <c r="U864" s="41" t="str">
        <f>IFERROR(__xludf.DUMMYFUNCTION("""["" &amp; JOIN("", "", ARRAYFORMULA("""""""" &amp; TRIM(SPLIT(A864, "","")) &amp; """""""")) &amp; ""]"""),"[""77058"", ""77059"", ""77062"", ""77573"", ""77586"", ""77598""]")</f>
        <v>["77058", "77059", "77062", "77573", "77586", "77598"]</v>
      </c>
      <c r="V864" s="52" t="s">
        <v>4308</v>
      </c>
      <c r="W864" s="52" t="s">
        <v>4309</v>
      </c>
      <c r="X864" s="43"/>
      <c r="Y864" s="44" t="str">
        <f>vlookup(G864,zip_codes!$B$6:$J988,3,false)</f>
        <v>Houston</v>
      </c>
      <c r="Z864" s="45" t="str">
        <f>vlookup(G864,zip_codes!$B$6:$J988,9,false)</f>
        <v>Clear Lake, Nassau Bay</v>
      </c>
      <c r="AA864" s="44" t="str">
        <f>vlookup(B864,organizations!$B$1:$C988,2,false)</f>
        <v>Society of St Vincent de Paul</v>
      </c>
      <c r="AB864" s="46" t="s">
        <v>4310</v>
      </c>
      <c r="AC864" s="47" t="s">
        <v>4314</v>
      </c>
      <c r="AD864" s="58" t="s">
        <v>4311</v>
      </c>
      <c r="AE864" s="48" t="str">
        <f t="shared" si="99"/>
        <v>St Paul the Apostle (SVdP D7)18223 Point Lookout Drive13</v>
      </c>
      <c r="AF864" s="48" t="str">
        <f t="shared" si="105"/>
        <v/>
      </c>
    </row>
    <row r="865" ht="66.75" customHeight="1">
      <c r="A865" s="49" t="s">
        <v>99</v>
      </c>
      <c r="B865" s="35" t="s">
        <v>4315</v>
      </c>
      <c r="C865" s="36" t="s">
        <v>4316</v>
      </c>
      <c r="D865" s="36"/>
      <c r="E865" s="36" t="s">
        <v>98</v>
      </c>
      <c r="F865" s="36" t="s">
        <v>37</v>
      </c>
      <c r="G865" s="35" t="s">
        <v>99</v>
      </c>
      <c r="H865" s="35" t="s">
        <v>4317</v>
      </c>
      <c r="I865" s="66"/>
      <c r="J865" s="89"/>
      <c r="K865" s="37">
        <f>IFERROR(__xludf.DUMMYFUNCTION("query(assistance!$A$2:$E988,""Select C Where D = '""&amp;L865&amp;""'"")"),13.0)</f>
        <v>13</v>
      </c>
      <c r="L865" s="36" t="s">
        <v>240</v>
      </c>
      <c r="M865" s="38">
        <f t="shared" si="103"/>
        <v>1</v>
      </c>
      <c r="N865" s="39" t="s">
        <v>42</v>
      </c>
      <c r="O865" s="65"/>
      <c r="P865" s="50"/>
      <c r="Q865" s="50"/>
      <c r="R865" s="50"/>
      <c r="S865" s="35" t="b">
        <v>0</v>
      </c>
      <c r="T865" s="35" t="b">
        <v>0</v>
      </c>
      <c r="U865" s="41" t="str">
        <f>IFERROR(__xludf.DUMMYFUNCTION("""["" &amp; JOIN("", "", ARRAYFORMULA("""""""" &amp; TRIM(SPLIT(A865, "","")) &amp; """""""")) &amp; ""]"""),"[""77418""]")</f>
        <v>["77418"]</v>
      </c>
      <c r="V865" s="52" t="s">
        <v>4318</v>
      </c>
      <c r="W865" s="52" t="s">
        <v>4319</v>
      </c>
      <c r="X865" s="43"/>
      <c r="Y865" s="44" t="str">
        <f>vlookup(G865,zip_codes!$B$6:$J988,3,false)</f>
        <v>Bellville</v>
      </c>
      <c r="Z865" s="45" t="str">
        <f>vlookup(G865,zip_codes!$B$6:$J988,9,false)</f>
        <v>Bellville</v>
      </c>
      <c r="AA865" s="44" t="str">
        <f>vlookup(B865,organizations!$B$1:$C988,2,false)</f>
        <v>St Peter &amp; Paul Bellville</v>
      </c>
      <c r="AB865" s="46" t="s">
        <v>4320</v>
      </c>
      <c r="AC865" s="53"/>
      <c r="AD865" s="48" t="s">
        <v>98</v>
      </c>
      <c r="AE865" s="48" t="str">
        <f t="shared" si="99"/>
        <v>St Peter &amp; Paul Bellville936 South Front Street13</v>
      </c>
      <c r="AF865" s="48" t="str">
        <f t="shared" si="105"/>
        <v/>
      </c>
    </row>
    <row r="866" ht="66.75" customHeight="1">
      <c r="A866" s="49" t="s">
        <v>99</v>
      </c>
      <c r="B866" s="35" t="s">
        <v>4321</v>
      </c>
      <c r="C866" s="36" t="s">
        <v>4322</v>
      </c>
      <c r="D866" s="36"/>
      <c r="E866" s="36" t="s">
        <v>36</v>
      </c>
      <c r="F866" s="36" t="s">
        <v>37</v>
      </c>
      <c r="G866" s="35" t="s">
        <v>4323</v>
      </c>
      <c r="H866" s="35" t="s">
        <v>4324</v>
      </c>
      <c r="I866" s="35" t="s">
        <v>4325</v>
      </c>
      <c r="J866" s="35"/>
      <c r="K866" s="37">
        <f>IFERROR(__xludf.DUMMYFUNCTION("query(assistance!$A$2:$E988,""Select C Where D = '""&amp;L866&amp;""'"")"),13.0)</f>
        <v>13</v>
      </c>
      <c r="L866" s="36" t="s">
        <v>240</v>
      </c>
      <c r="M866" s="38">
        <f t="shared" si="103"/>
        <v>1</v>
      </c>
      <c r="N866" s="39" t="s">
        <v>42</v>
      </c>
      <c r="O866" s="65"/>
      <c r="P866" s="50"/>
      <c r="Q866" s="35"/>
      <c r="R866" s="35"/>
      <c r="S866" s="35" t="b">
        <v>0</v>
      </c>
      <c r="T866" s="35" t="b">
        <v>0</v>
      </c>
      <c r="U866" s="41" t="str">
        <f>IFERROR(__xludf.DUMMYFUNCTION("""["" &amp; JOIN("", "", ARRAYFORMULA("""""""" &amp; TRIM(SPLIT(A866, "","")) &amp; """""""")) &amp; ""]"""),"[""77418""]")</f>
        <v>["77418"]</v>
      </c>
      <c r="V866" s="52" t="s">
        <v>4326</v>
      </c>
      <c r="W866" s="52" t="s">
        <v>4327</v>
      </c>
      <c r="X866" s="43"/>
      <c r="Y866" s="44" t="str">
        <f>vlookup(G866,zip_codes!$B$6:$J988,3,false)</f>
        <v>Houston</v>
      </c>
      <c r="Z866" s="45" t="str">
        <f>vlookup(G866,zip_codes!$B$6:$J988,9,false)</f>
        <v>Minnetex, South Acres / Crestmont Park</v>
      </c>
      <c r="AA866" s="44" t="str">
        <f>vlookup(B866,organizations!$B$1:$C988,2,false)</f>
        <v>Society of St Vincent de Paul</v>
      </c>
      <c r="AB866" s="46" t="s">
        <v>4328</v>
      </c>
      <c r="AC866" s="47" t="s">
        <v>4329</v>
      </c>
      <c r="AD866" s="48" t="s">
        <v>2167</v>
      </c>
      <c r="AE866" s="48" t="str">
        <f t="shared" si="99"/>
        <v>St Philip Neri (SVdP D3)10960 Martin Luther King Blvd13</v>
      </c>
      <c r="AF866" s="48" t="str">
        <f t="shared" si="105"/>
        <v/>
      </c>
    </row>
    <row r="867" ht="66.75" customHeight="1">
      <c r="A867" s="49" t="s">
        <v>99</v>
      </c>
      <c r="B867" s="35" t="s">
        <v>4321</v>
      </c>
      <c r="C867" s="36" t="s">
        <v>4322</v>
      </c>
      <c r="D867" s="36"/>
      <c r="E867" s="36" t="s">
        <v>36</v>
      </c>
      <c r="F867" s="36" t="s">
        <v>37</v>
      </c>
      <c r="G867" s="35" t="s">
        <v>4323</v>
      </c>
      <c r="H867" s="35" t="s">
        <v>4324</v>
      </c>
      <c r="I867" s="35" t="s">
        <v>4325</v>
      </c>
      <c r="J867" s="35"/>
      <c r="K867" s="37">
        <f>IFERROR(__xludf.DUMMYFUNCTION("query(assistance!$A$2:$E988,""Select C Where D = '""&amp;L867&amp;""'"")"),14.0)</f>
        <v>14</v>
      </c>
      <c r="L867" s="36" t="s">
        <v>391</v>
      </c>
      <c r="M867" s="38">
        <f t="shared" si="103"/>
        <v>1</v>
      </c>
      <c r="N867" s="39" t="s">
        <v>42</v>
      </c>
      <c r="O867" s="65"/>
      <c r="P867" s="50"/>
      <c r="Q867" s="35"/>
      <c r="R867" s="35"/>
      <c r="S867" s="35" t="b">
        <v>0</v>
      </c>
      <c r="T867" s="35" t="b">
        <v>0</v>
      </c>
      <c r="U867" s="41" t="str">
        <f>IFERROR(__xludf.DUMMYFUNCTION("""["" &amp; JOIN("", "", ARRAYFORMULA("""""""" &amp; TRIM(SPLIT(A867, "","")) &amp; """""""")) &amp; ""]"""),"[""77418""]")</f>
        <v>["77418"]</v>
      </c>
      <c r="V867" s="52" t="s">
        <v>4326</v>
      </c>
      <c r="W867" s="52" t="s">
        <v>4327</v>
      </c>
      <c r="X867" s="43"/>
      <c r="Y867" s="44" t="str">
        <f>vlookup(G867,zip_codes!$B$6:$J988,3,false)</f>
        <v>Houston</v>
      </c>
      <c r="Z867" s="45" t="str">
        <f>vlookup(G867,zip_codes!$B$6:$J988,9,false)</f>
        <v>Minnetex, South Acres / Crestmont Park</v>
      </c>
      <c r="AA867" s="44" t="str">
        <f>vlookup(B867,organizations!$B$1:$C988,2,false)</f>
        <v>Society of St Vincent de Paul</v>
      </c>
      <c r="AB867" s="46" t="s">
        <v>4328</v>
      </c>
      <c r="AC867" s="47" t="s">
        <v>4329</v>
      </c>
      <c r="AD867" s="48" t="s">
        <v>2167</v>
      </c>
      <c r="AE867" s="48" t="str">
        <f t="shared" si="99"/>
        <v>St Philip Neri (SVdP D3)10960 Martin Luther King Blvd14</v>
      </c>
      <c r="AF867" s="48" t="str">
        <f t="shared" si="105"/>
        <v/>
      </c>
    </row>
    <row r="868" ht="66.75" customHeight="1">
      <c r="A868" s="49" t="s">
        <v>4330</v>
      </c>
      <c r="B868" s="35" t="s">
        <v>4331</v>
      </c>
      <c r="C868" s="36" t="s">
        <v>4332</v>
      </c>
      <c r="D868" s="36"/>
      <c r="E868" s="36" t="s">
        <v>4333</v>
      </c>
      <c r="F868" s="36" t="s">
        <v>37</v>
      </c>
      <c r="G868" s="35" t="s">
        <v>4334</v>
      </c>
      <c r="H868" s="35" t="s">
        <v>4335</v>
      </c>
      <c r="I868" s="35" t="s">
        <v>40</v>
      </c>
      <c r="J868" s="35"/>
      <c r="K868" s="37">
        <f>IFERROR(__xludf.DUMMYFUNCTION("query(assistance!$A$2:$E988,""Select C Where D = '""&amp;L868&amp;""'"")"),11.0)</f>
        <v>11</v>
      </c>
      <c r="L868" s="36" t="s">
        <v>322</v>
      </c>
      <c r="M868" s="38">
        <f t="shared" si="103"/>
        <v>1</v>
      </c>
      <c r="N868" s="39" t="s">
        <v>42</v>
      </c>
      <c r="O868" s="65"/>
      <c r="P868" s="50"/>
      <c r="Q868" s="50"/>
      <c r="R868" s="50"/>
      <c r="S868" s="35" t="b">
        <v>0</v>
      </c>
      <c r="T868" s="35" t="b">
        <v>0</v>
      </c>
      <c r="U868" s="41" t="str">
        <f>IFERROR(__xludf.DUMMYFUNCTION("""["" &amp; JOIN("", "", ARRAYFORMULA("""""""" &amp; TRIM(SPLIT(A868, "","")) &amp; """""""")) &amp; ""]"""),"[""77336"", ""77346""]")</f>
        <v>["77336", "77346"]</v>
      </c>
      <c r="V868" s="52" t="s">
        <v>4336</v>
      </c>
      <c r="W868" s="52" t="s">
        <v>4337</v>
      </c>
      <c r="X868" s="43"/>
      <c r="Y868" s="44" t="str">
        <f>vlookup(G868,zip_codes!$B$6:$J988,3,false)</f>
        <v>Huffman</v>
      </c>
      <c r="Z868" s="45" t="str">
        <f>vlookup(G868,zip_codes!$B$6:$J988,9,false)</f>
        <v>Huffman</v>
      </c>
      <c r="AA868" s="44" t="str">
        <f>vlookup(B868,organizations!$B$1:$C988,2,false)</f>
        <v>St Philip the Apostle</v>
      </c>
      <c r="AB868" s="46" t="s">
        <v>4338</v>
      </c>
      <c r="AC868" s="47" t="s">
        <v>48</v>
      </c>
      <c r="AD868" s="58" t="s">
        <v>4333</v>
      </c>
      <c r="AE868" s="48" t="str">
        <f t="shared" si="99"/>
        <v>St Philip the Apostle2308 3rd Street11</v>
      </c>
      <c r="AF868" s="48" t="str">
        <f t="shared" si="105"/>
        <v/>
      </c>
    </row>
    <row r="869" ht="66.75" customHeight="1">
      <c r="A869" s="49" t="s">
        <v>4330</v>
      </c>
      <c r="B869" s="35" t="s">
        <v>4331</v>
      </c>
      <c r="C869" s="36" t="s">
        <v>4332</v>
      </c>
      <c r="D869" s="36"/>
      <c r="E869" s="36" t="s">
        <v>4333</v>
      </c>
      <c r="F869" s="36" t="s">
        <v>37</v>
      </c>
      <c r="G869" s="35" t="s">
        <v>4334</v>
      </c>
      <c r="H869" s="35" t="s">
        <v>4335</v>
      </c>
      <c r="I869" s="35" t="s">
        <v>40</v>
      </c>
      <c r="J869" s="35"/>
      <c r="K869" s="37">
        <f>IFERROR(__xludf.DUMMYFUNCTION("query(assistance!$A$2:$E988,""Select C Where D = '""&amp;L869&amp;""'"")"),12.0)</f>
        <v>12</v>
      </c>
      <c r="L869" s="36" t="s">
        <v>330</v>
      </c>
      <c r="M869" s="38">
        <f t="shared" si="103"/>
        <v>1</v>
      </c>
      <c r="N869" s="39" t="s">
        <v>42</v>
      </c>
      <c r="O869" s="65"/>
      <c r="P869" s="50"/>
      <c r="Q869" s="50"/>
      <c r="R869" s="50"/>
      <c r="S869" s="35" t="b">
        <v>0</v>
      </c>
      <c r="T869" s="35" t="b">
        <v>0</v>
      </c>
      <c r="U869" s="41" t="str">
        <f>IFERROR(__xludf.DUMMYFUNCTION("""["" &amp; JOIN("", "", ARRAYFORMULA("""""""" &amp; TRIM(SPLIT(A869, "","")) &amp; """""""")) &amp; ""]"""),"[""77336"", ""77346""]")</f>
        <v>["77336", "77346"]</v>
      </c>
      <c r="V869" s="52" t="s">
        <v>4336</v>
      </c>
      <c r="W869" s="52" t="s">
        <v>4337</v>
      </c>
      <c r="X869" s="43"/>
      <c r="Y869" s="44" t="str">
        <f>vlookup(G869,zip_codes!$B$6:$J988,3,false)</f>
        <v>Huffman</v>
      </c>
      <c r="Z869" s="45" t="str">
        <f>vlookup(G869,zip_codes!$B$6:$J988,9,false)</f>
        <v>Huffman</v>
      </c>
      <c r="AA869" s="44" t="str">
        <f>vlookup(B869,organizations!$B$1:$C988,2,false)</f>
        <v>St Philip the Apostle</v>
      </c>
      <c r="AB869" s="46" t="s">
        <v>4338</v>
      </c>
      <c r="AC869" s="47" t="s">
        <v>48</v>
      </c>
      <c r="AD869" s="58" t="s">
        <v>4333</v>
      </c>
      <c r="AE869" s="48" t="str">
        <f t="shared" si="99"/>
        <v>St Philip the Apostle2308 3rd Street12</v>
      </c>
      <c r="AF869" s="48" t="str">
        <f t="shared" si="105"/>
        <v/>
      </c>
    </row>
    <row r="870" ht="66.75" customHeight="1">
      <c r="A870" s="49" t="s">
        <v>4339</v>
      </c>
      <c r="B870" s="35" t="s">
        <v>4340</v>
      </c>
      <c r="C870" s="36" t="s">
        <v>4341</v>
      </c>
      <c r="D870" s="36"/>
      <c r="E870" s="36" t="s">
        <v>729</v>
      </c>
      <c r="F870" s="36" t="s">
        <v>37</v>
      </c>
      <c r="G870" s="35" t="s">
        <v>2238</v>
      </c>
      <c r="H870" s="35" t="s">
        <v>4342</v>
      </c>
      <c r="I870" s="35" t="s">
        <v>4343</v>
      </c>
      <c r="J870" s="35"/>
      <c r="K870" s="37">
        <f>IFERROR(__xludf.DUMMYFUNCTION("query(assistance!$A$2:$E988,""Select C Where D = '""&amp;L870&amp;""'"")"),13.0)</f>
        <v>13</v>
      </c>
      <c r="L870" s="36" t="s">
        <v>240</v>
      </c>
      <c r="M870" s="38">
        <f t="shared" si="103"/>
        <v>1</v>
      </c>
      <c r="N870" s="39" t="s">
        <v>42</v>
      </c>
      <c r="O870" s="65"/>
      <c r="P870" s="50"/>
      <c r="Q870" s="50"/>
      <c r="R870" s="50"/>
      <c r="S870" s="35" t="b">
        <v>0</v>
      </c>
      <c r="T870" s="35" t="b">
        <v>0</v>
      </c>
      <c r="U870" s="41" t="str">
        <f>IFERROR(__xludf.DUMMYFUNCTION("""["" &amp; JOIN("", "", ARRAYFORMULA("""""""" &amp; TRIM(SPLIT(A870, "","")) &amp; """""""")) &amp; ""]"""),"[""77501"", ""77504"", ""77506""]")</f>
        <v>["77501", "77504", "77506"]</v>
      </c>
      <c r="V870" s="52" t="s">
        <v>4344</v>
      </c>
      <c r="W870" s="52" t="s">
        <v>4345</v>
      </c>
      <c r="X870" s="43"/>
      <c r="Y870" s="44" t="str">
        <f>vlookup(G870,zip_codes!$B$6:$J988,3,false)</f>
        <v>Pasadena</v>
      </c>
      <c r="Z870" s="45" t="str">
        <f>vlookup(G870,zip_codes!$B$6:$J988,9,false)</f>
        <v>Pasadena</v>
      </c>
      <c r="AA870" s="44" t="str">
        <f>vlookup(B870,organizations!$B$1:$C988,2,false)</f>
        <v>St Pius Pasadena</v>
      </c>
      <c r="AB870" s="46" t="s">
        <v>4346</v>
      </c>
      <c r="AC870" s="47" t="s">
        <v>4347</v>
      </c>
      <c r="AD870" s="48" t="s">
        <v>729</v>
      </c>
      <c r="AE870" s="48" t="str">
        <f t="shared" si="99"/>
        <v>St Pius Pasadena824 Main Street13</v>
      </c>
      <c r="AF870" s="48" t="str">
        <f t="shared" si="105"/>
        <v/>
      </c>
    </row>
    <row r="871" ht="66.75" customHeight="1">
      <c r="A871" s="49" t="s">
        <v>4348</v>
      </c>
      <c r="B871" s="35" t="s">
        <v>4349</v>
      </c>
      <c r="C871" s="36" t="s">
        <v>4350</v>
      </c>
      <c r="D871" s="36"/>
      <c r="E871" s="36" t="s">
        <v>36</v>
      </c>
      <c r="F871" s="36" t="s">
        <v>37</v>
      </c>
      <c r="G871" s="35" t="s">
        <v>2179</v>
      </c>
      <c r="H871" s="35" t="s">
        <v>4351</v>
      </c>
      <c r="I871" s="66"/>
      <c r="J871" s="89"/>
      <c r="K871" s="37">
        <f>IFERROR(__xludf.DUMMYFUNCTION("query(assistance!$A$2:$E988,""Select C Where D = '""&amp;L871&amp;""'"")"),11.0)</f>
        <v>11</v>
      </c>
      <c r="L871" s="36" t="s">
        <v>322</v>
      </c>
      <c r="M871" s="38">
        <f t="shared" si="103"/>
        <v>1</v>
      </c>
      <c r="N871" s="51" t="s">
        <v>42</v>
      </c>
      <c r="O871" s="40">
        <v>45637.0</v>
      </c>
      <c r="P871" s="50"/>
      <c r="Q871" s="35"/>
      <c r="R871" s="35"/>
      <c r="S871" s="35" t="b">
        <v>0</v>
      </c>
      <c r="T871" s="35" t="b">
        <v>0</v>
      </c>
      <c r="U871" s="41" t="str">
        <f>IFERROR(__xludf.DUMMYFUNCTION("""["" &amp; JOIN("", "", ARRAYFORMULA("""""""" &amp; TRIM(SPLIT(A871, "","")) &amp; """""""")) &amp; ""]"""),"[""77008"", ""77018""]")</f>
        <v>["77008", "77018"]</v>
      </c>
      <c r="V871" s="52" t="s">
        <v>4352</v>
      </c>
      <c r="W871" s="52" t="s">
        <v>4353</v>
      </c>
      <c r="X871" s="43"/>
      <c r="Y871" s="44" t="str">
        <f>vlookup(G871,zip_codes!$B$6:$J988,3,false)</f>
        <v>Houston</v>
      </c>
      <c r="Z871" s="45" t="str">
        <f>vlookup(G871,zip_codes!$B$6:$J988,9,false)</f>
        <v>Central Northwest, Garden Oaks, Northside, Oak Forest</v>
      </c>
      <c r="AA871" s="44" t="str">
        <f>vlookup(B871,organizations!$B$1:$C988,2,false)</f>
        <v>Society of St Vincent de Paul</v>
      </c>
      <c r="AB871" s="46" t="s">
        <v>4354</v>
      </c>
      <c r="AC871" s="53"/>
      <c r="AD871" s="48" t="s">
        <v>2185</v>
      </c>
      <c r="AE871" s="48" t="str">
        <f t="shared" si="99"/>
        <v>St Rose of Lima (SVdP D1)3600 Brinkman Street11</v>
      </c>
      <c r="AF871" s="48" t="str">
        <f t="shared" si="105"/>
        <v/>
      </c>
    </row>
    <row r="872" ht="66.75" customHeight="1">
      <c r="A872" s="49" t="s">
        <v>4348</v>
      </c>
      <c r="B872" s="35" t="s">
        <v>4349</v>
      </c>
      <c r="C872" s="36" t="s">
        <v>4350</v>
      </c>
      <c r="D872" s="36"/>
      <c r="E872" s="36" t="s">
        <v>36</v>
      </c>
      <c r="F872" s="36" t="s">
        <v>37</v>
      </c>
      <c r="G872" s="35" t="s">
        <v>2179</v>
      </c>
      <c r="H872" s="35" t="s">
        <v>4351</v>
      </c>
      <c r="I872" s="50"/>
      <c r="J872" s="64"/>
      <c r="K872" s="37">
        <f>IFERROR(__xludf.DUMMYFUNCTION("query(assistance!$A$2:$E988,""Select C Where D = '""&amp;L872&amp;""'"")"),12.0)</f>
        <v>12</v>
      </c>
      <c r="L872" s="36" t="s">
        <v>330</v>
      </c>
      <c r="M872" s="38">
        <f t="shared" si="103"/>
        <v>1</v>
      </c>
      <c r="N872" s="51" t="s">
        <v>42</v>
      </c>
      <c r="O872" s="40">
        <v>45637.0</v>
      </c>
      <c r="P872" s="50"/>
      <c r="Q872" s="35"/>
      <c r="R872" s="35"/>
      <c r="S872" s="35" t="b">
        <v>0</v>
      </c>
      <c r="T872" s="35" t="b">
        <v>0</v>
      </c>
      <c r="U872" s="41" t="str">
        <f>IFERROR(__xludf.DUMMYFUNCTION("""["" &amp; JOIN("", "", ARRAYFORMULA("""""""" &amp; TRIM(SPLIT(A872, "","")) &amp; """""""")) &amp; ""]"""),"[""77008"", ""77018""]")</f>
        <v>["77008", "77018"]</v>
      </c>
      <c r="V872" s="52" t="s">
        <v>4352</v>
      </c>
      <c r="W872" s="52" t="s">
        <v>4353</v>
      </c>
      <c r="X872" s="43"/>
      <c r="Y872" s="44" t="str">
        <f>vlookup(G872,zip_codes!$B$6:$J988,3,false)</f>
        <v>Houston</v>
      </c>
      <c r="Z872" s="45" t="str">
        <f>vlookup(G872,zip_codes!$B$6:$J988,9,false)</f>
        <v>Central Northwest, Garden Oaks, Northside, Oak Forest</v>
      </c>
      <c r="AA872" s="44" t="str">
        <f>vlookup(B872,organizations!$B$1:$C988,2,false)</f>
        <v>Society of St Vincent de Paul</v>
      </c>
      <c r="AB872" s="46" t="s">
        <v>4354</v>
      </c>
      <c r="AC872" s="53"/>
      <c r="AD872" s="48" t="s">
        <v>2185</v>
      </c>
      <c r="AE872" s="48" t="str">
        <f t="shared" si="99"/>
        <v>St Rose of Lima (SVdP D1)3600 Brinkman Street12</v>
      </c>
      <c r="AF872" s="48" t="str">
        <f t="shared" si="105"/>
        <v/>
      </c>
    </row>
    <row r="873" ht="66.75" customHeight="1">
      <c r="A873" s="49" t="s">
        <v>4348</v>
      </c>
      <c r="B873" s="35" t="s">
        <v>4349</v>
      </c>
      <c r="C873" s="36" t="s">
        <v>4350</v>
      </c>
      <c r="D873" s="36"/>
      <c r="E873" s="36" t="s">
        <v>36</v>
      </c>
      <c r="F873" s="36" t="s">
        <v>37</v>
      </c>
      <c r="G873" s="35" t="s">
        <v>2179</v>
      </c>
      <c r="H873" s="35" t="s">
        <v>4351</v>
      </c>
      <c r="I873" s="35" t="s">
        <v>4234</v>
      </c>
      <c r="J873" s="35"/>
      <c r="K873" s="37">
        <f>IFERROR(__xludf.DUMMYFUNCTION("query(assistance!$A$2:$E988,""Select C Where D = '""&amp;L873&amp;""'"")"),13.0)</f>
        <v>13</v>
      </c>
      <c r="L873" s="36" t="s">
        <v>240</v>
      </c>
      <c r="M873" s="38">
        <f t="shared" si="103"/>
        <v>1</v>
      </c>
      <c r="N873" s="51" t="s">
        <v>42</v>
      </c>
      <c r="O873" s="40">
        <v>45637.0</v>
      </c>
      <c r="P873" s="66"/>
      <c r="Q873" s="35"/>
      <c r="R873" s="35"/>
      <c r="S873" s="35" t="b">
        <v>0</v>
      </c>
      <c r="T873" s="35" t="b">
        <v>0</v>
      </c>
      <c r="U873" s="41" t="str">
        <f>IFERROR(__xludf.DUMMYFUNCTION("""["" &amp; JOIN("", "", ARRAYFORMULA("""""""" &amp; TRIM(SPLIT(A873, "","")) &amp; """""""")) &amp; ""]"""),"[""77008"", ""77018""]")</f>
        <v>["77008", "77018"]</v>
      </c>
      <c r="V873" s="52" t="s">
        <v>4352</v>
      </c>
      <c r="W873" s="52" t="s">
        <v>4353</v>
      </c>
      <c r="X873" s="43"/>
      <c r="Y873" s="44" t="str">
        <f>vlookup(G873,zip_codes!$B$6:$J988,3,false)</f>
        <v>Houston</v>
      </c>
      <c r="Z873" s="45" t="str">
        <f>vlookup(G873,zip_codes!$B$6:$J988,9,false)</f>
        <v>Central Northwest, Garden Oaks, Northside, Oak Forest</v>
      </c>
      <c r="AA873" s="44" t="str">
        <f>vlookup(B873,organizations!$B$1:$C988,2,false)</f>
        <v>Society of St Vincent de Paul</v>
      </c>
      <c r="AB873" s="46" t="s">
        <v>4354</v>
      </c>
      <c r="AC873" s="47" t="s">
        <v>4238</v>
      </c>
      <c r="AD873" s="48" t="s">
        <v>2185</v>
      </c>
      <c r="AE873" s="48" t="str">
        <f t="shared" si="99"/>
        <v>St Rose of Lima (SVdP D1)3600 Brinkman Street13</v>
      </c>
      <c r="AF873" s="48" t="str">
        <f t="shared" si="105"/>
        <v/>
      </c>
    </row>
    <row r="874" ht="66.75" customHeight="1">
      <c r="A874" s="49" t="s">
        <v>4355</v>
      </c>
      <c r="B874" s="35" t="s">
        <v>4356</v>
      </c>
      <c r="C874" s="36" t="s">
        <v>4357</v>
      </c>
      <c r="D874" s="36"/>
      <c r="E874" s="36" t="s">
        <v>4358</v>
      </c>
      <c r="F874" s="36" t="s">
        <v>37</v>
      </c>
      <c r="G874" s="35" t="s">
        <v>4359</v>
      </c>
      <c r="H874" s="35" t="s">
        <v>4360</v>
      </c>
      <c r="I874" s="35" t="s">
        <v>4361</v>
      </c>
      <c r="J874" s="35"/>
      <c r="K874" s="37">
        <f>IFERROR(__xludf.DUMMYFUNCTION("query(assistance!$A$2:$E988,""Select C Where D = '""&amp;L874&amp;""'"")"),11.0)</f>
        <v>11</v>
      </c>
      <c r="L874" s="36" t="s">
        <v>322</v>
      </c>
      <c r="M874" s="39">
        <f>if(N874="Inactive",3,if(N874="Limited", 2, if(N874="Closed", 4, 1)))</f>
        <v>3</v>
      </c>
      <c r="N874" s="51" t="s">
        <v>973</v>
      </c>
      <c r="O874" s="40">
        <v>45813.0</v>
      </c>
      <c r="P874" s="50"/>
      <c r="Q874" s="35"/>
      <c r="R874" s="35"/>
      <c r="S874" s="35" t="b">
        <v>0</v>
      </c>
      <c r="T874" s="35" t="b">
        <v>0</v>
      </c>
      <c r="U874" s="41" t="str">
        <f>IFERROR(__xludf.DUMMYFUNCTION("""["" &amp; JOIN("", "", ARRAYFORMULA("""""""" &amp; TRIM(SPLIT(A874, "","")) &amp; """""""")) &amp; ""]"""),"[""77083"", ""77479"", ""77486"", ""77498""]")</f>
        <v>["77083", "77479", "77486", "77498"]</v>
      </c>
      <c r="V874" s="52" t="s">
        <v>4362</v>
      </c>
      <c r="W874" s="52" t="s">
        <v>4363</v>
      </c>
      <c r="X874" s="43"/>
      <c r="Y874" s="44" t="str">
        <f>vlookup(G874,zip_codes!$B$6:$J988,3,false)</f>
        <v>Sugar Land</v>
      </c>
      <c r="Z874" s="45" t="str">
        <f>vlookup(G874,zip_codes!$B$6:$J988,9,false)</f>
        <v>Old Town Sugar Land, Sugar Land</v>
      </c>
      <c r="AA874" s="44" t="str">
        <f>vlookup(B874,organizations!$B$1:$C988,2,false)</f>
        <v>Society of St Vincent de Paul</v>
      </c>
      <c r="AB874" s="46" t="s">
        <v>4364</v>
      </c>
      <c r="AC874" s="47" t="s">
        <v>48</v>
      </c>
      <c r="AD874" s="48" t="s">
        <v>4358</v>
      </c>
      <c r="AE874" s="48" t="str">
        <f t="shared" si="99"/>
        <v>St Theresa (SVdP D2) Sugar Land705 St Theresa Blvd11</v>
      </c>
      <c r="AF874" s="48" t="str">
        <f t="shared" si="105"/>
        <v/>
      </c>
    </row>
    <row r="875" ht="66.75" customHeight="1">
      <c r="A875" s="49" t="s">
        <v>4355</v>
      </c>
      <c r="B875" s="35" t="s">
        <v>4356</v>
      </c>
      <c r="C875" s="36" t="s">
        <v>4357</v>
      </c>
      <c r="D875" s="36"/>
      <c r="E875" s="36" t="s">
        <v>4358</v>
      </c>
      <c r="F875" s="36" t="s">
        <v>37</v>
      </c>
      <c r="G875" s="35" t="s">
        <v>4359</v>
      </c>
      <c r="H875" s="35" t="s">
        <v>4360</v>
      </c>
      <c r="I875" s="35" t="s">
        <v>40</v>
      </c>
      <c r="J875" s="35"/>
      <c r="K875" s="37">
        <f>IFERROR(__xludf.DUMMYFUNCTION("query(assistance!$A$2:$E988,""Select C Where D = '""&amp;L875&amp;""'"")"),12.0)</f>
        <v>12</v>
      </c>
      <c r="L875" s="36" t="s">
        <v>330</v>
      </c>
      <c r="M875" s="38">
        <f t="shared" ref="M875:M925" si="106">if(N875="Inactive",3,if(N875="Limited", 2, 1))</f>
        <v>1</v>
      </c>
      <c r="N875" s="51" t="s">
        <v>42</v>
      </c>
      <c r="O875" s="40">
        <v>45637.0</v>
      </c>
      <c r="P875" s="50"/>
      <c r="Q875" s="35"/>
      <c r="R875" s="35"/>
      <c r="S875" s="35" t="b">
        <v>0</v>
      </c>
      <c r="T875" s="35" t="b">
        <v>0</v>
      </c>
      <c r="U875" s="41" t="str">
        <f>IFERROR(__xludf.DUMMYFUNCTION("""["" &amp; JOIN("", "", ARRAYFORMULA("""""""" &amp; TRIM(SPLIT(A875, "","")) &amp; """""""")) &amp; ""]"""),"[""77083"", ""77479"", ""77486"", ""77498""]")</f>
        <v>["77083", "77479", "77486", "77498"]</v>
      </c>
      <c r="V875" s="52" t="s">
        <v>4362</v>
      </c>
      <c r="W875" s="52" t="s">
        <v>4363</v>
      </c>
      <c r="X875" s="43"/>
      <c r="Y875" s="44" t="str">
        <f>vlookup(G875,zip_codes!$B$6:$J988,3,false)</f>
        <v>Sugar Land</v>
      </c>
      <c r="Z875" s="45" t="str">
        <f>vlookup(G875,zip_codes!$B$6:$J988,9,false)</f>
        <v>Old Town Sugar Land, Sugar Land</v>
      </c>
      <c r="AA875" s="44" t="str">
        <f>vlookup(B875,organizations!$B$1:$C988,2,false)</f>
        <v>Society of St Vincent de Paul</v>
      </c>
      <c r="AB875" s="46" t="s">
        <v>4364</v>
      </c>
      <c r="AC875" s="47" t="s">
        <v>48</v>
      </c>
      <c r="AD875" s="48" t="s">
        <v>4358</v>
      </c>
      <c r="AE875" s="48" t="str">
        <f t="shared" si="99"/>
        <v>St Theresa (SVdP D2) Sugar Land705 St Theresa Blvd12</v>
      </c>
      <c r="AF875" s="48" t="str">
        <f t="shared" si="105"/>
        <v/>
      </c>
    </row>
    <row r="876" ht="66.75" customHeight="1">
      <c r="A876" s="49" t="s">
        <v>4355</v>
      </c>
      <c r="B876" s="35" t="s">
        <v>4356</v>
      </c>
      <c r="C876" s="36" t="s">
        <v>4357</v>
      </c>
      <c r="D876" s="36"/>
      <c r="E876" s="36" t="s">
        <v>4358</v>
      </c>
      <c r="F876" s="36" t="s">
        <v>37</v>
      </c>
      <c r="G876" s="35" t="s">
        <v>4359</v>
      </c>
      <c r="H876" s="35" t="s">
        <v>4360</v>
      </c>
      <c r="I876" s="35" t="s">
        <v>4365</v>
      </c>
      <c r="J876" s="35"/>
      <c r="K876" s="37">
        <f>IFERROR(__xludf.DUMMYFUNCTION("query(assistance!$A$2:$E988,""Select C Where D = '""&amp;L876&amp;""'"")"),13.0)</f>
        <v>13</v>
      </c>
      <c r="L876" s="36" t="s">
        <v>240</v>
      </c>
      <c r="M876" s="38">
        <f t="shared" si="106"/>
        <v>1</v>
      </c>
      <c r="N876" s="51" t="s">
        <v>42</v>
      </c>
      <c r="O876" s="40">
        <v>45637.0</v>
      </c>
      <c r="P876" s="50"/>
      <c r="Q876" s="35"/>
      <c r="R876" s="35"/>
      <c r="S876" s="35" t="b">
        <v>0</v>
      </c>
      <c r="T876" s="35" t="b">
        <v>0</v>
      </c>
      <c r="U876" s="41" t="str">
        <f>IFERROR(__xludf.DUMMYFUNCTION("""["" &amp; JOIN("", "", ARRAYFORMULA("""""""" &amp; TRIM(SPLIT(A876, "","")) &amp; """""""")) &amp; ""]"""),"[""77083"", ""77479"", ""77486"", ""77498""]")</f>
        <v>["77083", "77479", "77486", "77498"]</v>
      </c>
      <c r="V876" s="52" t="s">
        <v>4362</v>
      </c>
      <c r="W876" s="52" t="s">
        <v>4363</v>
      </c>
      <c r="X876" s="43"/>
      <c r="Y876" s="44" t="str">
        <f>vlookup(G876,zip_codes!$B$6:$J988,3,false)</f>
        <v>Sugar Land</v>
      </c>
      <c r="Z876" s="45" t="str">
        <f>vlookup(G876,zip_codes!$B$6:$J988,9,false)</f>
        <v>Old Town Sugar Land, Sugar Land</v>
      </c>
      <c r="AA876" s="44" t="str">
        <f>vlookup(B876,organizations!$B$1:$C988,2,false)</f>
        <v>Society of St Vincent de Paul</v>
      </c>
      <c r="AB876" s="46" t="s">
        <v>4364</v>
      </c>
      <c r="AC876" s="47" t="s">
        <v>4366</v>
      </c>
      <c r="AD876" s="48" t="s">
        <v>4358</v>
      </c>
      <c r="AE876" s="48" t="str">
        <f t="shared" si="99"/>
        <v>St Theresa (SVdP D2) Sugar Land705 St Theresa Blvd13</v>
      </c>
      <c r="AF876" s="48" t="str">
        <f t="shared" si="105"/>
        <v/>
      </c>
    </row>
    <row r="877" ht="66.75" customHeight="1">
      <c r="A877" s="49" t="s">
        <v>4367</v>
      </c>
      <c r="B877" s="35" t="s">
        <v>4368</v>
      </c>
      <c r="C877" s="36" t="s">
        <v>4369</v>
      </c>
      <c r="D877" s="36"/>
      <c r="E877" s="36" t="s">
        <v>4358</v>
      </c>
      <c r="F877" s="36" t="s">
        <v>37</v>
      </c>
      <c r="G877" s="35" t="s">
        <v>4370</v>
      </c>
      <c r="H877" s="35" t="s">
        <v>4371</v>
      </c>
      <c r="I877" s="66"/>
      <c r="J877" s="89"/>
      <c r="K877" s="37">
        <f>IFERROR(__xludf.DUMMYFUNCTION("query(assistance!$A$2:$E988,""Select C Where D = '""&amp;L877&amp;""'"")"),11.0)</f>
        <v>11</v>
      </c>
      <c r="L877" s="36" t="s">
        <v>322</v>
      </c>
      <c r="M877" s="38">
        <f t="shared" si="106"/>
        <v>1</v>
      </c>
      <c r="N877" s="51" t="s">
        <v>42</v>
      </c>
      <c r="O877" s="40">
        <v>45637.0</v>
      </c>
      <c r="P877" s="50"/>
      <c r="Q877" s="35"/>
      <c r="R877" s="35"/>
      <c r="S877" s="35" t="b">
        <v>0</v>
      </c>
      <c r="T877" s="35" t="b">
        <v>0</v>
      </c>
      <c r="U877" s="41" t="str">
        <f>IFERROR(__xludf.DUMMYFUNCTION("""["" &amp; JOIN("", "", ARRAYFORMULA("""""""" &amp; TRIM(SPLIT(A877, "","")) &amp; """""""")) &amp; ""]"""),"[""77083"", ""77099"", ""77477"", ""77478""]")</f>
        <v>["77083", "77099", "77477", "77478"]</v>
      </c>
      <c r="V877" s="52" t="s">
        <v>4372</v>
      </c>
      <c r="W877" s="52" t="s">
        <v>4373</v>
      </c>
      <c r="X877" s="43"/>
      <c r="Y877" s="44" t="str">
        <f>vlookup(G877,zip_codes!$B$6:$J988,3,false)</f>
        <v>Sugar Land</v>
      </c>
      <c r="Z877" s="45" t="str">
        <f>vlookup(G877,zip_codes!$B$6:$J988,9,false)</f>
        <v>First Colony, Sugar Land, Westside</v>
      </c>
      <c r="AA877" s="44" t="str">
        <f>vlookup(B877,organizations!$B$1:$C988,2,false)</f>
        <v>Society of St Vincent de Paul</v>
      </c>
      <c r="AB877" s="46" t="s">
        <v>4374</v>
      </c>
      <c r="AC877" s="53"/>
      <c r="AD877" s="48" t="s">
        <v>1059</v>
      </c>
      <c r="AE877" s="48" t="str">
        <f t="shared" si="99"/>
        <v>St Thomas Aquinas (SVdP D2)12627 W Belfort Avenue11</v>
      </c>
      <c r="AF877" s="48" t="str">
        <f t="shared" si="105"/>
        <v/>
      </c>
    </row>
    <row r="878" ht="66.75" customHeight="1">
      <c r="A878" s="49" t="s">
        <v>4367</v>
      </c>
      <c r="B878" s="35" t="s">
        <v>4368</v>
      </c>
      <c r="C878" s="36" t="s">
        <v>4369</v>
      </c>
      <c r="D878" s="36"/>
      <c r="E878" s="36" t="s">
        <v>4358</v>
      </c>
      <c r="F878" s="36" t="s">
        <v>37</v>
      </c>
      <c r="G878" s="35" t="s">
        <v>4370</v>
      </c>
      <c r="H878" s="35" t="s">
        <v>4371</v>
      </c>
      <c r="I878" s="66"/>
      <c r="J878" s="89"/>
      <c r="K878" s="37">
        <f>IFERROR(__xludf.DUMMYFUNCTION("query(assistance!$A$2:$E988,""Select C Where D = '""&amp;L878&amp;""'"")"),12.0)</f>
        <v>12</v>
      </c>
      <c r="L878" s="36" t="s">
        <v>330</v>
      </c>
      <c r="M878" s="38">
        <f t="shared" si="106"/>
        <v>1</v>
      </c>
      <c r="N878" s="51" t="s">
        <v>42</v>
      </c>
      <c r="O878" s="40">
        <v>45637.0</v>
      </c>
      <c r="P878" s="50"/>
      <c r="Q878" s="35"/>
      <c r="R878" s="35"/>
      <c r="S878" s="35" t="b">
        <v>0</v>
      </c>
      <c r="T878" s="35" t="b">
        <v>0</v>
      </c>
      <c r="U878" s="41" t="str">
        <f>IFERROR(__xludf.DUMMYFUNCTION("""["" &amp; JOIN("", "", ARRAYFORMULA("""""""" &amp; TRIM(SPLIT(A878, "","")) &amp; """""""")) &amp; ""]"""),"[""77083"", ""77099"", ""77477"", ""77478""]")</f>
        <v>["77083", "77099", "77477", "77478"]</v>
      </c>
      <c r="V878" s="52" t="s">
        <v>4372</v>
      </c>
      <c r="W878" s="52" t="s">
        <v>4373</v>
      </c>
      <c r="X878" s="43"/>
      <c r="Y878" s="44" t="str">
        <f>vlookup(G878,zip_codes!$B$6:$J988,3,false)</f>
        <v>Sugar Land</v>
      </c>
      <c r="Z878" s="45" t="str">
        <f>vlookup(G878,zip_codes!$B$6:$J988,9,false)</f>
        <v>First Colony, Sugar Land, Westside</v>
      </c>
      <c r="AA878" s="44" t="str">
        <f>vlookup(B878,organizations!$B$1:$C988,2,false)</f>
        <v>Society of St Vincent de Paul</v>
      </c>
      <c r="AB878" s="46" t="s">
        <v>4374</v>
      </c>
      <c r="AC878" s="53"/>
      <c r="AD878" s="48" t="s">
        <v>1059</v>
      </c>
      <c r="AE878" s="48" t="str">
        <f t="shared" si="99"/>
        <v>St Thomas Aquinas (SVdP D2)12627 W Belfort Avenue12</v>
      </c>
      <c r="AF878" s="48" t="str">
        <f t="shared" si="105"/>
        <v/>
      </c>
    </row>
    <row r="879" ht="66.75" customHeight="1">
      <c r="A879" s="49" t="s">
        <v>4375</v>
      </c>
      <c r="B879" s="35" t="s">
        <v>4376</v>
      </c>
      <c r="C879" s="36" t="s">
        <v>4377</v>
      </c>
      <c r="D879" s="36"/>
      <c r="E879" s="36" t="s">
        <v>36</v>
      </c>
      <c r="F879" s="36" t="s">
        <v>37</v>
      </c>
      <c r="G879" s="35" t="s">
        <v>54</v>
      </c>
      <c r="H879" s="35" t="s">
        <v>4378</v>
      </c>
      <c r="I879" s="35" t="s">
        <v>4379</v>
      </c>
      <c r="J879" s="89"/>
      <c r="K879" s="37">
        <f>IFERROR(__xludf.DUMMYFUNCTION("query(assistance!$A$2:$E988,""Select C Where D = '""&amp;L879&amp;""'"")"),11.0)</f>
        <v>11</v>
      </c>
      <c r="L879" s="36" t="s">
        <v>322</v>
      </c>
      <c r="M879" s="38">
        <f t="shared" si="106"/>
        <v>1</v>
      </c>
      <c r="N879" s="51" t="s">
        <v>42</v>
      </c>
      <c r="O879" s="40">
        <v>45637.0</v>
      </c>
      <c r="P879" s="50"/>
      <c r="Q879" s="35"/>
      <c r="R879" s="35"/>
      <c r="S879" s="35" t="b">
        <v>0</v>
      </c>
      <c r="T879" s="35" t="b">
        <v>0</v>
      </c>
      <c r="U879" s="41" t="str">
        <f>IFERROR(__xludf.DUMMYFUNCTION("""["" &amp; JOIN("", "", ARRAYFORMULA("""""""" &amp; TRIM(SPLIT(A879, "","")) &amp; """""""")) &amp; ""]"""),"[""77035"", ""77096""]")</f>
        <v>["77035", "77096"]</v>
      </c>
      <c r="V879" s="52" t="s">
        <v>4380</v>
      </c>
      <c r="W879" s="52" t="s">
        <v>4381</v>
      </c>
      <c r="X879" s="43"/>
      <c r="Y879" s="44" t="str">
        <f>vlookup(G879,zip_codes!$B$6:$J988,3,false)</f>
        <v>Houston</v>
      </c>
      <c r="Z879" s="45" t="str">
        <f>vlookup(G879,zip_codes!$B$6:$J988,9,false)</f>
        <v>Brays Oaks, Meyerland, Westbury, Willow Meadows</v>
      </c>
      <c r="AA879" s="44" t="str">
        <f>vlookup(B879,organizations!$B$1:$C988,2,false)</f>
        <v>Society of St Vincent de Paul</v>
      </c>
      <c r="AB879" s="46" t="s">
        <v>4382</v>
      </c>
      <c r="AC879" s="47" t="s">
        <v>4383</v>
      </c>
      <c r="AD879" s="58" t="s">
        <v>4384</v>
      </c>
      <c r="AE879" s="48" t="str">
        <f t="shared" si="99"/>
        <v>St Thomas More (SVdP D3)10330 Hillcroft Street11</v>
      </c>
      <c r="AF879" s="48" t="str">
        <f t="shared" si="105"/>
        <v/>
      </c>
    </row>
    <row r="880" ht="66.75" customHeight="1">
      <c r="A880" s="49" t="s">
        <v>4375</v>
      </c>
      <c r="B880" s="35" t="s">
        <v>4376</v>
      </c>
      <c r="C880" s="36" t="s">
        <v>4377</v>
      </c>
      <c r="D880" s="36"/>
      <c r="E880" s="36" t="s">
        <v>36</v>
      </c>
      <c r="F880" s="36" t="s">
        <v>37</v>
      </c>
      <c r="G880" s="35" t="s">
        <v>54</v>
      </c>
      <c r="H880" s="35" t="s">
        <v>4378</v>
      </c>
      <c r="I880" s="35" t="s">
        <v>4379</v>
      </c>
      <c r="J880" s="89"/>
      <c r="K880" s="37">
        <f>IFERROR(__xludf.DUMMYFUNCTION("query(assistance!$A$2:$E988,""Select C Where D = '""&amp;L880&amp;""'"")"),12.0)</f>
        <v>12</v>
      </c>
      <c r="L880" s="36" t="s">
        <v>330</v>
      </c>
      <c r="M880" s="38">
        <f t="shared" si="106"/>
        <v>1</v>
      </c>
      <c r="N880" s="51" t="s">
        <v>42</v>
      </c>
      <c r="O880" s="40">
        <v>45637.0</v>
      </c>
      <c r="P880" s="50"/>
      <c r="Q880" s="35"/>
      <c r="R880" s="35"/>
      <c r="S880" s="35" t="b">
        <v>0</v>
      </c>
      <c r="T880" s="35" t="b">
        <v>0</v>
      </c>
      <c r="U880" s="41" t="str">
        <f>IFERROR(__xludf.DUMMYFUNCTION("""["" &amp; JOIN("", "", ARRAYFORMULA("""""""" &amp; TRIM(SPLIT(A880, "","")) &amp; """""""")) &amp; ""]"""),"[""77035"", ""77096""]")</f>
        <v>["77035", "77096"]</v>
      </c>
      <c r="V880" s="52" t="s">
        <v>4380</v>
      </c>
      <c r="W880" s="52" t="s">
        <v>4381</v>
      </c>
      <c r="X880" s="43"/>
      <c r="Y880" s="44" t="str">
        <f>vlookup(G880,zip_codes!$B$6:$J988,3,false)</f>
        <v>Houston</v>
      </c>
      <c r="Z880" s="45" t="str">
        <f>vlookup(G880,zip_codes!$B$6:$J988,9,false)</f>
        <v>Brays Oaks, Meyerland, Westbury, Willow Meadows</v>
      </c>
      <c r="AA880" s="44" t="str">
        <f>vlookup(B880,organizations!$B$1:$C988,2,false)</f>
        <v>Society of St Vincent de Paul</v>
      </c>
      <c r="AB880" s="46" t="s">
        <v>4382</v>
      </c>
      <c r="AC880" s="47" t="s">
        <v>4383</v>
      </c>
      <c r="AD880" s="58" t="s">
        <v>4384</v>
      </c>
      <c r="AE880" s="48" t="str">
        <f t="shared" si="99"/>
        <v>St Thomas More (SVdP D3)10330 Hillcroft Street12</v>
      </c>
      <c r="AF880" s="48" t="str">
        <f t="shared" si="105"/>
        <v/>
      </c>
    </row>
    <row r="881" ht="66.75" customHeight="1">
      <c r="A881" s="49" t="s">
        <v>4375</v>
      </c>
      <c r="B881" s="35" t="s">
        <v>4376</v>
      </c>
      <c r="C881" s="36" t="s">
        <v>4377</v>
      </c>
      <c r="D881" s="36"/>
      <c r="E881" s="36" t="s">
        <v>36</v>
      </c>
      <c r="F881" s="36" t="s">
        <v>37</v>
      </c>
      <c r="G881" s="35" t="s">
        <v>54</v>
      </c>
      <c r="H881" s="35" t="s">
        <v>4378</v>
      </c>
      <c r="I881" s="35" t="s">
        <v>4379</v>
      </c>
      <c r="J881" s="35"/>
      <c r="K881" s="37">
        <f>IFERROR(__xludf.DUMMYFUNCTION("query(assistance!$A$2:$E988,""Select C Where D = '""&amp;L881&amp;""'"")"),13.0)</f>
        <v>13</v>
      </c>
      <c r="L881" s="36" t="s">
        <v>240</v>
      </c>
      <c r="M881" s="38">
        <f t="shared" si="106"/>
        <v>1</v>
      </c>
      <c r="N881" s="51" t="s">
        <v>42</v>
      </c>
      <c r="O881" s="40">
        <v>45637.0</v>
      </c>
      <c r="P881" s="50"/>
      <c r="Q881" s="35"/>
      <c r="R881" s="35"/>
      <c r="S881" s="35" t="b">
        <v>0</v>
      </c>
      <c r="T881" s="35" t="b">
        <v>0</v>
      </c>
      <c r="U881" s="41" t="str">
        <f>IFERROR(__xludf.DUMMYFUNCTION("""["" &amp; JOIN("", "", ARRAYFORMULA("""""""" &amp; TRIM(SPLIT(A881, "","")) &amp; """""""")) &amp; ""]"""),"[""77035"", ""77096""]")</f>
        <v>["77035", "77096"]</v>
      </c>
      <c r="V881" s="52" t="s">
        <v>4380</v>
      </c>
      <c r="W881" s="52" t="s">
        <v>4381</v>
      </c>
      <c r="X881" s="43"/>
      <c r="Y881" s="44" t="str">
        <f>vlookup(G881,zip_codes!$B$6:$J988,3,false)</f>
        <v>Houston</v>
      </c>
      <c r="Z881" s="45" t="str">
        <f>vlookup(G881,zip_codes!$B$6:$J988,9,false)</f>
        <v>Brays Oaks, Meyerland, Westbury, Willow Meadows</v>
      </c>
      <c r="AA881" s="44" t="str">
        <f>vlookup(B881,organizations!$B$1:$C988,2,false)</f>
        <v>Society of St Vincent de Paul</v>
      </c>
      <c r="AB881" s="46" t="s">
        <v>4382</v>
      </c>
      <c r="AC881" s="47" t="s">
        <v>4383</v>
      </c>
      <c r="AD881" s="58" t="s">
        <v>4384</v>
      </c>
      <c r="AE881" s="48" t="str">
        <f t="shared" si="99"/>
        <v>St Thomas More (SVdP D3)10330 Hillcroft Street13</v>
      </c>
      <c r="AF881" s="48" t="str">
        <f t="shared" si="105"/>
        <v/>
      </c>
    </row>
    <row r="882" ht="66.75" customHeight="1">
      <c r="A882" s="49">
        <v>77079.0</v>
      </c>
      <c r="B882" s="35" t="s">
        <v>4385</v>
      </c>
      <c r="C882" s="36" t="s">
        <v>3199</v>
      </c>
      <c r="D882" s="36"/>
      <c r="E882" s="36" t="s">
        <v>36</v>
      </c>
      <c r="F882" s="36" t="s">
        <v>37</v>
      </c>
      <c r="G882" s="35" t="s">
        <v>3200</v>
      </c>
      <c r="H882" s="35" t="s">
        <v>4386</v>
      </c>
      <c r="I882" s="35" t="s">
        <v>3978</v>
      </c>
      <c r="J882" s="35"/>
      <c r="K882" s="37">
        <f>IFERROR(__xludf.DUMMYFUNCTION("query(assistance!$A$2:$E988,""Select C Where D = '""&amp;L882&amp;""'"")"),13.0)</f>
        <v>13</v>
      </c>
      <c r="L882" s="36" t="s">
        <v>240</v>
      </c>
      <c r="M882" s="38">
        <f t="shared" si="106"/>
        <v>1</v>
      </c>
      <c r="N882" s="51" t="s">
        <v>42</v>
      </c>
      <c r="O882" s="40">
        <v>45884.0</v>
      </c>
      <c r="P882" s="35" t="s">
        <v>43</v>
      </c>
      <c r="Q882" s="50"/>
      <c r="R882" s="50"/>
      <c r="S882" s="35" t="b">
        <v>0</v>
      </c>
      <c r="T882" s="35" t="b">
        <v>0</v>
      </c>
      <c r="U882" s="41" t="str">
        <f>IFERROR(__xludf.DUMMYFUNCTION("""["" &amp; JOIN("", "", ARRAYFORMULA("""""""" &amp; TRIM(SPLIT(A882, "","")) &amp; """""""")) &amp; ""]"""),"[""77079""]")</f>
        <v>["77079"]</v>
      </c>
      <c r="V882" s="91" t="s">
        <v>4387</v>
      </c>
      <c r="W882" s="42" t="s">
        <v>4388</v>
      </c>
      <c r="X882" s="43"/>
      <c r="Y882" s="44" t="str">
        <f>vlookup(G882,zip_codes!$B$6:$J988,3,false)</f>
        <v>Houston</v>
      </c>
      <c r="Z882" s="45" t="str">
        <f>vlookup(G882,zip_codes!$B$6:$J988,9,false)</f>
        <v>Fleetwood, Memorial</v>
      </c>
      <c r="AA882" s="44" t="str">
        <f>vlookup(B882,organizations!$B$1:$C988,2,false)</f>
        <v>St Thomas Presbyterian Church</v>
      </c>
      <c r="AB882" s="55" t="s">
        <v>4389</v>
      </c>
      <c r="AC882" s="47" t="s">
        <v>3526</v>
      </c>
      <c r="AD882" s="48" t="s">
        <v>3204</v>
      </c>
      <c r="AE882" s="48" t="str">
        <f t="shared" si="99"/>
        <v>St Thomas Presbyterian Church14100 Memorial Drive13</v>
      </c>
      <c r="AF882" s="48" t="str">
        <f t="shared" si="105"/>
        <v/>
      </c>
    </row>
    <row r="883" ht="66.75" customHeight="1">
      <c r="A883" s="49" t="s">
        <v>4390</v>
      </c>
      <c r="B883" s="35" t="s">
        <v>4391</v>
      </c>
      <c r="C883" s="36" t="s">
        <v>4392</v>
      </c>
      <c r="D883" s="36"/>
      <c r="E883" s="36" t="s">
        <v>1857</v>
      </c>
      <c r="F883" s="36" t="s">
        <v>37</v>
      </c>
      <c r="G883" s="35" t="s">
        <v>4393</v>
      </c>
      <c r="H883" s="35" t="s">
        <v>4394</v>
      </c>
      <c r="I883" s="35" t="s">
        <v>4175</v>
      </c>
      <c r="J883" s="35"/>
      <c r="K883" s="37">
        <f>IFERROR(__xludf.DUMMYFUNCTION("query(assistance!$A$2:$E988,""Select C Where D = '""&amp;L883&amp;""'"")"),11.0)</f>
        <v>11</v>
      </c>
      <c r="L883" s="36" t="s">
        <v>322</v>
      </c>
      <c r="M883" s="38">
        <f t="shared" si="106"/>
        <v>1</v>
      </c>
      <c r="N883" s="39" t="s">
        <v>42</v>
      </c>
      <c r="O883" s="65"/>
      <c r="P883" s="50"/>
      <c r="Q883" s="35"/>
      <c r="R883" s="35"/>
      <c r="S883" s="35" t="b">
        <v>0</v>
      </c>
      <c r="T883" s="35" t="b">
        <v>0</v>
      </c>
      <c r="U883" s="41" t="str">
        <f>IFERROR(__xludf.DUMMYFUNCTION("""["" &amp; JOIN("", "", ARRAYFORMULA("""""""" &amp; TRIM(SPLIT(A883, "","")) &amp; """""""")) &amp; ""]"""),"[""77320"", ""77375"", ""77377"", ""77378""]")</f>
        <v>["77320", "77375", "77377", "77378"]</v>
      </c>
      <c r="V883" s="52" t="s">
        <v>4395</v>
      </c>
      <c r="W883" s="52" t="s">
        <v>4396</v>
      </c>
      <c r="X883" s="43"/>
      <c r="Y883" s="44" t="str">
        <f>vlookup(G883,zip_codes!$B$6:$J988,3,false)</f>
        <v>Huntsville</v>
      </c>
      <c r="Z883" s="45" t="str">
        <f>vlookup(G883,zip_codes!$B$6:$J988,9,false)</f>
        <v>Huntsville, Phelps</v>
      </c>
      <c r="AA883" s="44" t="str">
        <f>vlookup(B883,organizations!$B$1:$C988,2,false)</f>
        <v>Society of St Vincent de Paul</v>
      </c>
      <c r="AB883" s="46" t="s">
        <v>4397</v>
      </c>
      <c r="AC883" s="47" t="s">
        <v>1478</v>
      </c>
      <c r="AD883" s="48" t="s">
        <v>1857</v>
      </c>
      <c r="AE883" s="48" t="str">
        <f t="shared" si="99"/>
        <v>St Thomas the Apostle (SVdP D6) Huntsville13223 16th Street11</v>
      </c>
      <c r="AF883" s="48" t="str">
        <f t="shared" si="105"/>
        <v/>
      </c>
    </row>
    <row r="884" ht="66.75" customHeight="1">
      <c r="A884" s="49" t="s">
        <v>4390</v>
      </c>
      <c r="B884" s="35" t="s">
        <v>4391</v>
      </c>
      <c r="C884" s="36" t="s">
        <v>4392</v>
      </c>
      <c r="D884" s="36"/>
      <c r="E884" s="36" t="s">
        <v>1857</v>
      </c>
      <c r="F884" s="36" t="s">
        <v>37</v>
      </c>
      <c r="G884" s="35" t="s">
        <v>4393</v>
      </c>
      <c r="H884" s="35" t="s">
        <v>4394</v>
      </c>
      <c r="I884" s="35" t="s">
        <v>4175</v>
      </c>
      <c r="J884" s="35"/>
      <c r="K884" s="37">
        <f>IFERROR(__xludf.DUMMYFUNCTION("query(assistance!$A$2:$E988,""Select C Where D = '""&amp;L884&amp;""'"")"),13.0)</f>
        <v>13</v>
      </c>
      <c r="L884" s="36" t="s">
        <v>240</v>
      </c>
      <c r="M884" s="38">
        <f t="shared" si="106"/>
        <v>1</v>
      </c>
      <c r="N884" s="39" t="s">
        <v>42</v>
      </c>
      <c r="O884" s="65"/>
      <c r="P884" s="50"/>
      <c r="Q884" s="35"/>
      <c r="R884" s="35"/>
      <c r="S884" s="35" t="b">
        <v>0</v>
      </c>
      <c r="T884" s="35" t="b">
        <v>0</v>
      </c>
      <c r="U884" s="41" t="str">
        <f>IFERROR(__xludf.DUMMYFUNCTION("""["" &amp; JOIN("", "", ARRAYFORMULA("""""""" &amp; TRIM(SPLIT(A884, "","")) &amp; """""""")) &amp; ""]"""),"[""77320"", ""77375"", ""77377"", ""77378""]")</f>
        <v>["77320", "77375", "77377", "77378"]</v>
      </c>
      <c r="V884" s="52" t="s">
        <v>4395</v>
      </c>
      <c r="W884" s="52" t="s">
        <v>4396</v>
      </c>
      <c r="X884" s="43"/>
      <c r="Y884" s="44" t="str">
        <f>vlookup(G884,zip_codes!$B$6:$J988,3,false)</f>
        <v>Huntsville</v>
      </c>
      <c r="Z884" s="45" t="str">
        <f>vlookup(G884,zip_codes!$B$6:$J988,9,false)</f>
        <v>Huntsville, Phelps</v>
      </c>
      <c r="AA884" s="44" t="str">
        <f>vlookup(B884,organizations!$B$1:$C988,2,false)</f>
        <v>Society of St Vincent de Paul</v>
      </c>
      <c r="AB884" s="46" t="s">
        <v>4397</v>
      </c>
      <c r="AC884" s="47" t="s">
        <v>1478</v>
      </c>
      <c r="AD884" s="48" t="s">
        <v>1857</v>
      </c>
      <c r="AE884" s="48" t="str">
        <f t="shared" si="99"/>
        <v>St Thomas the Apostle (SVdP D6) Huntsville13223 16th Street13</v>
      </c>
      <c r="AF884" s="48" t="str">
        <f t="shared" si="105"/>
        <v/>
      </c>
    </row>
    <row r="885" ht="66.75" customHeight="1">
      <c r="A885" s="49" t="s">
        <v>4398</v>
      </c>
      <c r="B885" s="35" t="s">
        <v>4399</v>
      </c>
      <c r="C885" s="36" t="s">
        <v>4400</v>
      </c>
      <c r="D885" s="36"/>
      <c r="E885" s="36" t="s">
        <v>36</v>
      </c>
      <c r="F885" s="36" t="s">
        <v>37</v>
      </c>
      <c r="G885" s="35" t="s">
        <v>318</v>
      </c>
      <c r="H885" s="35" t="s">
        <v>4401</v>
      </c>
      <c r="I885" s="35" t="s">
        <v>516</v>
      </c>
      <c r="J885" s="35" t="s">
        <v>4402</v>
      </c>
      <c r="K885" s="37">
        <f>IFERROR(__xludf.DUMMYFUNCTION("query(assistance!$A$2:$E988,""Select C Where D = '""&amp;L885&amp;""'"")"),11.0)</f>
        <v>11</v>
      </c>
      <c r="L885" s="36" t="s">
        <v>322</v>
      </c>
      <c r="M885" s="38">
        <f t="shared" si="106"/>
        <v>1</v>
      </c>
      <c r="N885" s="51" t="s">
        <v>42</v>
      </c>
      <c r="O885" s="40">
        <v>45652.0</v>
      </c>
      <c r="P885" s="50"/>
      <c r="Q885" s="35"/>
      <c r="R885" s="35" t="s">
        <v>4403</v>
      </c>
      <c r="S885" s="35" t="b">
        <v>0</v>
      </c>
      <c r="T885" s="35" t="b">
        <v>0</v>
      </c>
      <c r="U885" s="41" t="str">
        <f>IFERROR(__xludf.DUMMYFUNCTION("""["" &amp; JOIN("", "", ARRAYFORMULA("""""""" &amp; TRIM(SPLIT(A885, "","")) &amp; """""""")) &amp; ""]"""),"[""77005"", ""77025"", ""77030"", ""77045"", ""77081"", ""77401""]")</f>
        <v>["77005", "77025", "77030", "77045", "77081", "77401"]</v>
      </c>
      <c r="V885" s="52" t="s">
        <v>4404</v>
      </c>
      <c r="W885" s="52" t="s">
        <v>4405</v>
      </c>
      <c r="X885" s="52" t="s">
        <v>4406</v>
      </c>
      <c r="Y885" s="44" t="str">
        <f>vlookup(G885,zip_codes!$B$6:$J988,3,false)</f>
        <v>Houston</v>
      </c>
      <c r="Z885" s="45" t="str">
        <f>vlookup(G885,zip_codes!$B$6:$J988,9,false)</f>
        <v>Braeswood, Braeswood Place, Knollwood Village</v>
      </c>
      <c r="AA885" s="44" t="str">
        <f>vlookup(B885,organizations!$B$1:$C988,2,false)</f>
        <v>Society of St Vincent de Paul</v>
      </c>
      <c r="AB885" s="46" t="s">
        <v>4407</v>
      </c>
      <c r="AC885" s="47" t="s">
        <v>520</v>
      </c>
      <c r="AD885" s="48" t="s">
        <v>329</v>
      </c>
      <c r="AE885" s="48" t="str">
        <f t="shared" si="99"/>
        <v>St Vincent de Paul (SVdP D3)6800 Buffalo Speedway11</v>
      </c>
      <c r="AF885" s="48" t="str">
        <f t="shared" si="105"/>
        <v/>
      </c>
    </row>
    <row r="886" ht="66.75" customHeight="1">
      <c r="A886" s="49" t="s">
        <v>4398</v>
      </c>
      <c r="B886" s="35" t="s">
        <v>4399</v>
      </c>
      <c r="C886" s="36" t="s">
        <v>4400</v>
      </c>
      <c r="D886" s="36"/>
      <c r="E886" s="36" t="s">
        <v>36</v>
      </c>
      <c r="F886" s="36" t="s">
        <v>37</v>
      </c>
      <c r="G886" s="35" t="s">
        <v>318</v>
      </c>
      <c r="H886" s="35" t="s">
        <v>4401</v>
      </c>
      <c r="I886" s="35" t="s">
        <v>516</v>
      </c>
      <c r="J886" s="35" t="s">
        <v>4402</v>
      </c>
      <c r="K886" s="37">
        <f>IFERROR(__xludf.DUMMYFUNCTION("query(assistance!$A$2:$E988,""Select C Where D = '""&amp;L886&amp;""'"")"),12.0)</f>
        <v>12</v>
      </c>
      <c r="L886" s="36" t="s">
        <v>330</v>
      </c>
      <c r="M886" s="38">
        <f t="shared" si="106"/>
        <v>1</v>
      </c>
      <c r="N886" s="51" t="s">
        <v>42</v>
      </c>
      <c r="O886" s="40">
        <v>45652.0</v>
      </c>
      <c r="P886" s="50"/>
      <c r="Q886" s="35"/>
      <c r="R886" s="35" t="s">
        <v>4408</v>
      </c>
      <c r="S886" s="35" t="b">
        <v>0</v>
      </c>
      <c r="T886" s="35" t="b">
        <v>0</v>
      </c>
      <c r="U886" s="41" t="str">
        <f>IFERROR(__xludf.DUMMYFUNCTION("""["" &amp; JOIN("", "", ARRAYFORMULA("""""""" &amp; TRIM(SPLIT(A886, "","")) &amp; """""""")) &amp; ""]"""),"[""77005"", ""77025"", ""77030"", ""77045"", ""77081"", ""77401""]")</f>
        <v>["77005", "77025", "77030", "77045", "77081", "77401"]</v>
      </c>
      <c r="V886" s="52" t="s">
        <v>4404</v>
      </c>
      <c r="W886" s="52" t="s">
        <v>4405</v>
      </c>
      <c r="X886" s="52" t="s">
        <v>4406</v>
      </c>
      <c r="Y886" s="44" t="str">
        <f>vlookup(G886,zip_codes!$B$6:$J988,3,false)</f>
        <v>Houston</v>
      </c>
      <c r="Z886" s="45" t="str">
        <f>vlookup(G886,zip_codes!$B$6:$J988,9,false)</f>
        <v>Braeswood, Braeswood Place, Knollwood Village</v>
      </c>
      <c r="AA886" s="44" t="str">
        <f>vlookup(B886,organizations!$B$1:$C988,2,false)</f>
        <v>Society of St Vincent de Paul</v>
      </c>
      <c r="AB886" s="46" t="s">
        <v>4407</v>
      </c>
      <c r="AC886" s="47" t="s">
        <v>520</v>
      </c>
      <c r="AD886" s="48" t="s">
        <v>329</v>
      </c>
      <c r="AE886" s="48" t="str">
        <f t="shared" si="99"/>
        <v>St Vincent de Paul (SVdP D3)6800 Buffalo Speedway12</v>
      </c>
      <c r="AF886" s="48" t="str">
        <f t="shared" si="105"/>
        <v/>
      </c>
    </row>
    <row r="887" ht="66.75" customHeight="1">
      <c r="A887" s="49" t="s">
        <v>4398</v>
      </c>
      <c r="B887" s="35" t="s">
        <v>4399</v>
      </c>
      <c r="C887" s="36" t="s">
        <v>4400</v>
      </c>
      <c r="D887" s="36"/>
      <c r="E887" s="36" t="s">
        <v>36</v>
      </c>
      <c r="F887" s="36" t="s">
        <v>37</v>
      </c>
      <c r="G887" s="35" t="s">
        <v>318</v>
      </c>
      <c r="H887" s="35" t="s">
        <v>4401</v>
      </c>
      <c r="I887" s="35" t="s">
        <v>516</v>
      </c>
      <c r="J887" s="35" t="s">
        <v>4402</v>
      </c>
      <c r="K887" s="37">
        <f>IFERROR(__xludf.DUMMYFUNCTION("query(assistance!$A$2:$E988,""Select C Where D = '""&amp;L887&amp;""'"")"),36.0)</f>
        <v>36</v>
      </c>
      <c r="L887" s="36" t="s">
        <v>227</v>
      </c>
      <c r="M887" s="38">
        <f t="shared" si="106"/>
        <v>1</v>
      </c>
      <c r="N887" s="51" t="s">
        <v>42</v>
      </c>
      <c r="O887" s="40">
        <v>45652.0</v>
      </c>
      <c r="P887" s="50"/>
      <c r="Q887" s="35"/>
      <c r="R887" s="35" t="s">
        <v>4408</v>
      </c>
      <c r="S887" s="35" t="b">
        <v>0</v>
      </c>
      <c r="T887" s="35" t="b">
        <v>0</v>
      </c>
      <c r="U887" s="41" t="str">
        <f>IFERROR(__xludf.DUMMYFUNCTION("""["" &amp; JOIN("", "", ARRAYFORMULA("""""""" &amp; TRIM(SPLIT(A887, "","")) &amp; """""""")) &amp; ""]"""),"[""77005"", ""77025"", ""77030"", ""77045"", ""77081"", ""77401""]")</f>
        <v>["77005", "77025", "77030", "77045", "77081", "77401"]</v>
      </c>
      <c r="V887" s="52" t="s">
        <v>4404</v>
      </c>
      <c r="W887" s="52" t="s">
        <v>4405</v>
      </c>
      <c r="X887" s="52" t="s">
        <v>4406</v>
      </c>
      <c r="Y887" s="44" t="str">
        <f>vlookup(G887,zip_codes!$B$6:$J988,3,false)</f>
        <v>Houston</v>
      </c>
      <c r="Z887" s="45" t="str">
        <f>vlookup(G887,zip_codes!$B$6:$J988,9,false)</f>
        <v>Braeswood, Braeswood Place, Knollwood Village</v>
      </c>
      <c r="AA887" s="44" t="str">
        <f>vlookup(B887,organizations!$B$1:$C988,2,false)</f>
        <v>Society of St Vincent de Paul</v>
      </c>
      <c r="AB887" s="46" t="s">
        <v>4407</v>
      </c>
      <c r="AC887" s="47" t="s">
        <v>520</v>
      </c>
      <c r="AD887" s="48" t="s">
        <v>329</v>
      </c>
      <c r="AE887" s="48" t="str">
        <f t="shared" si="99"/>
        <v>St Vincent de Paul (SVdP D3)6800 Buffalo Speedway36</v>
      </c>
      <c r="AF887" s="48" t="str">
        <f t="shared" si="105"/>
        <v/>
      </c>
    </row>
    <row r="888" ht="66.75" customHeight="1">
      <c r="A888" s="49" t="s">
        <v>4398</v>
      </c>
      <c r="B888" s="35" t="s">
        <v>4399</v>
      </c>
      <c r="C888" s="36" t="s">
        <v>4400</v>
      </c>
      <c r="D888" s="36"/>
      <c r="E888" s="36" t="s">
        <v>36</v>
      </c>
      <c r="F888" s="36" t="s">
        <v>37</v>
      </c>
      <c r="G888" s="35" t="s">
        <v>318</v>
      </c>
      <c r="H888" s="35" t="s">
        <v>4401</v>
      </c>
      <c r="I888" s="35" t="s">
        <v>516</v>
      </c>
      <c r="J888" s="35" t="s">
        <v>4402</v>
      </c>
      <c r="K888" s="37">
        <f>IFERROR(__xludf.DUMMYFUNCTION("query(assistance!$A$2:$E988,""Select C Where D = '""&amp;L888&amp;""'"")"),53.0)</f>
        <v>53</v>
      </c>
      <c r="L888" s="36" t="s">
        <v>1109</v>
      </c>
      <c r="M888" s="38">
        <f t="shared" si="106"/>
        <v>1</v>
      </c>
      <c r="N888" s="51" t="s">
        <v>42</v>
      </c>
      <c r="O888" s="40">
        <v>45652.0</v>
      </c>
      <c r="P888" s="50"/>
      <c r="Q888" s="35"/>
      <c r="R888" s="35" t="s">
        <v>4408</v>
      </c>
      <c r="S888" s="35" t="b">
        <v>0</v>
      </c>
      <c r="T888" s="35" t="b">
        <v>0</v>
      </c>
      <c r="U888" s="41" t="str">
        <f>IFERROR(__xludf.DUMMYFUNCTION("""["" &amp; JOIN("", "", ARRAYFORMULA("""""""" &amp; TRIM(SPLIT(A888, "","")) &amp; """""""")) &amp; ""]"""),"[""77005"", ""77025"", ""77030"", ""77045"", ""77081"", ""77401""]")</f>
        <v>["77005", "77025", "77030", "77045", "77081", "77401"]</v>
      </c>
      <c r="V888" s="52" t="s">
        <v>4404</v>
      </c>
      <c r="W888" s="52" t="s">
        <v>4405</v>
      </c>
      <c r="X888" s="52" t="s">
        <v>4406</v>
      </c>
      <c r="Y888" s="44" t="str">
        <f>vlookup(G888,zip_codes!$B$6:$J988,3,false)</f>
        <v>Houston</v>
      </c>
      <c r="Z888" s="45" t="str">
        <f>vlookup(G888,zip_codes!$B$6:$J988,9,false)</f>
        <v>Braeswood, Braeswood Place, Knollwood Village</v>
      </c>
      <c r="AA888" s="44" t="str">
        <f>vlookup(B888,organizations!$B$1:$C988,2,false)</f>
        <v>Society of St Vincent de Paul</v>
      </c>
      <c r="AB888" s="46" t="s">
        <v>4407</v>
      </c>
      <c r="AC888" s="47" t="s">
        <v>520</v>
      </c>
      <c r="AD888" s="48" t="s">
        <v>329</v>
      </c>
      <c r="AE888" s="48" t="str">
        <f t="shared" si="99"/>
        <v>St Vincent de Paul (SVdP D3)6800 Buffalo Speedway53</v>
      </c>
      <c r="AF888" s="48" t="str">
        <f t="shared" si="105"/>
        <v/>
      </c>
    </row>
    <row r="889" ht="66.75" customHeight="1">
      <c r="A889" s="34" t="s">
        <v>4409</v>
      </c>
      <c r="B889" s="35" t="s">
        <v>4410</v>
      </c>
      <c r="C889" s="36" t="s">
        <v>4411</v>
      </c>
      <c r="D889" s="36"/>
      <c r="E889" s="36" t="s">
        <v>1175</v>
      </c>
      <c r="F889" s="36" t="s">
        <v>37</v>
      </c>
      <c r="G889" s="35" t="s">
        <v>1176</v>
      </c>
      <c r="H889" s="35" t="s">
        <v>4412</v>
      </c>
      <c r="I889" s="35" t="s">
        <v>4413</v>
      </c>
      <c r="J889" s="35" t="s">
        <v>89</v>
      </c>
      <c r="K889" s="37">
        <f>IFERROR(__xludf.DUMMYFUNCTION("query(assistance!$A$2:$E988,""Select C Where D = '""&amp;L889&amp;""'"")"),11.0)</f>
        <v>11</v>
      </c>
      <c r="L889" s="36" t="s">
        <v>322</v>
      </c>
      <c r="M889" s="38">
        <f t="shared" si="106"/>
        <v>1</v>
      </c>
      <c r="N889" s="39" t="s">
        <v>42</v>
      </c>
      <c r="O889" s="57">
        <v>45853.0</v>
      </c>
      <c r="P889" s="35" t="s">
        <v>43</v>
      </c>
      <c r="Q889" s="35"/>
      <c r="R889" s="35" t="s">
        <v>4414</v>
      </c>
      <c r="S889" s="35" t="b">
        <v>0</v>
      </c>
      <c r="T889" s="35" t="b">
        <v>0</v>
      </c>
      <c r="U889" s="41" t="str">
        <f>IFERROR(__xludf.DUMMYFUNCTION("""["" &amp; JOIN("", "", ARRAYFORMULA("""""""" &amp; TRIM(SPLIT(A889, "","")) &amp; """""""")) &amp; ""]"""),"[""77510"", ""77517"", ""77518"", ""77548"", ""77549"", ""77550"", ""77551"", ""77552"", ""77553"", ""77554"", ""77555"", ""77563"", ""77565"", ""77568"", ""77573"", ""77590"", ""77591""]")</f>
        <v>["77510", "77517", "77518", "77548", "77549", "77550", "77551", "77552", "77553", "77554", "77555", "77563", "77565", "77568", "77573", "77590", "77591"]</v>
      </c>
      <c r="V889" s="42" t="s">
        <v>4415</v>
      </c>
      <c r="W889" s="42" t="s">
        <v>4416</v>
      </c>
      <c r="X889" s="43"/>
      <c r="Y889" s="44" t="str">
        <f>vlookup(G889,zip_codes!$B$6:$J988,3,false)</f>
        <v>Galveston</v>
      </c>
      <c r="Z889" s="45" t="str">
        <f>vlookup(G889,zip_codes!$B$6:$J988,9,false)</f>
        <v>Galveston</v>
      </c>
      <c r="AA889" s="44" t="str">
        <f>vlookup(B889,organizations!$B$1:$C988,2,false)</f>
        <v>St Vincent's House</v>
      </c>
      <c r="AB889" s="55" t="s">
        <v>4417</v>
      </c>
      <c r="AC889" s="47" t="s">
        <v>4418</v>
      </c>
      <c r="AD889" s="48" t="s">
        <v>1175</v>
      </c>
      <c r="AE889" s="48" t="str">
        <f t="shared" si="99"/>
        <v>St Vincent's House2817 Post Office Street11</v>
      </c>
      <c r="AF889" s="48" t="str">
        <f t="shared" si="105"/>
        <v/>
      </c>
    </row>
    <row r="890" ht="66.75" customHeight="1">
      <c r="A890" s="34" t="s">
        <v>4409</v>
      </c>
      <c r="B890" s="35" t="s">
        <v>4410</v>
      </c>
      <c r="C890" s="36" t="s">
        <v>4411</v>
      </c>
      <c r="D890" s="36"/>
      <c r="E890" s="36" t="s">
        <v>1175</v>
      </c>
      <c r="F890" s="36" t="s">
        <v>37</v>
      </c>
      <c r="G890" s="35" t="s">
        <v>1176</v>
      </c>
      <c r="H890" s="35" t="s">
        <v>4412</v>
      </c>
      <c r="I890" s="35" t="s">
        <v>4413</v>
      </c>
      <c r="J890" s="35" t="s">
        <v>89</v>
      </c>
      <c r="K890" s="37">
        <f>IFERROR(__xludf.DUMMYFUNCTION("query(assistance!$A$2:$E988,""Select C Where D = '""&amp;L890&amp;""'"")"),12.0)</f>
        <v>12</v>
      </c>
      <c r="L890" s="36" t="s">
        <v>330</v>
      </c>
      <c r="M890" s="38">
        <f t="shared" si="106"/>
        <v>1</v>
      </c>
      <c r="N890" s="39" t="s">
        <v>42</v>
      </c>
      <c r="O890" s="57">
        <v>45853.0</v>
      </c>
      <c r="P890" s="35" t="s">
        <v>43</v>
      </c>
      <c r="Q890" s="35"/>
      <c r="R890" s="35" t="s">
        <v>4414</v>
      </c>
      <c r="S890" s="35" t="b">
        <v>0</v>
      </c>
      <c r="T890" s="35" t="b">
        <v>0</v>
      </c>
      <c r="U890" s="41" t="str">
        <f>IFERROR(__xludf.DUMMYFUNCTION("""["" &amp; JOIN("", "", ARRAYFORMULA("""""""" &amp; TRIM(SPLIT(A890, "","")) &amp; """""""")) &amp; ""]"""),"[""77510"", ""77517"", ""77518"", ""77548"", ""77549"", ""77550"", ""77551"", ""77552"", ""77553"", ""77554"", ""77555"", ""77563"", ""77565"", ""77568"", ""77573"", ""77590"", ""77591""]")</f>
        <v>["77510", "77517", "77518", "77548", "77549", "77550", "77551", "77552", "77553", "77554", "77555", "77563", "77565", "77568", "77573", "77590", "77591"]</v>
      </c>
      <c r="V890" s="42" t="s">
        <v>4415</v>
      </c>
      <c r="W890" s="42" t="s">
        <v>4416</v>
      </c>
      <c r="X890" s="43"/>
      <c r="Y890" s="44" t="str">
        <f>vlookup(G890,zip_codes!$B$6:$J988,3,false)</f>
        <v>Galveston</v>
      </c>
      <c r="Z890" s="45" t="str">
        <f>vlookup(G890,zip_codes!$B$6:$J988,9,false)</f>
        <v>Galveston</v>
      </c>
      <c r="AA890" s="44" t="str">
        <f>vlookup(B890,organizations!$B$1:$C988,2,false)</f>
        <v>St Vincent's House</v>
      </c>
      <c r="AB890" s="55" t="s">
        <v>4417</v>
      </c>
      <c r="AC890" s="47" t="s">
        <v>4418</v>
      </c>
      <c r="AD890" s="48" t="s">
        <v>1175</v>
      </c>
      <c r="AE890" s="48" t="str">
        <f t="shared" si="99"/>
        <v>St Vincent's House2817 Post Office Street12</v>
      </c>
      <c r="AF890" s="48" t="str">
        <f t="shared" si="105"/>
        <v/>
      </c>
    </row>
    <row r="891" ht="66.75" customHeight="1">
      <c r="A891" s="34" t="s">
        <v>4409</v>
      </c>
      <c r="B891" s="35" t="s">
        <v>4410</v>
      </c>
      <c r="C891" s="36" t="s">
        <v>4411</v>
      </c>
      <c r="D891" s="36"/>
      <c r="E891" s="36" t="s">
        <v>1175</v>
      </c>
      <c r="F891" s="36" t="s">
        <v>37</v>
      </c>
      <c r="G891" s="35" t="s">
        <v>1176</v>
      </c>
      <c r="H891" s="35" t="s">
        <v>4412</v>
      </c>
      <c r="I891" s="35" t="s">
        <v>1378</v>
      </c>
      <c r="J891" s="35"/>
      <c r="K891" s="37">
        <f>IFERROR(__xludf.DUMMYFUNCTION("query(assistance!$A$2:$E988,""Select C Where D = '""&amp;L891&amp;""'"")"),13.0)</f>
        <v>13</v>
      </c>
      <c r="L891" s="36" t="s">
        <v>240</v>
      </c>
      <c r="M891" s="38">
        <f t="shared" si="106"/>
        <v>1</v>
      </c>
      <c r="N891" s="39" t="s">
        <v>42</v>
      </c>
      <c r="O891" s="57">
        <v>45853.0</v>
      </c>
      <c r="P891" s="35" t="s">
        <v>43</v>
      </c>
      <c r="Q891" s="35"/>
      <c r="R891" s="35" t="s">
        <v>4419</v>
      </c>
      <c r="S891" s="35" t="b">
        <v>0</v>
      </c>
      <c r="T891" s="35" t="b">
        <v>0</v>
      </c>
      <c r="U891" s="41" t="str">
        <f>IFERROR(__xludf.DUMMYFUNCTION("""["" &amp; JOIN("", "", ARRAYFORMULA("""""""" &amp; TRIM(SPLIT(A891, "","")) &amp; """""""")) &amp; ""]"""),"[""77510"", ""77517"", ""77518"", ""77548"", ""77549"", ""77550"", ""77551"", ""77552"", ""77553"", ""77554"", ""77555"", ""77563"", ""77565"", ""77568"", ""77573"", ""77590"", ""77591""]")</f>
        <v>["77510", "77517", "77518", "77548", "77549", "77550", "77551", "77552", "77553", "77554", "77555", "77563", "77565", "77568", "77573", "77590", "77591"]</v>
      </c>
      <c r="V891" s="42" t="s">
        <v>4415</v>
      </c>
      <c r="W891" s="42" t="s">
        <v>4416</v>
      </c>
      <c r="X891" s="43"/>
      <c r="Y891" s="44" t="str">
        <f>vlookup(G891,zip_codes!$B$6:$J988,3,false)</f>
        <v>Galveston</v>
      </c>
      <c r="Z891" s="45" t="str">
        <f>vlookup(G891,zip_codes!$B$6:$J988,9,false)</f>
        <v>Galveston</v>
      </c>
      <c r="AA891" s="44" t="str">
        <f>vlookup(B891,organizations!$B$1:$C988,2,false)</f>
        <v>St Vincent's House</v>
      </c>
      <c r="AB891" s="55" t="s">
        <v>4417</v>
      </c>
      <c r="AC891" s="47" t="s">
        <v>1385</v>
      </c>
      <c r="AD891" s="48" t="s">
        <v>1175</v>
      </c>
      <c r="AE891" s="48" t="str">
        <f t="shared" si="99"/>
        <v>St Vincent's House2817 Post Office Street13</v>
      </c>
      <c r="AF891" s="48" t="str">
        <f t="shared" si="105"/>
        <v/>
      </c>
    </row>
    <row r="892" ht="66.75" customHeight="1">
      <c r="A892" s="34" t="s">
        <v>4409</v>
      </c>
      <c r="B892" s="35" t="s">
        <v>4410</v>
      </c>
      <c r="C892" s="36" t="s">
        <v>4411</v>
      </c>
      <c r="D892" s="36"/>
      <c r="E892" s="36" t="s">
        <v>1175</v>
      </c>
      <c r="F892" s="36" t="s">
        <v>37</v>
      </c>
      <c r="G892" s="35" t="s">
        <v>1176</v>
      </c>
      <c r="H892" s="35" t="s">
        <v>4420</v>
      </c>
      <c r="I892" s="35" t="s">
        <v>4421</v>
      </c>
      <c r="J892" s="35" t="s">
        <v>298</v>
      </c>
      <c r="K892" s="37">
        <f>IFERROR(__xludf.DUMMYFUNCTION("query(assistance!$A$2:$E988,""Select C Where D = '""&amp;L892&amp;""'"")"),31.0)</f>
        <v>31</v>
      </c>
      <c r="L892" s="36" t="s">
        <v>90</v>
      </c>
      <c r="M892" s="38">
        <f t="shared" si="106"/>
        <v>1</v>
      </c>
      <c r="N892" s="39" t="s">
        <v>42</v>
      </c>
      <c r="O892" s="57">
        <v>46049.0</v>
      </c>
      <c r="P892" s="35" t="s">
        <v>43</v>
      </c>
      <c r="Q892" s="35"/>
      <c r="R892" s="35" t="s">
        <v>4422</v>
      </c>
      <c r="S892" s="35" t="b">
        <v>0</v>
      </c>
      <c r="T892" s="35" t="b">
        <v>0</v>
      </c>
      <c r="U892" s="41" t="str">
        <f>IFERROR(__xludf.DUMMYFUNCTION("""["" &amp; JOIN("", "", ARRAYFORMULA("""""""" &amp; TRIM(SPLIT(A892, "","")) &amp; """""""")) &amp; ""]"""),"[""77510"", ""77517"", ""77518"", ""77548"", ""77549"", ""77550"", ""77551"", ""77552"", ""77553"", ""77554"", ""77555"", ""77563"", ""77565"", ""77568"", ""77573"", ""77590"", ""77591""]")</f>
        <v>["77510", "77517", "77518", "77548", "77549", "77550", "77551", "77552", "77553", "77554", "77555", "77563", "77565", "77568", "77573", "77590", "77591"]</v>
      </c>
      <c r="V892" s="42" t="s">
        <v>4423</v>
      </c>
      <c r="W892" s="42" t="s">
        <v>4416</v>
      </c>
      <c r="X892" s="43"/>
      <c r="Y892" s="44" t="str">
        <f>vlookup(G892,zip_codes!$B$6:$J988,3,false)</f>
        <v>Galveston</v>
      </c>
      <c r="Z892" s="45" t="str">
        <f>vlookup(G892,zip_codes!$B$6:$J988,9,false)</f>
        <v>Galveston</v>
      </c>
      <c r="AA892" s="44" t="str">
        <f>vlookup(B892,organizations!$B$1:$C988,2,false)</f>
        <v>St Vincent's House</v>
      </c>
      <c r="AB892" s="55" t="s">
        <v>4417</v>
      </c>
      <c r="AC892" s="47" t="s">
        <v>4424</v>
      </c>
      <c r="AD892" s="48" t="s">
        <v>1175</v>
      </c>
      <c r="AE892" s="48" t="str">
        <f t="shared" si="99"/>
        <v>St Vincent's House2817 Post Office Street31</v>
      </c>
      <c r="AF892" s="48" t="str">
        <f t="shared" si="105"/>
        <v/>
      </c>
    </row>
    <row r="893" ht="66.75" customHeight="1">
      <c r="A893" s="34" t="s">
        <v>4409</v>
      </c>
      <c r="B893" s="35" t="s">
        <v>4410</v>
      </c>
      <c r="C893" s="36" t="s">
        <v>4411</v>
      </c>
      <c r="D893" s="36"/>
      <c r="E893" s="36" t="s">
        <v>1175</v>
      </c>
      <c r="F893" s="36" t="s">
        <v>37</v>
      </c>
      <c r="G893" s="35" t="s">
        <v>1176</v>
      </c>
      <c r="H893" s="35" t="s">
        <v>4420</v>
      </c>
      <c r="I893" s="35" t="s">
        <v>4425</v>
      </c>
      <c r="J893" s="35" t="s">
        <v>298</v>
      </c>
      <c r="K893" s="37">
        <f>IFERROR(__xludf.DUMMYFUNCTION("query(assistance!$A$2:$E988,""Select C Where D = '""&amp;L893&amp;""'"")"),32.0)</f>
        <v>32</v>
      </c>
      <c r="L893" s="36" t="s">
        <v>208</v>
      </c>
      <c r="M893" s="38">
        <f t="shared" si="106"/>
        <v>1</v>
      </c>
      <c r="N893" s="39" t="s">
        <v>42</v>
      </c>
      <c r="O893" s="57">
        <v>46049.0</v>
      </c>
      <c r="P893" s="35" t="s">
        <v>43</v>
      </c>
      <c r="Q893" s="35"/>
      <c r="R893" s="35" t="s">
        <v>4426</v>
      </c>
      <c r="S893" s="35" t="b">
        <v>1</v>
      </c>
      <c r="T893" s="35" t="b">
        <v>0</v>
      </c>
      <c r="U893" s="41" t="str">
        <f>IFERROR(__xludf.DUMMYFUNCTION("""["" &amp; JOIN("", "", ARRAYFORMULA("""""""" &amp; TRIM(SPLIT(A893, "","")) &amp; """""""")) &amp; ""]"""),"[""77510"", ""77517"", ""77518"", ""77548"", ""77549"", ""77550"", ""77551"", ""77552"", ""77553"", ""77554"", ""77555"", ""77563"", ""77565"", ""77568"", ""77573"", ""77590"", ""77591""]")</f>
        <v>["77510", "77517", "77518", "77548", "77549", "77550", "77551", "77552", "77553", "77554", "77555", "77563", "77565", "77568", "77573", "77590", "77591"]</v>
      </c>
      <c r="V893" s="42" t="s">
        <v>4423</v>
      </c>
      <c r="W893" s="42" t="s">
        <v>4416</v>
      </c>
      <c r="X893" s="43"/>
      <c r="Y893" s="44" t="str">
        <f>vlookup(G893,zip_codes!$B$6:$J988,3,false)</f>
        <v>Galveston</v>
      </c>
      <c r="Z893" s="45" t="str">
        <f>vlookup(G893,zip_codes!$B$6:$J988,9,false)</f>
        <v>Galveston</v>
      </c>
      <c r="AA893" s="44" t="str">
        <f>vlookup(B893,organizations!$B$1:$C988,2,false)</f>
        <v>St Vincent's House</v>
      </c>
      <c r="AB893" s="55" t="s">
        <v>4417</v>
      </c>
      <c r="AC893" s="47" t="s">
        <v>4424</v>
      </c>
      <c r="AD893" s="48" t="s">
        <v>1175</v>
      </c>
      <c r="AE893" s="48" t="str">
        <f t="shared" si="99"/>
        <v>St Vincent's House2817 Post Office Street32</v>
      </c>
      <c r="AF893" s="48" t="str">
        <f t="shared" si="105"/>
        <v/>
      </c>
    </row>
    <row r="894" ht="66.75" customHeight="1">
      <c r="A894" s="34" t="s">
        <v>4409</v>
      </c>
      <c r="B894" s="35" t="s">
        <v>4410</v>
      </c>
      <c r="C894" s="36" t="s">
        <v>4411</v>
      </c>
      <c r="D894" s="36"/>
      <c r="E894" s="36" t="s">
        <v>1175</v>
      </c>
      <c r="F894" s="36" t="s">
        <v>37</v>
      </c>
      <c r="G894" s="35" t="s">
        <v>1176</v>
      </c>
      <c r="H894" s="35" t="s">
        <v>4420</v>
      </c>
      <c r="I894" s="35" t="s">
        <v>4421</v>
      </c>
      <c r="J894" s="35" t="s">
        <v>298</v>
      </c>
      <c r="K894" s="37">
        <f>IFERROR(__xludf.DUMMYFUNCTION("query(assistance!$A$2:$E988,""Select C Where D = '""&amp;L894&amp;""'"")"),32.0)</f>
        <v>32</v>
      </c>
      <c r="L894" s="36" t="s">
        <v>208</v>
      </c>
      <c r="M894" s="38">
        <f t="shared" si="106"/>
        <v>1</v>
      </c>
      <c r="N894" s="39" t="s">
        <v>42</v>
      </c>
      <c r="O894" s="57">
        <v>46049.0</v>
      </c>
      <c r="P894" s="35" t="s">
        <v>43</v>
      </c>
      <c r="Q894" s="35"/>
      <c r="R894" s="35" t="s">
        <v>4427</v>
      </c>
      <c r="S894" s="35" t="b">
        <v>1</v>
      </c>
      <c r="T894" s="35" t="b">
        <v>0</v>
      </c>
      <c r="U894" s="41" t="str">
        <f>IFERROR(__xludf.DUMMYFUNCTION("""["" &amp; JOIN("", "", ARRAYFORMULA("""""""" &amp; TRIM(SPLIT(A894, "","")) &amp; """""""")) &amp; ""]"""),"[""77510"", ""77517"", ""77518"", ""77548"", ""77549"", ""77550"", ""77551"", ""77552"", ""77553"", ""77554"", ""77555"", ""77563"", ""77565"", ""77568"", ""77573"", ""77590"", ""77591""]")</f>
        <v>["77510", "77517", "77518", "77548", "77549", "77550", "77551", "77552", "77553", "77554", "77555", "77563", "77565", "77568", "77573", "77590", "77591"]</v>
      </c>
      <c r="V894" s="42" t="s">
        <v>4423</v>
      </c>
      <c r="W894" s="42" t="s">
        <v>4416</v>
      </c>
      <c r="X894" s="43"/>
      <c r="Y894" s="44" t="str">
        <f>vlookup(G894,zip_codes!$B$6:$J988,3,false)</f>
        <v>Galveston</v>
      </c>
      <c r="Z894" s="45" t="str">
        <f>vlookup(G894,zip_codes!$B$6:$J988,9,false)</f>
        <v>Galveston</v>
      </c>
      <c r="AA894" s="44" t="str">
        <f>vlookup(B894,organizations!$B$1:$C988,2,false)</f>
        <v>St Vincent's House</v>
      </c>
      <c r="AB894" s="55" t="s">
        <v>4417</v>
      </c>
      <c r="AC894" s="47" t="s">
        <v>4424</v>
      </c>
      <c r="AD894" s="48" t="s">
        <v>1175</v>
      </c>
      <c r="AE894" s="48" t="str">
        <f t="shared" si="99"/>
        <v>St Vincent's House2817 Post Office Street32</v>
      </c>
      <c r="AF894" s="48" t="str">
        <f t="shared" si="105"/>
        <v>XXX</v>
      </c>
    </row>
    <row r="895" ht="66.75" customHeight="1">
      <c r="A895" s="34" t="s">
        <v>4409</v>
      </c>
      <c r="B895" s="35" t="s">
        <v>4410</v>
      </c>
      <c r="C895" s="36" t="s">
        <v>4411</v>
      </c>
      <c r="D895" s="36"/>
      <c r="E895" s="36" t="s">
        <v>1175</v>
      </c>
      <c r="F895" s="36" t="s">
        <v>37</v>
      </c>
      <c r="G895" s="35" t="s">
        <v>1176</v>
      </c>
      <c r="H895" s="35" t="s">
        <v>4420</v>
      </c>
      <c r="I895" s="35" t="s">
        <v>4421</v>
      </c>
      <c r="J895" s="35" t="s">
        <v>298</v>
      </c>
      <c r="K895" s="37">
        <f>IFERROR(__xludf.DUMMYFUNCTION("query(assistance!$A$2:$E988,""Select C Where D = '""&amp;L895&amp;""'"")"),33.0)</f>
        <v>33</v>
      </c>
      <c r="L895" s="36" t="s">
        <v>333</v>
      </c>
      <c r="M895" s="38">
        <f t="shared" si="106"/>
        <v>1</v>
      </c>
      <c r="N895" s="39" t="s">
        <v>42</v>
      </c>
      <c r="O895" s="57">
        <v>46049.0</v>
      </c>
      <c r="P895" s="35" t="s">
        <v>43</v>
      </c>
      <c r="Q895" s="35"/>
      <c r="R895" s="35" t="s">
        <v>4428</v>
      </c>
      <c r="S895" s="35" t="b">
        <v>0</v>
      </c>
      <c r="T895" s="35" t="b">
        <v>0</v>
      </c>
      <c r="U895" s="41" t="str">
        <f>IFERROR(__xludf.DUMMYFUNCTION("""["" &amp; JOIN("", "", ARRAYFORMULA("""""""" &amp; TRIM(SPLIT(A895, "","")) &amp; """""""")) &amp; ""]"""),"[""77510"", ""77517"", ""77518"", ""77548"", ""77549"", ""77550"", ""77551"", ""77552"", ""77553"", ""77554"", ""77555"", ""77563"", ""77565"", ""77568"", ""77573"", ""77590"", ""77591""]")</f>
        <v>["77510", "77517", "77518", "77548", "77549", "77550", "77551", "77552", "77553", "77554", "77555", "77563", "77565", "77568", "77573", "77590", "77591"]</v>
      </c>
      <c r="V895" s="42" t="s">
        <v>4423</v>
      </c>
      <c r="W895" s="42" t="s">
        <v>4416</v>
      </c>
      <c r="X895" s="43"/>
      <c r="Y895" s="44" t="str">
        <f>vlookup(G895,zip_codes!$B$6:$J988,3,false)</f>
        <v>Galveston</v>
      </c>
      <c r="Z895" s="45" t="str">
        <f>vlookup(G895,zip_codes!$B$6:$J988,9,false)</f>
        <v>Galveston</v>
      </c>
      <c r="AA895" s="44" t="str">
        <f>vlookup(B895,organizations!$B$1:$C988,2,false)</f>
        <v>St Vincent's House</v>
      </c>
      <c r="AB895" s="55" t="s">
        <v>4417</v>
      </c>
      <c r="AC895" s="47" t="s">
        <v>4424</v>
      </c>
      <c r="AD895" s="48" t="s">
        <v>1175</v>
      </c>
      <c r="AE895" s="48" t="str">
        <f t="shared" si="99"/>
        <v>St Vincent's House2817 Post Office Street33</v>
      </c>
      <c r="AF895" s="48" t="str">
        <f t="shared" si="105"/>
        <v/>
      </c>
    </row>
    <row r="896" ht="66.75" customHeight="1">
      <c r="A896" s="34" t="s">
        <v>4409</v>
      </c>
      <c r="B896" s="35" t="s">
        <v>4410</v>
      </c>
      <c r="C896" s="36" t="s">
        <v>4411</v>
      </c>
      <c r="D896" s="36"/>
      <c r="E896" s="36" t="s">
        <v>1175</v>
      </c>
      <c r="F896" s="36" t="s">
        <v>37</v>
      </c>
      <c r="G896" s="35" t="s">
        <v>1176</v>
      </c>
      <c r="H896" s="35" t="s">
        <v>4412</v>
      </c>
      <c r="I896" s="35" t="s">
        <v>4429</v>
      </c>
      <c r="J896" s="35" t="s">
        <v>298</v>
      </c>
      <c r="K896" s="37">
        <f>IFERROR(__xludf.DUMMYFUNCTION("query(assistance!$A$2:$E988,""Select C Where D = '""&amp;L896&amp;""'"")"),53.0)</f>
        <v>53</v>
      </c>
      <c r="L896" s="36" t="s">
        <v>1109</v>
      </c>
      <c r="M896" s="38">
        <f t="shared" si="106"/>
        <v>1</v>
      </c>
      <c r="N896" s="39" t="s">
        <v>42</v>
      </c>
      <c r="O896" s="57">
        <v>45853.0</v>
      </c>
      <c r="P896" s="35" t="s">
        <v>43</v>
      </c>
      <c r="Q896" s="35"/>
      <c r="R896" s="35" t="s">
        <v>4430</v>
      </c>
      <c r="S896" s="35" t="b">
        <v>0</v>
      </c>
      <c r="T896" s="35" t="b">
        <v>0</v>
      </c>
      <c r="U896" s="41" t="str">
        <f>IFERROR(__xludf.DUMMYFUNCTION("""["" &amp; JOIN("", "", ARRAYFORMULA("""""""" &amp; TRIM(SPLIT(A896, "","")) &amp; """""""")) &amp; ""]"""),"[""77510"", ""77517"", ""77518"", ""77548"", ""77549"", ""77550"", ""77551"", ""77552"", ""77553"", ""77554"", ""77555"", ""77563"", ""77565"", ""77568"", ""77573"", ""77590"", ""77591""]")</f>
        <v>["77510", "77517", "77518", "77548", "77549", "77550", "77551", "77552", "77553", "77554", "77555", "77563", "77565", "77568", "77573", "77590", "77591"]</v>
      </c>
      <c r="V896" s="42" t="s">
        <v>4415</v>
      </c>
      <c r="W896" s="42" t="s">
        <v>4416</v>
      </c>
      <c r="X896" s="43"/>
      <c r="Y896" s="44" t="str">
        <f>vlookup(G896,zip_codes!$B$6:$J988,3,false)</f>
        <v>Galveston</v>
      </c>
      <c r="Z896" s="45" t="str">
        <f>vlookup(G896,zip_codes!$B$6:$J988,9,false)</f>
        <v>Galveston</v>
      </c>
      <c r="AA896" s="44" t="str">
        <f>vlookup(B896,organizations!$B$1:$C988,2,false)</f>
        <v>St Vincent's House</v>
      </c>
      <c r="AB896" s="55" t="s">
        <v>4417</v>
      </c>
      <c r="AC896" s="47" t="s">
        <v>4431</v>
      </c>
      <c r="AD896" s="48" t="s">
        <v>1175</v>
      </c>
      <c r="AE896" s="48" t="str">
        <f t="shared" si="99"/>
        <v>St Vincent's House2817 Post Office Street53</v>
      </c>
      <c r="AF896" s="48" t="str">
        <f t="shared" si="105"/>
        <v/>
      </c>
    </row>
    <row r="897" ht="66.75" customHeight="1">
      <c r="A897" s="49" t="s">
        <v>50</v>
      </c>
      <c r="B897" s="35" t="s">
        <v>4432</v>
      </c>
      <c r="C897" s="36" t="s">
        <v>4433</v>
      </c>
      <c r="D897" s="36"/>
      <c r="E897" s="36" t="s">
        <v>36</v>
      </c>
      <c r="F897" s="36" t="s">
        <v>37</v>
      </c>
      <c r="G897" s="35" t="s">
        <v>881</v>
      </c>
      <c r="H897" s="35" t="s">
        <v>4434</v>
      </c>
      <c r="I897" s="35" t="s">
        <v>4435</v>
      </c>
      <c r="J897" s="35" t="s">
        <v>1399</v>
      </c>
      <c r="K897" s="37">
        <f>IFERROR(__xludf.DUMMYFUNCTION("query(assistance!$A$2:$E988,""Select C Where D = '""&amp;L897&amp;""'"")"),21.0)</f>
        <v>21</v>
      </c>
      <c r="L897" s="36" t="s">
        <v>777</v>
      </c>
      <c r="M897" s="38">
        <f t="shared" si="106"/>
        <v>1</v>
      </c>
      <c r="N897" s="51" t="s">
        <v>42</v>
      </c>
      <c r="O897" s="57">
        <v>45941.0</v>
      </c>
      <c r="P897" s="35" t="s">
        <v>43</v>
      </c>
      <c r="Q897" s="35"/>
      <c r="R897" s="35" t="s">
        <v>4436</v>
      </c>
      <c r="S897" s="35" t="b">
        <v>0</v>
      </c>
      <c r="T897" s="35" t="b">
        <v>0</v>
      </c>
      <c r="U897" s="41" t="str">
        <f>IFERROR(__xludf.DUMMYFUNCTION("""["" &amp; JOIN("", "", ARRAYFORMULA("""""""" &amp; TRIM(SPLIT(A897, "","")) &amp; """""""")) &amp; ""]"""),"[""99999""]")</f>
        <v>["99999"]</v>
      </c>
      <c r="V897" s="42" t="s">
        <v>4437</v>
      </c>
      <c r="W897" s="42" t="s">
        <v>4438</v>
      </c>
      <c r="X897" s="43"/>
      <c r="Y897" s="44" t="str">
        <f>vlookup(G897,zip_codes!$B$6:$J988,3,false)</f>
        <v>Houston</v>
      </c>
      <c r="Z897" s="45" t="str">
        <f>vlookup(G897,zip_codes!$B$6:$J988,9,false)</f>
        <v>Central Southwest, South Park, South Side, Sunnyside</v>
      </c>
      <c r="AA897" s="44" t="str">
        <f>vlookup(B897,organizations!$B$1:$C988,2,false)</f>
        <v>Star of Hope Mission</v>
      </c>
      <c r="AB897" s="46" t="s">
        <v>4439</v>
      </c>
      <c r="AC897" s="47" t="s">
        <v>4440</v>
      </c>
      <c r="AD897" s="48" t="s">
        <v>662</v>
      </c>
      <c r="AE897" s="48" t="str">
        <f t="shared" si="99"/>
        <v>Star of Hope - Cornerstone Community2575 Reed Road21</v>
      </c>
      <c r="AF897" s="48" t="str">
        <f t="shared" si="105"/>
        <v/>
      </c>
    </row>
    <row r="898" ht="66.75" customHeight="1">
      <c r="A898" s="49" t="s">
        <v>50</v>
      </c>
      <c r="B898" s="35" t="s">
        <v>4432</v>
      </c>
      <c r="C898" s="36" t="s">
        <v>4433</v>
      </c>
      <c r="D898" s="36"/>
      <c r="E898" s="36" t="s">
        <v>36</v>
      </c>
      <c r="F898" s="36" t="s">
        <v>37</v>
      </c>
      <c r="G898" s="35" t="s">
        <v>881</v>
      </c>
      <c r="H898" s="35" t="s">
        <v>4441</v>
      </c>
      <c r="I898" s="35" t="s">
        <v>1102</v>
      </c>
      <c r="J898" s="35"/>
      <c r="K898" s="37">
        <f>IFERROR(__xludf.DUMMYFUNCTION("query(assistance!$A$2:$E988,""Select C Where D = '""&amp;L898&amp;""'"")"),52.0)</f>
        <v>52</v>
      </c>
      <c r="L898" s="36" t="s">
        <v>336</v>
      </c>
      <c r="M898" s="38">
        <f t="shared" si="106"/>
        <v>1</v>
      </c>
      <c r="N898" s="51" t="s">
        <v>42</v>
      </c>
      <c r="O898" s="57">
        <v>45795.0</v>
      </c>
      <c r="P898" s="35" t="s">
        <v>43</v>
      </c>
      <c r="Q898" s="35"/>
      <c r="R898" s="35" t="s">
        <v>4442</v>
      </c>
      <c r="S898" s="35" t="b">
        <v>0</v>
      </c>
      <c r="T898" s="35" t="b">
        <v>0</v>
      </c>
      <c r="U898" s="41" t="str">
        <f>IFERROR(__xludf.DUMMYFUNCTION("""["" &amp; JOIN("", "", ARRAYFORMULA("""""""" &amp; TRIM(SPLIT(A898, "","")) &amp; """""""")) &amp; ""]"""),"[""99999""]")</f>
        <v>["99999"]</v>
      </c>
      <c r="V898" s="42" t="s">
        <v>4443</v>
      </c>
      <c r="W898" s="42" t="s">
        <v>4444</v>
      </c>
      <c r="X898" s="43"/>
      <c r="Y898" s="44" t="str">
        <f>vlookup(G898,zip_codes!$B$6:$J988,3,false)</f>
        <v>Houston</v>
      </c>
      <c r="Z898" s="45" t="str">
        <f>vlookup(G898,zip_codes!$B$6:$J988,9,false)</f>
        <v>Central Southwest, South Park, South Side, Sunnyside</v>
      </c>
      <c r="AA898" s="44" t="str">
        <f>vlookup(B898,organizations!$B$1:$C988,2,false)</f>
        <v>Star of Hope Mission</v>
      </c>
      <c r="AB898" s="46" t="s">
        <v>4439</v>
      </c>
      <c r="AC898" s="47" t="s">
        <v>1107</v>
      </c>
      <c r="AD898" s="48" t="s">
        <v>662</v>
      </c>
      <c r="AE898" s="48" t="str">
        <f t="shared" si="99"/>
        <v>Star of Hope - Cornerstone Community2575 Reed Road52</v>
      </c>
      <c r="AF898" s="48" t="str">
        <f t="shared" si="105"/>
        <v/>
      </c>
    </row>
    <row r="899" ht="66.75" customHeight="1">
      <c r="A899" s="49" t="s">
        <v>50</v>
      </c>
      <c r="B899" s="35" t="s">
        <v>4445</v>
      </c>
      <c r="C899" s="36" t="s">
        <v>4446</v>
      </c>
      <c r="D899" s="36"/>
      <c r="E899" s="36" t="s">
        <v>36</v>
      </c>
      <c r="F899" s="36" t="s">
        <v>37</v>
      </c>
      <c r="G899" s="35" t="s">
        <v>270</v>
      </c>
      <c r="H899" s="35" t="s">
        <v>4447</v>
      </c>
      <c r="I899" s="35" t="s">
        <v>4272</v>
      </c>
      <c r="J899" s="35" t="s">
        <v>1399</v>
      </c>
      <c r="K899" s="37">
        <f>IFERROR(__xludf.DUMMYFUNCTION("query(assistance!$A$2:$E988,""Select C Where D = '""&amp;L899&amp;""'"")"),21.0)</f>
        <v>21</v>
      </c>
      <c r="L899" s="36" t="s">
        <v>777</v>
      </c>
      <c r="M899" s="38">
        <f t="shared" si="106"/>
        <v>1</v>
      </c>
      <c r="N899" s="51" t="s">
        <v>42</v>
      </c>
      <c r="O899" s="57">
        <v>45941.0</v>
      </c>
      <c r="P899" s="35" t="s">
        <v>43</v>
      </c>
      <c r="Q899" s="35"/>
      <c r="R899" s="35" t="s">
        <v>4448</v>
      </c>
      <c r="S899" s="35" t="b">
        <v>0</v>
      </c>
      <c r="T899" s="35" t="b">
        <v>0</v>
      </c>
      <c r="U899" s="41" t="str">
        <f>IFERROR(__xludf.DUMMYFUNCTION("""["" &amp; JOIN("", "", ARRAYFORMULA("""""""" &amp; TRIM(SPLIT(A899, "","")) &amp; """""""")) &amp; ""]"""),"[""99999""]")</f>
        <v>["99999"]</v>
      </c>
      <c r="V899" s="42" t="s">
        <v>4449</v>
      </c>
      <c r="W899" s="42" t="s">
        <v>4450</v>
      </c>
      <c r="X899" s="43"/>
      <c r="Y899" s="44" t="str">
        <f>vlookup(G899,zip_codes!$B$6:$J988,3,false)</f>
        <v>Houston</v>
      </c>
      <c r="Z899" s="45" t="str">
        <f>vlookup(G899,zip_codes!$B$6:$J988,9,false)</f>
        <v>Central Business District, Downtown Houston, East Downtown, South Central Houston, Theater District, University Place, Warehouse District</v>
      </c>
      <c r="AA899" s="44" t="str">
        <f>vlookup(B899,organizations!$B$1:$C988,2,false)</f>
        <v>Star of Hope Mission</v>
      </c>
      <c r="AB899" s="46" t="s">
        <v>4451</v>
      </c>
      <c r="AC899" s="47" t="s">
        <v>4275</v>
      </c>
      <c r="AD899" s="48" t="s">
        <v>279</v>
      </c>
      <c r="AE899" s="48" t="str">
        <f t="shared" si="99"/>
        <v>Star of Hope - Doris and Carloss Morris1811 Ruiz Street21</v>
      </c>
      <c r="AF899" s="48" t="str">
        <f t="shared" si="105"/>
        <v/>
      </c>
    </row>
    <row r="900" ht="66.75" customHeight="1">
      <c r="A900" s="49" t="s">
        <v>4452</v>
      </c>
      <c r="B900" s="35" t="s">
        <v>4453</v>
      </c>
      <c r="C900" s="36" t="s">
        <v>4454</v>
      </c>
      <c r="D900" s="36"/>
      <c r="E900" s="36" t="s">
        <v>3922</v>
      </c>
      <c r="F900" s="36" t="s">
        <v>37</v>
      </c>
      <c r="G900" s="35" t="s">
        <v>2692</v>
      </c>
      <c r="H900" s="35" t="s">
        <v>4455</v>
      </c>
      <c r="I900" s="35" t="s">
        <v>4456</v>
      </c>
      <c r="J900" s="35"/>
      <c r="K900" s="37">
        <f>IFERROR(__xludf.DUMMYFUNCTION("query(assistance!$A$2:$E988,""Select C Where D = '""&amp;L900&amp;""'"")"),11.0)</f>
        <v>11</v>
      </c>
      <c r="L900" s="36" t="s">
        <v>322</v>
      </c>
      <c r="M900" s="38">
        <f t="shared" si="106"/>
        <v>1</v>
      </c>
      <c r="N900" s="39" t="s">
        <v>42</v>
      </c>
      <c r="O900" s="65"/>
      <c r="P900" s="50"/>
      <c r="Q900" s="35"/>
      <c r="R900" s="35"/>
      <c r="S900" s="35" t="b">
        <v>0</v>
      </c>
      <c r="T900" s="35" t="b">
        <v>0</v>
      </c>
      <c r="U900" s="41" t="str">
        <f>IFERROR(__xludf.DUMMYFUNCTION("""["" &amp; JOIN("", "", ARRAYFORMULA("""""""" &amp; TRIM(SPLIT(A900, "","")) &amp; """""""")) &amp; ""]"""),"[""77380"", ""77381"", ""77382"", ""77384"", ""77385"", ""77386""]")</f>
        <v>["77380", "77381", "77382", "77384", "77385", "77386"]</v>
      </c>
      <c r="V900" s="52" t="s">
        <v>4457</v>
      </c>
      <c r="W900" s="52" t="s">
        <v>4458</v>
      </c>
      <c r="X900" s="43"/>
      <c r="Y900" s="44" t="str">
        <f>vlookup(G900,zip_codes!$B$6:$J988,3,false)</f>
        <v>The Woodlands</v>
      </c>
      <c r="Z900" s="45" t="str">
        <f>vlookup(G900,zip_codes!$B$6:$J988,9,false)</f>
        <v>The Woodlands (Cochran's Crossing, Indian Springs)</v>
      </c>
      <c r="AA900" s="44" t="str">
        <f>vlookup(B900,organizations!$B$1:$C988,2,false)</f>
        <v>Society of St Vincent de Paul</v>
      </c>
      <c r="AB900" s="46" t="s">
        <v>4459</v>
      </c>
      <c r="AC900" s="47" t="s">
        <v>4460</v>
      </c>
      <c r="AD900" s="48" t="s">
        <v>2699</v>
      </c>
      <c r="AE900" s="48" t="str">
        <f t="shared" si="99"/>
        <v>Sts Simon &amp; Jude (SVdP D6) The Woodlands26777 Glen Loch Drive11</v>
      </c>
      <c r="AF900" s="48" t="str">
        <f t="shared" si="105"/>
        <v/>
      </c>
    </row>
    <row r="901" ht="66.75" customHeight="1">
      <c r="A901" s="49" t="s">
        <v>4452</v>
      </c>
      <c r="B901" s="35" t="s">
        <v>4453</v>
      </c>
      <c r="C901" s="36" t="s">
        <v>4454</v>
      </c>
      <c r="D901" s="36"/>
      <c r="E901" s="36" t="s">
        <v>3922</v>
      </c>
      <c r="F901" s="36" t="s">
        <v>37</v>
      </c>
      <c r="G901" s="35" t="s">
        <v>2692</v>
      </c>
      <c r="H901" s="35" t="s">
        <v>4455</v>
      </c>
      <c r="I901" s="35" t="s">
        <v>4456</v>
      </c>
      <c r="J901" s="35"/>
      <c r="K901" s="37">
        <f>IFERROR(__xludf.DUMMYFUNCTION("query(assistance!$A$2:$E988,""Select C Where D = '""&amp;L901&amp;""'"")"),12.0)</f>
        <v>12</v>
      </c>
      <c r="L901" s="36" t="s">
        <v>330</v>
      </c>
      <c r="M901" s="38">
        <f t="shared" si="106"/>
        <v>1</v>
      </c>
      <c r="N901" s="39" t="s">
        <v>42</v>
      </c>
      <c r="O901" s="65"/>
      <c r="P901" s="50"/>
      <c r="Q901" s="35"/>
      <c r="R901" s="35"/>
      <c r="S901" s="35" t="b">
        <v>0</v>
      </c>
      <c r="T901" s="35" t="b">
        <v>0</v>
      </c>
      <c r="U901" s="41" t="str">
        <f>IFERROR(__xludf.DUMMYFUNCTION("""["" &amp; JOIN("", "", ARRAYFORMULA("""""""" &amp; TRIM(SPLIT(A901, "","")) &amp; """""""")) &amp; ""]"""),"[""77380"", ""77381"", ""77382"", ""77384"", ""77385"", ""77386""]")</f>
        <v>["77380", "77381", "77382", "77384", "77385", "77386"]</v>
      </c>
      <c r="V901" s="52" t="s">
        <v>4457</v>
      </c>
      <c r="W901" s="52" t="s">
        <v>4458</v>
      </c>
      <c r="X901" s="43"/>
      <c r="Y901" s="44" t="str">
        <f>vlookup(G901,zip_codes!$B$6:$J988,3,false)</f>
        <v>The Woodlands</v>
      </c>
      <c r="Z901" s="45" t="str">
        <f>vlookup(G901,zip_codes!$B$6:$J988,9,false)</f>
        <v>The Woodlands (Cochran's Crossing, Indian Springs)</v>
      </c>
      <c r="AA901" s="44" t="str">
        <f>vlookup(B901,organizations!$B$1:$C988,2,false)</f>
        <v>Society of St Vincent de Paul</v>
      </c>
      <c r="AB901" s="46" t="s">
        <v>4459</v>
      </c>
      <c r="AC901" s="47" t="s">
        <v>4460</v>
      </c>
      <c r="AD901" s="48" t="s">
        <v>2699</v>
      </c>
      <c r="AE901" s="48" t="str">
        <f t="shared" si="99"/>
        <v>Sts Simon &amp; Jude (SVdP D6) The Woodlands26777 Glen Loch Drive12</v>
      </c>
      <c r="AF901" s="48" t="str">
        <f t="shared" si="105"/>
        <v/>
      </c>
    </row>
    <row r="902" ht="66.75" customHeight="1">
      <c r="A902" s="49" t="s">
        <v>4452</v>
      </c>
      <c r="B902" s="35" t="s">
        <v>4453</v>
      </c>
      <c r="C902" s="36" t="s">
        <v>4454</v>
      </c>
      <c r="D902" s="36"/>
      <c r="E902" s="36" t="s">
        <v>3922</v>
      </c>
      <c r="F902" s="36" t="s">
        <v>37</v>
      </c>
      <c r="G902" s="35" t="s">
        <v>2692</v>
      </c>
      <c r="H902" s="35" t="s">
        <v>4455</v>
      </c>
      <c r="I902" s="35" t="s">
        <v>4456</v>
      </c>
      <c r="J902" s="35"/>
      <c r="K902" s="37">
        <f>IFERROR(__xludf.DUMMYFUNCTION("query(assistance!$A$2:$E988,""Select C Where D = '""&amp;L902&amp;""'"")"),13.0)</f>
        <v>13</v>
      </c>
      <c r="L902" s="36" t="s">
        <v>240</v>
      </c>
      <c r="M902" s="38">
        <f t="shared" si="106"/>
        <v>1</v>
      </c>
      <c r="N902" s="39" t="s">
        <v>42</v>
      </c>
      <c r="O902" s="65"/>
      <c r="P902" s="50"/>
      <c r="Q902" s="35"/>
      <c r="R902" s="35"/>
      <c r="S902" s="35" t="b">
        <v>0</v>
      </c>
      <c r="T902" s="35" t="b">
        <v>0</v>
      </c>
      <c r="U902" s="41" t="str">
        <f>IFERROR(__xludf.DUMMYFUNCTION("""["" &amp; JOIN("", "", ARRAYFORMULA("""""""" &amp; TRIM(SPLIT(A902, "","")) &amp; """""""")) &amp; ""]"""),"[""77380"", ""77381"", ""77382"", ""77384"", ""77385"", ""77386""]")</f>
        <v>["77380", "77381", "77382", "77384", "77385", "77386"]</v>
      </c>
      <c r="V902" s="52" t="s">
        <v>4457</v>
      </c>
      <c r="W902" s="52" t="s">
        <v>4458</v>
      </c>
      <c r="X902" s="43"/>
      <c r="Y902" s="44" t="str">
        <f>vlookup(G902,zip_codes!$B$6:$J988,3,false)</f>
        <v>The Woodlands</v>
      </c>
      <c r="Z902" s="45" t="str">
        <f>vlookup(G902,zip_codes!$B$6:$J988,9,false)</f>
        <v>The Woodlands (Cochran's Crossing, Indian Springs)</v>
      </c>
      <c r="AA902" s="44" t="str">
        <f>vlookup(B902,organizations!$B$1:$C988,2,false)</f>
        <v>Society of St Vincent de Paul</v>
      </c>
      <c r="AB902" s="46" t="s">
        <v>4459</v>
      </c>
      <c r="AC902" s="47" t="s">
        <v>4460</v>
      </c>
      <c r="AD902" s="48" t="s">
        <v>2699</v>
      </c>
      <c r="AE902" s="48" t="str">
        <f t="shared" si="99"/>
        <v>Sts Simon &amp; Jude (SVdP D6) The Woodlands26777 Glen Loch Drive13</v>
      </c>
      <c r="AF902" s="48" t="str">
        <f t="shared" si="105"/>
        <v/>
      </c>
    </row>
    <row r="903" ht="66.75" customHeight="1">
      <c r="A903" s="34" t="s">
        <v>234</v>
      </c>
      <c r="B903" s="35" t="s">
        <v>4461</v>
      </c>
      <c r="C903" s="36" t="s">
        <v>4462</v>
      </c>
      <c r="D903" s="36"/>
      <c r="E903" s="36" t="s">
        <v>36</v>
      </c>
      <c r="F903" s="36" t="s">
        <v>37</v>
      </c>
      <c r="G903" s="56" t="s">
        <v>881</v>
      </c>
      <c r="H903" s="35" t="s">
        <v>4463</v>
      </c>
      <c r="I903" s="35" t="s">
        <v>4464</v>
      </c>
      <c r="J903" s="35"/>
      <c r="K903" s="37">
        <f>IFERROR(__xludf.DUMMYFUNCTION("query(assistance!$A$2:$E988,""Select C Where D = '""&amp;L903&amp;""'"")"),31.0)</f>
        <v>31</v>
      </c>
      <c r="L903" s="36" t="s">
        <v>90</v>
      </c>
      <c r="M903" s="38">
        <f t="shared" si="106"/>
        <v>1</v>
      </c>
      <c r="N903" s="39" t="s">
        <v>42</v>
      </c>
      <c r="O903" s="57">
        <v>46057.0</v>
      </c>
      <c r="P903" s="35" t="s">
        <v>43</v>
      </c>
      <c r="Q903" s="35"/>
      <c r="R903" s="35" t="s">
        <v>4465</v>
      </c>
      <c r="S903" s="35" t="b">
        <v>0</v>
      </c>
      <c r="T903" s="35" t="b">
        <v>0</v>
      </c>
      <c r="U903" s="41" t="str">
        <f>IFERROR(__xludf.DUMMYFUNCTION("""["" &amp; JOIN("", "", ARRAYFORMULA("""""""" &amp; TRIM(SPLIT(A903,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03" s="42" t="s">
        <v>4466</v>
      </c>
      <c r="W903" s="42" t="s">
        <v>4467</v>
      </c>
      <c r="X903" s="43"/>
      <c r="Y903" s="44" t="str">
        <f>vlookup(G903,zip_codes!$B$6:$J988,3,false)</f>
        <v>Houston</v>
      </c>
      <c r="Z903" s="45" t="str">
        <f>vlookup(G903,zip_codes!$B$6:$J988,9,false)</f>
        <v>Central Southwest, South Park, South Side, Sunnyside</v>
      </c>
      <c r="AA903" s="44" t="str">
        <f>vlookup(B903,organizations!$B$1:$C988,2,false)</f>
        <v>City of Houston</v>
      </c>
      <c r="AB903" s="55" t="s">
        <v>4468</v>
      </c>
      <c r="AC903" s="47" t="str">
        <f t="shared" ref="AC903:AC907" si="107">PARSE_HOURS(I903)</f>
        <v>{"regular":[{"days":["Mo"],"open":"08:30","close":"18:00"},{"days":["Tu","Th","Fr"],"open":"07:30","close":"17:00"},{"days":["We"],"open":"07:30","close":"12:00"}]}</v>
      </c>
      <c r="AD903" s="58" t="s">
        <v>4469</v>
      </c>
      <c r="AE903" s="48"/>
      <c r="AF903" s="48"/>
    </row>
    <row r="904" ht="66.75" customHeight="1">
      <c r="A904" s="34" t="s">
        <v>234</v>
      </c>
      <c r="B904" s="35" t="s">
        <v>4461</v>
      </c>
      <c r="C904" s="36" t="s">
        <v>4462</v>
      </c>
      <c r="D904" s="36"/>
      <c r="E904" s="36" t="s">
        <v>36</v>
      </c>
      <c r="F904" s="36" t="s">
        <v>37</v>
      </c>
      <c r="G904" s="56" t="s">
        <v>881</v>
      </c>
      <c r="H904" s="35" t="s">
        <v>4463</v>
      </c>
      <c r="I904" s="35" t="s">
        <v>2983</v>
      </c>
      <c r="J904" s="35" t="s">
        <v>2977</v>
      </c>
      <c r="K904" s="37">
        <f>IFERROR(__xludf.DUMMYFUNCTION("query(assistance!$A$2:$E988,""Select C Where D = '""&amp;L904&amp;""'"")"),32.0)</f>
        <v>32</v>
      </c>
      <c r="L904" s="36" t="s">
        <v>208</v>
      </c>
      <c r="M904" s="38">
        <f t="shared" si="106"/>
        <v>1</v>
      </c>
      <c r="N904" s="39" t="s">
        <v>42</v>
      </c>
      <c r="O904" s="57">
        <v>46057.0</v>
      </c>
      <c r="P904" s="35" t="s">
        <v>43</v>
      </c>
      <c r="Q904" s="35"/>
      <c r="R904" s="35" t="s">
        <v>2984</v>
      </c>
      <c r="S904" s="35" t="b">
        <v>1</v>
      </c>
      <c r="T904" s="35" t="b">
        <v>0</v>
      </c>
      <c r="U904" s="41" t="str">
        <f>IFERROR(__xludf.DUMMYFUNCTION("""["" &amp; JOIN("", "", ARRAYFORMULA("""""""" &amp; TRIM(SPLIT(A904,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04" s="42" t="s">
        <v>4466</v>
      </c>
      <c r="W904" s="42" t="s">
        <v>4467</v>
      </c>
      <c r="X904" s="43"/>
      <c r="Y904" s="44" t="str">
        <f>vlookup(G904,zip_codes!$B$6:$J988,3,false)</f>
        <v>Houston</v>
      </c>
      <c r="Z904" s="45" t="str">
        <f>vlookup(G904,zip_codes!$B$6:$J988,9,false)</f>
        <v>Central Southwest, South Park, South Side, Sunnyside</v>
      </c>
      <c r="AA904" s="44" t="str">
        <f>vlookup(B904,organizations!$B$1:$C988,2,false)</f>
        <v>City of Houston</v>
      </c>
      <c r="AB904" s="55" t="s">
        <v>4468</v>
      </c>
      <c r="AC904" s="47" t="str">
        <f t="shared" si="107"/>
        <v>{"regular":[{"days":["Mo"],"open":"08:00","close":"17:00"},{"days":["Tu","We","Th","Fr"],"open":"07:00","close":"16:00"}]}</v>
      </c>
      <c r="AD904" s="58" t="s">
        <v>4469</v>
      </c>
      <c r="AE904" s="48"/>
      <c r="AF904" s="48"/>
    </row>
    <row r="905" ht="66.75" customHeight="1">
      <c r="A905" s="34" t="s">
        <v>234</v>
      </c>
      <c r="B905" s="35" t="s">
        <v>4461</v>
      </c>
      <c r="C905" s="36" t="s">
        <v>4462</v>
      </c>
      <c r="D905" s="36"/>
      <c r="E905" s="36" t="s">
        <v>36</v>
      </c>
      <c r="F905" s="36" t="s">
        <v>37</v>
      </c>
      <c r="G905" s="56" t="s">
        <v>881</v>
      </c>
      <c r="H905" s="35" t="s">
        <v>4470</v>
      </c>
      <c r="I905" s="35" t="s">
        <v>4471</v>
      </c>
      <c r="J905" s="35"/>
      <c r="K905" s="37">
        <f>IFERROR(__xludf.DUMMYFUNCTION("query(assistance!$A$2:$E988,""Select C Where D = '""&amp;L905&amp;""'"")"),35.0)</f>
        <v>35</v>
      </c>
      <c r="L905" s="36" t="s">
        <v>731</v>
      </c>
      <c r="M905" s="38">
        <f t="shared" si="106"/>
        <v>1</v>
      </c>
      <c r="N905" s="39" t="s">
        <v>42</v>
      </c>
      <c r="O905" s="57">
        <v>46057.0</v>
      </c>
      <c r="P905" s="35" t="s">
        <v>43</v>
      </c>
      <c r="Q905" s="35"/>
      <c r="R905" s="35" t="s">
        <v>2309</v>
      </c>
      <c r="S905" s="35" t="b">
        <v>0</v>
      </c>
      <c r="T905" s="35" t="b">
        <v>0</v>
      </c>
      <c r="U905" s="41" t="str">
        <f>IFERROR(__xludf.DUMMYFUNCTION("""["" &amp; JOIN("", "", ARRAYFORMULA("""""""" &amp; TRIM(SPLIT(A905,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05" s="42" t="s">
        <v>4466</v>
      </c>
      <c r="W905" s="42" t="s">
        <v>4467</v>
      </c>
      <c r="X905" s="43"/>
      <c r="Y905" s="44" t="str">
        <f>vlookup(G905,zip_codes!$B$6:$J988,3,false)</f>
        <v>Houston</v>
      </c>
      <c r="Z905" s="45" t="str">
        <f>vlookup(G905,zip_codes!$B$6:$J988,9,false)</f>
        <v>Central Southwest, South Park, South Side, Sunnyside</v>
      </c>
      <c r="AA905" s="44" t="str">
        <f>vlookup(B905,organizations!$B$1:$C988,2,false)</f>
        <v>City of Houston</v>
      </c>
      <c r="AB905" s="55" t="s">
        <v>4468</v>
      </c>
      <c r="AC905" s="47" t="str">
        <f t="shared" si="107"/>
        <v>{"regular":[{"days":["Mo","Tu","We","Th","Fr"],"open":"08:30","close":"17:30"}]}</v>
      </c>
      <c r="AD905" s="58" t="s">
        <v>4469</v>
      </c>
      <c r="AE905" s="48"/>
      <c r="AF905" s="48"/>
    </row>
    <row r="906" ht="66.75" customHeight="1">
      <c r="A906" s="34" t="s">
        <v>234</v>
      </c>
      <c r="B906" s="35" t="s">
        <v>4461</v>
      </c>
      <c r="C906" s="36" t="s">
        <v>4462</v>
      </c>
      <c r="D906" s="36"/>
      <c r="E906" s="36" t="s">
        <v>36</v>
      </c>
      <c r="F906" s="36" t="s">
        <v>37</v>
      </c>
      <c r="G906" s="56" t="s">
        <v>881</v>
      </c>
      <c r="H906" s="35" t="s">
        <v>341</v>
      </c>
      <c r="I906" s="35"/>
      <c r="J906" s="35"/>
      <c r="K906" s="37">
        <f>IFERROR(__xludf.DUMMYFUNCTION("query(assistance!$A$2:$E988,""Select C Where D = '""&amp;L906&amp;""'"")"),44.0)</f>
        <v>44</v>
      </c>
      <c r="L906" s="36" t="s">
        <v>102</v>
      </c>
      <c r="M906" s="38">
        <f t="shared" si="106"/>
        <v>1</v>
      </c>
      <c r="N906" s="39" t="s">
        <v>42</v>
      </c>
      <c r="O906" s="57">
        <v>46057.0</v>
      </c>
      <c r="P906" s="35" t="s">
        <v>43</v>
      </c>
      <c r="Q906" s="35"/>
      <c r="R906" s="35" t="s">
        <v>246</v>
      </c>
      <c r="S906" s="35" t="b">
        <v>0</v>
      </c>
      <c r="T906" s="35" t="b">
        <v>0</v>
      </c>
      <c r="U906" s="41" t="str">
        <f>IFERROR(__xludf.DUMMYFUNCTION("""["" &amp; JOIN("", "", ARRAYFORMULA("""""""" &amp; TRIM(SPLIT(A906,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06" s="42" t="s">
        <v>4466</v>
      </c>
      <c r="W906" s="42" t="s">
        <v>4467</v>
      </c>
      <c r="X906" s="43"/>
      <c r="Y906" s="44" t="str">
        <f>vlookup(G906,zip_codes!$B$6:$J988,3,false)</f>
        <v>Houston</v>
      </c>
      <c r="Z906" s="45" t="str">
        <f>vlookup(G906,zip_codes!$B$6:$J988,9,false)</f>
        <v>Central Southwest, South Park, South Side, Sunnyside</v>
      </c>
      <c r="AA906" s="44" t="str">
        <f>vlookup(B906,organizations!$B$1:$C988,2,false)</f>
        <v>City of Houston</v>
      </c>
      <c r="AB906" s="55" t="s">
        <v>4468</v>
      </c>
      <c r="AC906" s="47" t="str">
        <f t="shared" si="107"/>
        <v/>
      </c>
      <c r="AD906" s="58" t="s">
        <v>4469</v>
      </c>
      <c r="AE906" s="48"/>
      <c r="AF906" s="48"/>
    </row>
    <row r="907" ht="66.75" customHeight="1">
      <c r="A907" s="34" t="s">
        <v>234</v>
      </c>
      <c r="B907" s="35" t="s">
        <v>4461</v>
      </c>
      <c r="C907" s="36" t="s">
        <v>4462</v>
      </c>
      <c r="D907" s="36"/>
      <c r="E907" s="36" t="s">
        <v>36</v>
      </c>
      <c r="F907" s="36" t="s">
        <v>37</v>
      </c>
      <c r="G907" s="56" t="s">
        <v>881</v>
      </c>
      <c r="H907" s="35" t="s">
        <v>4472</v>
      </c>
      <c r="I907" s="35" t="s">
        <v>1378</v>
      </c>
      <c r="J907" s="35"/>
      <c r="K907" s="37">
        <f>IFERROR(__xludf.DUMMYFUNCTION("query(assistance!$A$2:$E988,""Select C Where D = '""&amp;L907&amp;""'"")"),61.0)</f>
        <v>61</v>
      </c>
      <c r="L907" s="36" t="s">
        <v>842</v>
      </c>
      <c r="M907" s="38">
        <f t="shared" si="106"/>
        <v>1</v>
      </c>
      <c r="N907" s="39" t="s">
        <v>42</v>
      </c>
      <c r="O907" s="57">
        <v>46057.0</v>
      </c>
      <c r="P907" s="35" t="s">
        <v>43</v>
      </c>
      <c r="Q907" s="35"/>
      <c r="R907" s="35" t="s">
        <v>4473</v>
      </c>
      <c r="S907" s="35" t="b">
        <v>0</v>
      </c>
      <c r="T907" s="35" t="b">
        <v>0</v>
      </c>
      <c r="U907" s="41" t="str">
        <f>IFERROR(__xludf.DUMMYFUNCTION("""["" &amp; JOIN("", "", ARRAYFORMULA("""""""" &amp; TRIM(SPLIT(A907,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07" s="42" t="s">
        <v>4466</v>
      </c>
      <c r="W907" s="42" t="s">
        <v>4467</v>
      </c>
      <c r="X907" s="43"/>
      <c r="Y907" s="44" t="str">
        <f>vlookup(G907,zip_codes!$B$6:$J988,3,false)</f>
        <v>Houston</v>
      </c>
      <c r="Z907" s="45" t="str">
        <f>vlookup(G907,zip_codes!$B$6:$J988,9,false)</f>
        <v>Central Southwest, South Park, South Side, Sunnyside</v>
      </c>
      <c r="AA907" s="44" t="str">
        <f>vlookup(B907,organizations!$B$1:$C988,2,false)</f>
        <v>City of Houston</v>
      </c>
      <c r="AB907" s="55" t="s">
        <v>4468</v>
      </c>
      <c r="AC907" s="47" t="str">
        <f t="shared" si="107"/>
        <v>{"regular":[{"days":["Mo","Tu","We","Th","Fr"],"open":"09:00","close":"13:00"}]}</v>
      </c>
      <c r="AD907" s="58" t="s">
        <v>4469</v>
      </c>
      <c r="AE907" s="48"/>
      <c r="AF907" s="48"/>
    </row>
    <row r="908" ht="66.75" customHeight="1">
      <c r="A908" s="49" t="s">
        <v>50</v>
      </c>
      <c r="B908" s="35" t="s">
        <v>4474</v>
      </c>
      <c r="C908" s="36" t="s">
        <v>4475</v>
      </c>
      <c r="D908" s="36" t="s">
        <v>1554</v>
      </c>
      <c r="E908" s="36" t="s">
        <v>36</v>
      </c>
      <c r="F908" s="36" t="s">
        <v>37</v>
      </c>
      <c r="G908" s="35" t="s">
        <v>1053</v>
      </c>
      <c r="H908" s="35" t="s">
        <v>4476</v>
      </c>
      <c r="I908" s="35" t="s">
        <v>67</v>
      </c>
      <c r="J908" s="35"/>
      <c r="K908" s="37">
        <f>IFERROR(__xludf.DUMMYFUNCTION("query(assistance!$A$2:$E988,""Select C Where D = '""&amp;L908&amp;""'"")"),55.0)</f>
        <v>55</v>
      </c>
      <c r="L908" s="36" t="s">
        <v>436</v>
      </c>
      <c r="M908" s="38">
        <f t="shared" si="106"/>
        <v>1</v>
      </c>
      <c r="N908" s="51" t="s">
        <v>42</v>
      </c>
      <c r="O908" s="40">
        <v>45757.0</v>
      </c>
      <c r="P908" s="50"/>
      <c r="Q908" s="50"/>
      <c r="R908" s="50"/>
      <c r="S908" s="35" t="b">
        <v>0</v>
      </c>
      <c r="T908" s="35" t="b">
        <v>0</v>
      </c>
      <c r="U908" s="41" t="str">
        <f>IFERROR(__xludf.DUMMYFUNCTION("""["" &amp; JOIN("", "", ARRAYFORMULA("""""""" &amp; TRIM(SPLIT(A908, "","")) &amp; """""""")) &amp; ""]"""),"[""99999""]")</f>
        <v>["99999"]</v>
      </c>
      <c r="V908" s="52" t="s">
        <v>4477</v>
      </c>
      <c r="W908" s="43"/>
      <c r="X908" s="43"/>
      <c r="Y908" s="44" t="str">
        <f>vlookup(G908,zip_codes!$B$6:$J988,3,false)</f>
        <v>Houston</v>
      </c>
      <c r="Z908" s="45" t="str">
        <f>vlookup(G908,zip_codes!$B$6:$J988,9,false)</f>
        <v>Galleria, Tanglewood, Uptown, Westside</v>
      </c>
      <c r="AA908" s="44" t="str">
        <f>vlookup(B908,organizations!$B$1:$C988,2,false)</f>
        <v>Tahirih Justice Center</v>
      </c>
      <c r="AB908" s="46" t="s">
        <v>4478</v>
      </c>
      <c r="AC908" s="47" t="s">
        <v>73</v>
      </c>
      <c r="AD908" s="48" t="s">
        <v>1059</v>
      </c>
      <c r="AE908" s="48" t="str">
        <f t="shared" ref="AE908:AE913" si="108">B908&amp;C908&amp;K908</f>
        <v>Tahirih Justice Center1717 Saint James Place55</v>
      </c>
      <c r="AF908" s="48" t="str">
        <f t="shared" ref="AF908:AF913" si="109">if(AE908=AE907,"XXX","")</f>
        <v/>
      </c>
    </row>
    <row r="909" ht="66.75" customHeight="1">
      <c r="A909" s="49" t="s">
        <v>4479</v>
      </c>
      <c r="B909" s="35" t="s">
        <v>4480</v>
      </c>
      <c r="C909" s="36" t="s">
        <v>4481</v>
      </c>
      <c r="D909" s="36"/>
      <c r="E909" s="36" t="s">
        <v>36</v>
      </c>
      <c r="F909" s="36" t="s">
        <v>37</v>
      </c>
      <c r="G909" s="35" t="s">
        <v>846</v>
      </c>
      <c r="H909" s="35" t="s">
        <v>4482</v>
      </c>
      <c r="I909" s="35" t="s">
        <v>4483</v>
      </c>
      <c r="J909" s="35" t="s">
        <v>3165</v>
      </c>
      <c r="K909" s="37">
        <f>IFERROR(__xludf.DUMMYFUNCTION("query(assistance!$A$2:$E988,""Select C Where D = '""&amp;L909&amp;""'"")"),13.0)</f>
        <v>13</v>
      </c>
      <c r="L909" s="36" t="s">
        <v>240</v>
      </c>
      <c r="M909" s="38">
        <f t="shared" si="106"/>
        <v>1</v>
      </c>
      <c r="N909" s="39" t="s">
        <v>42</v>
      </c>
      <c r="O909" s="40">
        <v>45936.0</v>
      </c>
      <c r="P909" s="35" t="s">
        <v>43</v>
      </c>
      <c r="Q909" s="35"/>
      <c r="R909" s="35" t="s">
        <v>4484</v>
      </c>
      <c r="S909" s="35" t="b">
        <v>0</v>
      </c>
      <c r="T909" s="35" t="b">
        <v>0</v>
      </c>
      <c r="U909" s="41" t="str">
        <f>IFERROR(__xludf.DUMMYFUNCTION("""["" &amp; JOIN("", "", ARRAYFORMULA("""""""" &amp; TRIM(SPLIT(A909, "","")) &amp; """""""")) &amp; ""]"""),"[""77011"", ""77012 77013"", ""77016"", ""77020 77023"", ""77026"", ""77028"", ""77029"", ""77078""]")</f>
        <v>["77011", "77012 77013", "77016", "77020 77023", "77026", "77028", "77029", "77078"]</v>
      </c>
      <c r="V909" s="54" t="s">
        <v>4485</v>
      </c>
      <c r="W909" s="54" t="s">
        <v>4486</v>
      </c>
      <c r="X909" s="43"/>
      <c r="Y909" s="44" t="str">
        <f>vlookup(G909,zip_codes!$B$6:$J988,3,false)</f>
        <v>Houston</v>
      </c>
      <c r="Z909" s="45" t="str">
        <f>vlookup(G909,zip_codes!$B$6:$J988,9,false)</f>
        <v>Denver Harbor / Port Houston, Fifth Ward, Northside</v>
      </c>
      <c r="AA909" s="44" t="str">
        <f>vlookup(B909,organizations!$B$1:$C988,2,false)</f>
        <v>Target Hunger</v>
      </c>
      <c r="AB909" s="55" t="s">
        <v>4487</v>
      </c>
      <c r="AC909" s="47" t="s">
        <v>4488</v>
      </c>
      <c r="AD909" s="48" t="s">
        <v>304</v>
      </c>
      <c r="AE909" s="48" t="str">
        <f t="shared" si="108"/>
        <v>Target Hunger1260 Shotwell Street13</v>
      </c>
      <c r="AF909" s="48" t="str">
        <f t="shared" si="109"/>
        <v/>
      </c>
    </row>
    <row r="910" ht="66.75" customHeight="1">
      <c r="A910" s="49" t="s">
        <v>4479</v>
      </c>
      <c r="B910" s="35" t="s">
        <v>4480</v>
      </c>
      <c r="C910" s="36" t="s">
        <v>4481</v>
      </c>
      <c r="D910" s="36"/>
      <c r="E910" s="36" t="s">
        <v>36</v>
      </c>
      <c r="F910" s="36" t="s">
        <v>37</v>
      </c>
      <c r="G910" s="35" t="s">
        <v>846</v>
      </c>
      <c r="H910" s="35" t="s">
        <v>4489</v>
      </c>
      <c r="I910" s="35" t="s">
        <v>4490</v>
      </c>
      <c r="J910" s="35"/>
      <c r="K910" s="37">
        <f>IFERROR(__xludf.DUMMYFUNCTION("query(assistance!$A$2:$E988,""Select C Where D = '""&amp;L910&amp;""'"")"),35.0)</f>
        <v>35</v>
      </c>
      <c r="L910" s="36" t="s">
        <v>731</v>
      </c>
      <c r="M910" s="38">
        <f t="shared" si="106"/>
        <v>1</v>
      </c>
      <c r="N910" s="39" t="s">
        <v>42</v>
      </c>
      <c r="O910" s="40">
        <v>45936.0</v>
      </c>
      <c r="P910" s="35" t="s">
        <v>43</v>
      </c>
      <c r="Q910" s="35"/>
      <c r="R910" s="35" t="s">
        <v>4491</v>
      </c>
      <c r="S910" s="35" t="b">
        <v>0</v>
      </c>
      <c r="T910" s="35" t="b">
        <v>0</v>
      </c>
      <c r="U910" s="41" t="str">
        <f>IFERROR(__xludf.DUMMYFUNCTION("""["" &amp; JOIN("", "", ARRAYFORMULA("""""""" &amp; TRIM(SPLIT(A910, "","")) &amp; """""""")) &amp; ""]"""),"[""77011"", ""77012 77013"", ""77016"", ""77020 77023"", ""77026"", ""77028"", ""77029"", ""77078""]")</f>
        <v>["77011", "77012 77013", "77016", "77020 77023", "77026", "77028", "77029", "77078"]</v>
      </c>
      <c r="V910" s="54" t="s">
        <v>4492</v>
      </c>
      <c r="W910" s="54" t="s">
        <v>4486</v>
      </c>
      <c r="X910" s="43"/>
      <c r="Y910" s="44" t="str">
        <f>vlookup(G910,zip_codes!$B$6:$J988,3,false)</f>
        <v>Houston</v>
      </c>
      <c r="Z910" s="45" t="str">
        <f>vlookup(G910,zip_codes!$B$6:$J988,9,false)</f>
        <v>Denver Harbor / Port Houston, Fifth Ward, Northside</v>
      </c>
      <c r="AA910" s="44" t="str">
        <f>vlookup(B910,organizations!$B$1:$C988,2,false)</f>
        <v>Target Hunger</v>
      </c>
      <c r="AB910" s="55" t="s">
        <v>4487</v>
      </c>
      <c r="AC910" s="47" t="s">
        <v>4493</v>
      </c>
      <c r="AD910" s="48" t="s">
        <v>304</v>
      </c>
      <c r="AE910" s="48" t="str">
        <f t="shared" si="108"/>
        <v>Target Hunger1260 Shotwell Street35</v>
      </c>
      <c r="AF910" s="48" t="str">
        <f t="shared" si="109"/>
        <v/>
      </c>
    </row>
    <row r="911" ht="66.75" customHeight="1">
      <c r="A911" s="60" t="s">
        <v>50</v>
      </c>
      <c r="B911" s="35" t="s">
        <v>4494</v>
      </c>
      <c r="C911" s="36" t="s">
        <v>4495</v>
      </c>
      <c r="D911" s="36"/>
      <c r="E911" s="36" t="s">
        <v>36</v>
      </c>
      <c r="F911" s="36" t="s">
        <v>37</v>
      </c>
      <c r="G911" s="56" t="s">
        <v>270</v>
      </c>
      <c r="H911" s="35" t="s">
        <v>4496</v>
      </c>
      <c r="I911" s="35" t="s">
        <v>40</v>
      </c>
      <c r="J911" s="35"/>
      <c r="K911" s="37">
        <f>IFERROR(__xludf.DUMMYFUNCTION("query(assistance!$A$2:$E988,""Select C Where D = '""&amp;L911&amp;""'"")"),54.0)</f>
        <v>54</v>
      </c>
      <c r="L911" s="36" t="s">
        <v>291</v>
      </c>
      <c r="M911" s="38">
        <f t="shared" si="106"/>
        <v>1</v>
      </c>
      <c r="N911" s="39" t="s">
        <v>42</v>
      </c>
      <c r="O911" s="57">
        <v>46040.0</v>
      </c>
      <c r="P911" s="35" t="s">
        <v>43</v>
      </c>
      <c r="Q911" s="35"/>
      <c r="R911" s="35" t="s">
        <v>4497</v>
      </c>
      <c r="S911" s="35" t="b">
        <v>0</v>
      </c>
      <c r="T911" s="35" t="b">
        <v>0</v>
      </c>
      <c r="U911" s="41" t="str">
        <f>IFERROR(__xludf.DUMMYFUNCTION("""["" &amp; JOIN("", "", ARRAYFORMULA("""""""" &amp; TRIM(SPLIT(A911, "","")) &amp; """""""")) &amp; ""]"""),"[""99999""]")</f>
        <v>["99999"]</v>
      </c>
      <c r="V911" s="42" t="s">
        <v>4498</v>
      </c>
      <c r="W911" s="42" t="s">
        <v>4499</v>
      </c>
      <c r="X911" s="43"/>
      <c r="Y911" s="44" t="str">
        <f>vlookup(G911,zip_codes!$B$6:$J988,3,false)</f>
        <v>Houston</v>
      </c>
      <c r="Z911" s="45" t="str">
        <f>vlookup(G911,zip_codes!$B$6:$J988,9,false)</f>
        <v>Central Business District, Downtown Houston, East Downtown, South Central Houston, Theater District, University Place, Warehouse District</v>
      </c>
      <c r="AA911" s="44" t="str">
        <f>vlookup(B911,organizations!$B$1:$C988,2,false)</f>
        <v>Texas Defender Service</v>
      </c>
      <c r="AB911" s="55" t="s">
        <v>4500</v>
      </c>
      <c r="AC911" s="47" t="s">
        <v>48</v>
      </c>
      <c r="AD911" s="48" t="s">
        <v>279</v>
      </c>
      <c r="AE911" s="48" t="str">
        <f t="shared" si="108"/>
        <v>Texas Defender Service1927 Blodgett Street54</v>
      </c>
      <c r="AF911" s="48" t="str">
        <f t="shared" si="109"/>
        <v/>
      </c>
    </row>
    <row r="912" ht="66.75" customHeight="1">
      <c r="A912" s="49" t="s">
        <v>50</v>
      </c>
      <c r="B912" s="35" t="s">
        <v>4501</v>
      </c>
      <c r="C912" s="36" t="s">
        <v>4502</v>
      </c>
      <c r="D912" s="36"/>
      <c r="E912" s="36" t="s">
        <v>36</v>
      </c>
      <c r="F912" s="36" t="s">
        <v>37</v>
      </c>
      <c r="G912" s="35" t="s">
        <v>876</v>
      </c>
      <c r="H912" s="35" t="s">
        <v>4503</v>
      </c>
      <c r="I912" s="35" t="s">
        <v>272</v>
      </c>
      <c r="J912" s="50"/>
      <c r="K912" s="37">
        <f>IFERROR(__xludf.DUMMYFUNCTION("query(assistance!$A$2:$E988,""Select C Where D = '""&amp;L912&amp;""'"")"),35.0)</f>
        <v>35</v>
      </c>
      <c r="L912" s="36" t="s">
        <v>731</v>
      </c>
      <c r="M912" s="38">
        <f t="shared" si="106"/>
        <v>1</v>
      </c>
      <c r="N912" s="39" t="s">
        <v>42</v>
      </c>
      <c r="O912" s="65"/>
      <c r="P912" s="50"/>
      <c r="Q912" s="35"/>
      <c r="R912" s="35" t="s">
        <v>4504</v>
      </c>
      <c r="S912" s="35" t="b">
        <v>0</v>
      </c>
      <c r="T912" s="35" t="b">
        <v>0</v>
      </c>
      <c r="U912" s="41" t="str">
        <f>IFERROR(__xludf.DUMMYFUNCTION("""["" &amp; JOIN("", "", ARRAYFORMULA("""""""" &amp; TRIM(SPLIT(A912, "","")) &amp; """""""")) &amp; ""]"""),"[""99999""]")</f>
        <v>["99999"]</v>
      </c>
      <c r="V912" s="52" t="s">
        <v>4505</v>
      </c>
      <c r="W912" s="42" t="s">
        <v>4506</v>
      </c>
      <c r="X912" s="43"/>
      <c r="Y912" s="44" t="str">
        <f>vlookup(G912,zip_codes!$B$6:$J988,3,false)</f>
        <v>Houston</v>
      </c>
      <c r="Z912" s="45" t="str">
        <f>vlookup(G912,zip_codes!$B$6:$J988,9,false)</f>
        <v>Independence Heights, Northline, Northside / Northline</v>
      </c>
      <c r="AA912" s="44" t="str">
        <f>vlookup(B912,organizations!$B$1:$C988,2,false)</f>
        <v>Texas Health &amp; Human Services</v>
      </c>
      <c r="AB912" s="46" t="s">
        <v>4507</v>
      </c>
      <c r="AC912" s="47" t="s">
        <v>278</v>
      </c>
      <c r="AD912" s="48" t="s">
        <v>74</v>
      </c>
      <c r="AE912" s="48" t="str">
        <f t="shared" si="108"/>
        <v>Texas Health &amp; Human Services3880 North Fwy35</v>
      </c>
      <c r="AF912" s="48" t="str">
        <f t="shared" si="109"/>
        <v/>
      </c>
    </row>
    <row r="913" ht="66.75" customHeight="1">
      <c r="A913" s="49" t="s">
        <v>50</v>
      </c>
      <c r="B913" s="35" t="s">
        <v>4508</v>
      </c>
      <c r="C913" s="36" t="s">
        <v>4509</v>
      </c>
      <c r="D913" s="36" t="s">
        <v>4510</v>
      </c>
      <c r="E913" s="36" t="s">
        <v>36</v>
      </c>
      <c r="F913" s="36" t="s">
        <v>37</v>
      </c>
      <c r="G913" s="35" t="s">
        <v>270</v>
      </c>
      <c r="H913" s="35" t="s">
        <v>4511</v>
      </c>
      <c r="I913" s="35" t="s">
        <v>4512</v>
      </c>
      <c r="J913" s="35" t="s">
        <v>4513</v>
      </c>
      <c r="K913" s="37">
        <f>IFERROR(__xludf.DUMMYFUNCTION("query(assistance!$A$2:$E988,""Select C Where D = '""&amp;L913&amp;""'"")"),54.0)</f>
        <v>54</v>
      </c>
      <c r="L913" s="36" t="s">
        <v>291</v>
      </c>
      <c r="M913" s="38">
        <f t="shared" si="106"/>
        <v>1</v>
      </c>
      <c r="N913" s="39" t="s">
        <v>42</v>
      </c>
      <c r="O913" s="57">
        <v>46023.0</v>
      </c>
      <c r="P913" s="50"/>
      <c r="Q913" s="35"/>
      <c r="R913" s="35" t="s">
        <v>4514</v>
      </c>
      <c r="S913" s="35" t="b">
        <v>0</v>
      </c>
      <c r="T913" s="35" t="b">
        <v>0</v>
      </c>
      <c r="U913" s="41" t="str">
        <f>IFERROR(__xludf.DUMMYFUNCTION("""["" &amp; JOIN("", "", ARRAYFORMULA("""""""" &amp; TRIM(SPLIT(A913, "","")) &amp; """""""")) &amp; ""]"""),"[""99999""]")</f>
        <v>["99999"]</v>
      </c>
      <c r="V913" s="42" t="s">
        <v>4515</v>
      </c>
      <c r="W913" s="42" t="s">
        <v>4516</v>
      </c>
      <c r="X913" s="43"/>
      <c r="Y913" s="44" t="str">
        <f>vlookup(G913,zip_codes!$B$6:$J988,3,false)</f>
        <v>Houston</v>
      </c>
      <c r="Z913" s="45" t="str">
        <f>vlookup(G913,zip_codes!$B$6:$J988,9,false)</f>
        <v>Central Business District, Downtown Houston, East Downtown, South Central Houston, Theater District, University Place, Warehouse District</v>
      </c>
      <c r="AA913" s="44" t="str">
        <f>vlookup(B913,organizations!$B$1:$C988,2,false)</f>
        <v>Texas Legal Services Center</v>
      </c>
      <c r="AB913" s="55" t="s">
        <v>4517</v>
      </c>
      <c r="AC913" s="47" t="s">
        <v>4518</v>
      </c>
      <c r="AD913" s="48" t="s">
        <v>279</v>
      </c>
      <c r="AE913" s="48" t="str">
        <f t="shared" si="108"/>
        <v>Texas Legal Services Center1302 Preston Street54</v>
      </c>
      <c r="AF913" s="48" t="str">
        <f t="shared" si="109"/>
        <v/>
      </c>
    </row>
    <row r="914" ht="66.75" customHeight="1">
      <c r="A914" s="49" t="s">
        <v>50</v>
      </c>
      <c r="B914" s="35" t="s">
        <v>4519</v>
      </c>
      <c r="C914" s="36" t="s">
        <v>4520</v>
      </c>
      <c r="D914" s="36"/>
      <c r="E914" s="36" t="s">
        <v>4521</v>
      </c>
      <c r="F914" s="36" t="s">
        <v>37</v>
      </c>
      <c r="G914" s="56" t="s">
        <v>4522</v>
      </c>
      <c r="H914" s="35" t="s">
        <v>4523</v>
      </c>
      <c r="I914" s="35" t="s">
        <v>40</v>
      </c>
      <c r="J914" s="36" t="s">
        <v>89</v>
      </c>
      <c r="K914" s="37">
        <f>IFERROR(__xludf.DUMMYFUNCTION("query(assistance!$A$2:$E988,""Select C Where D = '""&amp;L914&amp;""'"")"),56.0)</f>
        <v>56</v>
      </c>
      <c r="L914" s="36" t="s">
        <v>56</v>
      </c>
      <c r="M914" s="39">
        <f t="shared" si="106"/>
        <v>1</v>
      </c>
      <c r="N914" s="51" t="s">
        <v>42</v>
      </c>
      <c r="O914" s="40">
        <v>46070.0</v>
      </c>
      <c r="P914" s="35" t="s">
        <v>43</v>
      </c>
      <c r="Q914" s="35"/>
      <c r="R914" s="35" t="s">
        <v>4524</v>
      </c>
      <c r="S914" s="35" t="b">
        <v>0</v>
      </c>
      <c r="T914" s="35" t="b">
        <v>0</v>
      </c>
      <c r="U914" s="35" t="str">
        <f>IFERROR(__xludf.DUMMYFUNCTION("""["" &amp; JOIN("", "", ARRAYFORMULA("""""""" &amp; TRIM(SPLIT(A914, "","")) &amp; """""""")) &amp; ""]"""),"[""99999""]")</f>
        <v>["99999"]</v>
      </c>
      <c r="V914" s="42" t="s">
        <v>4525</v>
      </c>
      <c r="W914" s="42" t="s">
        <v>4526</v>
      </c>
      <c r="X914" s="43"/>
      <c r="Y914" s="44" t="str">
        <f>vlookup(G914,zip_codes!$B$6:$J988,3,false)</f>
        <v>Salado</v>
      </c>
      <c r="Z914" s="45" t="str">
        <f>vlookup(G914,zip_codes!$B$6:$J988,9,false)</f>
        <v>Salado</v>
      </c>
      <c r="AA914" s="44" t="str">
        <f>vlookup(B914,organizations!$B$1:$C988,2,false)</f>
        <v>Texas National Guard Family Support Foundation</v>
      </c>
      <c r="AB914" s="55" t="s">
        <v>4527</v>
      </c>
      <c r="AC914" s="53" t="str">
        <f>PARSE_HOURS(I914)</f>
        <v>{"regular":[{"days":["Mo","Tu","We","Th","Fr"],"open":"09:00","close":"17:00"}]}</v>
      </c>
      <c r="AD914" s="58" t="s">
        <v>4521</v>
      </c>
      <c r="AE914" s="48"/>
      <c r="AF914" s="48"/>
    </row>
    <row r="915" ht="66.75" customHeight="1">
      <c r="A915" s="49" t="s">
        <v>50</v>
      </c>
      <c r="B915" s="35" t="s">
        <v>4528</v>
      </c>
      <c r="C915" s="36" t="s">
        <v>4529</v>
      </c>
      <c r="D915" s="36"/>
      <c r="E915" s="36" t="s">
        <v>442</v>
      </c>
      <c r="F915" s="36" t="s">
        <v>37</v>
      </c>
      <c r="G915" s="35" t="s">
        <v>4530</v>
      </c>
      <c r="H915" s="35" t="s">
        <v>4531</v>
      </c>
      <c r="I915" s="35" t="s">
        <v>67</v>
      </c>
      <c r="J915" s="35"/>
      <c r="K915" s="37">
        <f>IFERROR(__xludf.DUMMYFUNCTION("query(assistance!$A$2:$E988,""Select C Where D = '""&amp;L915&amp;""'"")"),55.0)</f>
        <v>55</v>
      </c>
      <c r="L915" s="36" t="s">
        <v>436</v>
      </c>
      <c r="M915" s="38">
        <f t="shared" si="106"/>
        <v>1</v>
      </c>
      <c r="N915" s="51" t="s">
        <v>42</v>
      </c>
      <c r="O915" s="40">
        <v>45757.0</v>
      </c>
      <c r="P915" s="50"/>
      <c r="Q915" s="35"/>
      <c r="R915" s="35" t="s">
        <v>4532</v>
      </c>
      <c r="S915" s="35" t="b">
        <v>0</v>
      </c>
      <c r="T915" s="35" t="b">
        <v>0</v>
      </c>
      <c r="U915" s="41" t="str">
        <f>IFERROR(__xludf.DUMMYFUNCTION("""["" &amp; JOIN("", "", ARRAYFORMULA("""""""" &amp; TRIM(SPLIT(A915, "","")) &amp; """""""")) &amp; ""]"""),"[""99999""]")</f>
        <v>["99999"]</v>
      </c>
      <c r="V915" s="42" t="s">
        <v>4533</v>
      </c>
      <c r="W915" s="42" t="s">
        <v>4534</v>
      </c>
      <c r="X915" s="43"/>
      <c r="Y915" s="44" t="str">
        <f>vlookup(G915,zip_codes!$B$6:$J988,3,false)</f>
        <v>Austin</v>
      </c>
      <c r="Z915" s="45" t="str">
        <f>vlookup(G915,zip_codes!$B$6:$J988,9,false)</f>
        <v>Hyde Park</v>
      </c>
      <c r="AA915" s="44" t="str">
        <f>vlookup(B915,organizations!$B$1:$C988,2,false)</f>
        <v>Texas Rio Grande Legal Aid</v>
      </c>
      <c r="AB915" s="55" t="s">
        <v>4535</v>
      </c>
      <c r="AC915" s="47" t="s">
        <v>73</v>
      </c>
      <c r="AD915" s="58" t="s">
        <v>2844</v>
      </c>
      <c r="AE915" s="48" t="str">
        <f t="shared" ref="AE915:AE934" si="110">B915&amp;C915&amp;K915</f>
        <v>Texas Rio Grande Legal Aid4920 N Interstate Hwy 3555</v>
      </c>
      <c r="AF915" s="48" t="str">
        <f t="shared" ref="AF915:AF917" si="111">if(AE915=AE914,"XXX","")</f>
        <v/>
      </c>
    </row>
    <row r="916" ht="66.75" customHeight="1">
      <c r="A916" s="49" t="s">
        <v>50</v>
      </c>
      <c r="B916" s="35" t="s">
        <v>4536</v>
      </c>
      <c r="C916" s="36" t="s">
        <v>4502</v>
      </c>
      <c r="D916" s="36"/>
      <c r="E916" s="36" t="s">
        <v>36</v>
      </c>
      <c r="F916" s="36" t="s">
        <v>37</v>
      </c>
      <c r="G916" s="35" t="s">
        <v>876</v>
      </c>
      <c r="H916" s="35" t="s">
        <v>4503</v>
      </c>
      <c r="I916" s="35" t="s">
        <v>272</v>
      </c>
      <c r="J916" s="35" t="s">
        <v>89</v>
      </c>
      <c r="K916" s="37">
        <f>IFERROR(__xludf.DUMMYFUNCTION("query(assistance!$A$2:$E988,""Select C Where D = '""&amp;L916&amp;""'"")"),11.0)</f>
        <v>11</v>
      </c>
      <c r="L916" s="36" t="s">
        <v>322</v>
      </c>
      <c r="M916" s="38">
        <f t="shared" si="106"/>
        <v>1</v>
      </c>
      <c r="N916" s="39" t="s">
        <v>42</v>
      </c>
      <c r="O916" s="65"/>
      <c r="P916" s="50"/>
      <c r="Q916" s="35"/>
      <c r="R916" s="35" t="s">
        <v>4537</v>
      </c>
      <c r="S916" s="35" t="b">
        <v>0</v>
      </c>
      <c r="T916" s="35" t="b">
        <v>0</v>
      </c>
      <c r="U916" s="41" t="str">
        <f>IFERROR(__xludf.DUMMYFUNCTION("""["" &amp; JOIN("", "", ARRAYFORMULA("""""""" &amp; TRIM(SPLIT(A916, "","")) &amp; """""""")) &amp; ""]"""),"[""99999""]")</f>
        <v>["99999"]</v>
      </c>
      <c r="V916" s="52" t="s">
        <v>4538</v>
      </c>
      <c r="W916" s="42" t="s">
        <v>4506</v>
      </c>
      <c r="X916" s="43"/>
      <c r="Y916" s="44" t="str">
        <f>vlookup(G916,zip_codes!$B$6:$J988,3,false)</f>
        <v>Houston</v>
      </c>
      <c r="Z916" s="45" t="str">
        <f>vlookup(G916,zip_codes!$B$6:$J988,9,false)</f>
        <v>Independence Heights, Northline, Northside / Northline</v>
      </c>
      <c r="AA916" s="44" t="str">
        <f>vlookup(B916,organizations!$B$1:$C988,2,false)</f>
        <v>Texas Temporary Assistance for Needy Families (TANF)</v>
      </c>
      <c r="AB916" s="46" t="s">
        <v>4507</v>
      </c>
      <c r="AC916" s="47" t="s">
        <v>278</v>
      </c>
      <c r="AD916" s="48" t="s">
        <v>74</v>
      </c>
      <c r="AE916" s="48" t="str">
        <f t="shared" si="110"/>
        <v>Texas Temporary Assistance for Needy Families (TANF)3880 North Fwy11</v>
      </c>
      <c r="AF916" s="48" t="str">
        <f t="shared" si="111"/>
        <v/>
      </c>
    </row>
    <row r="917" ht="66.75" customHeight="1">
      <c r="A917" s="49" t="s">
        <v>50</v>
      </c>
      <c r="B917" s="35" t="s">
        <v>4539</v>
      </c>
      <c r="C917" s="36" t="s">
        <v>2435</v>
      </c>
      <c r="D917" s="36" t="s">
        <v>4540</v>
      </c>
      <c r="E917" s="36" t="s">
        <v>36</v>
      </c>
      <c r="F917" s="36" t="s">
        <v>37</v>
      </c>
      <c r="G917" s="56" t="s">
        <v>307</v>
      </c>
      <c r="H917" s="35" t="s">
        <v>4541</v>
      </c>
      <c r="I917" s="35" t="s">
        <v>272</v>
      </c>
      <c r="J917" s="64"/>
      <c r="K917" s="37">
        <f>IFERROR(__xludf.DUMMYFUNCTION("query(assistance!$A$2:$E988,""Select C Where D = '""&amp;L917&amp;""'"")"),56.0)</f>
        <v>56</v>
      </c>
      <c r="L917" s="36" t="s">
        <v>56</v>
      </c>
      <c r="M917" s="38">
        <f t="shared" si="106"/>
        <v>1</v>
      </c>
      <c r="N917" s="39" t="s">
        <v>42</v>
      </c>
      <c r="O917" s="57">
        <v>46066.0</v>
      </c>
      <c r="P917" s="35" t="s">
        <v>43</v>
      </c>
      <c r="Q917" s="35"/>
      <c r="R917" s="35" t="s">
        <v>4542</v>
      </c>
      <c r="S917" s="35" t="b">
        <v>0</v>
      </c>
      <c r="T917" s="35" t="b">
        <v>0</v>
      </c>
      <c r="U917" s="41" t="str">
        <f>IFERROR(__xludf.DUMMYFUNCTION("""["" &amp; JOIN("", "", ARRAYFORMULA("""""""" &amp; TRIM(SPLIT(A917, "","")) &amp; """""""")) &amp; ""]"""),"[""99999""]")</f>
        <v>["99999"]</v>
      </c>
      <c r="V917" s="42" t="s">
        <v>4543</v>
      </c>
      <c r="W917" s="42" t="s">
        <v>4544</v>
      </c>
      <c r="X917" s="43"/>
      <c r="Y917" s="44" t="str">
        <f>vlookup(G917,zip_codes!$B$6:$J988,3,false)</f>
        <v>Houston</v>
      </c>
      <c r="Z917" s="45" t="str">
        <f>vlookup(G917,zip_codes!$B$6:$J988,9,false)</f>
        <v>Central Southwest, Houston Museum District, South Central Houston, Southgate, Texas Medical Center</v>
      </c>
      <c r="AA917" s="44" t="str">
        <f>vlookup(B917,organizations!$B$1:$C988,2,false)</f>
        <v>Texas Veterans Commission</v>
      </c>
      <c r="AB917" s="46" t="s">
        <v>2379</v>
      </c>
      <c r="AC917" s="53" t="str">
        <f>PARSE_HOURS(I917)</f>
        <v>{"regular":[{"days":["Mo","Tu","We","Th","Fr"],"open":"08:00","close":"17:00"}]}</v>
      </c>
      <c r="AD917" s="58" t="s">
        <v>2394</v>
      </c>
      <c r="AE917" s="48" t="str">
        <f t="shared" si="110"/>
        <v>Texas Veterans Commission2002 Holcolmbe Blvd56</v>
      </c>
      <c r="AF917" s="48" t="str">
        <f t="shared" si="111"/>
        <v/>
      </c>
    </row>
    <row r="918" ht="66.75" customHeight="1">
      <c r="A918" s="49" t="s">
        <v>50</v>
      </c>
      <c r="B918" s="35" t="s">
        <v>4545</v>
      </c>
      <c r="C918" s="36" t="s">
        <v>4546</v>
      </c>
      <c r="D918" s="36" t="s">
        <v>157</v>
      </c>
      <c r="E918" s="36" t="s">
        <v>4547</v>
      </c>
      <c r="F918" s="36" t="s">
        <v>364</v>
      </c>
      <c r="G918" s="56" t="s">
        <v>4548</v>
      </c>
      <c r="H918" s="35" t="s">
        <v>4549</v>
      </c>
      <c r="I918" s="35" t="s">
        <v>3446</v>
      </c>
      <c r="J918" s="35" t="s">
        <v>89</v>
      </c>
      <c r="K918" s="37">
        <f>IFERROR(__xludf.DUMMYFUNCTION("query(assistance!$A$2:$E988,""Select C Where D = '""&amp;L918&amp;""'"")"),36.0)</f>
        <v>36</v>
      </c>
      <c r="L918" s="36" t="s">
        <v>227</v>
      </c>
      <c r="M918" s="38">
        <f t="shared" si="106"/>
        <v>1</v>
      </c>
      <c r="N918" s="39" t="s">
        <v>42</v>
      </c>
      <c r="O918" s="40">
        <v>6693457.0</v>
      </c>
      <c r="P918" s="35" t="s">
        <v>43</v>
      </c>
      <c r="Q918" s="35"/>
      <c r="R918" s="35" t="s">
        <v>4550</v>
      </c>
      <c r="S918" s="35" t="b">
        <v>0</v>
      </c>
      <c r="T918" s="35" t="b">
        <v>0</v>
      </c>
      <c r="U918" s="41" t="str">
        <f>IFERROR(__xludf.DUMMYFUNCTION("""["" &amp; JOIN("", "", ARRAYFORMULA("""""""" &amp; TRIM(SPLIT(A918, "","")) &amp; """""""")) &amp; ""]"""),"[""99999""]")</f>
        <v>["99999"]</v>
      </c>
      <c r="V918" s="42" t="s">
        <v>4551</v>
      </c>
      <c r="W918" s="42" t="s">
        <v>4552</v>
      </c>
      <c r="X918" s="43"/>
      <c r="Y918" s="44" t="str">
        <f>vlookup(G918,zip_codes!$B$6:$J988,3,false)</f>
        <v>Orlando</v>
      </c>
      <c r="Z918" s="45" t="str">
        <f>vlookup(G918,zip_codes!$B$6:$J988,9,false)</f>
        <v>Florida Center</v>
      </c>
      <c r="AA918" s="44" t="str">
        <f>vlookup(B918,organizations!$B$1:$C988,2,false)</f>
        <v>The Assistance Fund (TAF)</v>
      </c>
      <c r="AB918" s="55" t="s">
        <v>4553</v>
      </c>
      <c r="AC918" s="61" t="s">
        <v>3451</v>
      </c>
      <c r="AD918" s="58" t="s">
        <v>4554</v>
      </c>
      <c r="AE918" s="48" t="str">
        <f t="shared" si="110"/>
        <v>The Assistance Fund (TAF)8427 Southpark Circle36</v>
      </c>
      <c r="AF918" s="48" t="str">
        <f>if(AE918=AE389,"XXX","")</f>
        <v/>
      </c>
    </row>
    <row r="919" ht="66.75" customHeight="1">
      <c r="A919" s="49" t="s">
        <v>50</v>
      </c>
      <c r="B919" s="35" t="s">
        <v>4555</v>
      </c>
      <c r="C919" s="36" t="s">
        <v>4556</v>
      </c>
      <c r="D919" s="36"/>
      <c r="E919" s="36" t="s">
        <v>148</v>
      </c>
      <c r="F919" s="36" t="s">
        <v>37</v>
      </c>
      <c r="G919" s="56" t="s">
        <v>1640</v>
      </c>
      <c r="H919" s="35" t="s">
        <v>4557</v>
      </c>
      <c r="I919" s="35" t="s">
        <v>1102</v>
      </c>
      <c r="J919" s="35" t="s">
        <v>89</v>
      </c>
      <c r="K919" s="37">
        <f>IFERROR(__xludf.DUMMYFUNCTION("query(assistance!$A$2:$E988,""Select C Where D = '""&amp;L919&amp;""'"")"),37.0)</f>
        <v>37</v>
      </c>
      <c r="L919" s="36" t="s">
        <v>309</v>
      </c>
      <c r="M919" s="38">
        <f t="shared" si="106"/>
        <v>1</v>
      </c>
      <c r="N919" s="39" t="s">
        <v>42</v>
      </c>
      <c r="O919" s="62">
        <v>46036.0</v>
      </c>
      <c r="P919" s="35" t="s">
        <v>43</v>
      </c>
      <c r="Q919" s="35"/>
      <c r="R919" s="35" t="s">
        <v>4558</v>
      </c>
      <c r="S919" s="35" t="b">
        <v>0</v>
      </c>
      <c r="T919" s="35" t="b">
        <v>0</v>
      </c>
      <c r="U919" s="41" t="str">
        <f>IFERROR(__xludf.DUMMYFUNCTION("""["" &amp; JOIN("", "", ARRAYFORMULA("""""""" &amp; TRIM(SPLIT(A919, "","")) &amp; """""""")) &amp; ""]"""),"[""99999""]")</f>
        <v>["99999"]</v>
      </c>
      <c r="V919" s="42" t="s">
        <v>4559</v>
      </c>
      <c r="W919" s="42" t="s">
        <v>4560</v>
      </c>
      <c r="X919" s="43"/>
      <c r="Y919" s="44" t="str">
        <f>vlookup(G919,zip_codes!$B$6:$J988,3,false)</f>
        <v>Katy</v>
      </c>
      <c r="Z919" s="45" t="str">
        <f>vlookup(G919,zip_codes!$B$6:$J988,9,false)</f>
        <v>Cinco Ranch East, Katy (South), Nottingham Country</v>
      </c>
      <c r="AA919" s="44" t="str">
        <f>vlookup(B919,organizations!$B$1:$C988,2,false)</f>
        <v>The Ballard House</v>
      </c>
      <c r="AB919" s="55" t="s">
        <v>4561</v>
      </c>
      <c r="AC919" s="61" t="s">
        <v>1107</v>
      </c>
      <c r="AD919" s="58" t="s">
        <v>4562</v>
      </c>
      <c r="AE919" s="48" t="str">
        <f t="shared" si="110"/>
        <v>The Ballard House21421 Cinco PArk Road37</v>
      </c>
      <c r="AF919" s="48" t="str">
        <f t="shared" ref="AF919:AF930" si="112">if(AE919=AE918,"XXX","")</f>
        <v/>
      </c>
    </row>
    <row r="920" ht="66.75" customHeight="1">
      <c r="A920" s="49" t="s">
        <v>50</v>
      </c>
      <c r="B920" s="35" t="s">
        <v>4563</v>
      </c>
      <c r="C920" s="36" t="s">
        <v>2278</v>
      </c>
      <c r="D920" s="36"/>
      <c r="E920" s="36" t="s">
        <v>36</v>
      </c>
      <c r="F920" s="36" t="s">
        <v>37</v>
      </c>
      <c r="G920" s="35" t="s">
        <v>270</v>
      </c>
      <c r="H920" s="35" t="s">
        <v>4564</v>
      </c>
      <c r="I920" s="35" t="s">
        <v>4565</v>
      </c>
      <c r="J920" s="64"/>
      <c r="K920" s="37">
        <f>IFERROR(__xludf.DUMMYFUNCTION("query(assistance!$A$2:$E988,""Select C Where D = '""&amp;L920&amp;""'"")"),22.0)</f>
        <v>22</v>
      </c>
      <c r="L920" s="36" t="s">
        <v>1178</v>
      </c>
      <c r="M920" s="38">
        <f t="shared" si="106"/>
        <v>1</v>
      </c>
      <c r="N920" s="39" t="s">
        <v>42</v>
      </c>
      <c r="O920" s="65"/>
      <c r="P920" s="50"/>
      <c r="Q920" s="35"/>
      <c r="R920" s="35" t="s">
        <v>4566</v>
      </c>
      <c r="S920" s="35" t="b">
        <v>0</v>
      </c>
      <c r="T920" s="35" t="b">
        <v>0</v>
      </c>
      <c r="U920" s="41" t="str">
        <f>IFERROR(__xludf.DUMMYFUNCTION("""["" &amp; JOIN("", "", ARRAYFORMULA("""""""" &amp; TRIM(SPLIT(A920, "","")) &amp; """""""")) &amp; ""]"""),"[""99999""]")</f>
        <v>["99999"]</v>
      </c>
      <c r="V920" s="52" t="s">
        <v>4567</v>
      </c>
      <c r="W920" s="42" t="s">
        <v>4568</v>
      </c>
      <c r="X920" s="43"/>
      <c r="Y920" s="44" t="str">
        <f>vlookup(G920,zip_codes!$B$6:$J988,3,false)</f>
        <v>Houston</v>
      </c>
      <c r="Z920" s="45" t="str">
        <f>vlookup(G920,zip_codes!$B$6:$J988,9,false)</f>
        <v>Central Business District, Downtown Houston, East Downtown, South Central Houston, Theater District, University Place, Warehouse District</v>
      </c>
      <c r="AA920" s="44" t="str">
        <f>vlookup(B920,organizations!$B$1:$C988,2,false)</f>
        <v>The Beacon</v>
      </c>
      <c r="AB920" s="46" t="s">
        <v>2281</v>
      </c>
      <c r="AC920" s="47" t="s">
        <v>4569</v>
      </c>
      <c r="AD920" s="48" t="s">
        <v>279</v>
      </c>
      <c r="AE920" s="48" t="str">
        <f t="shared" si="110"/>
        <v>The Beacon1212 Prairie Street22</v>
      </c>
      <c r="AF920" s="48" t="str">
        <f t="shared" si="112"/>
        <v/>
      </c>
    </row>
    <row r="921" ht="66.75" customHeight="1">
      <c r="A921" s="49" t="s">
        <v>50</v>
      </c>
      <c r="B921" s="35" t="s">
        <v>4563</v>
      </c>
      <c r="C921" s="36" t="s">
        <v>2278</v>
      </c>
      <c r="D921" s="36"/>
      <c r="E921" s="36" t="s">
        <v>36</v>
      </c>
      <c r="F921" s="36" t="s">
        <v>37</v>
      </c>
      <c r="G921" s="35" t="s">
        <v>270</v>
      </c>
      <c r="H921" s="35" t="s">
        <v>4564</v>
      </c>
      <c r="I921" s="35" t="s">
        <v>4570</v>
      </c>
      <c r="J921" s="35" t="s">
        <v>4571</v>
      </c>
      <c r="K921" s="37">
        <f>IFERROR(__xludf.DUMMYFUNCTION("query(assistance!$A$2:$E988,""Select C Where D = '""&amp;L921&amp;""'"")"),54.0)</f>
        <v>54</v>
      </c>
      <c r="L921" s="36" t="s">
        <v>291</v>
      </c>
      <c r="M921" s="38">
        <f t="shared" si="106"/>
        <v>1</v>
      </c>
      <c r="N921" s="39" t="s">
        <v>42</v>
      </c>
      <c r="O921" s="57">
        <v>46023.0</v>
      </c>
      <c r="P921" s="50"/>
      <c r="Q921" s="35"/>
      <c r="R921" s="35" t="s">
        <v>4572</v>
      </c>
      <c r="S921" s="35" t="b">
        <v>0</v>
      </c>
      <c r="T921" s="35" t="b">
        <v>0</v>
      </c>
      <c r="U921" s="41" t="str">
        <f>IFERROR(__xludf.DUMMYFUNCTION("""["" &amp; JOIN("", "", ARRAYFORMULA("""""""" &amp; TRIM(SPLIT(A921, "","")) &amp; """""""")) &amp; ""]"""),"[""99999""]")</f>
        <v>["99999"]</v>
      </c>
      <c r="V921" s="52" t="s">
        <v>4567</v>
      </c>
      <c r="W921" s="42" t="s">
        <v>4568</v>
      </c>
      <c r="X921" s="43"/>
      <c r="Y921" s="44" t="str">
        <f>vlookup(G921,zip_codes!$B$6:$J988,3,false)</f>
        <v>Houston</v>
      </c>
      <c r="Z921" s="45" t="str">
        <f>vlookup(G921,zip_codes!$B$6:$J988,9,false)</f>
        <v>Central Business District, Downtown Houston, East Downtown, South Central Houston, Theater District, University Place, Warehouse District</v>
      </c>
      <c r="AA921" s="44" t="str">
        <f>vlookup(B921,organizations!$B$1:$C988,2,false)</f>
        <v>The Beacon</v>
      </c>
      <c r="AB921" s="46" t="s">
        <v>2281</v>
      </c>
      <c r="AC921" s="47" t="s">
        <v>4573</v>
      </c>
      <c r="AD921" s="48" t="s">
        <v>279</v>
      </c>
      <c r="AE921" s="48" t="str">
        <f t="shared" si="110"/>
        <v>The Beacon1212 Prairie Street54</v>
      </c>
      <c r="AF921" s="48" t="str">
        <f t="shared" si="112"/>
        <v/>
      </c>
    </row>
    <row r="922" ht="66.75" customHeight="1">
      <c r="A922" s="49" t="s">
        <v>50</v>
      </c>
      <c r="B922" s="35" t="s">
        <v>4574</v>
      </c>
      <c r="C922" s="36" t="s">
        <v>4575</v>
      </c>
      <c r="D922" s="36"/>
      <c r="E922" s="36" t="s">
        <v>729</v>
      </c>
      <c r="F922" s="36" t="s">
        <v>37</v>
      </c>
      <c r="G922" s="35" t="s">
        <v>723</v>
      </c>
      <c r="H922" s="35" t="s">
        <v>4576</v>
      </c>
      <c r="I922" s="35" t="s">
        <v>516</v>
      </c>
      <c r="J922" s="35"/>
      <c r="K922" s="37">
        <f>IFERROR(__xludf.DUMMYFUNCTION("query(assistance!$A$2:$E988,""Select C Where D = '""&amp;L922&amp;""'"")"),41.0)</f>
        <v>41</v>
      </c>
      <c r="L922" s="36" t="s">
        <v>788</v>
      </c>
      <c r="M922" s="38">
        <f t="shared" si="106"/>
        <v>1</v>
      </c>
      <c r="N922" s="39" t="s">
        <v>42</v>
      </c>
      <c r="O922" s="65"/>
      <c r="P922" s="50"/>
      <c r="Q922" s="35"/>
      <c r="R922" s="35" t="s">
        <v>4577</v>
      </c>
      <c r="S922" s="35" t="b">
        <v>0</v>
      </c>
      <c r="T922" s="35" t="b">
        <v>0</v>
      </c>
      <c r="U922" s="41" t="str">
        <f>IFERROR(__xludf.DUMMYFUNCTION("""["" &amp; JOIN("", "", ARRAYFORMULA("""""""" &amp; TRIM(SPLIT(A922, "","")) &amp; """""""")) &amp; ""]"""),"[""99999""]")</f>
        <v>["99999"]</v>
      </c>
      <c r="V922" s="52" t="s">
        <v>4578</v>
      </c>
      <c r="W922" s="43"/>
      <c r="X922" s="43"/>
      <c r="Y922" s="44" t="str">
        <f>vlookup(G922,zip_codes!$B$6:$J988,3,false)</f>
        <v>Pasadena</v>
      </c>
      <c r="Z922" s="45" t="str">
        <f>vlookup(G922,zip_codes!$B$6:$J988,9,false)</f>
        <v>Highland Farms, Pasadena</v>
      </c>
      <c r="AA922" s="44" t="str">
        <f>vlookup(B922,organizations!$B$1:$C988,2,false)</f>
        <v>The Bridge Over Troubled Waters</v>
      </c>
      <c r="AB922" s="46" t="s">
        <v>4579</v>
      </c>
      <c r="AC922" s="47" t="s">
        <v>520</v>
      </c>
      <c r="AD922" s="48" t="s">
        <v>4580</v>
      </c>
      <c r="AE922" s="48" t="str">
        <f t="shared" si="110"/>
        <v>The Bridge Over Troubled Waters3811 Allen Genoa Road41</v>
      </c>
      <c r="AF922" s="48" t="str">
        <f t="shared" si="112"/>
        <v/>
      </c>
    </row>
    <row r="923" ht="66.75" customHeight="1">
      <c r="A923" s="49" t="s">
        <v>50</v>
      </c>
      <c r="B923" s="35" t="s">
        <v>4574</v>
      </c>
      <c r="C923" s="36" t="s">
        <v>4581</v>
      </c>
      <c r="D923" s="36"/>
      <c r="E923" s="36" t="s">
        <v>774</v>
      </c>
      <c r="F923" s="36" t="s">
        <v>37</v>
      </c>
      <c r="G923" s="35" t="s">
        <v>2789</v>
      </c>
      <c r="H923" s="35" t="s">
        <v>4582</v>
      </c>
      <c r="I923" s="35" t="s">
        <v>516</v>
      </c>
      <c r="J923" s="35"/>
      <c r="K923" s="37">
        <f>IFERROR(__xludf.DUMMYFUNCTION("query(assistance!$A$2:$E988,""Select C Where D = '""&amp;L923&amp;""'"")"),42.0)</f>
        <v>42</v>
      </c>
      <c r="L923" s="36" t="s">
        <v>273</v>
      </c>
      <c r="M923" s="38">
        <f t="shared" si="106"/>
        <v>1</v>
      </c>
      <c r="N923" s="39" t="s">
        <v>42</v>
      </c>
      <c r="O923" s="65"/>
      <c r="P923" s="50"/>
      <c r="Q923" s="35"/>
      <c r="R923" s="35" t="s">
        <v>4583</v>
      </c>
      <c r="S923" s="35" t="b">
        <v>0</v>
      </c>
      <c r="T923" s="35" t="b">
        <v>0</v>
      </c>
      <c r="U923" s="41" t="str">
        <f>IFERROR(__xludf.DUMMYFUNCTION("""["" &amp; JOIN("", "", ARRAYFORMULA("""""""" &amp; TRIM(SPLIT(A923, "","")) &amp; """""""")) &amp; ""]"""),"[""99999""]")</f>
        <v>["99999"]</v>
      </c>
      <c r="V923" s="52" t="s">
        <v>4578</v>
      </c>
      <c r="W923" s="43"/>
      <c r="X923" s="43"/>
      <c r="Y923" s="44" t="str">
        <f>vlookup(G923,zip_codes!$B$6:$J988,3,false)</f>
        <v>Baytown</v>
      </c>
      <c r="Z923" s="45" t="str">
        <f>vlookup(G923,zip_codes!$B$6:$J988,9,false)</f>
        <v>Baytown, Baytown (North), Highland Farms</v>
      </c>
      <c r="AA923" s="44" t="str">
        <f>vlookup(B923,organizations!$B$1:$C988,2,false)</f>
        <v>The Bridge Over Troubled Waters</v>
      </c>
      <c r="AB923" s="46" t="s">
        <v>4579</v>
      </c>
      <c r="AC923" s="47" t="s">
        <v>520</v>
      </c>
      <c r="AD923" s="48" t="s">
        <v>4580</v>
      </c>
      <c r="AE923" s="48" t="str">
        <f t="shared" si="110"/>
        <v>The Bridge Over Troubled Waters8203 John Martin Road42</v>
      </c>
      <c r="AF923" s="48" t="str">
        <f t="shared" si="112"/>
        <v/>
      </c>
    </row>
    <row r="924" ht="66.75" customHeight="1">
      <c r="A924" s="49" t="s">
        <v>50</v>
      </c>
      <c r="B924" s="35" t="s">
        <v>4584</v>
      </c>
      <c r="C924" s="36" t="s">
        <v>4585</v>
      </c>
      <c r="D924" s="36"/>
      <c r="E924" s="36" t="s">
        <v>36</v>
      </c>
      <c r="F924" s="36" t="s">
        <v>37</v>
      </c>
      <c r="G924" s="35" t="s">
        <v>1023</v>
      </c>
      <c r="H924" s="35" t="s">
        <v>4586</v>
      </c>
      <c r="I924" s="35" t="s">
        <v>67</v>
      </c>
      <c r="J924" s="35"/>
      <c r="K924" s="37">
        <f>IFERROR(__xludf.DUMMYFUNCTION("query(assistance!$A$2:$E988,""Select C Where D = '""&amp;L924&amp;""'"")"),34.0)</f>
        <v>34</v>
      </c>
      <c r="L924" s="36" t="s">
        <v>260</v>
      </c>
      <c r="M924" s="38">
        <f t="shared" si="106"/>
        <v>1</v>
      </c>
      <c r="N924" s="51" t="s">
        <v>42</v>
      </c>
      <c r="O924" s="40">
        <v>45761.0</v>
      </c>
      <c r="P924" s="35" t="s">
        <v>406</v>
      </c>
      <c r="Q924" s="35"/>
      <c r="R924" s="35" t="s">
        <v>4587</v>
      </c>
      <c r="S924" s="35" t="b">
        <v>0</v>
      </c>
      <c r="T924" s="35" t="b">
        <v>0</v>
      </c>
      <c r="U924" s="41" t="str">
        <f>IFERROR(__xludf.DUMMYFUNCTION("""["" &amp; JOIN("", "", ARRAYFORMULA("""""""" &amp; TRIM(SPLIT(A924, "","")) &amp; """""""")) &amp; ""]"""),"[""99999""]")</f>
        <v>["99999"]</v>
      </c>
      <c r="V924" s="52" t="s">
        <v>4588</v>
      </c>
      <c r="W924" s="52" t="s">
        <v>4589</v>
      </c>
      <c r="X924" s="43"/>
      <c r="Y924" s="44" t="str">
        <f>vlookup(G924,zip_codes!$B$6:$J988,3,false)</f>
        <v>Houston</v>
      </c>
      <c r="Z924" s="45" t="str">
        <f>vlookup(G924,zip_codes!$B$6:$J988,9,false)</f>
        <v>Downtown Houston, Memorial Park, Rice Military, Sawyer Heights, Washington Avenue Coalition / Memorial Park, Washington Corridor</v>
      </c>
      <c r="AA924" s="44" t="str">
        <f>vlookup(B924,organizations!$B$1:$C988,2,false)</f>
        <v>The Council on Recovery</v>
      </c>
      <c r="AB924" s="46" t="s">
        <v>4590</v>
      </c>
      <c r="AC924" s="47" t="s">
        <v>73</v>
      </c>
      <c r="AD924" s="48" t="s">
        <v>1296</v>
      </c>
      <c r="AE924" s="48" t="str">
        <f t="shared" si="110"/>
        <v>The Council on Recovery303 Jackson Hill Street34</v>
      </c>
      <c r="AF924" s="48" t="str">
        <f t="shared" si="112"/>
        <v/>
      </c>
    </row>
    <row r="925" ht="66.75" customHeight="1">
      <c r="A925" s="74" t="s">
        <v>50</v>
      </c>
      <c r="B925" s="35" t="s">
        <v>4591</v>
      </c>
      <c r="C925" s="36" t="s">
        <v>4592</v>
      </c>
      <c r="D925" s="36"/>
      <c r="E925" s="36" t="s">
        <v>36</v>
      </c>
      <c r="F925" s="36" t="s">
        <v>37</v>
      </c>
      <c r="G925" s="35" t="s">
        <v>557</v>
      </c>
      <c r="H925" s="35" t="s">
        <v>4593</v>
      </c>
      <c r="I925" s="35" t="s">
        <v>2477</v>
      </c>
      <c r="J925" s="35"/>
      <c r="K925" s="37">
        <f>IFERROR(__xludf.DUMMYFUNCTION("query(assistance!$A$2:$E988,""Select C Where D = '""&amp;L925&amp;""'"")"),24.0)</f>
        <v>24</v>
      </c>
      <c r="L925" s="36" t="s">
        <v>405</v>
      </c>
      <c r="M925" s="38">
        <f t="shared" si="106"/>
        <v>1</v>
      </c>
      <c r="N925" s="39" t="s">
        <v>42</v>
      </c>
      <c r="O925" s="57">
        <v>45792.0</v>
      </c>
      <c r="P925" s="35" t="s">
        <v>43</v>
      </c>
      <c r="Q925" s="35"/>
      <c r="R925" s="35" t="s">
        <v>4594</v>
      </c>
      <c r="S925" s="35" t="b">
        <v>0</v>
      </c>
      <c r="T925" s="35" t="b">
        <v>0</v>
      </c>
      <c r="U925" s="41" t="str">
        <f>IFERROR(__xludf.DUMMYFUNCTION("""["" &amp; JOIN("", "", ARRAYFORMULA("""""""" &amp; TRIM(SPLIT(A925, "","")) &amp; """""""")) &amp; ""]"""),"[""99999""]")</f>
        <v>["99999"]</v>
      </c>
      <c r="V925" s="42" t="s">
        <v>4595</v>
      </c>
      <c r="W925" s="42" t="s">
        <v>4596</v>
      </c>
      <c r="X925" s="43"/>
      <c r="Y925" s="44" t="str">
        <f>vlookup(G925,zip_codes!$B$6:$J988,3,false)</f>
        <v>Houston</v>
      </c>
      <c r="Z925" s="45" t="str">
        <f>vlookup(G925,zip_codes!$B$6:$J988,9,false)</f>
        <v>East Downtown, Downtown Houston, Second Ward, South Central Houston, South Side</v>
      </c>
      <c r="AA925" s="44" t="str">
        <f>vlookup(B925,organizations!$B$1:$C988,2,false)</f>
        <v>The Houston Alumni and Youth Center (HAY)</v>
      </c>
      <c r="AB925" s="46" t="s">
        <v>4597</v>
      </c>
      <c r="AC925" s="47" t="s">
        <v>2482</v>
      </c>
      <c r="AD925" s="48" t="s">
        <v>2968</v>
      </c>
      <c r="AE925" s="48" t="str">
        <f t="shared" si="110"/>
        <v>The Houston Alumni and Youth Center (HAY)3131 Gulf Fwy Frontage Road24</v>
      </c>
      <c r="AF925" s="48" t="str">
        <f t="shared" si="112"/>
        <v/>
      </c>
    </row>
    <row r="926" ht="66.75" customHeight="1">
      <c r="A926" s="49" t="s">
        <v>50</v>
      </c>
      <c r="B926" s="35" t="s">
        <v>4598</v>
      </c>
      <c r="C926" s="36"/>
      <c r="D926" s="36"/>
      <c r="E926" s="36"/>
      <c r="F926" s="36"/>
      <c r="G926" s="56" t="s">
        <v>307</v>
      </c>
      <c r="H926" s="35" t="s">
        <v>4599</v>
      </c>
      <c r="I926" s="35" t="s">
        <v>40</v>
      </c>
      <c r="J926" s="35"/>
      <c r="K926" s="37">
        <f>IFERROR(__xludf.DUMMYFUNCTION("query(assistance!$A$2:$E988,""Select C Where D = '""&amp;L926&amp;""'"")"),11.0)</f>
        <v>11</v>
      </c>
      <c r="L926" s="36" t="s">
        <v>322</v>
      </c>
      <c r="M926" s="39">
        <f t="shared" ref="M926:M927" si="113">if(N926="Inactive",3,if(N926="Limited", 2, if(N926="Closed", 4, 1)))</f>
        <v>3</v>
      </c>
      <c r="N926" s="39" t="s">
        <v>973</v>
      </c>
      <c r="O926" s="57">
        <v>46058.0</v>
      </c>
      <c r="P926" s="35" t="s">
        <v>4600</v>
      </c>
      <c r="Q926" s="35"/>
      <c r="R926" s="35"/>
      <c r="S926" s="35" t="b">
        <v>0</v>
      </c>
      <c r="T926" s="35" t="b">
        <v>0</v>
      </c>
      <c r="U926" s="41" t="str">
        <f>IFERROR(__xludf.DUMMYFUNCTION("""["" &amp; JOIN("", "", ARRAYFORMULA("""""""" &amp; TRIM(SPLIT(A926, "","")) &amp; """""""")) &amp; ""]"""),"[""99999""]")</f>
        <v>["99999"]</v>
      </c>
      <c r="V926" s="42" t="s">
        <v>4601</v>
      </c>
      <c r="W926" s="42"/>
      <c r="X926" s="43"/>
      <c r="Y926" s="44" t="str">
        <f>vlookup(G926,zip_codes!$B$6:$J988,3,false)</f>
        <v>Houston</v>
      </c>
      <c r="Z926" s="45" t="str">
        <f>vlookup(G926,zip_codes!$B$6:$J988,9,false)</f>
        <v>Central Southwest, Houston Museum District, South Central Houston, Southgate, Texas Medical Center</v>
      </c>
      <c r="AA926" s="44" t="str">
        <f>vlookup(B926,organizations!$B$1:$C988,2,false)</f>
        <v>The Lamp Project</v>
      </c>
      <c r="AB926" s="83" t="s">
        <v>4602</v>
      </c>
      <c r="AC926" s="47" t="s">
        <v>48</v>
      </c>
      <c r="AD926" s="48"/>
      <c r="AE926" s="48" t="str">
        <f t="shared" si="110"/>
        <v>The Lamp Project11</v>
      </c>
      <c r="AF926" s="48" t="str">
        <f t="shared" si="112"/>
        <v/>
      </c>
    </row>
    <row r="927" ht="66.75" customHeight="1">
      <c r="A927" s="49" t="s">
        <v>50</v>
      </c>
      <c r="B927" s="35" t="s">
        <v>4598</v>
      </c>
      <c r="C927" s="36"/>
      <c r="D927" s="36"/>
      <c r="E927" s="36"/>
      <c r="F927" s="36"/>
      <c r="G927" s="56" t="s">
        <v>307</v>
      </c>
      <c r="H927" s="35" t="s">
        <v>4599</v>
      </c>
      <c r="I927" s="35" t="s">
        <v>40</v>
      </c>
      <c r="J927" s="35"/>
      <c r="K927" s="37">
        <f>IFERROR(__xludf.DUMMYFUNCTION("query(assistance!$A$2:$E988,""Select C Where D = '""&amp;L927&amp;""'"")"),12.0)</f>
        <v>12</v>
      </c>
      <c r="L927" s="36" t="s">
        <v>330</v>
      </c>
      <c r="M927" s="39">
        <f t="shared" si="113"/>
        <v>3</v>
      </c>
      <c r="N927" s="39" t="s">
        <v>973</v>
      </c>
      <c r="O927" s="57">
        <v>46058.0</v>
      </c>
      <c r="P927" s="35" t="s">
        <v>4600</v>
      </c>
      <c r="Q927" s="35"/>
      <c r="R927" s="35"/>
      <c r="S927" s="35" t="b">
        <v>0</v>
      </c>
      <c r="T927" s="35" t="b">
        <v>0</v>
      </c>
      <c r="U927" s="41" t="str">
        <f>IFERROR(__xludf.DUMMYFUNCTION("""["" &amp; JOIN("", "", ARRAYFORMULA("""""""" &amp; TRIM(SPLIT(A927, "","")) &amp; """""""")) &amp; ""]"""),"[""99999""]")</f>
        <v>["99999"]</v>
      </c>
      <c r="V927" s="42" t="s">
        <v>4601</v>
      </c>
      <c r="W927" s="42"/>
      <c r="X927" s="43"/>
      <c r="Y927" s="44" t="str">
        <f>vlookup(G927,zip_codes!$B$6:$J988,3,false)</f>
        <v>Houston</v>
      </c>
      <c r="Z927" s="45" t="str">
        <f>vlookup(G927,zip_codes!$B$6:$J988,9,false)</f>
        <v>Central Southwest, Houston Museum District, South Central Houston, Southgate, Texas Medical Center</v>
      </c>
      <c r="AA927" s="44" t="str">
        <f>vlookup(B927,organizations!$B$1:$C988,2,false)</f>
        <v>The Lamp Project</v>
      </c>
      <c r="AB927" s="83" t="s">
        <v>4602</v>
      </c>
      <c r="AC927" s="47" t="s">
        <v>48</v>
      </c>
      <c r="AD927" s="48"/>
      <c r="AE927" s="48" t="str">
        <f t="shared" si="110"/>
        <v>The Lamp Project12</v>
      </c>
      <c r="AF927" s="48" t="str">
        <f t="shared" si="112"/>
        <v/>
      </c>
    </row>
    <row r="928" ht="66.75" customHeight="1">
      <c r="A928" s="49" t="s">
        <v>50</v>
      </c>
      <c r="B928" s="35" t="s">
        <v>4598</v>
      </c>
      <c r="C928" s="36"/>
      <c r="D928" s="36"/>
      <c r="E928" s="36"/>
      <c r="F928" s="36"/>
      <c r="G928" s="56" t="s">
        <v>307</v>
      </c>
      <c r="H928" s="35" t="s">
        <v>4599</v>
      </c>
      <c r="I928" s="35" t="s">
        <v>40</v>
      </c>
      <c r="J928" s="35"/>
      <c r="K928" s="37">
        <f>IFERROR(__xludf.DUMMYFUNCTION("query(assistance!$A$2:$E988,""Select C Where D = '""&amp;L928&amp;""'"")"),23.0)</f>
        <v>23</v>
      </c>
      <c r="L928" s="36" t="s">
        <v>2999</v>
      </c>
      <c r="M928" s="38">
        <f t="shared" ref="M928:M959" si="114">if(N928="Inactive",3,if(N928="Limited", 2, 1))</f>
        <v>1</v>
      </c>
      <c r="N928" s="39" t="s">
        <v>42</v>
      </c>
      <c r="O928" s="57">
        <v>46058.0</v>
      </c>
      <c r="P928" s="35" t="s">
        <v>4600</v>
      </c>
      <c r="Q928" s="35"/>
      <c r="R928" s="35" t="s">
        <v>4603</v>
      </c>
      <c r="S928" s="35" t="b">
        <v>0</v>
      </c>
      <c r="T928" s="35" t="b">
        <v>0</v>
      </c>
      <c r="U928" s="41" t="str">
        <f>IFERROR(__xludf.DUMMYFUNCTION("""["" &amp; JOIN("", "", ARRAYFORMULA("""""""" &amp; TRIM(SPLIT(A928, "","")) &amp; """""""")) &amp; ""]"""),"[""99999""]")</f>
        <v>["99999"]</v>
      </c>
      <c r="V928" s="42" t="s">
        <v>4601</v>
      </c>
      <c r="W928" s="42"/>
      <c r="X928" s="43"/>
      <c r="Y928" s="44" t="str">
        <f>vlookup(G928,zip_codes!$B$6:$J988,3,false)</f>
        <v>Houston</v>
      </c>
      <c r="Z928" s="45" t="str">
        <f>vlookup(G928,zip_codes!$B$6:$J988,9,false)</f>
        <v>Central Southwest, Houston Museum District, South Central Houston, Southgate, Texas Medical Center</v>
      </c>
      <c r="AA928" s="44" t="str">
        <f>vlookup(B928,organizations!$B$1:$C988,2,false)</f>
        <v>The Lamp Project</v>
      </c>
      <c r="AB928" s="83" t="s">
        <v>4602</v>
      </c>
      <c r="AC928" s="47" t="s">
        <v>48</v>
      </c>
      <c r="AD928" s="48"/>
      <c r="AE928" s="48" t="str">
        <f t="shared" si="110"/>
        <v>The Lamp Project23</v>
      </c>
      <c r="AF928" s="48" t="str">
        <f t="shared" si="112"/>
        <v/>
      </c>
    </row>
    <row r="929" ht="66.75" customHeight="1">
      <c r="A929" s="49" t="s">
        <v>50</v>
      </c>
      <c r="B929" s="35" t="s">
        <v>4598</v>
      </c>
      <c r="C929" s="36"/>
      <c r="D929" s="36"/>
      <c r="E929" s="36"/>
      <c r="F929" s="36"/>
      <c r="G929" s="56" t="s">
        <v>307</v>
      </c>
      <c r="H929" s="35" t="s">
        <v>4599</v>
      </c>
      <c r="I929" s="35" t="s">
        <v>40</v>
      </c>
      <c r="J929" s="35"/>
      <c r="K929" s="37">
        <f>IFERROR(__xludf.DUMMYFUNCTION("query(assistance!$A$2:$E988,""Select C Where D = '""&amp;L929&amp;""'"")"),35.0)</f>
        <v>35</v>
      </c>
      <c r="L929" s="36" t="s">
        <v>731</v>
      </c>
      <c r="M929" s="38">
        <f t="shared" si="114"/>
        <v>1</v>
      </c>
      <c r="N929" s="39" t="s">
        <v>42</v>
      </c>
      <c r="O929" s="57">
        <v>46058.0</v>
      </c>
      <c r="P929" s="35" t="s">
        <v>4600</v>
      </c>
      <c r="Q929" s="35"/>
      <c r="R929" s="35" t="s">
        <v>4604</v>
      </c>
      <c r="S929" s="35" t="b">
        <v>0</v>
      </c>
      <c r="T929" s="35" t="b">
        <v>0</v>
      </c>
      <c r="U929" s="41" t="str">
        <f>IFERROR(__xludf.DUMMYFUNCTION("""["" &amp; JOIN("", "", ARRAYFORMULA("""""""" &amp; TRIM(SPLIT(A929, "","")) &amp; """""""")) &amp; ""]"""),"[""99999""]")</f>
        <v>["99999"]</v>
      </c>
      <c r="V929" s="42" t="s">
        <v>4601</v>
      </c>
      <c r="W929" s="42"/>
      <c r="X929" s="43"/>
      <c r="Y929" s="44" t="str">
        <f>vlookup(G929,zip_codes!$B$6:$J988,3,false)</f>
        <v>Houston</v>
      </c>
      <c r="Z929" s="45" t="str">
        <f>vlookup(G929,zip_codes!$B$6:$J988,9,false)</f>
        <v>Central Southwest, Houston Museum District, South Central Houston, Southgate, Texas Medical Center</v>
      </c>
      <c r="AA929" s="44" t="str">
        <f>vlookup(B929,organizations!$B$1:$C988,2,false)</f>
        <v>The Lamp Project</v>
      </c>
      <c r="AB929" s="83" t="s">
        <v>4602</v>
      </c>
      <c r="AC929" s="47" t="s">
        <v>48</v>
      </c>
      <c r="AD929" s="48"/>
      <c r="AE929" s="48" t="str">
        <f t="shared" si="110"/>
        <v>The Lamp Project35</v>
      </c>
      <c r="AF929" s="48" t="str">
        <f t="shared" si="112"/>
        <v/>
      </c>
    </row>
    <row r="930" ht="66.75" customHeight="1">
      <c r="A930" s="49" t="s">
        <v>50</v>
      </c>
      <c r="B930" s="35" t="s">
        <v>4605</v>
      </c>
      <c r="C930" s="36" t="s">
        <v>1622</v>
      </c>
      <c r="D930" s="36" t="s">
        <v>4606</v>
      </c>
      <c r="E930" s="36" t="s">
        <v>36</v>
      </c>
      <c r="F930" s="36" t="s">
        <v>37</v>
      </c>
      <c r="G930" s="56" t="s">
        <v>599</v>
      </c>
      <c r="H930" s="35" t="s">
        <v>4607</v>
      </c>
      <c r="I930" s="35" t="s">
        <v>3743</v>
      </c>
      <c r="J930" s="35" t="s">
        <v>4608</v>
      </c>
      <c r="K930" s="37">
        <f>IFERROR(__xludf.DUMMYFUNCTION("query(assistance!$A$2:$E988,""Select C Where D = '""&amp;L930&amp;""'"")"),65.0)</f>
        <v>65</v>
      </c>
      <c r="L930" s="36" t="s">
        <v>41</v>
      </c>
      <c r="M930" s="38">
        <f t="shared" si="114"/>
        <v>1</v>
      </c>
      <c r="N930" s="39" t="s">
        <v>42</v>
      </c>
      <c r="O930" s="40">
        <v>46058.0</v>
      </c>
      <c r="P930" s="35" t="s">
        <v>1505</v>
      </c>
      <c r="Q930" s="35"/>
      <c r="R930" s="35" t="s">
        <v>4609</v>
      </c>
      <c r="S930" s="35" t="b">
        <v>0</v>
      </c>
      <c r="T930" s="35" t="b">
        <v>0</v>
      </c>
      <c r="U930" s="41" t="str">
        <f>IFERROR(__xludf.DUMMYFUNCTION("""["" &amp; JOIN("", "", ARRAYFORMULA("""""""" &amp; TRIM(SPLIT(A930, "","")) &amp; """""""")) &amp; ""]"""),"[""99999""]")</f>
        <v>["99999"]</v>
      </c>
      <c r="V930" s="42" t="s">
        <v>4610</v>
      </c>
      <c r="W930" s="42" t="s">
        <v>4611</v>
      </c>
      <c r="X930" s="43"/>
      <c r="Y930" s="44" t="str">
        <f>vlookup(G930,zip_codes!$B$6:$J988,3,false)</f>
        <v>Houston</v>
      </c>
      <c r="Z930" s="45" t="str">
        <f>vlookup(G930,zip_codes!$B$6:$J988,9,false)</f>
        <v>Chinatown, Sharpstown, Westside</v>
      </c>
      <c r="AA930" s="44" t="str">
        <f>vlookup(B930,organizations!$B$1:$C988,2,false)</f>
        <v>The Landing</v>
      </c>
      <c r="AB930" s="55" t="s">
        <v>4612</v>
      </c>
      <c r="AC930" s="53" t="str">
        <f>PARSE_HOURS(I930)</f>
        <v>{"regular":[{"days":["Mo","Tu","We","Th","Fr"],"open":"10:00","close":"16:00"}]}</v>
      </c>
      <c r="AD930" s="58" t="s">
        <v>1059</v>
      </c>
      <c r="AE930" s="48" t="str">
        <f t="shared" si="110"/>
        <v>The Landing9894 Bissonnet Street65</v>
      </c>
      <c r="AF930" s="48" t="str">
        <f t="shared" si="112"/>
        <v/>
      </c>
    </row>
    <row r="931" ht="66.75" customHeight="1">
      <c r="A931" s="49" t="s">
        <v>50</v>
      </c>
      <c r="B931" s="35" t="s">
        <v>4613</v>
      </c>
      <c r="C931" s="36" t="s">
        <v>4614</v>
      </c>
      <c r="D931" s="36"/>
      <c r="E931" s="36" t="s">
        <v>36</v>
      </c>
      <c r="F931" s="36" t="s">
        <v>37</v>
      </c>
      <c r="G931" s="35" t="s">
        <v>4615</v>
      </c>
      <c r="H931" s="35" t="s">
        <v>4616</v>
      </c>
      <c r="I931" s="35" t="s">
        <v>332</v>
      </c>
      <c r="J931" s="35"/>
      <c r="K931" s="37">
        <f>IFERROR(__xludf.DUMMYFUNCTION("query(assistance!$A$2:$E988,""Select C Where D = '""&amp;L931&amp;""'"")"),24.0)</f>
        <v>24</v>
      </c>
      <c r="L931" s="36" t="s">
        <v>405</v>
      </c>
      <c r="M931" s="38">
        <f t="shared" si="114"/>
        <v>1</v>
      </c>
      <c r="N931" s="39" t="s">
        <v>42</v>
      </c>
      <c r="O931" s="40">
        <v>45791.0</v>
      </c>
      <c r="P931" s="35" t="s">
        <v>43</v>
      </c>
      <c r="Q931" s="35"/>
      <c r="R931" s="35" t="s">
        <v>4617</v>
      </c>
      <c r="S931" s="35" t="b">
        <v>0</v>
      </c>
      <c r="T931" s="35" t="b">
        <v>0</v>
      </c>
      <c r="U931" s="41" t="str">
        <f>IFERROR(__xludf.DUMMYFUNCTION("""["" &amp; JOIN("", "", ARRAYFORMULA("""""""" &amp; TRIM(SPLIT(A931, "","")) &amp; """""""")) &amp; ""]"""),"[""99999""]")</f>
        <v>["99999"]</v>
      </c>
      <c r="V931" s="42" t="s">
        <v>4618</v>
      </c>
      <c r="W931" s="42" t="s">
        <v>4619</v>
      </c>
      <c r="X931" s="43"/>
      <c r="Y931" s="44" t="str">
        <f>vlookup(G931,zip_codes!$B$6:$J988,3,false)</f>
        <v>Houston</v>
      </c>
      <c r="Z931" s="45" t="str">
        <f>vlookup(G931,zip_codes!$B$6:$J988,9,false)</f>
        <v>Fourth Ward, Montrose, River Oaks</v>
      </c>
      <c r="AA931" s="44" t="str">
        <f>vlookup(B931,organizations!$B$1:$C988,2,false)</f>
        <v>The Lighthouse of Houston</v>
      </c>
      <c r="AB931" s="46" t="s">
        <v>4620</v>
      </c>
      <c r="AC931" s="47" t="s">
        <v>335</v>
      </c>
      <c r="AD931" s="48" t="s">
        <v>521</v>
      </c>
      <c r="AE931" s="48" t="str">
        <f t="shared" si="110"/>
        <v>The Lighthouse of Houston3602 W Dallas Street24</v>
      </c>
      <c r="AF931" s="48" t="str">
        <f>if(AE931=AE929,"XXX","")</f>
        <v/>
      </c>
    </row>
    <row r="932" ht="66.75" customHeight="1">
      <c r="A932" s="49" t="s">
        <v>50</v>
      </c>
      <c r="B932" s="35" t="s">
        <v>4613</v>
      </c>
      <c r="C932" s="36" t="s">
        <v>4614</v>
      </c>
      <c r="D932" s="36"/>
      <c r="E932" s="36" t="s">
        <v>36</v>
      </c>
      <c r="F932" s="36" t="s">
        <v>37</v>
      </c>
      <c r="G932" s="35" t="s">
        <v>4615</v>
      </c>
      <c r="H932" s="35" t="s">
        <v>4616</v>
      </c>
      <c r="I932" s="35" t="s">
        <v>332</v>
      </c>
      <c r="J932" s="35"/>
      <c r="K932" s="37">
        <f>IFERROR(__xludf.DUMMYFUNCTION("query(assistance!$A$2:$E988,""Select C Where D = '""&amp;L932&amp;""'"")"),32.0)</f>
        <v>32</v>
      </c>
      <c r="L932" s="36" t="s">
        <v>208</v>
      </c>
      <c r="M932" s="38">
        <f t="shared" si="114"/>
        <v>1</v>
      </c>
      <c r="N932" s="39" t="s">
        <v>42</v>
      </c>
      <c r="O932" s="40">
        <v>46048.0</v>
      </c>
      <c r="P932" s="35" t="s">
        <v>43</v>
      </c>
      <c r="Q932" s="35"/>
      <c r="R932" s="35" t="s">
        <v>4621</v>
      </c>
      <c r="S932" s="35" t="b">
        <v>1</v>
      </c>
      <c r="T932" s="35" t="b">
        <v>0</v>
      </c>
      <c r="U932" s="41" t="str">
        <f>IFERROR(__xludf.DUMMYFUNCTION("""["" &amp; JOIN("", "", ARRAYFORMULA("""""""" &amp; TRIM(SPLIT(A932, "","")) &amp; """""""")) &amp; ""]"""),"[""99999""]")</f>
        <v>["99999"]</v>
      </c>
      <c r="V932" s="42" t="s">
        <v>4618</v>
      </c>
      <c r="W932" s="42" t="s">
        <v>4619</v>
      </c>
      <c r="X932" s="43"/>
      <c r="Y932" s="44" t="str">
        <f>vlookup(G932,zip_codes!$B$6:$J988,3,false)</f>
        <v>Houston</v>
      </c>
      <c r="Z932" s="45" t="str">
        <f>vlookup(G932,zip_codes!$B$6:$J988,9,false)</f>
        <v>Fourth Ward, Montrose, River Oaks</v>
      </c>
      <c r="AA932" s="44" t="str">
        <f>vlookup(B932,organizations!$B$1:$C988,2,false)</f>
        <v>The Lighthouse of Houston</v>
      </c>
      <c r="AB932" s="46" t="s">
        <v>4620</v>
      </c>
      <c r="AC932" s="47" t="s">
        <v>335</v>
      </c>
      <c r="AD932" s="48" t="s">
        <v>521</v>
      </c>
      <c r="AE932" s="48" t="str">
        <f t="shared" si="110"/>
        <v>The Lighthouse of Houston3602 W Dallas Street32</v>
      </c>
      <c r="AF932" s="48" t="str">
        <f t="shared" ref="AF932:AF934" si="115">if(AE932=AE931,"XXX","")</f>
        <v/>
      </c>
    </row>
    <row r="933" ht="66.75" customHeight="1">
      <c r="A933" s="49" t="s">
        <v>50</v>
      </c>
      <c r="B933" s="35" t="s">
        <v>4613</v>
      </c>
      <c r="C933" s="36" t="s">
        <v>4614</v>
      </c>
      <c r="D933" s="36"/>
      <c r="E933" s="36" t="s">
        <v>36</v>
      </c>
      <c r="F933" s="36" t="s">
        <v>37</v>
      </c>
      <c r="G933" s="35" t="s">
        <v>4615</v>
      </c>
      <c r="H933" s="35" t="s">
        <v>4616</v>
      </c>
      <c r="I933" s="35" t="s">
        <v>332</v>
      </c>
      <c r="J933" s="35"/>
      <c r="K933" s="37">
        <f>IFERROR(__xludf.DUMMYFUNCTION("query(assistance!$A$2:$E988,""Select C Where D = '""&amp;L933&amp;""'"")"),52.0)</f>
        <v>52</v>
      </c>
      <c r="L933" s="36" t="s">
        <v>336</v>
      </c>
      <c r="M933" s="38">
        <f t="shared" si="114"/>
        <v>1</v>
      </c>
      <c r="N933" s="39" t="s">
        <v>42</v>
      </c>
      <c r="O933" s="40">
        <v>45791.0</v>
      </c>
      <c r="P933" s="35" t="s">
        <v>43</v>
      </c>
      <c r="Q933" s="35"/>
      <c r="R933" s="35" t="s">
        <v>4622</v>
      </c>
      <c r="S933" s="35" t="b">
        <v>0</v>
      </c>
      <c r="T933" s="35" t="b">
        <v>0</v>
      </c>
      <c r="U933" s="41" t="str">
        <f>IFERROR(__xludf.DUMMYFUNCTION("""["" &amp; JOIN("", "", ARRAYFORMULA("""""""" &amp; TRIM(SPLIT(A933, "","")) &amp; """""""")) &amp; ""]"""),"[""99999""]")</f>
        <v>["99999"]</v>
      </c>
      <c r="V933" s="42" t="s">
        <v>4618</v>
      </c>
      <c r="W933" s="42" t="s">
        <v>4619</v>
      </c>
      <c r="X933" s="43"/>
      <c r="Y933" s="44" t="str">
        <f>vlookup(G933,zip_codes!$B$6:$J988,3,false)</f>
        <v>Houston</v>
      </c>
      <c r="Z933" s="45" t="str">
        <f>vlookup(G933,zip_codes!$B$6:$J988,9,false)</f>
        <v>Fourth Ward, Montrose, River Oaks</v>
      </c>
      <c r="AA933" s="44" t="str">
        <f>vlookup(B933,organizations!$B$1:$C988,2,false)</f>
        <v>The Lighthouse of Houston</v>
      </c>
      <c r="AB933" s="46" t="s">
        <v>4620</v>
      </c>
      <c r="AC933" s="47" t="s">
        <v>335</v>
      </c>
      <c r="AD933" s="48" t="s">
        <v>521</v>
      </c>
      <c r="AE933" s="48" t="str">
        <f t="shared" si="110"/>
        <v>The Lighthouse of Houston3602 W Dallas Street52</v>
      </c>
      <c r="AF933" s="48" t="str">
        <f t="shared" si="115"/>
        <v/>
      </c>
    </row>
    <row r="934" ht="66.75" customHeight="1">
      <c r="A934" s="49" t="s">
        <v>50</v>
      </c>
      <c r="B934" s="35" t="s">
        <v>4623</v>
      </c>
      <c r="C934" s="36" t="s">
        <v>4624</v>
      </c>
      <c r="D934" s="36"/>
      <c r="E934" s="36" t="s">
        <v>36</v>
      </c>
      <c r="F934" s="36" t="s">
        <v>37</v>
      </c>
      <c r="G934" s="35" t="s">
        <v>711</v>
      </c>
      <c r="H934" s="35" t="s">
        <v>4625</v>
      </c>
      <c r="I934" s="35"/>
      <c r="J934" s="35"/>
      <c r="K934" s="37">
        <f>IFERROR(__xludf.DUMMYFUNCTION("query(assistance!$A$2:$E988,""Select C Where D = '""&amp;L934&amp;""'"")"),24.0)</f>
        <v>24</v>
      </c>
      <c r="L934" s="36" t="s">
        <v>405</v>
      </c>
      <c r="M934" s="38">
        <f t="shared" si="114"/>
        <v>1</v>
      </c>
      <c r="N934" s="39" t="s">
        <v>42</v>
      </c>
      <c r="O934" s="40">
        <v>45791.0</v>
      </c>
      <c r="P934" s="35" t="s">
        <v>43</v>
      </c>
      <c r="Q934" s="35"/>
      <c r="R934" s="35" t="s">
        <v>4626</v>
      </c>
      <c r="S934" s="35" t="b">
        <v>0</v>
      </c>
      <c r="T934" s="35" t="b">
        <v>0</v>
      </c>
      <c r="U934" s="41" t="str">
        <f>IFERROR(__xludf.DUMMYFUNCTION("""["" &amp; JOIN("", "", ARRAYFORMULA("""""""" &amp; TRIM(SPLIT(A934, "","")) &amp; """""""")) &amp; ""]"""),"[""99999""]")</f>
        <v>["99999"]</v>
      </c>
      <c r="V934" s="42" t="s">
        <v>4627</v>
      </c>
      <c r="W934" s="42" t="s">
        <v>4628</v>
      </c>
      <c r="X934" s="43"/>
      <c r="Y934" s="44" t="str">
        <f>vlookup(G934,zip_codes!$B$6:$J988,3,false)</f>
        <v>Houston</v>
      </c>
      <c r="Z934" s="45" t="str">
        <f>vlookup(G934,zip_codes!$B$6:$J988,9,false)</f>
        <v>Hilshire Village, Montrose, Northwest Houston, Spring Branch East, Washington Avenue Coalition / Memorial Park</v>
      </c>
      <c r="AA934" s="44" t="str">
        <f>vlookup(B934,organizations!$B$1:$C988,2,false)</f>
        <v>The Women's Home</v>
      </c>
      <c r="AB934" s="46" t="s">
        <v>4629</v>
      </c>
      <c r="AC934" s="53"/>
      <c r="AD934" s="48" t="s">
        <v>521</v>
      </c>
      <c r="AE934" s="48" t="str">
        <f t="shared" si="110"/>
        <v>The Women's Home607 Westheimer Road24</v>
      </c>
      <c r="AF934" s="48" t="str">
        <f t="shared" si="115"/>
        <v/>
      </c>
    </row>
    <row r="935" ht="66.75" customHeight="1">
      <c r="A935" s="34" t="s">
        <v>234</v>
      </c>
      <c r="B935" s="35" t="s">
        <v>4630</v>
      </c>
      <c r="C935" s="36" t="s">
        <v>4631</v>
      </c>
      <c r="D935" s="36"/>
      <c r="E935" s="36" t="s">
        <v>36</v>
      </c>
      <c r="F935" s="36" t="s">
        <v>37</v>
      </c>
      <c r="G935" s="56" t="s">
        <v>749</v>
      </c>
      <c r="H935" s="35" t="s">
        <v>4632</v>
      </c>
      <c r="I935" s="35" t="s">
        <v>4633</v>
      </c>
      <c r="J935" s="35"/>
      <c r="K935" s="37">
        <f>IFERROR(__xludf.DUMMYFUNCTION("query(assistance!$A$2:$E988,""Select C Where D = '""&amp;L935&amp;""'"")"),13.0)</f>
        <v>13</v>
      </c>
      <c r="L935" s="36" t="s">
        <v>240</v>
      </c>
      <c r="M935" s="38">
        <f t="shared" si="114"/>
        <v>1</v>
      </c>
      <c r="N935" s="39" t="s">
        <v>42</v>
      </c>
      <c r="O935" s="57">
        <v>46057.0</v>
      </c>
      <c r="P935" s="35" t="s">
        <v>43</v>
      </c>
      <c r="Q935" s="35"/>
      <c r="R935" s="35" t="s">
        <v>241</v>
      </c>
      <c r="S935" s="35" t="b">
        <v>0</v>
      </c>
      <c r="T935" s="35" t="b">
        <v>0</v>
      </c>
      <c r="U935" s="41" t="str">
        <f>IFERROR(__xludf.DUMMYFUNCTION("""["" &amp; JOIN("", "", ARRAYFORMULA("""""""" &amp; TRIM(SPLIT(A935,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35" s="42" t="s">
        <v>4634</v>
      </c>
      <c r="W935" s="42" t="s">
        <v>4635</v>
      </c>
      <c r="X935" s="43"/>
      <c r="Y935" s="44" t="str">
        <f>vlookup(G935,zip_codes!$B$6:$J988,3,false)</f>
        <v>Houston</v>
      </c>
      <c r="Z935" s="45" t="str">
        <f>vlookup(G935,zip_codes!$B$6:$J988,9,false)</f>
        <v>East Downtown, Downtown Houston, Houston Museum District, Midtown, Museum District, South Central Houston, South Side, Third Ward, University Place</v>
      </c>
      <c r="AA935" s="44" t="str">
        <f>vlookup(B935,organizations!$B$1:$C988,2,false)</f>
        <v>City of Houston</v>
      </c>
      <c r="AB935" s="55" t="s">
        <v>4636</v>
      </c>
      <c r="AC935" s="47" t="str">
        <f>PARSE_HOURS(I935)</f>
        <v>{"special":[{"pattern":"1st Th","open":"13:00","close":"15:00"}]}</v>
      </c>
      <c r="AD935" s="58" t="s">
        <v>314</v>
      </c>
      <c r="AE935" s="48"/>
      <c r="AF935" s="48"/>
    </row>
    <row r="936" ht="66.75" customHeight="1">
      <c r="A936" s="49" t="s">
        <v>4637</v>
      </c>
      <c r="B936" s="35" t="s">
        <v>4638</v>
      </c>
      <c r="C936" s="36" t="s">
        <v>4639</v>
      </c>
      <c r="D936" s="36"/>
      <c r="E936" s="36" t="s">
        <v>3301</v>
      </c>
      <c r="F936" s="36" t="s">
        <v>37</v>
      </c>
      <c r="G936" s="35" t="s">
        <v>3901</v>
      </c>
      <c r="H936" s="35" t="s">
        <v>4640</v>
      </c>
      <c r="I936" s="35" t="s">
        <v>4641</v>
      </c>
      <c r="J936" s="35"/>
      <c r="K936" s="37">
        <f>IFERROR(__xludf.DUMMYFUNCTION("query(assistance!$A$2:$E988,""Select C Where D = '""&amp;L936&amp;""'"")"),11.0)</f>
        <v>11</v>
      </c>
      <c r="L936" s="36" t="s">
        <v>322</v>
      </c>
      <c r="M936" s="38">
        <f t="shared" si="114"/>
        <v>1</v>
      </c>
      <c r="N936" s="39" t="s">
        <v>42</v>
      </c>
      <c r="O936" s="65"/>
      <c r="P936" s="50"/>
      <c r="Q936" s="35"/>
      <c r="R936" s="35" t="s">
        <v>4642</v>
      </c>
      <c r="S936" s="35" t="b">
        <v>0</v>
      </c>
      <c r="T936" s="35" t="b">
        <v>0</v>
      </c>
      <c r="U936" s="41" t="str">
        <f>IFERROR(__xludf.DUMMYFUNCTION("""["" &amp; JOIN("", "", ARRAYFORMULA("""""""" &amp; TRIM(SPLIT(A936, "","")) &amp; """""""")) &amp; ""]"""),"[""77355"", ""77426"", ""77428"", ""77447""]")</f>
        <v>["77355", "77426", "77428", "77447"]</v>
      </c>
      <c r="V936" s="52" t="s">
        <v>4643</v>
      </c>
      <c r="W936" s="52" t="s">
        <v>4644</v>
      </c>
      <c r="X936" s="43"/>
      <c r="Y936" s="44" t="str">
        <f>vlookup(G936,zip_codes!$B$6:$J988,3,false)</f>
        <v>Tomball</v>
      </c>
      <c r="Z936" s="45" t="str">
        <f>vlookup(G936,zip_codes!$B$6:$J988,9,false)</f>
        <v>Northpointe, Tomball</v>
      </c>
      <c r="AA936" s="44" t="str">
        <f>vlookup(B936,organizations!$B$1:$C988,2,false)</f>
        <v>Tomball Emergency Asst Ministry</v>
      </c>
      <c r="AB936" s="46" t="s">
        <v>4645</v>
      </c>
      <c r="AC936" s="47" t="s">
        <v>4646</v>
      </c>
      <c r="AD936" s="48" t="s">
        <v>3301</v>
      </c>
      <c r="AE936" s="48" t="str">
        <f t="shared" ref="AE936:AE950" si="116">B936&amp;C936&amp;K936</f>
        <v>Tomball Emergency Asst Ministry300 W Main Street11</v>
      </c>
      <c r="AF936" s="48" t="str">
        <f>if(AE936=AE934,"XXX","")</f>
        <v/>
      </c>
    </row>
    <row r="937" ht="66.75" customHeight="1">
      <c r="A937" s="49" t="s">
        <v>4637</v>
      </c>
      <c r="B937" s="35" t="s">
        <v>4638</v>
      </c>
      <c r="C937" s="36" t="s">
        <v>4639</v>
      </c>
      <c r="D937" s="36"/>
      <c r="E937" s="36" t="s">
        <v>3301</v>
      </c>
      <c r="F937" s="36" t="s">
        <v>37</v>
      </c>
      <c r="G937" s="35" t="s">
        <v>3901</v>
      </c>
      <c r="H937" s="35" t="s">
        <v>4640</v>
      </c>
      <c r="I937" s="35" t="s">
        <v>4641</v>
      </c>
      <c r="J937" s="35"/>
      <c r="K937" s="37">
        <f>IFERROR(__xludf.DUMMYFUNCTION("query(assistance!$A$2:$E988,""Select C Where D = '""&amp;L937&amp;""'"")"),12.0)</f>
        <v>12</v>
      </c>
      <c r="L937" s="36" t="s">
        <v>330</v>
      </c>
      <c r="M937" s="38">
        <f t="shared" si="114"/>
        <v>1</v>
      </c>
      <c r="N937" s="39" t="s">
        <v>42</v>
      </c>
      <c r="O937" s="65"/>
      <c r="P937" s="50"/>
      <c r="Q937" s="35"/>
      <c r="R937" s="35" t="s">
        <v>4642</v>
      </c>
      <c r="S937" s="35" t="b">
        <v>0</v>
      </c>
      <c r="T937" s="35" t="b">
        <v>0</v>
      </c>
      <c r="U937" s="41" t="str">
        <f>IFERROR(__xludf.DUMMYFUNCTION("""["" &amp; JOIN("", "", ARRAYFORMULA("""""""" &amp; TRIM(SPLIT(A937, "","")) &amp; """""""")) &amp; ""]"""),"[""77355"", ""77426"", ""77428"", ""77447""]")</f>
        <v>["77355", "77426", "77428", "77447"]</v>
      </c>
      <c r="V937" s="52" t="s">
        <v>4643</v>
      </c>
      <c r="W937" s="52" t="s">
        <v>4644</v>
      </c>
      <c r="X937" s="43"/>
      <c r="Y937" s="44" t="str">
        <f>vlookup(G937,zip_codes!$B$6:$J988,3,false)</f>
        <v>Tomball</v>
      </c>
      <c r="Z937" s="45" t="str">
        <f>vlookup(G937,zip_codes!$B$6:$J988,9,false)</f>
        <v>Northpointe, Tomball</v>
      </c>
      <c r="AA937" s="44" t="str">
        <f>vlookup(B937,organizations!$B$1:$C988,2,false)</f>
        <v>Tomball Emergency Asst Ministry</v>
      </c>
      <c r="AB937" s="46" t="s">
        <v>4645</v>
      </c>
      <c r="AC937" s="47" t="s">
        <v>4646</v>
      </c>
      <c r="AD937" s="48" t="s">
        <v>3301</v>
      </c>
      <c r="AE937" s="48" t="str">
        <f t="shared" si="116"/>
        <v>Tomball Emergency Asst Ministry300 W Main Street12</v>
      </c>
      <c r="AF937" s="48" t="str">
        <f t="shared" ref="AF937:AF950" si="117">if(AE937=AE936,"XXX","")</f>
        <v/>
      </c>
    </row>
    <row r="938" ht="66.75" customHeight="1">
      <c r="A938" s="49" t="s">
        <v>4637</v>
      </c>
      <c r="B938" s="35" t="s">
        <v>4638</v>
      </c>
      <c r="C938" s="36" t="s">
        <v>4639</v>
      </c>
      <c r="D938" s="36"/>
      <c r="E938" s="36" t="s">
        <v>3301</v>
      </c>
      <c r="F938" s="36" t="s">
        <v>37</v>
      </c>
      <c r="G938" s="35" t="s">
        <v>3901</v>
      </c>
      <c r="H938" s="35" t="s">
        <v>4640</v>
      </c>
      <c r="I938" s="35" t="s">
        <v>4641</v>
      </c>
      <c r="J938" s="35"/>
      <c r="K938" s="37">
        <f>IFERROR(__xludf.DUMMYFUNCTION("query(assistance!$A$2:$E988,""Select C Where D = '""&amp;L938&amp;""'"")"),13.0)</f>
        <v>13</v>
      </c>
      <c r="L938" s="36" t="s">
        <v>240</v>
      </c>
      <c r="M938" s="38">
        <f t="shared" si="114"/>
        <v>1</v>
      </c>
      <c r="N938" s="39" t="s">
        <v>42</v>
      </c>
      <c r="O938" s="65"/>
      <c r="P938" s="50"/>
      <c r="Q938" s="35"/>
      <c r="R938" s="35" t="s">
        <v>4647</v>
      </c>
      <c r="S938" s="35" t="b">
        <v>0</v>
      </c>
      <c r="T938" s="35" t="b">
        <v>0</v>
      </c>
      <c r="U938" s="41" t="str">
        <f>IFERROR(__xludf.DUMMYFUNCTION("""["" &amp; JOIN("", "", ARRAYFORMULA("""""""" &amp; TRIM(SPLIT(A938, "","")) &amp; """""""")) &amp; ""]"""),"[""77355"", ""77426"", ""77428"", ""77447""]")</f>
        <v>["77355", "77426", "77428", "77447"]</v>
      </c>
      <c r="V938" s="52" t="s">
        <v>4643</v>
      </c>
      <c r="W938" s="52" t="s">
        <v>4644</v>
      </c>
      <c r="X938" s="43"/>
      <c r="Y938" s="44" t="str">
        <f>vlookup(G938,zip_codes!$B$6:$J988,3,false)</f>
        <v>Tomball</v>
      </c>
      <c r="Z938" s="45" t="str">
        <f>vlookup(G938,zip_codes!$B$6:$J988,9,false)</f>
        <v>Northpointe, Tomball</v>
      </c>
      <c r="AA938" s="44" t="str">
        <f>vlookup(B938,organizations!$B$1:$C988,2,false)</f>
        <v>Tomball Emergency Asst Ministry</v>
      </c>
      <c r="AB938" s="46" t="s">
        <v>4645</v>
      </c>
      <c r="AC938" s="47" t="s">
        <v>4646</v>
      </c>
      <c r="AD938" s="48" t="s">
        <v>3301</v>
      </c>
      <c r="AE938" s="48" t="str">
        <f t="shared" si="116"/>
        <v>Tomball Emergency Asst Ministry300 W Main Street13</v>
      </c>
      <c r="AF938" s="48" t="str">
        <f t="shared" si="117"/>
        <v/>
      </c>
    </row>
    <row r="939" ht="66.75" customHeight="1">
      <c r="A939" s="49" t="s">
        <v>4637</v>
      </c>
      <c r="B939" s="35" t="s">
        <v>4638</v>
      </c>
      <c r="C939" s="36" t="s">
        <v>4639</v>
      </c>
      <c r="D939" s="36"/>
      <c r="E939" s="36" t="s">
        <v>3301</v>
      </c>
      <c r="F939" s="36" t="s">
        <v>37</v>
      </c>
      <c r="G939" s="35" t="s">
        <v>3901</v>
      </c>
      <c r="H939" s="35" t="s">
        <v>4640</v>
      </c>
      <c r="I939" s="35" t="s">
        <v>4641</v>
      </c>
      <c r="J939" s="35"/>
      <c r="K939" s="37">
        <f>IFERROR(__xludf.DUMMYFUNCTION("query(assistance!$A$2:$E988,""Select C Where D = '""&amp;L939&amp;""'"")"),14.0)</f>
        <v>14</v>
      </c>
      <c r="L939" s="36" t="s">
        <v>391</v>
      </c>
      <c r="M939" s="38">
        <f t="shared" si="114"/>
        <v>1</v>
      </c>
      <c r="N939" s="39" t="s">
        <v>42</v>
      </c>
      <c r="O939" s="65"/>
      <c r="P939" s="50"/>
      <c r="Q939" s="35"/>
      <c r="R939" s="35" t="s">
        <v>4648</v>
      </c>
      <c r="S939" s="35" t="b">
        <v>0</v>
      </c>
      <c r="T939" s="35" t="b">
        <v>0</v>
      </c>
      <c r="U939" s="41" t="str">
        <f>IFERROR(__xludf.DUMMYFUNCTION("""["" &amp; JOIN("", "", ARRAYFORMULA("""""""" &amp; TRIM(SPLIT(A939, "","")) &amp; """""""")) &amp; ""]"""),"[""77355"", ""77426"", ""77428"", ""77447""]")</f>
        <v>["77355", "77426", "77428", "77447"]</v>
      </c>
      <c r="V939" s="52" t="s">
        <v>4643</v>
      </c>
      <c r="W939" s="52" t="s">
        <v>4644</v>
      </c>
      <c r="X939" s="43"/>
      <c r="Y939" s="44" t="str">
        <f>vlookup(G939,zip_codes!$B$6:$J988,3,false)</f>
        <v>Tomball</v>
      </c>
      <c r="Z939" s="45" t="str">
        <f>vlookup(G939,zip_codes!$B$6:$J988,9,false)</f>
        <v>Northpointe, Tomball</v>
      </c>
      <c r="AA939" s="44" t="str">
        <f>vlookup(B939,organizations!$B$1:$C988,2,false)</f>
        <v>Tomball Emergency Asst Ministry</v>
      </c>
      <c r="AB939" s="46" t="s">
        <v>4645</v>
      </c>
      <c r="AC939" s="47" t="s">
        <v>4646</v>
      </c>
      <c r="AD939" s="48" t="s">
        <v>3301</v>
      </c>
      <c r="AE939" s="48" t="str">
        <f t="shared" si="116"/>
        <v>Tomball Emergency Asst Ministry300 W Main Street14</v>
      </c>
      <c r="AF939" s="48" t="str">
        <f t="shared" si="117"/>
        <v/>
      </c>
    </row>
    <row r="940" ht="66.75" customHeight="1">
      <c r="A940" s="49" t="s">
        <v>4637</v>
      </c>
      <c r="B940" s="35" t="s">
        <v>4638</v>
      </c>
      <c r="C940" s="36" t="s">
        <v>4639</v>
      </c>
      <c r="D940" s="36"/>
      <c r="E940" s="36" t="s">
        <v>3301</v>
      </c>
      <c r="F940" s="36" t="s">
        <v>37</v>
      </c>
      <c r="G940" s="35" t="s">
        <v>3901</v>
      </c>
      <c r="H940" s="35" t="s">
        <v>4640</v>
      </c>
      <c r="I940" s="35" t="s">
        <v>4641</v>
      </c>
      <c r="J940" s="35"/>
      <c r="K940" s="37">
        <f>IFERROR(__xludf.DUMMYFUNCTION("query(assistance!$A$2:$E988,""Select C Where D = '""&amp;L940&amp;""'"")"),36.0)</f>
        <v>36</v>
      </c>
      <c r="L940" s="36" t="s">
        <v>227</v>
      </c>
      <c r="M940" s="38">
        <f t="shared" si="114"/>
        <v>1</v>
      </c>
      <c r="N940" s="39" t="s">
        <v>42</v>
      </c>
      <c r="O940" s="65"/>
      <c r="P940" s="50"/>
      <c r="Q940" s="35"/>
      <c r="R940" s="35" t="s">
        <v>4649</v>
      </c>
      <c r="S940" s="35" t="b">
        <v>0</v>
      </c>
      <c r="T940" s="35" t="b">
        <v>0</v>
      </c>
      <c r="U940" s="41" t="str">
        <f>IFERROR(__xludf.DUMMYFUNCTION("""["" &amp; JOIN("", "", ARRAYFORMULA("""""""" &amp; TRIM(SPLIT(A940, "","")) &amp; """""""")) &amp; ""]"""),"[""77355"", ""77426"", ""77428"", ""77447""]")</f>
        <v>["77355", "77426", "77428", "77447"]</v>
      </c>
      <c r="V940" s="52" t="s">
        <v>4643</v>
      </c>
      <c r="W940" s="52" t="s">
        <v>4644</v>
      </c>
      <c r="X940" s="43"/>
      <c r="Y940" s="44" t="str">
        <f>vlookup(G940,zip_codes!$B$6:$J988,3,false)</f>
        <v>Tomball</v>
      </c>
      <c r="Z940" s="45" t="str">
        <f>vlookup(G940,zip_codes!$B$6:$J988,9,false)</f>
        <v>Northpointe, Tomball</v>
      </c>
      <c r="AA940" s="44" t="str">
        <f>vlookup(B940,organizations!$B$1:$C988,2,false)</f>
        <v>Tomball Emergency Asst Ministry</v>
      </c>
      <c r="AB940" s="46" t="s">
        <v>4645</v>
      </c>
      <c r="AC940" s="47" t="s">
        <v>4646</v>
      </c>
      <c r="AD940" s="48" t="s">
        <v>3301</v>
      </c>
      <c r="AE940" s="48" t="str">
        <f t="shared" si="116"/>
        <v>Tomball Emergency Asst Ministry300 W Main Street36</v>
      </c>
      <c r="AF940" s="48" t="str">
        <f t="shared" si="117"/>
        <v/>
      </c>
    </row>
    <row r="941" ht="66.75" customHeight="1">
      <c r="A941" s="49" t="s">
        <v>4637</v>
      </c>
      <c r="B941" s="35" t="s">
        <v>4638</v>
      </c>
      <c r="C941" s="36" t="s">
        <v>4639</v>
      </c>
      <c r="D941" s="36"/>
      <c r="E941" s="36" t="s">
        <v>3301</v>
      </c>
      <c r="F941" s="36" t="s">
        <v>37</v>
      </c>
      <c r="G941" s="35" t="s">
        <v>3901</v>
      </c>
      <c r="H941" s="35" t="s">
        <v>4640</v>
      </c>
      <c r="I941" s="35" t="s">
        <v>4641</v>
      </c>
      <c r="J941" s="35"/>
      <c r="K941" s="37">
        <f>IFERROR(__xludf.DUMMYFUNCTION("query(assistance!$A$2:$E988,""Select C Where D = '""&amp;L941&amp;""'"")"),51.0)</f>
        <v>51</v>
      </c>
      <c r="L941" s="36" t="s">
        <v>468</v>
      </c>
      <c r="M941" s="38">
        <f t="shared" si="114"/>
        <v>1</v>
      </c>
      <c r="N941" s="39" t="s">
        <v>42</v>
      </c>
      <c r="O941" s="65"/>
      <c r="P941" s="50"/>
      <c r="Q941" s="35"/>
      <c r="R941" s="35" t="s">
        <v>2663</v>
      </c>
      <c r="S941" s="35" t="b">
        <v>0</v>
      </c>
      <c r="T941" s="35" t="b">
        <v>0</v>
      </c>
      <c r="U941" s="41" t="str">
        <f>IFERROR(__xludf.DUMMYFUNCTION("""["" &amp; JOIN("", "", ARRAYFORMULA("""""""" &amp; TRIM(SPLIT(A941, "","")) &amp; """""""")) &amp; ""]"""),"[""77355"", ""77426"", ""77428"", ""77447""]")</f>
        <v>["77355", "77426", "77428", "77447"]</v>
      </c>
      <c r="V941" s="52" t="s">
        <v>4643</v>
      </c>
      <c r="W941" s="52" t="s">
        <v>4644</v>
      </c>
      <c r="X941" s="43"/>
      <c r="Y941" s="44" t="str">
        <f>vlookup(G941,zip_codes!$B$6:$J988,3,false)</f>
        <v>Tomball</v>
      </c>
      <c r="Z941" s="45" t="str">
        <f>vlookup(G941,zip_codes!$B$6:$J988,9,false)</f>
        <v>Northpointe, Tomball</v>
      </c>
      <c r="AA941" s="44" t="str">
        <f>vlookup(B941,organizations!$B$1:$C988,2,false)</f>
        <v>Tomball Emergency Asst Ministry</v>
      </c>
      <c r="AB941" s="46" t="s">
        <v>4645</v>
      </c>
      <c r="AC941" s="47" t="s">
        <v>4646</v>
      </c>
      <c r="AD941" s="48" t="s">
        <v>3301</v>
      </c>
      <c r="AE941" s="48" t="str">
        <f t="shared" si="116"/>
        <v>Tomball Emergency Asst Ministry300 W Main Street51</v>
      </c>
      <c r="AF941" s="48" t="str">
        <f t="shared" si="117"/>
        <v/>
      </c>
    </row>
    <row r="942" ht="66.75" customHeight="1">
      <c r="A942" s="49" t="s">
        <v>4637</v>
      </c>
      <c r="B942" s="35" t="s">
        <v>4638</v>
      </c>
      <c r="C942" s="36" t="s">
        <v>4639</v>
      </c>
      <c r="D942" s="36"/>
      <c r="E942" s="36" t="s">
        <v>3301</v>
      </c>
      <c r="F942" s="36" t="s">
        <v>37</v>
      </c>
      <c r="G942" s="35" t="s">
        <v>3901</v>
      </c>
      <c r="H942" s="35" t="s">
        <v>4640</v>
      </c>
      <c r="I942" s="35" t="s">
        <v>4641</v>
      </c>
      <c r="J942" s="35"/>
      <c r="K942" s="37">
        <f>IFERROR(__xludf.DUMMYFUNCTION("query(assistance!$A$2:$E988,""Select C Where D = '""&amp;L942&amp;""'"")"),52.0)</f>
        <v>52</v>
      </c>
      <c r="L942" s="36" t="s">
        <v>336</v>
      </c>
      <c r="M942" s="38">
        <f t="shared" si="114"/>
        <v>1</v>
      </c>
      <c r="N942" s="39" t="s">
        <v>42</v>
      </c>
      <c r="O942" s="65"/>
      <c r="P942" s="50"/>
      <c r="Q942" s="35"/>
      <c r="R942" s="35" t="s">
        <v>4650</v>
      </c>
      <c r="S942" s="35" t="b">
        <v>0</v>
      </c>
      <c r="T942" s="35" t="b">
        <v>0</v>
      </c>
      <c r="U942" s="41" t="str">
        <f>IFERROR(__xludf.DUMMYFUNCTION("""["" &amp; JOIN("", "", ARRAYFORMULA("""""""" &amp; TRIM(SPLIT(A942, "","")) &amp; """""""")) &amp; ""]"""),"[""77355"", ""77426"", ""77428"", ""77447""]")</f>
        <v>["77355", "77426", "77428", "77447"]</v>
      </c>
      <c r="V942" s="52" t="s">
        <v>4643</v>
      </c>
      <c r="W942" s="52" t="s">
        <v>4644</v>
      </c>
      <c r="X942" s="43"/>
      <c r="Y942" s="44" t="str">
        <f>vlookup(G942,zip_codes!$B$6:$J988,3,false)</f>
        <v>Tomball</v>
      </c>
      <c r="Z942" s="45" t="str">
        <f>vlookup(G942,zip_codes!$B$6:$J988,9,false)</f>
        <v>Northpointe, Tomball</v>
      </c>
      <c r="AA942" s="44" t="str">
        <f>vlookup(B942,organizations!$B$1:$C988,2,false)</f>
        <v>Tomball Emergency Asst Ministry</v>
      </c>
      <c r="AB942" s="46" t="s">
        <v>4645</v>
      </c>
      <c r="AC942" s="47" t="s">
        <v>4646</v>
      </c>
      <c r="AD942" s="48" t="s">
        <v>3301</v>
      </c>
      <c r="AE942" s="48" t="str">
        <f t="shared" si="116"/>
        <v>Tomball Emergency Asst Ministry300 W Main Street52</v>
      </c>
      <c r="AF942" s="48" t="str">
        <f t="shared" si="117"/>
        <v/>
      </c>
    </row>
    <row r="943" ht="66.75" customHeight="1">
      <c r="A943" s="49" t="s">
        <v>4637</v>
      </c>
      <c r="B943" s="35" t="s">
        <v>4638</v>
      </c>
      <c r="C943" s="36" t="s">
        <v>4639</v>
      </c>
      <c r="D943" s="36"/>
      <c r="E943" s="36" t="s">
        <v>3301</v>
      </c>
      <c r="F943" s="36" t="s">
        <v>37</v>
      </c>
      <c r="G943" s="35" t="s">
        <v>3901</v>
      </c>
      <c r="H943" s="35" t="s">
        <v>4640</v>
      </c>
      <c r="I943" s="35" t="s">
        <v>4641</v>
      </c>
      <c r="J943" s="35"/>
      <c r="K943" s="37">
        <f>IFERROR(__xludf.DUMMYFUNCTION("query(assistance!$A$2:$E988,""Select C Where D = '""&amp;L943&amp;""'"")"),64.0)</f>
        <v>64</v>
      </c>
      <c r="L943" s="36" t="s">
        <v>817</v>
      </c>
      <c r="M943" s="38">
        <f t="shared" si="114"/>
        <v>1</v>
      </c>
      <c r="N943" s="39" t="s">
        <v>42</v>
      </c>
      <c r="O943" s="65"/>
      <c r="P943" s="50"/>
      <c r="Q943" s="35"/>
      <c r="R943" s="35" t="s">
        <v>4651</v>
      </c>
      <c r="S943" s="35" t="b">
        <v>0</v>
      </c>
      <c r="T943" s="35" t="b">
        <v>0</v>
      </c>
      <c r="U943" s="41" t="str">
        <f>IFERROR(__xludf.DUMMYFUNCTION("""["" &amp; JOIN("", "", ARRAYFORMULA("""""""" &amp; TRIM(SPLIT(A943, "","")) &amp; """""""")) &amp; ""]"""),"[""77355"", ""77426"", ""77428"", ""77447""]")</f>
        <v>["77355", "77426", "77428", "77447"]</v>
      </c>
      <c r="V943" s="52" t="s">
        <v>4643</v>
      </c>
      <c r="W943" s="52" t="s">
        <v>4644</v>
      </c>
      <c r="X943" s="43"/>
      <c r="Y943" s="44" t="str">
        <f>vlookup(G943,zip_codes!$B$6:$J988,3,false)</f>
        <v>Tomball</v>
      </c>
      <c r="Z943" s="45" t="str">
        <f>vlookup(G943,zip_codes!$B$6:$J988,9,false)</f>
        <v>Northpointe, Tomball</v>
      </c>
      <c r="AA943" s="44" t="str">
        <f>vlookup(B943,organizations!$B$1:$C988,2,false)</f>
        <v>Tomball Emergency Asst Ministry</v>
      </c>
      <c r="AB943" s="46" t="s">
        <v>4645</v>
      </c>
      <c r="AC943" s="47" t="s">
        <v>4646</v>
      </c>
      <c r="AD943" s="48" t="s">
        <v>3301</v>
      </c>
      <c r="AE943" s="48" t="str">
        <f t="shared" si="116"/>
        <v>Tomball Emergency Asst Ministry300 W Main Street64</v>
      </c>
      <c r="AF943" s="48" t="str">
        <f t="shared" si="117"/>
        <v/>
      </c>
    </row>
    <row r="944" ht="66.75" customHeight="1">
      <c r="A944" s="49" t="s">
        <v>4637</v>
      </c>
      <c r="B944" s="35" t="s">
        <v>4638</v>
      </c>
      <c r="C944" s="36" t="s">
        <v>4639</v>
      </c>
      <c r="D944" s="36"/>
      <c r="E944" s="36" t="s">
        <v>3301</v>
      </c>
      <c r="F944" s="36" t="s">
        <v>37</v>
      </c>
      <c r="G944" s="35" t="s">
        <v>3901</v>
      </c>
      <c r="H944" s="35" t="s">
        <v>4640</v>
      </c>
      <c r="I944" s="35" t="s">
        <v>4641</v>
      </c>
      <c r="J944" s="35"/>
      <c r="K944" s="37">
        <f>IFERROR(__xludf.DUMMYFUNCTION("query(assistance!$A$2:$E988,""Select C Where D = '""&amp;L944&amp;""'"")"),65.0)</f>
        <v>65</v>
      </c>
      <c r="L944" s="36" t="s">
        <v>41</v>
      </c>
      <c r="M944" s="38">
        <f t="shared" si="114"/>
        <v>1</v>
      </c>
      <c r="N944" s="39" t="s">
        <v>42</v>
      </c>
      <c r="O944" s="65"/>
      <c r="P944" s="50"/>
      <c r="Q944" s="35"/>
      <c r="R944" s="35" t="s">
        <v>4652</v>
      </c>
      <c r="S944" s="35" t="b">
        <v>0</v>
      </c>
      <c r="T944" s="35" t="b">
        <v>0</v>
      </c>
      <c r="U944" s="41" t="str">
        <f>IFERROR(__xludf.DUMMYFUNCTION("""["" &amp; JOIN("", "", ARRAYFORMULA("""""""" &amp; TRIM(SPLIT(A944, "","")) &amp; """""""")) &amp; ""]"""),"[""77355"", ""77426"", ""77428"", ""77447""]")</f>
        <v>["77355", "77426", "77428", "77447"]</v>
      </c>
      <c r="V944" s="52" t="s">
        <v>4643</v>
      </c>
      <c r="W944" s="52" t="s">
        <v>4644</v>
      </c>
      <c r="X944" s="43"/>
      <c r="Y944" s="44" t="str">
        <f>vlookup(G944,zip_codes!$B$6:$J988,3,false)</f>
        <v>Tomball</v>
      </c>
      <c r="Z944" s="45" t="str">
        <f>vlookup(G944,zip_codes!$B$6:$J988,9,false)</f>
        <v>Northpointe, Tomball</v>
      </c>
      <c r="AA944" s="44" t="str">
        <f>vlookup(B944,organizations!$B$1:$C988,2,false)</f>
        <v>Tomball Emergency Asst Ministry</v>
      </c>
      <c r="AB944" s="46" t="s">
        <v>4645</v>
      </c>
      <c r="AC944" s="47" t="s">
        <v>4646</v>
      </c>
      <c r="AD944" s="48" t="s">
        <v>3301</v>
      </c>
      <c r="AE944" s="48" t="str">
        <f t="shared" si="116"/>
        <v>Tomball Emergency Asst Ministry300 W Main Street65</v>
      </c>
      <c r="AF944" s="48" t="str">
        <f t="shared" si="117"/>
        <v/>
      </c>
    </row>
    <row r="945" ht="66.75" customHeight="1">
      <c r="A945" s="49" t="s">
        <v>4653</v>
      </c>
      <c r="B945" s="35" t="s">
        <v>4654</v>
      </c>
      <c r="C945" s="36" t="s">
        <v>4655</v>
      </c>
      <c r="D945" s="36"/>
      <c r="E945" s="36" t="s">
        <v>451</v>
      </c>
      <c r="F945" s="36" t="s">
        <v>37</v>
      </c>
      <c r="G945" s="35" t="s">
        <v>452</v>
      </c>
      <c r="H945" s="35" t="s">
        <v>4656</v>
      </c>
      <c r="I945" s="35" t="s">
        <v>4136</v>
      </c>
      <c r="J945" s="35"/>
      <c r="K945" s="37">
        <f>IFERROR(__xludf.DUMMYFUNCTION("query(assistance!$A$2:$E988,""Select C Where D = '""&amp;L945&amp;""'"")"),11.0)</f>
        <v>11</v>
      </c>
      <c r="L945" s="36" t="s">
        <v>322</v>
      </c>
      <c r="M945" s="38">
        <f t="shared" si="114"/>
        <v>1</v>
      </c>
      <c r="N945" s="39" t="s">
        <v>42</v>
      </c>
      <c r="O945" s="65"/>
      <c r="P945" s="50"/>
      <c r="Q945" s="35"/>
      <c r="R945" s="35" t="s">
        <v>4657</v>
      </c>
      <c r="S945" s="35" t="b">
        <v>0</v>
      </c>
      <c r="T945" s="35" t="b">
        <v>0</v>
      </c>
      <c r="U945" s="41" t="str">
        <f>IFERROR(__xludf.DUMMYFUNCTION("""["" &amp; JOIN("", "", ARRAYFORMULA("""""""" &amp; TRIM(SPLIT(A945, "","")) &amp; """""""")) &amp; ""]"""),"[""77068"", ""77069"", ""77090"", ""77375"", ""77379"", ""77388""]")</f>
        <v>["77068", "77069", "77090", "77375", "77379", "77388"]</v>
      </c>
      <c r="V945" s="52" t="s">
        <v>4658</v>
      </c>
      <c r="W945" s="52" t="s">
        <v>4659</v>
      </c>
      <c r="X945" s="52" t="s">
        <v>4660</v>
      </c>
      <c r="Y945" s="44" t="str">
        <f>vlookup(G945,zip_codes!$B$6:$J988,3,false)</f>
        <v>Spring</v>
      </c>
      <c r="Z945" s="45" t="str">
        <f>vlookup(G945,zip_codes!$B$6:$J988,9,false)</f>
        <v>Farmette Meadows, Gleannloch Farms, Spring, Windrose</v>
      </c>
      <c r="AA945" s="44" t="str">
        <f>vlookup(B945,organizations!$B$1:$C988,2,false)</f>
        <v>Trinity Lutheran</v>
      </c>
      <c r="AB945" s="46" t="s">
        <v>4661</v>
      </c>
      <c r="AC945" s="47" t="s">
        <v>4140</v>
      </c>
      <c r="AD945" s="48" t="s">
        <v>4662</v>
      </c>
      <c r="AE945" s="48" t="str">
        <f t="shared" si="116"/>
        <v>Trinity Lutheran5201 Spring Cypress Road11</v>
      </c>
      <c r="AF945" s="48" t="str">
        <f t="shared" si="117"/>
        <v/>
      </c>
    </row>
    <row r="946" ht="66.75" customHeight="1">
      <c r="A946" s="49" t="s">
        <v>4653</v>
      </c>
      <c r="B946" s="35" t="s">
        <v>4654</v>
      </c>
      <c r="C946" s="36" t="s">
        <v>4655</v>
      </c>
      <c r="D946" s="36"/>
      <c r="E946" s="36" t="s">
        <v>451</v>
      </c>
      <c r="F946" s="36" t="s">
        <v>37</v>
      </c>
      <c r="G946" s="35" t="s">
        <v>452</v>
      </c>
      <c r="H946" s="35" t="s">
        <v>4656</v>
      </c>
      <c r="I946" s="35" t="s">
        <v>4136</v>
      </c>
      <c r="J946" s="35"/>
      <c r="K946" s="37">
        <f>IFERROR(__xludf.DUMMYFUNCTION("query(assistance!$A$2:$E988,""Select C Where D = '""&amp;L946&amp;""'"")"),12.0)</f>
        <v>12</v>
      </c>
      <c r="L946" s="36" t="s">
        <v>330</v>
      </c>
      <c r="M946" s="38">
        <f t="shared" si="114"/>
        <v>1</v>
      </c>
      <c r="N946" s="39" t="s">
        <v>42</v>
      </c>
      <c r="O946" s="65"/>
      <c r="P946" s="50"/>
      <c r="Q946" s="35"/>
      <c r="R946" s="35" t="s">
        <v>4663</v>
      </c>
      <c r="S946" s="35" t="b">
        <v>0</v>
      </c>
      <c r="T946" s="35" t="b">
        <v>0</v>
      </c>
      <c r="U946" s="41" t="str">
        <f>IFERROR(__xludf.DUMMYFUNCTION("""["" &amp; JOIN("", "", ARRAYFORMULA("""""""" &amp; TRIM(SPLIT(A946, "","")) &amp; """""""")) &amp; ""]"""),"[""77068"", ""77069"", ""77090"", ""77375"", ""77379"", ""77388""]")</f>
        <v>["77068", "77069", "77090", "77375", "77379", "77388"]</v>
      </c>
      <c r="V946" s="52" t="s">
        <v>4658</v>
      </c>
      <c r="W946" s="52" t="s">
        <v>4659</v>
      </c>
      <c r="X946" s="52" t="s">
        <v>4660</v>
      </c>
      <c r="Y946" s="44" t="str">
        <f>vlookup(G946,zip_codes!$B$6:$J988,3,false)</f>
        <v>Spring</v>
      </c>
      <c r="Z946" s="45" t="str">
        <f>vlookup(G946,zip_codes!$B$6:$J988,9,false)</f>
        <v>Farmette Meadows, Gleannloch Farms, Spring, Windrose</v>
      </c>
      <c r="AA946" s="44" t="str">
        <f>vlookup(B946,organizations!$B$1:$C988,2,false)</f>
        <v>Trinity Lutheran</v>
      </c>
      <c r="AB946" s="46" t="s">
        <v>4661</v>
      </c>
      <c r="AC946" s="47" t="s">
        <v>4140</v>
      </c>
      <c r="AD946" s="48" t="s">
        <v>4662</v>
      </c>
      <c r="AE946" s="48" t="str">
        <f t="shared" si="116"/>
        <v>Trinity Lutheran5201 Spring Cypress Road12</v>
      </c>
      <c r="AF946" s="48" t="str">
        <f t="shared" si="117"/>
        <v/>
      </c>
    </row>
    <row r="947" ht="66.75" customHeight="1">
      <c r="A947" s="49" t="s">
        <v>4653</v>
      </c>
      <c r="B947" s="35" t="s">
        <v>4654</v>
      </c>
      <c r="C947" s="36" t="s">
        <v>4655</v>
      </c>
      <c r="D947" s="36"/>
      <c r="E947" s="36" t="s">
        <v>451</v>
      </c>
      <c r="F947" s="36" t="s">
        <v>37</v>
      </c>
      <c r="G947" s="35" t="s">
        <v>452</v>
      </c>
      <c r="H947" s="35" t="s">
        <v>4656</v>
      </c>
      <c r="I947" s="35" t="s">
        <v>4136</v>
      </c>
      <c r="J947" s="35"/>
      <c r="K947" s="37">
        <f>IFERROR(__xludf.DUMMYFUNCTION("query(assistance!$A$2:$E988,""Select C Where D = '""&amp;L947&amp;""'"")"),13.0)</f>
        <v>13</v>
      </c>
      <c r="L947" s="36" t="s">
        <v>240</v>
      </c>
      <c r="M947" s="38">
        <f t="shared" si="114"/>
        <v>1</v>
      </c>
      <c r="N947" s="39" t="s">
        <v>42</v>
      </c>
      <c r="O947" s="65"/>
      <c r="P947" s="50"/>
      <c r="Q947" s="35"/>
      <c r="R947" s="35" t="s">
        <v>4664</v>
      </c>
      <c r="S947" s="35" t="b">
        <v>0</v>
      </c>
      <c r="T947" s="35" t="b">
        <v>0</v>
      </c>
      <c r="U947" s="41" t="str">
        <f>IFERROR(__xludf.DUMMYFUNCTION("""["" &amp; JOIN("", "", ARRAYFORMULA("""""""" &amp; TRIM(SPLIT(A947, "","")) &amp; """""""")) &amp; ""]"""),"[""77068"", ""77069"", ""77090"", ""77375"", ""77379"", ""77388""]")</f>
        <v>["77068", "77069", "77090", "77375", "77379", "77388"]</v>
      </c>
      <c r="V947" s="52" t="s">
        <v>4658</v>
      </c>
      <c r="W947" s="52" t="s">
        <v>4659</v>
      </c>
      <c r="X947" s="52" t="s">
        <v>4660</v>
      </c>
      <c r="Y947" s="44" t="str">
        <f>vlookup(G947,zip_codes!$B$6:$J988,3,false)</f>
        <v>Spring</v>
      </c>
      <c r="Z947" s="45" t="str">
        <f>vlookup(G947,zip_codes!$B$6:$J988,9,false)</f>
        <v>Farmette Meadows, Gleannloch Farms, Spring, Windrose</v>
      </c>
      <c r="AA947" s="44" t="str">
        <f>vlookup(B947,organizations!$B$1:$C988,2,false)</f>
        <v>Trinity Lutheran</v>
      </c>
      <c r="AB947" s="46" t="s">
        <v>4661</v>
      </c>
      <c r="AC947" s="47" t="s">
        <v>4140</v>
      </c>
      <c r="AD947" s="48" t="s">
        <v>4662</v>
      </c>
      <c r="AE947" s="48" t="str">
        <f t="shared" si="116"/>
        <v>Trinity Lutheran5201 Spring Cypress Road13</v>
      </c>
      <c r="AF947" s="48" t="str">
        <f t="shared" si="117"/>
        <v/>
      </c>
    </row>
    <row r="948" ht="66.75" customHeight="1">
      <c r="A948" s="49" t="s">
        <v>50</v>
      </c>
      <c r="B948" s="35" t="s">
        <v>4665</v>
      </c>
      <c r="C948" s="36" t="s">
        <v>4666</v>
      </c>
      <c r="D948" s="36"/>
      <c r="E948" s="36" t="s">
        <v>36</v>
      </c>
      <c r="F948" s="36" t="s">
        <v>37</v>
      </c>
      <c r="G948" s="35" t="s">
        <v>749</v>
      </c>
      <c r="H948" s="35" t="s">
        <v>4667</v>
      </c>
      <c r="I948" s="35" t="s">
        <v>272</v>
      </c>
      <c r="J948" s="35"/>
      <c r="K948" s="37">
        <f>IFERROR(__xludf.DUMMYFUNCTION("query(assistance!$A$2:$E988,""Select C Where D = '""&amp;L948&amp;""'"")"),31.0)</f>
        <v>31</v>
      </c>
      <c r="L948" s="36" t="s">
        <v>90</v>
      </c>
      <c r="M948" s="38">
        <f t="shared" si="114"/>
        <v>1</v>
      </c>
      <c r="N948" s="39" t="s">
        <v>42</v>
      </c>
      <c r="O948" s="57">
        <v>45835.0</v>
      </c>
      <c r="P948" s="35" t="s">
        <v>43</v>
      </c>
      <c r="Q948" s="35"/>
      <c r="R948" s="35" t="s">
        <v>4668</v>
      </c>
      <c r="S948" s="35" t="b">
        <v>0</v>
      </c>
      <c r="T948" s="35" t="b">
        <v>0</v>
      </c>
      <c r="U948" s="41" t="str">
        <f>IFERROR(__xludf.DUMMYFUNCTION("""["" &amp; JOIN("", "", ARRAYFORMULA("""""""" &amp; TRIM(SPLIT(A948, "","")) &amp; """""""")) &amp; ""]"""),"[""99999""]")</f>
        <v>["99999"]</v>
      </c>
      <c r="V948" s="42" t="s">
        <v>4669</v>
      </c>
      <c r="W948" s="42" t="s">
        <v>4670</v>
      </c>
      <c r="X948" s="43"/>
      <c r="Y948" s="44" t="str">
        <f>vlookup(G948,zip_codes!$B$6:$J988,3,false)</f>
        <v>Houston</v>
      </c>
      <c r="Z948" s="45" t="str">
        <f>vlookup(G948,zip_codes!$B$6:$J988,9,false)</f>
        <v>East Downtown, Downtown Houston, Houston Museum District, Midtown, Museum District, South Central Houston, South Side, Third Ward, University Place</v>
      </c>
      <c r="AA948" s="44" t="str">
        <f>vlookup(B948,organizations!$B$1:$C988,2,false)</f>
        <v>UH Health Family Care Center</v>
      </c>
      <c r="AB948" s="46" t="s">
        <v>4671</v>
      </c>
      <c r="AC948" s="47" t="s">
        <v>278</v>
      </c>
      <c r="AD948" s="48" t="s">
        <v>49</v>
      </c>
      <c r="AE948" s="48" t="str">
        <f t="shared" si="116"/>
        <v>UH Health Family Care Center4349 Martin Luther King Blvd31</v>
      </c>
      <c r="AF948" s="48" t="str">
        <f t="shared" si="117"/>
        <v/>
      </c>
    </row>
    <row r="949" ht="66.75" customHeight="1">
      <c r="A949" s="49" t="s">
        <v>50</v>
      </c>
      <c r="B949" s="35" t="s">
        <v>4672</v>
      </c>
      <c r="C949" s="36" t="s">
        <v>4673</v>
      </c>
      <c r="D949" s="36"/>
      <c r="E949" s="36" t="s">
        <v>36</v>
      </c>
      <c r="F949" s="36" t="s">
        <v>37</v>
      </c>
      <c r="G949" s="35" t="s">
        <v>1023</v>
      </c>
      <c r="H949" s="92">
        <v>211.0</v>
      </c>
      <c r="I949" s="35" t="s">
        <v>516</v>
      </c>
      <c r="J949" s="35"/>
      <c r="K949" s="37">
        <f>IFERROR(__xludf.DUMMYFUNCTION("query(assistance!$A$2:$E988,""Select C Where D = '""&amp;L949&amp;""'"")"),65.0)</f>
        <v>65</v>
      </c>
      <c r="L949" s="36" t="s">
        <v>41</v>
      </c>
      <c r="M949" s="38">
        <f t="shared" si="114"/>
        <v>1</v>
      </c>
      <c r="N949" s="39" t="s">
        <v>42</v>
      </c>
      <c r="O949" s="65"/>
      <c r="P949" s="50"/>
      <c r="Q949" s="35"/>
      <c r="R949" s="35" t="s">
        <v>4674</v>
      </c>
      <c r="S949" s="35" t="b">
        <v>0</v>
      </c>
      <c r="T949" s="35" t="b">
        <v>0</v>
      </c>
      <c r="U949" s="41" t="str">
        <f>IFERROR(__xludf.DUMMYFUNCTION("""["" &amp; JOIN("", "", ARRAYFORMULA("""""""" &amp; TRIM(SPLIT(A949, "","")) &amp; """""""")) &amp; ""]"""),"[""99999""]")</f>
        <v>["99999"]</v>
      </c>
      <c r="V949" s="52" t="s">
        <v>4675</v>
      </c>
      <c r="W949" s="43"/>
      <c r="X949" s="43"/>
      <c r="Y949" s="44" t="str">
        <f>vlookup(G949,zip_codes!$B$6:$J988,3,false)</f>
        <v>Houston</v>
      </c>
      <c r="Z949" s="45" t="str">
        <f>vlookup(G949,zip_codes!$B$6:$J988,9,false)</f>
        <v>Downtown Houston, Memorial Park, Rice Military, Sawyer Heights, Washington Avenue Coalition / Memorial Park, Washington Corridor</v>
      </c>
      <c r="AA949" s="44" t="str">
        <f>vlookup(B949,organizations!$B$1:$C988,2,false)</f>
        <v>United Way of Greater Houston</v>
      </c>
      <c r="AB949" s="46" t="s">
        <v>4676</v>
      </c>
      <c r="AC949" s="47" t="s">
        <v>520</v>
      </c>
      <c r="AD949" s="48" t="s">
        <v>1296</v>
      </c>
      <c r="AE949" s="48" t="str">
        <f t="shared" si="116"/>
        <v>United Way of Greater Houston50 Waugh Drive65</v>
      </c>
      <c r="AF949" s="48" t="str">
        <f t="shared" si="117"/>
        <v/>
      </c>
    </row>
    <row r="950" ht="66.75" customHeight="1">
      <c r="A950" s="49" t="s">
        <v>50</v>
      </c>
      <c r="B950" s="35" t="s">
        <v>4677</v>
      </c>
      <c r="C950" s="36" t="s">
        <v>4678</v>
      </c>
      <c r="D950" s="36"/>
      <c r="E950" s="36" t="s">
        <v>36</v>
      </c>
      <c r="F950" s="36" t="s">
        <v>37</v>
      </c>
      <c r="G950" s="35" t="s">
        <v>749</v>
      </c>
      <c r="H950" s="35" t="s">
        <v>4679</v>
      </c>
      <c r="I950" s="35" t="s">
        <v>67</v>
      </c>
      <c r="J950" s="35"/>
      <c r="K950" s="37">
        <f>IFERROR(__xludf.DUMMYFUNCTION("query(assistance!$A$2:$E988,""Select C Where D = '""&amp;L950&amp;""'"")"),55.0)</f>
        <v>55</v>
      </c>
      <c r="L950" s="36" t="s">
        <v>436</v>
      </c>
      <c r="M950" s="38">
        <f t="shared" si="114"/>
        <v>1</v>
      </c>
      <c r="N950" s="51" t="s">
        <v>42</v>
      </c>
      <c r="O950" s="40">
        <v>45757.0</v>
      </c>
      <c r="P950" s="50"/>
      <c r="Q950" s="50"/>
      <c r="R950" s="50"/>
      <c r="S950" s="35" t="b">
        <v>0</v>
      </c>
      <c r="T950" s="35" t="b">
        <v>0</v>
      </c>
      <c r="U950" s="41" t="str">
        <f>IFERROR(__xludf.DUMMYFUNCTION("""["" &amp; JOIN("", "", ARRAYFORMULA("""""""" &amp; TRIM(SPLIT(A950, "","")) &amp; """""""")) &amp; ""]"""),"[""99999""]")</f>
        <v>["99999"]</v>
      </c>
      <c r="V950" s="52" t="s">
        <v>4680</v>
      </c>
      <c r="W950" s="43"/>
      <c r="X950" s="43"/>
      <c r="Y950" s="44" t="str">
        <f>vlookup(G950,zip_codes!$B$6:$J988,3,false)</f>
        <v>Houston</v>
      </c>
      <c r="Z950" s="45" t="str">
        <f>vlookup(G950,zip_codes!$B$6:$J988,9,false)</f>
        <v>East Downtown, Downtown Houston, Houston Museum District, Midtown, Museum District, South Central Houston, South Side, Third Ward, University Place</v>
      </c>
      <c r="AA950" s="44" t="str">
        <f>vlookup(B950,organizations!$B$1:$C988,2,false)</f>
        <v>University of Houston Law Center Immigration Clinic</v>
      </c>
      <c r="AB950" s="46" t="s">
        <v>4681</v>
      </c>
      <c r="AC950" s="47" t="s">
        <v>73</v>
      </c>
      <c r="AD950" s="48" t="s">
        <v>49</v>
      </c>
      <c r="AE950" s="48" t="str">
        <f t="shared" si="116"/>
        <v>University of Houston Law Center Immigration Clinic4170 Martin Luther King Blvd55</v>
      </c>
      <c r="AF950" s="48" t="str">
        <f t="shared" si="117"/>
        <v/>
      </c>
    </row>
    <row r="951" ht="66.75" customHeight="1">
      <c r="A951" s="49" t="s">
        <v>50</v>
      </c>
      <c r="B951" s="35" t="s">
        <v>4682</v>
      </c>
      <c r="C951" s="36" t="s">
        <v>4683</v>
      </c>
      <c r="D951" s="36" t="s">
        <v>157</v>
      </c>
      <c r="E951" s="36" t="s">
        <v>442</v>
      </c>
      <c r="F951" s="36" t="s">
        <v>37</v>
      </c>
      <c r="G951" s="56" t="s">
        <v>443</v>
      </c>
      <c r="H951" s="35" t="s">
        <v>4684</v>
      </c>
      <c r="I951" s="35" t="s">
        <v>40</v>
      </c>
      <c r="J951" s="36" t="s">
        <v>298</v>
      </c>
      <c r="K951" s="37">
        <f>IFERROR(__xludf.DUMMYFUNCTION("query(assistance!$A$2:$E988,""Select C Where D = '""&amp;L951&amp;""'"")"),56.0)</f>
        <v>56</v>
      </c>
      <c r="L951" s="36" t="s">
        <v>56</v>
      </c>
      <c r="M951" s="39">
        <f t="shared" si="114"/>
        <v>1</v>
      </c>
      <c r="N951" s="51" t="s">
        <v>42</v>
      </c>
      <c r="O951" s="40">
        <v>46070.0</v>
      </c>
      <c r="P951" s="35" t="s">
        <v>43</v>
      </c>
      <c r="Q951" s="35"/>
      <c r="R951" s="35" t="s">
        <v>4685</v>
      </c>
      <c r="S951" s="35" t="b">
        <v>0</v>
      </c>
      <c r="T951" s="35" t="b">
        <v>0</v>
      </c>
      <c r="U951" s="35" t="str">
        <f>IFERROR(__xludf.DUMMYFUNCTION("""["" &amp; JOIN("", "", ARRAYFORMULA("""""""" &amp; TRIM(SPLIT(A951, "","")) &amp; """""""")) &amp; ""]"""),"[""99999""]")</f>
        <v>["99999"]</v>
      </c>
      <c r="V951" s="42" t="s">
        <v>4686</v>
      </c>
      <c r="W951" s="42" t="s">
        <v>4687</v>
      </c>
      <c r="X951" s="43"/>
      <c r="Y951" s="44" t="str">
        <f>vlookup(G951,zip_codes!$B$6:$J988,3,false)</f>
        <v>Austin</v>
      </c>
      <c r="Z951" s="45" t="str">
        <f>vlookup(G951,zip_codes!$B$6:$J988,9,false)</f>
        <v>Downtown Austin</v>
      </c>
      <c r="AA951" s="44" t="str">
        <f>vlookup(B951,organizations!$B$1:$C988,2,false)</f>
        <v>USA Cares</v>
      </c>
      <c r="AB951" s="55" t="s">
        <v>4688</v>
      </c>
      <c r="AC951" s="53" t="str">
        <f>PARSE_HOURS(I951)</f>
        <v>{"regular":[{"days":["Mo","Tu","We","Th","Fr"],"open":"09:00","close":"17:00"}]}</v>
      </c>
      <c r="AD951" s="58" t="s">
        <v>448</v>
      </c>
      <c r="AE951" s="48"/>
      <c r="AF951" s="48"/>
    </row>
    <row r="952" ht="66.75" customHeight="1">
      <c r="A952" s="49" t="s">
        <v>50</v>
      </c>
      <c r="B952" s="35" t="s">
        <v>4689</v>
      </c>
      <c r="C952" s="36" t="s">
        <v>4690</v>
      </c>
      <c r="D952" s="36"/>
      <c r="E952" s="36" t="s">
        <v>36</v>
      </c>
      <c r="F952" s="36" t="s">
        <v>37</v>
      </c>
      <c r="G952" s="35" t="s">
        <v>557</v>
      </c>
      <c r="H952" s="35" t="s">
        <v>4691</v>
      </c>
      <c r="I952" s="35" t="s">
        <v>4435</v>
      </c>
      <c r="J952" s="35" t="s">
        <v>4692</v>
      </c>
      <c r="K952" s="37">
        <f>IFERROR(__xludf.DUMMYFUNCTION("query(assistance!$A$2:$E988,""Select C Where D = '""&amp;L952&amp;""'"")"),22.0)</f>
        <v>22</v>
      </c>
      <c r="L952" s="36" t="s">
        <v>1178</v>
      </c>
      <c r="M952" s="38">
        <f t="shared" si="114"/>
        <v>1</v>
      </c>
      <c r="N952" s="39" t="s">
        <v>42</v>
      </c>
      <c r="O952" s="57">
        <v>45941.0</v>
      </c>
      <c r="P952" s="35"/>
      <c r="Q952" s="35"/>
      <c r="R952" s="35" t="s">
        <v>4693</v>
      </c>
      <c r="S952" s="35" t="b">
        <v>0</v>
      </c>
      <c r="T952" s="35" t="b">
        <v>0</v>
      </c>
      <c r="U952" s="41" t="str">
        <f>IFERROR(__xludf.DUMMYFUNCTION("""["" &amp; JOIN("", "", ARRAYFORMULA("""""""" &amp; TRIM(SPLIT(A952, "","")) &amp; """""""")) &amp; ""]"""),"[""99999""]")</f>
        <v>["99999"]</v>
      </c>
      <c r="V952" s="42" t="s">
        <v>4694</v>
      </c>
      <c r="W952" s="42" t="s">
        <v>4695</v>
      </c>
      <c r="X952" s="43"/>
      <c r="Y952" s="44" t="str">
        <f>vlookup(G952,zip_codes!$B$6:$J988,3,false)</f>
        <v>Houston</v>
      </c>
      <c r="Z952" s="45" t="str">
        <f>vlookup(G952,zip_codes!$B$6:$J988,9,false)</f>
        <v>East Downtown, Downtown Houston, Second Ward, South Central Houston, South Side</v>
      </c>
      <c r="AA952" s="44" t="str">
        <f>vlookup(B952,organizations!$B$1:$C988,2,false)</f>
        <v>VA Community Resource &amp; Referral Center</v>
      </c>
      <c r="AB952" s="55" t="s">
        <v>4696</v>
      </c>
      <c r="AC952" s="47" t="s">
        <v>4440</v>
      </c>
      <c r="AD952" s="48" t="s">
        <v>314</v>
      </c>
      <c r="AE952" s="48" t="str">
        <f t="shared" ref="AE952:AE966" si="118">B952&amp;C952&amp;K952</f>
        <v>VA Community Resource &amp; Referral Center1700 Webster Street22</v>
      </c>
      <c r="AF952" s="48" t="str">
        <f t="shared" ref="AF952:AF966" si="119">if(AE952=AE951,"XXX","")</f>
        <v/>
      </c>
    </row>
    <row r="953" ht="66.75" customHeight="1">
      <c r="A953" s="49" t="s">
        <v>4697</v>
      </c>
      <c r="B953" s="35" t="s">
        <v>4698</v>
      </c>
      <c r="C953" s="36" t="s">
        <v>4699</v>
      </c>
      <c r="D953" s="36"/>
      <c r="E953" s="36" t="s">
        <v>4700</v>
      </c>
      <c r="F953" s="36" t="s">
        <v>37</v>
      </c>
      <c r="G953" s="35" t="s">
        <v>4701</v>
      </c>
      <c r="H953" s="35" t="s">
        <v>4702</v>
      </c>
      <c r="I953" s="35" t="s">
        <v>3743</v>
      </c>
      <c r="J953" s="35" t="s">
        <v>298</v>
      </c>
      <c r="K953" s="37">
        <f>IFERROR(__xludf.DUMMYFUNCTION("query(assistance!$A$2:$E988,""Select C Where D = '""&amp;L953&amp;""'"")"),11.0)</f>
        <v>11</v>
      </c>
      <c r="L953" s="36" t="s">
        <v>322</v>
      </c>
      <c r="M953" s="38">
        <f t="shared" si="114"/>
        <v>1</v>
      </c>
      <c r="N953" s="39" t="s">
        <v>42</v>
      </c>
      <c r="O953" s="57">
        <v>45867.0</v>
      </c>
      <c r="P953" s="35" t="s">
        <v>43</v>
      </c>
      <c r="Q953" s="35"/>
      <c r="R953" s="35" t="s">
        <v>4703</v>
      </c>
      <c r="S953" s="35" t="b">
        <v>0</v>
      </c>
      <c r="T953" s="35" t="b">
        <v>0</v>
      </c>
      <c r="U953" s="41" t="str">
        <f>IFERROR(__xludf.DUMMYFUNCTION("""["" &amp; JOIN("", "", ARRAYFORMULA("""""""" &amp; TRIM(SPLIT(A953, "","")) &amp; """""""")) &amp; ""]"""),"[""77445"", ""77446"", ""77466"", ""77484"", ""77492""]")</f>
        <v>["77445", "77446", "77466", "77484", "77492"]</v>
      </c>
      <c r="V953" s="42" t="s">
        <v>4704</v>
      </c>
      <c r="W953" s="42" t="s">
        <v>4705</v>
      </c>
      <c r="X953" s="43"/>
      <c r="Y953" s="44" t="str">
        <f>vlookup(G953,zip_codes!$B$6:$J988,3,false)</f>
        <v>Waller</v>
      </c>
      <c r="Z953" s="45" t="str">
        <f>vlookup(G953,zip_codes!$B$6:$J988,9,false)</f>
        <v>Waller</v>
      </c>
      <c r="AA953" s="44" t="str">
        <f>vlookup(B953,organizations!$B$1:$C988,2,false)</f>
        <v>Waller Assistance &amp; Restoration Ministries</v>
      </c>
      <c r="AB953" s="55" t="s">
        <v>4706</v>
      </c>
      <c r="AC953" s="47" t="s">
        <v>3747</v>
      </c>
      <c r="AD953" s="48" t="s">
        <v>4700</v>
      </c>
      <c r="AE953" s="48" t="str">
        <f t="shared" si="118"/>
        <v>Waller Assistance &amp; Restoration Ministries (WARM)40070 Hwy 290 Business11</v>
      </c>
      <c r="AF953" s="48" t="str">
        <f t="shared" si="119"/>
        <v/>
      </c>
    </row>
    <row r="954" ht="66.75" customHeight="1">
      <c r="A954" s="49" t="s">
        <v>4697</v>
      </c>
      <c r="B954" s="35" t="s">
        <v>4698</v>
      </c>
      <c r="C954" s="36" t="s">
        <v>4699</v>
      </c>
      <c r="D954" s="36"/>
      <c r="E954" s="36" t="s">
        <v>4700</v>
      </c>
      <c r="F954" s="36" t="s">
        <v>37</v>
      </c>
      <c r="G954" s="35" t="s">
        <v>4701</v>
      </c>
      <c r="H954" s="35" t="s">
        <v>4702</v>
      </c>
      <c r="I954" s="35" t="s">
        <v>3743</v>
      </c>
      <c r="J954" s="35" t="s">
        <v>298</v>
      </c>
      <c r="K954" s="37">
        <f>IFERROR(__xludf.DUMMYFUNCTION("query(assistance!$A$2:$E988,""Select C Where D = '""&amp;L954&amp;""'"")"),12.0)</f>
        <v>12</v>
      </c>
      <c r="L954" s="36" t="s">
        <v>330</v>
      </c>
      <c r="M954" s="38">
        <f t="shared" si="114"/>
        <v>1</v>
      </c>
      <c r="N954" s="39" t="s">
        <v>42</v>
      </c>
      <c r="O954" s="57">
        <v>45867.0</v>
      </c>
      <c r="P954" s="35" t="s">
        <v>43</v>
      </c>
      <c r="Q954" s="35"/>
      <c r="R954" s="35" t="s">
        <v>4707</v>
      </c>
      <c r="S954" s="35" t="b">
        <v>0</v>
      </c>
      <c r="T954" s="35" t="b">
        <v>0</v>
      </c>
      <c r="U954" s="41" t="str">
        <f>IFERROR(__xludf.DUMMYFUNCTION("""["" &amp; JOIN("", "", ARRAYFORMULA("""""""" &amp; TRIM(SPLIT(A954, "","")) &amp; """""""")) &amp; ""]"""),"[""77445"", ""77446"", ""77466"", ""77484"", ""77492""]")</f>
        <v>["77445", "77446", "77466", "77484", "77492"]</v>
      </c>
      <c r="V954" s="42" t="s">
        <v>4704</v>
      </c>
      <c r="W954" s="42" t="s">
        <v>4705</v>
      </c>
      <c r="X954" s="43"/>
      <c r="Y954" s="44" t="str">
        <f>vlookup(G954,zip_codes!$B$6:$J988,3,false)</f>
        <v>Waller</v>
      </c>
      <c r="Z954" s="45" t="str">
        <f>vlookup(G954,zip_codes!$B$6:$J988,9,false)</f>
        <v>Waller</v>
      </c>
      <c r="AA954" s="44" t="str">
        <f>vlookup(B954,organizations!$B$1:$C988,2,false)</f>
        <v>Waller Assistance &amp; Restoration Ministries</v>
      </c>
      <c r="AB954" s="55" t="s">
        <v>4706</v>
      </c>
      <c r="AC954" s="47" t="s">
        <v>3747</v>
      </c>
      <c r="AD954" s="48" t="s">
        <v>4700</v>
      </c>
      <c r="AE954" s="48" t="str">
        <f t="shared" si="118"/>
        <v>Waller Assistance &amp; Restoration Ministries (WARM)40070 Hwy 290 Business12</v>
      </c>
      <c r="AF954" s="48" t="str">
        <f t="shared" si="119"/>
        <v/>
      </c>
    </row>
    <row r="955" ht="66.75" customHeight="1">
      <c r="A955" s="49" t="s">
        <v>4697</v>
      </c>
      <c r="B955" s="35" t="s">
        <v>4698</v>
      </c>
      <c r="C955" s="36" t="s">
        <v>4699</v>
      </c>
      <c r="D955" s="36"/>
      <c r="E955" s="36" t="s">
        <v>4700</v>
      </c>
      <c r="F955" s="36" t="s">
        <v>37</v>
      </c>
      <c r="G955" s="35" t="s">
        <v>4701</v>
      </c>
      <c r="H955" s="35" t="s">
        <v>4702</v>
      </c>
      <c r="I955" s="35" t="s">
        <v>4708</v>
      </c>
      <c r="J955" s="35"/>
      <c r="K955" s="37">
        <f>IFERROR(__xludf.DUMMYFUNCTION("query(assistance!$A$2:$E988,""Select C Where D = '""&amp;L955&amp;""'"")"),13.0)</f>
        <v>13</v>
      </c>
      <c r="L955" s="36" t="s">
        <v>240</v>
      </c>
      <c r="M955" s="38">
        <f t="shared" si="114"/>
        <v>1</v>
      </c>
      <c r="N955" s="39" t="s">
        <v>42</v>
      </c>
      <c r="O955" s="57">
        <v>45867.0</v>
      </c>
      <c r="P955" s="35" t="s">
        <v>43</v>
      </c>
      <c r="Q955" s="35"/>
      <c r="R955" s="35" t="s">
        <v>4709</v>
      </c>
      <c r="S955" s="35" t="b">
        <v>0</v>
      </c>
      <c r="T955" s="35" t="b">
        <v>0</v>
      </c>
      <c r="U955" s="41" t="str">
        <f>IFERROR(__xludf.DUMMYFUNCTION("""["" &amp; JOIN("", "", ARRAYFORMULA("""""""" &amp; TRIM(SPLIT(A955, "","")) &amp; """""""")) &amp; ""]"""),"[""77445"", ""77446"", ""77466"", ""77484"", ""77492""]")</f>
        <v>["77445", "77446", "77466", "77484", "77492"]</v>
      </c>
      <c r="V955" s="42" t="s">
        <v>4710</v>
      </c>
      <c r="W955" s="42" t="s">
        <v>4705</v>
      </c>
      <c r="X955" s="43"/>
      <c r="Y955" s="44" t="str">
        <f>vlookup(G955,zip_codes!$B$6:$J988,3,false)</f>
        <v>Waller</v>
      </c>
      <c r="Z955" s="45" t="str">
        <f>vlookup(G955,zip_codes!$B$6:$J988,9,false)</f>
        <v>Waller</v>
      </c>
      <c r="AA955" s="44" t="str">
        <f>vlookup(B955,organizations!$B$1:$C988,2,false)</f>
        <v>Waller Assistance &amp; Restoration Ministries</v>
      </c>
      <c r="AB955" s="55" t="s">
        <v>4706</v>
      </c>
      <c r="AC955" s="47" t="s">
        <v>4711</v>
      </c>
      <c r="AD955" s="48" t="s">
        <v>4700</v>
      </c>
      <c r="AE955" s="48" t="str">
        <f t="shared" si="118"/>
        <v>Waller Assistance &amp; Restoration Ministries (WARM)40070 Hwy 290 Business13</v>
      </c>
      <c r="AF955" s="48" t="str">
        <f t="shared" si="119"/>
        <v/>
      </c>
    </row>
    <row r="956" ht="66.75" customHeight="1">
      <c r="A956" s="49" t="s">
        <v>4697</v>
      </c>
      <c r="B956" s="35" t="s">
        <v>4698</v>
      </c>
      <c r="C956" s="36" t="s">
        <v>4699</v>
      </c>
      <c r="D956" s="36"/>
      <c r="E956" s="36" t="s">
        <v>4700</v>
      </c>
      <c r="F956" s="36" t="s">
        <v>37</v>
      </c>
      <c r="G956" s="35" t="s">
        <v>4701</v>
      </c>
      <c r="H956" s="35" t="s">
        <v>4702</v>
      </c>
      <c r="I956" s="35" t="s">
        <v>4712</v>
      </c>
      <c r="J956" s="35"/>
      <c r="K956" s="37">
        <f>IFERROR(__xludf.DUMMYFUNCTION("query(assistance!$A$2:$E988,""Select C Where D = '""&amp;L956&amp;""'"")"),14.0)</f>
        <v>14</v>
      </c>
      <c r="L956" s="36" t="s">
        <v>391</v>
      </c>
      <c r="M956" s="38">
        <f t="shared" si="114"/>
        <v>1</v>
      </c>
      <c r="N956" s="39" t="s">
        <v>42</v>
      </c>
      <c r="O956" s="57">
        <v>45867.0</v>
      </c>
      <c r="P956" s="35" t="s">
        <v>43</v>
      </c>
      <c r="Q956" s="35"/>
      <c r="R956" s="35" t="s">
        <v>4713</v>
      </c>
      <c r="S956" s="35" t="b">
        <v>0</v>
      </c>
      <c r="T956" s="35" t="b">
        <v>0</v>
      </c>
      <c r="U956" s="41" t="str">
        <f>IFERROR(__xludf.DUMMYFUNCTION("""["" &amp; JOIN("", "", ARRAYFORMULA("""""""" &amp; TRIM(SPLIT(A956, "","")) &amp; """""""")) &amp; ""]"""),"[""77445"", ""77446"", ""77466"", ""77484"", ""77492""]")</f>
        <v>["77445", "77446", "77466", "77484", "77492"]</v>
      </c>
      <c r="V956" s="59" t="s">
        <v>4714</v>
      </c>
      <c r="W956" s="42" t="s">
        <v>4705</v>
      </c>
      <c r="X956" s="43"/>
      <c r="Y956" s="44" t="str">
        <f>vlookup(G956,zip_codes!$B$6:$J988,3,false)</f>
        <v>Waller</v>
      </c>
      <c r="Z956" s="45" t="str">
        <f>vlookup(G956,zip_codes!$B$6:$J988,9,false)</f>
        <v>Waller</v>
      </c>
      <c r="AA956" s="44" t="str">
        <f>vlookup(B956,organizations!$B$1:$C988,2,false)</f>
        <v>Waller Assistance &amp; Restoration Ministries</v>
      </c>
      <c r="AB956" s="55" t="s">
        <v>4706</v>
      </c>
      <c r="AC956" s="47" t="s">
        <v>4715</v>
      </c>
      <c r="AD956" s="48" t="s">
        <v>4700</v>
      </c>
      <c r="AE956" s="48" t="str">
        <f t="shared" si="118"/>
        <v>Waller Assistance &amp; Restoration Ministries (WARM)40070 Hwy 290 Business14</v>
      </c>
      <c r="AF956" s="48" t="str">
        <f t="shared" si="119"/>
        <v/>
      </c>
    </row>
    <row r="957" ht="66.75" customHeight="1">
      <c r="A957" s="49" t="s">
        <v>4697</v>
      </c>
      <c r="B957" s="35" t="s">
        <v>4698</v>
      </c>
      <c r="C957" s="36" t="s">
        <v>4699</v>
      </c>
      <c r="D957" s="36"/>
      <c r="E957" s="36" t="s">
        <v>4700</v>
      </c>
      <c r="F957" s="36" t="s">
        <v>37</v>
      </c>
      <c r="G957" s="35" t="s">
        <v>4701</v>
      </c>
      <c r="H957" s="35" t="s">
        <v>4702</v>
      </c>
      <c r="I957" s="35" t="s">
        <v>4716</v>
      </c>
      <c r="J957" s="35"/>
      <c r="K957" s="37">
        <f>IFERROR(__xludf.DUMMYFUNCTION("query(assistance!$A$2:$E988,""Select C Where D = '""&amp;L957&amp;""'"")"),35.0)</f>
        <v>35</v>
      </c>
      <c r="L957" s="36" t="s">
        <v>731</v>
      </c>
      <c r="M957" s="38">
        <f t="shared" si="114"/>
        <v>1</v>
      </c>
      <c r="N957" s="39" t="s">
        <v>42</v>
      </c>
      <c r="O957" s="57">
        <v>45867.0</v>
      </c>
      <c r="P957" s="35" t="s">
        <v>43</v>
      </c>
      <c r="Q957" s="35"/>
      <c r="R957" s="35" t="s">
        <v>4717</v>
      </c>
      <c r="S957" s="35" t="b">
        <v>0</v>
      </c>
      <c r="T957" s="35" t="b">
        <v>0</v>
      </c>
      <c r="U957" s="41" t="str">
        <f>IFERROR(__xludf.DUMMYFUNCTION("""["" &amp; JOIN("", "", ARRAYFORMULA("""""""" &amp; TRIM(SPLIT(A957, "","")) &amp; """""""")) &amp; ""]"""),"[""77445"", ""77446"", ""77466"", ""77484"", ""77492""]")</f>
        <v>["77445", "77446", "77466", "77484", "77492"]</v>
      </c>
      <c r="V957" s="42" t="s">
        <v>4718</v>
      </c>
      <c r="W957" s="42" t="s">
        <v>4705</v>
      </c>
      <c r="X957" s="43"/>
      <c r="Y957" s="44" t="str">
        <f>vlookup(G957,zip_codes!$B$6:$J988,3,false)</f>
        <v>Waller</v>
      </c>
      <c r="Z957" s="45" t="str">
        <f>vlookup(G957,zip_codes!$B$6:$J988,9,false)</f>
        <v>Waller</v>
      </c>
      <c r="AA957" s="44" t="str">
        <f>vlookup(B957,organizations!$B$1:$C988,2,false)</f>
        <v>Waller Assistance &amp; Restoration Ministries</v>
      </c>
      <c r="AB957" s="55" t="s">
        <v>4706</v>
      </c>
      <c r="AC957" s="47" t="s">
        <v>4719</v>
      </c>
      <c r="AD957" s="48" t="s">
        <v>4700</v>
      </c>
      <c r="AE957" s="48" t="str">
        <f t="shared" si="118"/>
        <v>Waller Assistance &amp; Restoration Ministries (WARM)40070 Hwy 290 Business35</v>
      </c>
      <c r="AF957" s="48" t="str">
        <f t="shared" si="119"/>
        <v/>
      </c>
    </row>
    <row r="958" ht="66.75" customHeight="1">
      <c r="A958" s="49" t="s">
        <v>4697</v>
      </c>
      <c r="B958" s="35" t="s">
        <v>4698</v>
      </c>
      <c r="C958" s="36" t="s">
        <v>4699</v>
      </c>
      <c r="D958" s="36"/>
      <c r="E958" s="36" t="s">
        <v>4700</v>
      </c>
      <c r="F958" s="36" t="s">
        <v>37</v>
      </c>
      <c r="G958" s="35" t="s">
        <v>4701</v>
      </c>
      <c r="H958" s="35" t="s">
        <v>4702</v>
      </c>
      <c r="I958" s="35" t="s">
        <v>3743</v>
      </c>
      <c r="J958" s="35" t="s">
        <v>298</v>
      </c>
      <c r="K958" s="37">
        <f>IFERROR(__xludf.DUMMYFUNCTION("query(assistance!$A$2:$E988,""Select C Where D = '""&amp;L958&amp;""'"")"),36.0)</f>
        <v>36</v>
      </c>
      <c r="L958" s="36" t="s">
        <v>227</v>
      </c>
      <c r="M958" s="38">
        <f t="shared" si="114"/>
        <v>1</v>
      </c>
      <c r="N958" s="39" t="s">
        <v>42</v>
      </c>
      <c r="O958" s="57">
        <v>45867.0</v>
      </c>
      <c r="P958" s="35" t="s">
        <v>43</v>
      </c>
      <c r="Q958" s="35"/>
      <c r="R958" s="35" t="s">
        <v>4720</v>
      </c>
      <c r="S958" s="35" t="b">
        <v>0</v>
      </c>
      <c r="T958" s="35" t="b">
        <v>0</v>
      </c>
      <c r="U958" s="41" t="str">
        <f>IFERROR(__xludf.DUMMYFUNCTION("""["" &amp; JOIN("", "", ARRAYFORMULA("""""""" &amp; TRIM(SPLIT(A958, "","")) &amp; """""""")) &amp; ""]"""),"[""77445"", ""77446"", ""77466"", ""77484"", ""77492""]")</f>
        <v>["77445", "77446", "77466", "77484", "77492"]</v>
      </c>
      <c r="V958" s="42" t="s">
        <v>4704</v>
      </c>
      <c r="W958" s="42" t="s">
        <v>4705</v>
      </c>
      <c r="X958" s="43"/>
      <c r="Y958" s="44" t="str">
        <f>vlookup(G958,zip_codes!$B$6:$J988,3,false)</f>
        <v>Waller</v>
      </c>
      <c r="Z958" s="45" t="str">
        <f>vlookup(G958,zip_codes!$B$6:$J988,9,false)</f>
        <v>Waller</v>
      </c>
      <c r="AA958" s="44" t="str">
        <f>vlookup(B958,organizations!$B$1:$C988,2,false)</f>
        <v>Waller Assistance &amp; Restoration Ministries</v>
      </c>
      <c r="AB958" s="55" t="s">
        <v>4706</v>
      </c>
      <c r="AC958" s="47" t="s">
        <v>3747</v>
      </c>
      <c r="AD958" s="48" t="s">
        <v>4700</v>
      </c>
      <c r="AE958" s="48" t="str">
        <f t="shared" si="118"/>
        <v>Waller Assistance &amp; Restoration Ministries (WARM)40070 Hwy 290 Business36</v>
      </c>
      <c r="AF958" s="48" t="str">
        <f t="shared" si="119"/>
        <v/>
      </c>
    </row>
    <row r="959" ht="66.75" customHeight="1">
      <c r="A959" s="49" t="s">
        <v>50</v>
      </c>
      <c r="B959" s="35" t="s">
        <v>4721</v>
      </c>
      <c r="C959" s="36" t="s">
        <v>4722</v>
      </c>
      <c r="D959" s="36"/>
      <c r="E959" s="36" t="s">
        <v>36</v>
      </c>
      <c r="F959" s="36" t="s">
        <v>37</v>
      </c>
      <c r="G959" s="35" t="s">
        <v>4723</v>
      </c>
      <c r="H959" s="35" t="s">
        <v>4724</v>
      </c>
      <c r="I959" s="35" t="s">
        <v>272</v>
      </c>
      <c r="J959" s="35"/>
      <c r="K959" s="37">
        <f>IFERROR(__xludf.DUMMYFUNCTION("query(assistance!$A$2:$E988,""Select C Where D = '""&amp;L959&amp;""'"")"),24.0)</f>
        <v>24</v>
      </c>
      <c r="L959" s="36" t="s">
        <v>405</v>
      </c>
      <c r="M959" s="38">
        <f t="shared" si="114"/>
        <v>1</v>
      </c>
      <c r="N959" s="51" t="s">
        <v>42</v>
      </c>
      <c r="O959" s="40">
        <v>45761.0</v>
      </c>
      <c r="P959" s="35" t="s">
        <v>406</v>
      </c>
      <c r="Q959" s="35"/>
      <c r="R959" s="35" t="s">
        <v>4725</v>
      </c>
      <c r="S959" s="35" t="b">
        <v>0</v>
      </c>
      <c r="T959" s="35" t="b">
        <v>0</v>
      </c>
      <c r="U959" s="41" t="str">
        <f>IFERROR(__xludf.DUMMYFUNCTION("""["" &amp; JOIN("", "", ARRAYFORMULA("""""""" &amp; TRIM(SPLIT(A959, "","")) &amp; """""""")) &amp; ""]"""),"[""99999""]")</f>
        <v>["99999"]</v>
      </c>
      <c r="V959" s="52" t="s">
        <v>4726</v>
      </c>
      <c r="W959" s="43"/>
      <c r="X959" s="43"/>
      <c r="Y959" s="44" t="str">
        <f>vlookup(G959,zip_codes!$B$6:$J988,3,false)</f>
        <v>Houston</v>
      </c>
      <c r="Z959" s="45" t="str">
        <f>vlookup(G959,zip_codes!$B$6:$J988,9,false)</f>
        <v>P.O. Boxes</v>
      </c>
      <c r="AA959" s="44" t="str">
        <f>vlookup(B959,organizations!$B$1:$C988,2,false)</f>
        <v>Wellsprings Village Inc.</v>
      </c>
      <c r="AB959" s="55" t="s">
        <v>4727</v>
      </c>
      <c r="AC959" s="47" t="s">
        <v>278</v>
      </c>
      <c r="AD959" s="48" t="s">
        <v>634</v>
      </c>
      <c r="AE959" s="48" t="str">
        <f t="shared" si="118"/>
        <v>Wellsprings Village Inc.P.O. Box 31101724</v>
      </c>
      <c r="AF959" s="48" t="str">
        <f t="shared" si="119"/>
        <v/>
      </c>
    </row>
    <row r="960" ht="66.75" customHeight="1">
      <c r="A960" s="49" t="s">
        <v>50</v>
      </c>
      <c r="B960" s="35" t="s">
        <v>4728</v>
      </c>
      <c r="C960" s="36" t="s">
        <v>4729</v>
      </c>
      <c r="D960" s="36"/>
      <c r="E960" s="36" t="s">
        <v>36</v>
      </c>
      <c r="F960" s="36" t="s">
        <v>37</v>
      </c>
      <c r="G960" s="35" t="s">
        <v>2102</v>
      </c>
      <c r="H960" s="35" t="s">
        <v>4730</v>
      </c>
      <c r="I960" s="35" t="s">
        <v>544</v>
      </c>
      <c r="J960" s="35"/>
      <c r="K960" s="37">
        <f>IFERROR(__xludf.DUMMYFUNCTION("query(assistance!$A$2:$E988,""Select C Where D = '""&amp;L960&amp;""'"")"),11.0)</f>
        <v>11</v>
      </c>
      <c r="L960" s="36" t="s">
        <v>322</v>
      </c>
      <c r="M960" s="39">
        <f t="shared" ref="M960:M961" si="120">if(N960="Inactive",3,if(N960="Limited", 2, if(N960="Closed", 4, 1)))</f>
        <v>3</v>
      </c>
      <c r="N960" s="51" t="s">
        <v>973</v>
      </c>
      <c r="O960" s="40">
        <v>46086.0</v>
      </c>
      <c r="P960" s="35" t="s">
        <v>4731</v>
      </c>
      <c r="Q960" s="35"/>
      <c r="R960" s="35" t="s">
        <v>4732</v>
      </c>
      <c r="S960" s="35" t="b">
        <v>0</v>
      </c>
      <c r="T960" s="35" t="b">
        <v>0</v>
      </c>
      <c r="U960" s="41" t="str">
        <f>IFERROR(__xludf.DUMMYFUNCTION("""["" &amp; JOIN("", "", ARRAYFORMULA("""""""" &amp; TRIM(SPLIT(A960, "","")) &amp; """""""")) &amp; ""]"""),"[""99999""]")</f>
        <v>["99999"]</v>
      </c>
      <c r="V960" s="42" t="s">
        <v>4733</v>
      </c>
      <c r="W960" s="52" t="s">
        <v>4734</v>
      </c>
      <c r="X960" s="43"/>
      <c r="Y960" s="44" t="str">
        <f>vlookup(G960,zip_codes!$B$6:$J988,3,false)</f>
        <v>Houston</v>
      </c>
      <c r="Z960" s="45" t="str">
        <f>vlookup(G960,zip_codes!$B$6:$J988,9,false)</f>
        <v>Lindale Park, Near Northside, Northside, Woodland Heights</v>
      </c>
      <c r="AA960" s="44" t="str">
        <f>vlookup(B960,organizations!$B$1:$C988,2,false)</f>
        <v>Wesley Community Center</v>
      </c>
      <c r="AB960" s="46" t="s">
        <v>4735</v>
      </c>
      <c r="AC960" s="47" t="str">
        <f t="shared" ref="AC960:AC967" si="121">PARSE_HOURS(I960)</f>
        <v>{"regular":[{"days":["Mo","Tu","We","Th","Fr"],"open":"08:00","close":"12:00"}]}</v>
      </c>
      <c r="AD960" s="48" t="s">
        <v>356</v>
      </c>
      <c r="AE960" s="48" t="str">
        <f t="shared" si="118"/>
        <v>Wesley Community Center1410 Lee Street11</v>
      </c>
      <c r="AF960" s="48" t="str">
        <f t="shared" si="119"/>
        <v/>
      </c>
    </row>
    <row r="961" ht="66.75" customHeight="1">
      <c r="A961" s="49" t="s">
        <v>50</v>
      </c>
      <c r="B961" s="35" t="s">
        <v>4728</v>
      </c>
      <c r="C961" s="36" t="s">
        <v>4729</v>
      </c>
      <c r="D961" s="36"/>
      <c r="E961" s="36" t="s">
        <v>36</v>
      </c>
      <c r="F961" s="36" t="s">
        <v>37</v>
      </c>
      <c r="G961" s="35" t="s">
        <v>2102</v>
      </c>
      <c r="H961" s="35" t="s">
        <v>4730</v>
      </c>
      <c r="I961" s="35" t="s">
        <v>544</v>
      </c>
      <c r="J961" s="35"/>
      <c r="K961" s="37">
        <f>IFERROR(__xludf.DUMMYFUNCTION("query(assistance!$A$2:$E988,""Select C Where D = '""&amp;L961&amp;""'"")"),12.0)</f>
        <v>12</v>
      </c>
      <c r="L961" s="36" t="s">
        <v>330</v>
      </c>
      <c r="M961" s="39">
        <f t="shared" si="120"/>
        <v>3</v>
      </c>
      <c r="N961" s="51" t="s">
        <v>973</v>
      </c>
      <c r="O961" s="40">
        <v>46086.0</v>
      </c>
      <c r="P961" s="35" t="s">
        <v>4731</v>
      </c>
      <c r="Q961" s="35"/>
      <c r="R961" s="35" t="s">
        <v>4732</v>
      </c>
      <c r="S961" s="35" t="b">
        <v>0</v>
      </c>
      <c r="T961" s="35" t="b">
        <v>0</v>
      </c>
      <c r="U961" s="41" t="str">
        <f>IFERROR(__xludf.DUMMYFUNCTION("""["" &amp; JOIN("", "", ARRAYFORMULA("""""""" &amp; TRIM(SPLIT(A961, "","")) &amp; """""""")) &amp; ""]"""),"[""99999""]")</f>
        <v>["99999"]</v>
      </c>
      <c r="V961" s="42" t="s">
        <v>4733</v>
      </c>
      <c r="W961" s="52" t="s">
        <v>4734</v>
      </c>
      <c r="X961" s="43"/>
      <c r="Y961" s="44" t="str">
        <f>vlookup(G961,zip_codes!$B$6:$J988,3,false)</f>
        <v>Houston</v>
      </c>
      <c r="Z961" s="45" t="str">
        <f>vlookup(G961,zip_codes!$B$6:$J988,9,false)</f>
        <v>Lindale Park, Near Northside, Northside, Woodland Heights</v>
      </c>
      <c r="AA961" s="44" t="str">
        <f>vlookup(B961,organizations!$B$1:$C988,2,false)</f>
        <v>Wesley Community Center</v>
      </c>
      <c r="AB961" s="46" t="s">
        <v>4735</v>
      </c>
      <c r="AC961" s="47" t="str">
        <f t="shared" si="121"/>
        <v>{"regular":[{"days":["Mo","Tu","We","Th","Fr"],"open":"08:00","close":"12:00"}]}</v>
      </c>
      <c r="AD961" s="48" t="s">
        <v>356</v>
      </c>
      <c r="AE961" s="48" t="str">
        <f t="shared" si="118"/>
        <v>Wesley Community Center1410 Lee Street12</v>
      </c>
      <c r="AF961" s="48" t="str">
        <f t="shared" si="119"/>
        <v/>
      </c>
    </row>
    <row r="962" ht="66.75" customHeight="1">
      <c r="A962" s="49" t="s">
        <v>50</v>
      </c>
      <c r="B962" s="35" t="s">
        <v>4728</v>
      </c>
      <c r="C962" s="36" t="s">
        <v>4736</v>
      </c>
      <c r="D962" s="36"/>
      <c r="E962" s="36" t="s">
        <v>36</v>
      </c>
      <c r="F962" s="36" t="s">
        <v>37</v>
      </c>
      <c r="G962" s="35" t="s">
        <v>2102</v>
      </c>
      <c r="H962" s="35" t="s">
        <v>4737</v>
      </c>
      <c r="I962" s="35" t="s">
        <v>4738</v>
      </c>
      <c r="J962" s="35" t="s">
        <v>298</v>
      </c>
      <c r="K962" s="37">
        <f>IFERROR(__xludf.DUMMYFUNCTION("query(assistance!$A$2:$E988,""Select C Where D = '""&amp;L962&amp;""'"")"),13.0)</f>
        <v>13</v>
      </c>
      <c r="L962" s="36" t="s">
        <v>240</v>
      </c>
      <c r="M962" s="38">
        <f t="shared" ref="M962:M970" si="122">if(N962="Inactive",3,if(N962="Limited", 2, 1))</f>
        <v>1</v>
      </c>
      <c r="N962" s="51" t="s">
        <v>42</v>
      </c>
      <c r="O962" s="40">
        <v>46086.0</v>
      </c>
      <c r="P962" s="35" t="s">
        <v>43</v>
      </c>
      <c r="Q962" s="35"/>
      <c r="R962" s="35" t="s">
        <v>4739</v>
      </c>
      <c r="S962" s="35" t="b">
        <v>0</v>
      </c>
      <c r="T962" s="35" t="b">
        <v>0</v>
      </c>
      <c r="U962" s="41" t="str">
        <f>IFERROR(__xludf.DUMMYFUNCTION("""["" &amp; JOIN("", "", ARRAYFORMULA("""""""" &amp; TRIM(SPLIT(A962, "","")) &amp; """""""")) &amp; ""]"""),"[""99999""]")</f>
        <v>["99999"]</v>
      </c>
      <c r="V962" s="91" t="s">
        <v>4740</v>
      </c>
      <c r="W962" s="52" t="s">
        <v>4734</v>
      </c>
      <c r="X962" s="43"/>
      <c r="Y962" s="44" t="str">
        <f>vlookup(G962,zip_codes!$B$6:$J988,3,false)</f>
        <v>Houston</v>
      </c>
      <c r="Z962" s="45" t="str">
        <f>vlookup(G962,zip_codes!$B$6:$J988,9,false)</f>
        <v>Lindale Park, Near Northside, Northside, Woodland Heights</v>
      </c>
      <c r="AA962" s="44" t="str">
        <f>vlookup(B962,organizations!$B$1:$C988,2,false)</f>
        <v>Wesley Community Center</v>
      </c>
      <c r="AB962" s="46" t="s">
        <v>4735</v>
      </c>
      <c r="AC962" s="47" t="str">
        <f t="shared" si="121"/>
        <v>{"regular":[{"days":["Mo","Tu","We","Th","Fr"],"open":"08:00","close":"12:00"},{"days":["Tu","We","Th"],"open":"13:00","close":"16:00"}]}</v>
      </c>
      <c r="AD962" s="48" t="s">
        <v>356</v>
      </c>
      <c r="AE962" s="48" t="str">
        <f t="shared" si="118"/>
        <v>Wesley Community Center1235 Lorraine Street13</v>
      </c>
      <c r="AF962" s="48" t="str">
        <f t="shared" si="119"/>
        <v/>
      </c>
    </row>
    <row r="963" ht="66.75" customHeight="1">
      <c r="A963" s="49" t="s">
        <v>50</v>
      </c>
      <c r="B963" s="35" t="s">
        <v>4728</v>
      </c>
      <c r="C963" s="36" t="s">
        <v>4729</v>
      </c>
      <c r="D963" s="36"/>
      <c r="E963" s="36" t="s">
        <v>36</v>
      </c>
      <c r="F963" s="36" t="s">
        <v>37</v>
      </c>
      <c r="G963" s="35" t="s">
        <v>2102</v>
      </c>
      <c r="H963" s="35" t="s">
        <v>4741</v>
      </c>
      <c r="I963" s="35" t="s">
        <v>272</v>
      </c>
      <c r="J963" s="35"/>
      <c r="K963" s="37">
        <f>IFERROR(__xludf.DUMMYFUNCTION("query(assistance!$A$2:$E988,""Select C Where D = '""&amp;L963&amp;""'"")"),35.0)</f>
        <v>35</v>
      </c>
      <c r="L963" s="36" t="s">
        <v>731</v>
      </c>
      <c r="M963" s="38">
        <f t="shared" si="122"/>
        <v>1</v>
      </c>
      <c r="N963" s="51" t="s">
        <v>42</v>
      </c>
      <c r="O963" s="40">
        <v>46086.0</v>
      </c>
      <c r="P963" s="35" t="s">
        <v>43</v>
      </c>
      <c r="Q963" s="35"/>
      <c r="R963" s="35" t="s">
        <v>1356</v>
      </c>
      <c r="S963" s="35" t="b">
        <v>0</v>
      </c>
      <c r="T963" s="35" t="b">
        <v>0</v>
      </c>
      <c r="U963" s="41" t="str">
        <f>IFERROR(__xludf.DUMMYFUNCTION("""["" &amp; JOIN("", "", ARRAYFORMULA("""""""" &amp; TRIM(SPLIT(A963, "","")) &amp; """""""")) &amp; ""]"""),"[""99999""]")</f>
        <v>["99999"]</v>
      </c>
      <c r="V963" s="42" t="s">
        <v>4733</v>
      </c>
      <c r="W963" s="52" t="s">
        <v>4734</v>
      </c>
      <c r="X963" s="43"/>
      <c r="Y963" s="44" t="str">
        <f>vlookup(G963,zip_codes!$B$6:$J988,3,false)</f>
        <v>Houston</v>
      </c>
      <c r="Z963" s="45" t="str">
        <f>vlookup(G963,zip_codes!$B$6:$J988,9,false)</f>
        <v>Lindale Park, Near Northside, Northside, Woodland Heights</v>
      </c>
      <c r="AA963" s="44" t="str">
        <f>vlookup(B963,organizations!$B$1:$C988,2,false)</f>
        <v>Wesley Community Center</v>
      </c>
      <c r="AB963" s="46" t="s">
        <v>4735</v>
      </c>
      <c r="AC963" s="47" t="str">
        <f t="shared" si="121"/>
        <v>{"regular":[{"days":["Mo","Tu","We","Th","Fr"],"open":"08:00","close":"17:00"}]}</v>
      </c>
      <c r="AD963" s="48" t="s">
        <v>356</v>
      </c>
      <c r="AE963" s="48" t="str">
        <f t="shared" si="118"/>
        <v>Wesley Community Center1410 Lee Street35</v>
      </c>
      <c r="AF963" s="48" t="str">
        <f t="shared" si="119"/>
        <v/>
      </c>
    </row>
    <row r="964" ht="66.75" customHeight="1">
      <c r="A964" s="49" t="s">
        <v>50</v>
      </c>
      <c r="B964" s="35" t="s">
        <v>4728</v>
      </c>
      <c r="C964" s="36" t="s">
        <v>4729</v>
      </c>
      <c r="D964" s="36"/>
      <c r="E964" s="36" t="s">
        <v>36</v>
      </c>
      <c r="F964" s="36" t="s">
        <v>37</v>
      </c>
      <c r="G964" s="35" t="s">
        <v>2102</v>
      </c>
      <c r="H964" s="35" t="s">
        <v>4742</v>
      </c>
      <c r="I964" s="35" t="s">
        <v>4743</v>
      </c>
      <c r="J964" s="35" t="s">
        <v>4744</v>
      </c>
      <c r="K964" s="37">
        <f>IFERROR(__xludf.DUMMYFUNCTION("query(assistance!$A$2:$E988,""Select C Where D = '""&amp;L964&amp;""'"")"),44.0)</f>
        <v>44</v>
      </c>
      <c r="L964" s="36" t="s">
        <v>102</v>
      </c>
      <c r="M964" s="38">
        <f t="shared" si="122"/>
        <v>1</v>
      </c>
      <c r="N964" s="51" t="s">
        <v>42</v>
      </c>
      <c r="O964" s="40">
        <v>46086.0</v>
      </c>
      <c r="P964" s="35" t="s">
        <v>43</v>
      </c>
      <c r="Q964" s="35"/>
      <c r="R964" s="35" t="s">
        <v>4745</v>
      </c>
      <c r="S964" s="35" t="b">
        <v>0</v>
      </c>
      <c r="T964" s="35" t="b">
        <v>0</v>
      </c>
      <c r="U964" s="41" t="str">
        <f>IFERROR(__xludf.DUMMYFUNCTION("""["" &amp; JOIN("", "", ARRAYFORMULA("""""""" &amp; TRIM(SPLIT(A964, "","")) &amp; """""""")) &amp; ""]"""),"[""99999""]")</f>
        <v>["99999"]</v>
      </c>
      <c r="V964" s="42" t="s">
        <v>4746</v>
      </c>
      <c r="W964" s="52" t="s">
        <v>4734</v>
      </c>
      <c r="X964" s="43"/>
      <c r="Y964" s="44" t="str">
        <f>vlookup(G964,zip_codes!$B$6:$J988,3,false)</f>
        <v>Houston</v>
      </c>
      <c r="Z964" s="45" t="str">
        <f>vlookup(G964,zip_codes!$B$6:$J988,9,false)</f>
        <v>Lindale Park, Near Northside, Northside, Woodland Heights</v>
      </c>
      <c r="AA964" s="44" t="str">
        <f>vlookup(B964,organizations!$B$1:$C988,2,false)</f>
        <v>Wesley Community Center</v>
      </c>
      <c r="AB964" s="46" t="s">
        <v>4735</v>
      </c>
      <c r="AC964" s="47" t="str">
        <f t="shared" si="121"/>
        <v>{"regular":[{"days":["Mo","Tu","We","Th","Fr"],"open":"07:30","close":"17:30"}]}</v>
      </c>
      <c r="AD964" s="48" t="s">
        <v>356</v>
      </c>
      <c r="AE964" s="48" t="str">
        <f t="shared" si="118"/>
        <v>Wesley Community Center1410 Lee Street44</v>
      </c>
      <c r="AF964" s="48" t="str">
        <f t="shared" si="119"/>
        <v/>
      </c>
    </row>
    <row r="965" ht="66.75" customHeight="1">
      <c r="A965" s="49" t="s">
        <v>50</v>
      </c>
      <c r="B965" s="35" t="s">
        <v>4728</v>
      </c>
      <c r="C965" s="36" t="s">
        <v>4729</v>
      </c>
      <c r="D965" s="36"/>
      <c r="E965" s="36" t="s">
        <v>36</v>
      </c>
      <c r="F965" s="36" t="s">
        <v>37</v>
      </c>
      <c r="G965" s="35" t="s">
        <v>2102</v>
      </c>
      <c r="H965" s="35" t="s">
        <v>4747</v>
      </c>
      <c r="I965" s="35" t="s">
        <v>4743</v>
      </c>
      <c r="J965" s="35" t="s">
        <v>4748</v>
      </c>
      <c r="K965" s="37">
        <f>IFERROR(__xludf.DUMMYFUNCTION("query(assistance!$A$2:$E988,""Select C Where D = '""&amp;L965&amp;""'"")"),44.0)</f>
        <v>44</v>
      </c>
      <c r="L965" s="36" t="s">
        <v>102</v>
      </c>
      <c r="M965" s="38">
        <f t="shared" si="122"/>
        <v>1</v>
      </c>
      <c r="N965" s="51" t="s">
        <v>42</v>
      </c>
      <c r="O965" s="40">
        <v>46086.0</v>
      </c>
      <c r="P965" s="35" t="s">
        <v>43</v>
      </c>
      <c r="Q965" s="35"/>
      <c r="R965" s="35" t="s">
        <v>4749</v>
      </c>
      <c r="S965" s="35" t="b">
        <v>0</v>
      </c>
      <c r="T965" s="35" t="b">
        <v>0</v>
      </c>
      <c r="U965" s="41" t="str">
        <f>IFERROR(__xludf.DUMMYFUNCTION("""["" &amp; JOIN("", "", ARRAYFORMULA("""""""" &amp; TRIM(SPLIT(A965, "","")) &amp; """""""")) &amp; ""]"""),"[""99999""]")</f>
        <v>["99999"]</v>
      </c>
      <c r="V965" s="42" t="s">
        <v>4746</v>
      </c>
      <c r="W965" s="52" t="s">
        <v>4734</v>
      </c>
      <c r="X965" s="43"/>
      <c r="Y965" s="44" t="str">
        <f>vlookup(G965,zip_codes!$B$6:$J988,3,false)</f>
        <v>Houston</v>
      </c>
      <c r="Z965" s="45" t="str">
        <f>vlookup(G965,zip_codes!$B$6:$J988,9,false)</f>
        <v>Lindale Park, Near Northside, Northside, Woodland Heights</v>
      </c>
      <c r="AA965" s="44" t="str">
        <f>vlookup(B965,organizations!$B$1:$C988,2,false)</f>
        <v>Wesley Community Center</v>
      </c>
      <c r="AB965" s="46" t="s">
        <v>4735</v>
      </c>
      <c r="AC965" s="47" t="str">
        <f t="shared" si="121"/>
        <v>{"regular":[{"days":["Mo","Tu","We","Th","Fr"],"open":"07:30","close":"17:30"}]}</v>
      </c>
      <c r="AD965" s="48" t="s">
        <v>356</v>
      </c>
      <c r="AE965" s="48" t="str">
        <f t="shared" si="118"/>
        <v>Wesley Community Center1410 Lee Street44</v>
      </c>
      <c r="AF965" s="48" t="str">
        <f t="shared" si="119"/>
        <v>XXX</v>
      </c>
    </row>
    <row r="966" ht="66.75" customHeight="1">
      <c r="A966" s="49" t="s">
        <v>50</v>
      </c>
      <c r="B966" s="35" t="s">
        <v>4728</v>
      </c>
      <c r="C966" s="36" t="s">
        <v>4729</v>
      </c>
      <c r="D966" s="36"/>
      <c r="E966" s="36" t="s">
        <v>36</v>
      </c>
      <c r="F966" s="36" t="s">
        <v>37</v>
      </c>
      <c r="G966" s="35" t="s">
        <v>2102</v>
      </c>
      <c r="H966" s="35" t="s">
        <v>4750</v>
      </c>
      <c r="I966" s="35" t="s">
        <v>4751</v>
      </c>
      <c r="J966" s="35"/>
      <c r="K966" s="37">
        <f>IFERROR(__xludf.DUMMYFUNCTION("query(assistance!$A$2:$E988,""Select C Where D = '""&amp;L966&amp;""'"")"),61.0)</f>
        <v>61</v>
      </c>
      <c r="L966" s="36" t="s">
        <v>842</v>
      </c>
      <c r="M966" s="38">
        <f t="shared" si="122"/>
        <v>1</v>
      </c>
      <c r="N966" s="51" t="s">
        <v>42</v>
      </c>
      <c r="O966" s="40">
        <v>46086.0</v>
      </c>
      <c r="P966" s="35" t="s">
        <v>43</v>
      </c>
      <c r="Q966" s="35"/>
      <c r="R966" s="35" t="s">
        <v>4752</v>
      </c>
      <c r="S966" s="35" t="b">
        <v>0</v>
      </c>
      <c r="T966" s="35" t="b">
        <v>0</v>
      </c>
      <c r="U966" s="41" t="str">
        <f>IFERROR(__xludf.DUMMYFUNCTION("""["" &amp; JOIN("", "", ARRAYFORMULA("""""""" &amp; TRIM(SPLIT(A966, "","")) &amp; """""""")) &amp; ""]"""),"[""99999""]")</f>
        <v>["99999"]</v>
      </c>
      <c r="V966" s="54" t="s">
        <v>4753</v>
      </c>
      <c r="W966" s="52" t="s">
        <v>4734</v>
      </c>
      <c r="X966" s="43"/>
      <c r="Y966" s="44" t="str">
        <f>vlookup(G966,zip_codes!$B$6:$J988,3,false)</f>
        <v>Houston</v>
      </c>
      <c r="Z966" s="45" t="str">
        <f>vlookup(G966,zip_codes!$B$6:$J988,9,false)</f>
        <v>Lindale Park, Near Northside, Northside, Woodland Heights</v>
      </c>
      <c r="AA966" s="44" t="str">
        <f>vlookup(B966,organizations!$B$1:$C988,2,false)</f>
        <v>Wesley Community Center</v>
      </c>
      <c r="AB966" s="46" t="s">
        <v>4735</v>
      </c>
      <c r="AC966" s="47" t="str">
        <f t="shared" si="121"/>
        <v>{"regular":[{"days":["Mo","Tu","We","Th","Fr"],"open":"08:00","close":"13:00"}]}</v>
      </c>
      <c r="AD966" s="48" t="s">
        <v>356</v>
      </c>
      <c r="AE966" s="48" t="str">
        <f t="shared" si="118"/>
        <v>Wesley Community Center1410 Lee Street61</v>
      </c>
      <c r="AF966" s="48" t="str">
        <f t="shared" si="119"/>
        <v/>
      </c>
    </row>
    <row r="967" ht="66.75" customHeight="1">
      <c r="A967" s="34" t="s">
        <v>234</v>
      </c>
      <c r="B967" s="35" t="s">
        <v>4754</v>
      </c>
      <c r="C967" s="36" t="s">
        <v>3378</v>
      </c>
      <c r="D967" s="36"/>
      <c r="E967" s="36" t="s">
        <v>36</v>
      </c>
      <c r="F967" s="36" t="s">
        <v>37</v>
      </c>
      <c r="G967" s="56" t="s">
        <v>1023</v>
      </c>
      <c r="H967" s="35" t="s">
        <v>4755</v>
      </c>
      <c r="I967" s="35" t="s">
        <v>4756</v>
      </c>
      <c r="J967" s="35"/>
      <c r="K967" s="37">
        <f>IFERROR(__xludf.DUMMYFUNCTION("query(assistance!$A$2:$E988,""Select C Where D = '""&amp;L967&amp;""'"")"),44.0)</f>
        <v>44</v>
      </c>
      <c r="L967" s="36" t="s">
        <v>102</v>
      </c>
      <c r="M967" s="38">
        <f t="shared" si="122"/>
        <v>1</v>
      </c>
      <c r="N967" s="39" t="s">
        <v>42</v>
      </c>
      <c r="O967" s="57">
        <v>46057.0</v>
      </c>
      <c r="P967" s="35" t="s">
        <v>43</v>
      </c>
      <c r="Q967" s="35"/>
      <c r="R967" s="35" t="s">
        <v>4757</v>
      </c>
      <c r="S967" s="35" t="b">
        <v>0</v>
      </c>
      <c r="T967" s="35" t="b">
        <v>0</v>
      </c>
      <c r="U967" s="41" t="str">
        <f>IFERROR(__xludf.DUMMYFUNCTION("""["" &amp; JOIN("", "", ARRAYFORMULA("""""""" &amp; TRIM(SPLIT(A967, "","")) &amp; """""""")) &amp; ""]"""),"[""77002"", ""77003"", ""77004"", ""77005"", ""77006"", ""77007"", ""77008"", ""77009"", ""77010"", ""77011"", ""77012"", ""77013"", ""77014"", ""77015"", ""77016"", ""77017"", ""77018"", ""77019"", ""77020"", ""77021"", ""77022"", ""77023"", ""77024"", "&amp;"""77025"", ""77026"", ""77027"", ""77028"", ""77029"", ""77030"", ""77031"", ""77032"", ""77033"", ""77034"", ""77035"", ""77036"", ""77037"", ""77038"", ""77039"", ""77040"", ""77041"", ""77042"", ""77043"", ""77044"", ""77045"", ""77046"", ""77047"", """&amp;"77048"", ""77049"", ""77050"", ""77051"", ""77053"", ""77054"", ""77055"", ""77056"", ""77057"", ""77058"", ""77059"", ""77060"", ""77061"", ""77062"", ""77063"", ""77064"", ""77065"", ""77066"", ""77067"", ""77068"", ""77069"", ""77070"", ""77071"", ""77"&amp;"072"", ""77073"", ""77074"", ""77075"", ""77076"", ""77077"", ""77078"", ""77079"", ""77080"", ""77081"", ""77082"", ""77083"", ""77084"", ""77085"", ""77086"", ""77087"", ""77088"", ""77089"", ""77090"", ""77091"", ""77092"", ""77093"", ""77094"", ""7709"&amp;"5"", ""77096"", ""77098"", ""77099"", ""77242"", ""77257"", ""77277"", ""77279""]")</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"77053", "77054", "77055", "77056", "77057", "77058", "77059", "77060", "77061", "77062", "77063", "77064", "77065", "77066", "77067", "77068", "77069", "77070", "77071", "77072", "77073", "77074", "77075", "77076", "77077", "77078", "77079", "77080", "77081", "77082", "77083", "77084", "77085", "77086", "77087", "77088", "77089", "77090", "77091", "77092", "77093", "77094", "77095", "77096", "77098", "77099", "77242", "77257", "77277", "77279"]</v>
      </c>
      <c r="V967" s="42" t="s">
        <v>4758</v>
      </c>
      <c r="W967" s="42" t="s">
        <v>4759</v>
      </c>
      <c r="X967" s="43"/>
      <c r="Y967" s="44" t="str">
        <f>vlookup(G967,zip_codes!$B$6:$J988,3,false)</f>
        <v>Houston</v>
      </c>
      <c r="Z967" s="45" t="str">
        <f>vlookup(G967,zip_codes!$B$6:$J988,9,false)</f>
        <v>Downtown Houston, Memorial Park, Rice Military, Sawyer Heights, Washington Avenue Coalition / Memorial Park, Washington Corridor</v>
      </c>
      <c r="AA967" s="44" t="str">
        <f>vlookup(B967,organizations!$B$1:$C988,2,false)</f>
        <v>City of Houston</v>
      </c>
      <c r="AB967" s="55" t="s">
        <v>4760</v>
      </c>
      <c r="AC967" s="47" t="str">
        <f t="shared" si="121"/>
        <v>{"regular":[{"days":["Mo","Tu","We","Th","Fr"],"open":"07:00","close":"18:00"}]}</v>
      </c>
      <c r="AD967" s="58" t="s">
        <v>1296</v>
      </c>
      <c r="AE967" s="48"/>
      <c r="AF967" s="48"/>
    </row>
    <row r="968" ht="66.75" customHeight="1">
      <c r="A968" s="49" t="s">
        <v>4761</v>
      </c>
      <c r="B968" s="35" t="s">
        <v>4762</v>
      </c>
      <c r="C968" s="36" t="s">
        <v>4763</v>
      </c>
      <c r="D968" s="36"/>
      <c r="E968" s="36" t="s">
        <v>36</v>
      </c>
      <c r="F968" s="36" t="s">
        <v>37</v>
      </c>
      <c r="G968" s="35" t="s">
        <v>1555</v>
      </c>
      <c r="H968" s="35" t="s">
        <v>4764</v>
      </c>
      <c r="I968" s="35" t="s">
        <v>1130</v>
      </c>
      <c r="J968" s="35" t="s">
        <v>298</v>
      </c>
      <c r="K968" s="37">
        <f>IFERROR(__xludf.DUMMYFUNCTION("query(assistance!$A$2:$E988,""Select C Where D = '""&amp;L968&amp;""'"")"),11.0)</f>
        <v>11</v>
      </c>
      <c r="L968" s="36" t="s">
        <v>322</v>
      </c>
      <c r="M968" s="38">
        <f t="shared" si="122"/>
        <v>1</v>
      </c>
      <c r="N968" s="51" t="s">
        <v>42</v>
      </c>
      <c r="O968" s="40">
        <v>46077.0</v>
      </c>
      <c r="P968" s="35" t="s">
        <v>43</v>
      </c>
      <c r="Q968" s="35"/>
      <c r="R968" s="35" t="s">
        <v>4765</v>
      </c>
      <c r="S968" s="35" t="b">
        <v>0</v>
      </c>
      <c r="T968" s="35" t="b">
        <v>0</v>
      </c>
      <c r="U968" s="41" t="str">
        <f>IFERROR(__xludf.DUMMYFUNCTION("""["" &amp; JOIN("", "", ARRAYFORMULA("""""""" &amp; TRIM(SPLIT(A968, "","")) &amp; """""""")) &amp; ""]"""),"[""77036"", ""77042"", ""77057"", ""77063"", ""77072"", ""77077"", ""77082"", ""77083"", ""77099""]")</f>
        <v>["77036", "77042", "77057", "77063", "77072", "77077", "77082", "77083", "77099"]</v>
      </c>
      <c r="V968" s="52" t="s">
        <v>4766</v>
      </c>
      <c r="W968" s="52" t="s">
        <v>4767</v>
      </c>
      <c r="X968" s="43"/>
      <c r="Y968" s="44" t="str">
        <f>vlookup(G968,zip_codes!$B$6:$J988,3,false)</f>
        <v>Houston</v>
      </c>
      <c r="Z968" s="45" t="str">
        <f>vlookup(G968,zip_codes!$B$6:$J988,9,false)</f>
        <v>Royal Oaks, Westchase, Westside</v>
      </c>
      <c r="AA968" s="44" t="str">
        <f>vlookup(B968,organizations!$B$1:$C988,2,false)</f>
        <v>West Houston Assistance Ministries (WHAM)</v>
      </c>
      <c r="AB968" s="46" t="s">
        <v>4768</v>
      </c>
      <c r="AC968" s="47" t="s">
        <v>1135</v>
      </c>
      <c r="AD968" s="48" t="s">
        <v>1059</v>
      </c>
      <c r="AE968" s="48" t="str">
        <f t="shared" ref="AE968:AE988" si="123">B968&amp;C968&amp;K968</f>
        <v>West Houston Assistance Ministries (WHAM)10501 Meadowglen Lane11</v>
      </c>
      <c r="AF968" s="48" t="str">
        <f t="shared" ref="AF968:AF969" si="124">if(AE968=AE967,"XXX","")</f>
        <v/>
      </c>
    </row>
    <row r="969" ht="66.75" customHeight="1">
      <c r="A969" s="49" t="s">
        <v>4761</v>
      </c>
      <c r="B969" s="35" t="s">
        <v>4762</v>
      </c>
      <c r="C969" s="36" t="s">
        <v>4763</v>
      </c>
      <c r="D969" s="36"/>
      <c r="E969" s="36" t="s">
        <v>36</v>
      </c>
      <c r="F969" s="36" t="s">
        <v>37</v>
      </c>
      <c r="G969" s="35" t="s">
        <v>1555</v>
      </c>
      <c r="H969" s="35" t="s">
        <v>4764</v>
      </c>
      <c r="I969" s="35" t="s">
        <v>1130</v>
      </c>
      <c r="J969" s="35" t="s">
        <v>298</v>
      </c>
      <c r="K969" s="37">
        <f>IFERROR(__xludf.DUMMYFUNCTION("query(assistance!$A$2:$E988,""Select C Where D = '""&amp;L969&amp;""'"")"),12.0)</f>
        <v>12</v>
      </c>
      <c r="L969" s="36" t="s">
        <v>330</v>
      </c>
      <c r="M969" s="38">
        <f t="shared" si="122"/>
        <v>1</v>
      </c>
      <c r="N969" s="51" t="s">
        <v>42</v>
      </c>
      <c r="O969" s="40">
        <v>46077.0</v>
      </c>
      <c r="P969" s="35" t="s">
        <v>43</v>
      </c>
      <c r="Q969" s="35"/>
      <c r="R969" s="35" t="s">
        <v>4769</v>
      </c>
      <c r="S969" s="35" t="b">
        <v>0</v>
      </c>
      <c r="T969" s="35" t="b">
        <v>0</v>
      </c>
      <c r="U969" s="41" t="str">
        <f>IFERROR(__xludf.DUMMYFUNCTION("""["" &amp; JOIN("", "", ARRAYFORMULA("""""""" &amp; TRIM(SPLIT(A969, "","")) &amp; """""""")) &amp; ""]"""),"[""77036"", ""77042"", ""77057"", ""77063"", ""77072"", ""77077"", ""77082"", ""77083"", ""77099""]")</f>
        <v>["77036", "77042", "77057", "77063", "77072", "77077", "77082", "77083", "77099"]</v>
      </c>
      <c r="V969" s="52" t="s">
        <v>4766</v>
      </c>
      <c r="W969" s="52" t="s">
        <v>4767</v>
      </c>
      <c r="X969" s="43"/>
      <c r="Y969" s="44" t="str">
        <f>vlookup(G969,zip_codes!$B$6:$J988,3,false)</f>
        <v>Houston</v>
      </c>
      <c r="Z969" s="45" t="str">
        <f>vlookup(G969,zip_codes!$B$6:$J988,9,false)</f>
        <v>Royal Oaks, Westchase, Westside</v>
      </c>
      <c r="AA969" s="44" t="str">
        <f>vlookup(B969,organizations!$B$1:$C988,2,false)</f>
        <v>West Houston Assistance Ministries (WHAM)</v>
      </c>
      <c r="AB969" s="46" t="s">
        <v>4768</v>
      </c>
      <c r="AC969" s="47" t="s">
        <v>1135</v>
      </c>
      <c r="AD969" s="48" t="s">
        <v>1059</v>
      </c>
      <c r="AE969" s="48" t="str">
        <f t="shared" si="123"/>
        <v>West Houston Assistance Ministries (WHAM)10501 Meadowglen Lane12</v>
      </c>
      <c r="AF969" s="48" t="str">
        <f t="shared" si="124"/>
        <v/>
      </c>
    </row>
    <row r="970" ht="66.75" customHeight="1">
      <c r="A970" s="49" t="s">
        <v>50</v>
      </c>
      <c r="B970" s="35" t="s">
        <v>4762</v>
      </c>
      <c r="C970" s="36" t="s">
        <v>4763</v>
      </c>
      <c r="D970" s="36"/>
      <c r="E970" s="36" t="s">
        <v>36</v>
      </c>
      <c r="F970" s="36" t="s">
        <v>37</v>
      </c>
      <c r="G970" s="35" t="s">
        <v>1555</v>
      </c>
      <c r="H970" s="35" t="s">
        <v>4770</v>
      </c>
      <c r="I970" s="97" t="s">
        <v>4771</v>
      </c>
      <c r="J970" s="35" t="s">
        <v>4772</v>
      </c>
      <c r="K970" s="37">
        <f>IFERROR(__xludf.DUMMYFUNCTION("query(assistance!$A$2:$E988,""Select C Where D = '""&amp;L970&amp;""'"")"),13.0)</f>
        <v>13</v>
      </c>
      <c r="L970" s="36" t="s">
        <v>240</v>
      </c>
      <c r="M970" s="38">
        <f t="shared" si="122"/>
        <v>1</v>
      </c>
      <c r="N970" s="51" t="s">
        <v>42</v>
      </c>
      <c r="O970" s="40">
        <v>46077.0</v>
      </c>
      <c r="P970" s="35" t="s">
        <v>43</v>
      </c>
      <c r="Q970" s="35"/>
      <c r="R970" s="35" t="s">
        <v>4773</v>
      </c>
      <c r="S970" s="35" t="b">
        <v>0</v>
      </c>
      <c r="T970" s="35" t="b">
        <v>0</v>
      </c>
      <c r="U970" s="41" t="str">
        <f>IFERROR(__xludf.DUMMYFUNCTION("""["" &amp; JOIN("", "", ARRAYFORMULA("""""""" &amp; TRIM(SPLIT(A970, "","")) &amp; """""""")) &amp; ""]"""),"[""99999""]")</f>
        <v>["99999"]</v>
      </c>
      <c r="V970" s="52" t="s">
        <v>4766</v>
      </c>
      <c r="W970" s="52" t="s">
        <v>4767</v>
      </c>
      <c r="X970" s="43"/>
      <c r="Y970" s="44" t="str">
        <f>vlookup(G970,zip_codes!$B$6:$J988,3,false)</f>
        <v>Houston</v>
      </c>
      <c r="Z970" s="45" t="str">
        <f>vlookup(G970,zip_codes!$B$6:$J988,9,false)</f>
        <v>Royal Oaks, Westchase, Westside</v>
      </c>
      <c r="AA970" s="44" t="str">
        <f>vlookup(B970,organizations!$B$1:$C988,2,false)</f>
        <v>West Houston Assistance Ministries (WHAM)</v>
      </c>
      <c r="AB970" s="46" t="s">
        <v>4768</v>
      </c>
      <c r="AC970" s="47" t="str">
        <f t="shared" ref="AC970:AC971" si="125">PARSE_HOURS(I970)</f>
        <v>{"regular":[{"days":["Mo"],"open":"09:00","close":"11:00"},{"days":["Tu","We","Th"],"open":"10:00","close":"17:00"},{"days":["Fr"],"open":"08:00","close":"10:00"}],"special":[{"pattern":"2nd &amp; 4th Sa","open":"09:00","close":"11:00"}]}</v>
      </c>
      <c r="AD970" s="48" t="s">
        <v>1059</v>
      </c>
      <c r="AE970" s="48" t="str">
        <f t="shared" si="123"/>
        <v>West Houston Assistance Ministries (WHAM)10501 Meadowglen Lane13</v>
      </c>
      <c r="AF970" s="48" t="str">
        <f>if(AE970=AE968,"XXX","")</f>
        <v/>
      </c>
    </row>
    <row r="971" ht="66.75" customHeight="1">
      <c r="A971" s="49" t="s">
        <v>4761</v>
      </c>
      <c r="B971" s="35" t="s">
        <v>4762</v>
      </c>
      <c r="C971" s="36" t="s">
        <v>4763</v>
      </c>
      <c r="D971" s="36"/>
      <c r="E971" s="36" t="s">
        <v>36</v>
      </c>
      <c r="F971" s="36" t="s">
        <v>37</v>
      </c>
      <c r="G971" s="35" t="s">
        <v>1555</v>
      </c>
      <c r="H971" s="35" t="s">
        <v>4770</v>
      </c>
      <c r="I971" s="97"/>
      <c r="J971" s="35" t="s">
        <v>4772</v>
      </c>
      <c r="K971" s="37">
        <f>IFERROR(__xludf.DUMMYFUNCTION("query(assistance!$A$2:$E988,""Select C Where D = '""&amp;L971&amp;""'"")"),13.0)</f>
        <v>13</v>
      </c>
      <c r="L971" s="36" t="s">
        <v>240</v>
      </c>
      <c r="M971" s="39">
        <f t="shared" ref="M971:M972" si="126">if(N971="Inactive",3,if(N971="Limited", 2, if(N971="Closed", 4, 1)))</f>
        <v>3</v>
      </c>
      <c r="N971" s="51" t="s">
        <v>973</v>
      </c>
      <c r="O971" s="40">
        <v>46077.0</v>
      </c>
      <c r="P971" s="35" t="s">
        <v>43</v>
      </c>
      <c r="Q971" s="35"/>
      <c r="R971" s="35" t="s">
        <v>4774</v>
      </c>
      <c r="S971" s="35" t="b">
        <v>0</v>
      </c>
      <c r="T971" s="35" t="b">
        <v>0</v>
      </c>
      <c r="U971" s="41" t="str">
        <f>IFERROR(__xludf.DUMMYFUNCTION("""["" &amp; JOIN("", "", ARRAYFORMULA("""""""" &amp; TRIM(SPLIT(A971, "","")) &amp; """""""")) &amp; ""]"""),"[""77036"", ""77042"", ""77057"", ""77063"", ""77072"", ""77077"", ""77082"", ""77083"", ""77099""]")</f>
        <v>["77036", "77042", "77057", "77063", "77072", "77077", "77082", "77083", "77099"]</v>
      </c>
      <c r="V971" s="52" t="s">
        <v>4766</v>
      </c>
      <c r="W971" s="52" t="s">
        <v>4767</v>
      </c>
      <c r="X971" s="43"/>
      <c r="Y971" s="44" t="str">
        <f>vlookup(G971,zip_codes!$B$6:$J988,3,false)</f>
        <v>Houston</v>
      </c>
      <c r="Z971" s="45" t="str">
        <f>vlookup(G971,zip_codes!$B$6:$J988,9,false)</f>
        <v>Royal Oaks, Westchase, Westside</v>
      </c>
      <c r="AA971" s="44" t="str">
        <f>vlookup(B971,organizations!$B$1:$C988,2,false)</f>
        <v>West Houston Assistance Ministries (WHAM)</v>
      </c>
      <c r="AB971" s="46" t="s">
        <v>4768</v>
      </c>
      <c r="AC971" s="47" t="str">
        <f t="shared" si="125"/>
        <v/>
      </c>
      <c r="AD971" s="48" t="s">
        <v>1059</v>
      </c>
      <c r="AE971" s="48" t="str">
        <f t="shared" si="123"/>
        <v>West Houston Assistance Ministries (WHAM)10501 Meadowglen Lane13</v>
      </c>
      <c r="AF971" s="48" t="str">
        <f t="shared" ref="AF971:AF972" si="127">if(AE971=AE968,"XXX","")</f>
        <v/>
      </c>
    </row>
    <row r="972" ht="66.75" customHeight="1">
      <c r="A972" s="49" t="s">
        <v>4761</v>
      </c>
      <c r="B972" s="35" t="s">
        <v>4762</v>
      </c>
      <c r="C972" s="36" t="s">
        <v>4763</v>
      </c>
      <c r="D972" s="36"/>
      <c r="E972" s="36" t="s">
        <v>36</v>
      </c>
      <c r="F972" s="36" t="s">
        <v>37</v>
      </c>
      <c r="G972" s="35" t="s">
        <v>1555</v>
      </c>
      <c r="H972" s="35" t="s">
        <v>4770</v>
      </c>
      <c r="I972" s="35" t="s">
        <v>4775</v>
      </c>
      <c r="J972" s="89"/>
      <c r="K972" s="37">
        <f>IFERROR(__xludf.DUMMYFUNCTION("query(assistance!$A$2:$E988,""Select C Where D = '""&amp;L972&amp;""'"")"),14.0)</f>
        <v>14</v>
      </c>
      <c r="L972" s="36" t="s">
        <v>391</v>
      </c>
      <c r="M972" s="39">
        <f t="shared" si="126"/>
        <v>3</v>
      </c>
      <c r="N972" s="51" t="s">
        <v>973</v>
      </c>
      <c r="O972" s="40">
        <v>46077.0</v>
      </c>
      <c r="P972" s="35" t="s">
        <v>43</v>
      </c>
      <c r="Q972" s="35"/>
      <c r="R972" s="35" t="s">
        <v>4776</v>
      </c>
      <c r="S972" s="35" t="b">
        <v>0</v>
      </c>
      <c r="T972" s="35" t="b">
        <v>0</v>
      </c>
      <c r="U972" s="41" t="str">
        <f>IFERROR(__xludf.DUMMYFUNCTION("""["" &amp; JOIN("", "", ARRAYFORMULA("""""""" &amp; TRIM(SPLIT(A972, "","")) &amp; """""""")) &amp; ""]"""),"[""77036"", ""77042"", ""77057"", ""77063"", ""77072"", ""77077"", ""77082"", ""77083"", ""77099""]")</f>
        <v>["77036", "77042", "77057", "77063", "77072", "77077", "77082", "77083", "77099"]</v>
      </c>
      <c r="V972" s="52" t="s">
        <v>4766</v>
      </c>
      <c r="W972" s="52" t="s">
        <v>4767</v>
      </c>
      <c r="X972" s="43"/>
      <c r="Y972" s="44" t="str">
        <f>vlookup(G972,zip_codes!$B$6:$J988,3,false)</f>
        <v>Houston</v>
      </c>
      <c r="Z972" s="45" t="str">
        <f>vlookup(G972,zip_codes!$B$6:$J988,9,false)</f>
        <v>Royal Oaks, Westchase, Westside</v>
      </c>
      <c r="AA972" s="44" t="str">
        <f>vlookup(B972,organizations!$B$1:$C988,2,false)</f>
        <v>West Houston Assistance Ministries (WHAM)</v>
      </c>
      <c r="AB972" s="46" t="s">
        <v>4768</v>
      </c>
      <c r="AC972" s="53"/>
      <c r="AD972" s="48" t="s">
        <v>1059</v>
      </c>
      <c r="AE972" s="48" t="str">
        <f t="shared" si="123"/>
        <v>West Houston Assistance Ministries (WHAM)10501 Meadowglen Lane14</v>
      </c>
      <c r="AF972" s="48" t="str">
        <f t="shared" si="127"/>
        <v/>
      </c>
    </row>
    <row r="973" ht="66.75" customHeight="1">
      <c r="A973" s="49" t="s">
        <v>50</v>
      </c>
      <c r="B973" s="35" t="s">
        <v>4762</v>
      </c>
      <c r="C973" s="36" t="s">
        <v>4763</v>
      </c>
      <c r="D973" s="36"/>
      <c r="E973" s="36" t="s">
        <v>36</v>
      </c>
      <c r="F973" s="36" t="s">
        <v>37</v>
      </c>
      <c r="G973" s="35" t="s">
        <v>1555</v>
      </c>
      <c r="H973" s="35" t="s">
        <v>4770</v>
      </c>
      <c r="I973" s="97"/>
      <c r="J973" s="35" t="s">
        <v>4777</v>
      </c>
      <c r="K973" s="37">
        <f>IFERROR(__xludf.DUMMYFUNCTION("query(assistance!$A$2:$E988,""Select C Where D = '""&amp;L973&amp;""'"")"),35.0)</f>
        <v>35</v>
      </c>
      <c r="L973" s="36" t="s">
        <v>731</v>
      </c>
      <c r="M973" s="38">
        <f t="shared" ref="M973:M976" si="128">if(N973="Inactive",3,if(N973="Limited", 2, 1))</f>
        <v>1</v>
      </c>
      <c r="N973" s="51" t="s">
        <v>42</v>
      </c>
      <c r="O973" s="40">
        <v>46077.0</v>
      </c>
      <c r="P973" s="35" t="s">
        <v>43</v>
      </c>
      <c r="Q973" s="35"/>
      <c r="R973" s="35" t="s">
        <v>4778</v>
      </c>
      <c r="S973" s="35" t="b">
        <v>0</v>
      </c>
      <c r="T973" s="35" t="b">
        <v>0</v>
      </c>
      <c r="U973" s="41" t="str">
        <f>IFERROR(__xludf.DUMMYFUNCTION("""["" &amp; JOIN("", "", ARRAYFORMULA("""""""" &amp; TRIM(SPLIT(A973, "","")) &amp; """""""")) &amp; ""]"""),"[""99999""]")</f>
        <v>["99999"]</v>
      </c>
      <c r="V973" s="52" t="s">
        <v>4766</v>
      </c>
      <c r="W973" s="52" t="s">
        <v>4767</v>
      </c>
      <c r="X973" s="43"/>
      <c r="Y973" s="44" t="str">
        <f>vlookup(G973,zip_codes!$B$6:$J988,3,false)</f>
        <v>Houston</v>
      </c>
      <c r="Z973" s="45" t="str">
        <f>vlookup(G973,zip_codes!$B$6:$J988,9,false)</f>
        <v>Royal Oaks, Westchase, Westside</v>
      </c>
      <c r="AA973" s="44" t="str">
        <f>vlookup(B973,organizations!$B$1:$C988,2,false)</f>
        <v>West Houston Assistance Ministries (WHAM)</v>
      </c>
      <c r="AB973" s="46" t="s">
        <v>4768</v>
      </c>
      <c r="AC973" s="47" t="str">
        <f>PARSE_HOURS(I973)</f>
        <v/>
      </c>
      <c r="AD973" s="48" t="s">
        <v>1059</v>
      </c>
      <c r="AE973" s="48" t="str">
        <f t="shared" si="123"/>
        <v>West Houston Assistance Ministries (WHAM)10501 Meadowglen Lane35</v>
      </c>
      <c r="AF973" s="48" t="str">
        <f>if(AE973=AE971,"XXX","")</f>
        <v/>
      </c>
    </row>
    <row r="974" ht="66.75" customHeight="1">
      <c r="A974" s="49" t="s">
        <v>4761</v>
      </c>
      <c r="B974" s="35" t="s">
        <v>4762</v>
      </c>
      <c r="C974" s="36" t="s">
        <v>4763</v>
      </c>
      <c r="D974" s="36"/>
      <c r="E974" s="36" t="s">
        <v>36</v>
      </c>
      <c r="F974" s="36" t="s">
        <v>37</v>
      </c>
      <c r="G974" s="35" t="s">
        <v>1555</v>
      </c>
      <c r="H974" s="35" t="s">
        <v>4764</v>
      </c>
      <c r="I974" s="35" t="s">
        <v>1130</v>
      </c>
      <c r="J974" s="35" t="s">
        <v>298</v>
      </c>
      <c r="K974" s="37">
        <f>IFERROR(__xludf.DUMMYFUNCTION("query(assistance!$A$2:$E988,""Select C Where D = '""&amp;L974&amp;""'"")"),44.0)</f>
        <v>44</v>
      </c>
      <c r="L974" s="36" t="s">
        <v>102</v>
      </c>
      <c r="M974" s="38">
        <f t="shared" si="128"/>
        <v>1</v>
      </c>
      <c r="N974" s="51" t="s">
        <v>42</v>
      </c>
      <c r="O974" s="40">
        <v>46077.0</v>
      </c>
      <c r="P974" s="35" t="s">
        <v>43</v>
      </c>
      <c r="Q974" s="35"/>
      <c r="R974" s="35" t="s">
        <v>4779</v>
      </c>
      <c r="S974" s="35" t="b">
        <v>0</v>
      </c>
      <c r="T974" s="35" t="b">
        <v>0</v>
      </c>
      <c r="U974" s="41" t="str">
        <f>IFERROR(__xludf.DUMMYFUNCTION("""["" &amp; JOIN("", "", ARRAYFORMULA("""""""" &amp; TRIM(SPLIT(A974, "","")) &amp; """""""")) &amp; ""]"""),"[""77036"", ""77042"", ""77057"", ""77063"", ""77072"", ""77077"", ""77082"", ""77083"", ""77099""]")</f>
        <v>["77036", "77042", "77057", "77063", "77072", "77077", "77082", "77083", "77099"]</v>
      </c>
      <c r="V974" s="52" t="s">
        <v>4766</v>
      </c>
      <c r="W974" s="52" t="s">
        <v>4767</v>
      </c>
      <c r="X974" s="43"/>
      <c r="Y974" s="44" t="str">
        <f>vlookup(G974,zip_codes!$B$6:$J988,3,false)</f>
        <v>Houston</v>
      </c>
      <c r="Z974" s="45" t="str">
        <f>vlookup(G974,zip_codes!$B$6:$J988,9,false)</f>
        <v>Royal Oaks, Westchase, Westside</v>
      </c>
      <c r="AA974" s="44" t="str">
        <f>vlookup(B974,organizations!$B$1:$C988,2,false)</f>
        <v>West Houston Assistance Ministries (WHAM)</v>
      </c>
      <c r="AB974" s="46" t="s">
        <v>4768</v>
      </c>
      <c r="AC974" s="47" t="s">
        <v>1135</v>
      </c>
      <c r="AD974" s="48" t="s">
        <v>1059</v>
      </c>
      <c r="AE974" s="48" t="str">
        <f t="shared" si="123"/>
        <v>West Houston Assistance Ministries (WHAM)10501 Meadowglen Lane44</v>
      </c>
      <c r="AF974" s="48" t="str">
        <f>if(AE974=AE973,"XXX","")</f>
        <v/>
      </c>
    </row>
    <row r="975" ht="66.75" customHeight="1">
      <c r="A975" s="49" t="s">
        <v>4761</v>
      </c>
      <c r="B975" s="35" t="s">
        <v>4762</v>
      </c>
      <c r="C975" s="36" t="s">
        <v>4763</v>
      </c>
      <c r="D975" s="36"/>
      <c r="E975" s="36" t="s">
        <v>36</v>
      </c>
      <c r="F975" s="36" t="s">
        <v>37</v>
      </c>
      <c r="G975" s="35" t="s">
        <v>1555</v>
      </c>
      <c r="H975" s="35" t="s">
        <v>4770</v>
      </c>
      <c r="I975" s="66"/>
      <c r="J975" s="89"/>
      <c r="K975" s="37">
        <f>IFERROR(__xludf.DUMMYFUNCTION("query(assistance!$A$2:$E988,""Select C Where D = '""&amp;L975&amp;""'"")"),51.0)</f>
        <v>51</v>
      </c>
      <c r="L975" s="36" t="s">
        <v>468</v>
      </c>
      <c r="M975" s="38">
        <f t="shared" si="128"/>
        <v>1</v>
      </c>
      <c r="N975" s="51" t="s">
        <v>42</v>
      </c>
      <c r="O975" s="40">
        <v>46077.0</v>
      </c>
      <c r="P975" s="35" t="s">
        <v>43</v>
      </c>
      <c r="Q975" s="35"/>
      <c r="R975" s="35" t="s">
        <v>4780</v>
      </c>
      <c r="S975" s="35" t="b">
        <v>0</v>
      </c>
      <c r="T975" s="35" t="b">
        <v>0</v>
      </c>
      <c r="U975" s="41" t="str">
        <f>IFERROR(__xludf.DUMMYFUNCTION("""["" &amp; JOIN("", "", ARRAYFORMULA("""""""" &amp; TRIM(SPLIT(A975, "","")) &amp; """""""")) &amp; ""]"""),"[""77036"", ""77042"", ""77057"", ""77063"", ""77072"", ""77077"", ""77082"", ""77083"", ""77099""]")</f>
        <v>["77036", "77042", "77057", "77063", "77072", "77077", "77082", "77083", "77099"]</v>
      </c>
      <c r="V975" s="52" t="s">
        <v>4766</v>
      </c>
      <c r="W975" s="52" t="s">
        <v>4767</v>
      </c>
      <c r="X975" s="43"/>
      <c r="Y975" s="44" t="str">
        <f>vlookup(G975,zip_codes!$B$6:$J988,3,false)</f>
        <v>Houston</v>
      </c>
      <c r="Z975" s="45" t="str">
        <f>vlookup(G975,zip_codes!$B$6:$J988,9,false)</f>
        <v>Royal Oaks, Westchase, Westside</v>
      </c>
      <c r="AA975" s="44" t="str">
        <f>vlookup(B975,organizations!$B$1:$C988,2,false)</f>
        <v>West Houston Assistance Ministries (WHAM)</v>
      </c>
      <c r="AB975" s="46" t="s">
        <v>4768</v>
      </c>
      <c r="AC975" s="53"/>
      <c r="AD975" s="48" t="s">
        <v>1059</v>
      </c>
      <c r="AE975" s="48" t="str">
        <f t="shared" si="123"/>
        <v>West Houston Assistance Ministries (WHAM)10501 Meadowglen Lane51</v>
      </c>
      <c r="AF975" s="48" t="str">
        <f>if(AE975=AE972,"XXX","")</f>
        <v/>
      </c>
    </row>
    <row r="976" ht="66.75" customHeight="1">
      <c r="A976" s="49" t="s">
        <v>4761</v>
      </c>
      <c r="B976" s="35" t="s">
        <v>4762</v>
      </c>
      <c r="C976" s="36" t="s">
        <v>4763</v>
      </c>
      <c r="D976" s="36"/>
      <c r="E976" s="36" t="s">
        <v>36</v>
      </c>
      <c r="F976" s="36" t="s">
        <v>37</v>
      </c>
      <c r="G976" s="35" t="s">
        <v>1555</v>
      </c>
      <c r="H976" s="35" t="s">
        <v>4770</v>
      </c>
      <c r="I976" s="66"/>
      <c r="J976" s="89"/>
      <c r="K976" s="37">
        <f>IFERROR(__xludf.DUMMYFUNCTION("query(assistance!$A$2:$E988,""Select C Where D = '""&amp;L976&amp;""'"")"),52.0)</f>
        <v>52</v>
      </c>
      <c r="L976" s="36" t="s">
        <v>336</v>
      </c>
      <c r="M976" s="38">
        <f t="shared" si="128"/>
        <v>1</v>
      </c>
      <c r="N976" s="51" t="s">
        <v>42</v>
      </c>
      <c r="O976" s="40">
        <v>46077.0</v>
      </c>
      <c r="P976" s="35" t="s">
        <v>43</v>
      </c>
      <c r="Q976" s="35"/>
      <c r="R976" s="35" t="s">
        <v>4781</v>
      </c>
      <c r="S976" s="35" t="b">
        <v>0</v>
      </c>
      <c r="T976" s="35" t="b">
        <v>0</v>
      </c>
      <c r="U976" s="41" t="str">
        <f>IFERROR(__xludf.DUMMYFUNCTION("""["" &amp; JOIN("", "", ARRAYFORMULA("""""""" &amp; TRIM(SPLIT(A976, "","")) &amp; """""""")) &amp; ""]"""),"[""77036"", ""77042"", ""77057"", ""77063"", ""77072"", ""77077"", ""77082"", ""77083"", ""77099""]")</f>
        <v>["77036", "77042", "77057", "77063", "77072", "77077", "77082", "77083", "77099"]</v>
      </c>
      <c r="V976" s="52" t="s">
        <v>4766</v>
      </c>
      <c r="W976" s="52" t="s">
        <v>4767</v>
      </c>
      <c r="X976" s="43"/>
      <c r="Y976" s="44" t="str">
        <f>vlookup(G976,zip_codes!$B$6:$J988,3,false)</f>
        <v>Houston</v>
      </c>
      <c r="Z976" s="45" t="str">
        <f>vlookup(G976,zip_codes!$B$6:$J988,9,false)</f>
        <v>Royal Oaks, Westchase, Westside</v>
      </c>
      <c r="AA976" s="44" t="str">
        <f>vlookup(B976,organizations!$B$1:$C988,2,false)</f>
        <v>West Houston Assistance Ministries (WHAM)</v>
      </c>
      <c r="AB976" s="46" t="s">
        <v>4768</v>
      </c>
      <c r="AC976" s="53"/>
      <c r="AD976" s="48" t="s">
        <v>1059</v>
      </c>
      <c r="AE976" s="48" t="str">
        <f t="shared" si="123"/>
        <v>West Houston Assistance Ministries (WHAM)10501 Meadowglen Lane52</v>
      </c>
      <c r="AF976" s="48" t="str">
        <f t="shared" ref="AF976:AF988" si="129">if(AE976=AE975,"XXX","")</f>
        <v/>
      </c>
    </row>
    <row r="977" ht="66.75" customHeight="1">
      <c r="A977" s="49" t="s">
        <v>4761</v>
      </c>
      <c r="B977" s="35" t="s">
        <v>4762</v>
      </c>
      <c r="C977" s="36" t="s">
        <v>4763</v>
      </c>
      <c r="D977" s="36"/>
      <c r="E977" s="36" t="s">
        <v>36</v>
      </c>
      <c r="F977" s="36" t="s">
        <v>37</v>
      </c>
      <c r="G977" s="35" t="s">
        <v>1555</v>
      </c>
      <c r="H977" s="35" t="s">
        <v>4770</v>
      </c>
      <c r="I977" s="35" t="s">
        <v>40</v>
      </c>
      <c r="J977" s="89"/>
      <c r="K977" s="37">
        <f>IFERROR(__xludf.DUMMYFUNCTION("query(assistance!$A$2:$E988,""Select C Where D = '""&amp;L977&amp;""'"")"),54.0)</f>
        <v>54</v>
      </c>
      <c r="L977" s="36" t="s">
        <v>291</v>
      </c>
      <c r="M977" s="39">
        <f>if(N977="Inactive",3,if(N977="Limited", 2, if(N977="Closed", 4, 1)))</f>
        <v>3</v>
      </c>
      <c r="N977" s="51" t="s">
        <v>973</v>
      </c>
      <c r="O977" s="40">
        <v>46077.0</v>
      </c>
      <c r="P977" s="35" t="s">
        <v>43</v>
      </c>
      <c r="Q977" s="35"/>
      <c r="R977" s="35" t="s">
        <v>4782</v>
      </c>
      <c r="S977" s="35" t="b">
        <v>0</v>
      </c>
      <c r="T977" s="35" t="b">
        <v>0</v>
      </c>
      <c r="U977" s="41" t="str">
        <f>IFERROR(__xludf.DUMMYFUNCTION("""["" &amp; JOIN("", "", ARRAYFORMULA("""""""" &amp; TRIM(SPLIT(A977, "","")) &amp; """""""")) &amp; ""]"""),"[""77036"", ""77042"", ""77057"", ""77063"", ""77072"", ""77077"", ""77082"", ""77083"", ""77099""]")</f>
        <v>["77036", "77042", "77057", "77063", "77072", "77077", "77082", "77083", "77099"]</v>
      </c>
      <c r="V977" s="52" t="s">
        <v>4766</v>
      </c>
      <c r="W977" s="52" t="s">
        <v>4767</v>
      </c>
      <c r="X977" s="43"/>
      <c r="Y977" s="44" t="str">
        <f>vlookup(G977,zip_codes!$B$6:$J988,3,false)</f>
        <v>Houston</v>
      </c>
      <c r="Z977" s="45" t="str">
        <f>vlookup(G977,zip_codes!$B$6:$J988,9,false)</f>
        <v>Royal Oaks, Westchase, Westside</v>
      </c>
      <c r="AA977" s="44" t="str">
        <f>vlookup(B977,organizations!$B$1:$C988,2,false)</f>
        <v>West Houston Assistance Ministries (WHAM)</v>
      </c>
      <c r="AB977" s="46" t="s">
        <v>4768</v>
      </c>
      <c r="AC977" s="47" t="s">
        <v>48</v>
      </c>
      <c r="AD977" s="48" t="s">
        <v>1059</v>
      </c>
      <c r="AE977" s="48" t="str">
        <f t="shared" si="123"/>
        <v>West Houston Assistance Ministries (WHAM)10501 Meadowglen Lane54</v>
      </c>
      <c r="AF977" s="48" t="str">
        <f t="shared" si="129"/>
        <v/>
      </c>
    </row>
    <row r="978" ht="66.75" customHeight="1">
      <c r="A978" s="49" t="s">
        <v>4761</v>
      </c>
      <c r="B978" s="35" t="s">
        <v>4762</v>
      </c>
      <c r="C978" s="36" t="s">
        <v>4763</v>
      </c>
      <c r="D978" s="36"/>
      <c r="E978" s="36" t="s">
        <v>36</v>
      </c>
      <c r="F978" s="36" t="s">
        <v>37</v>
      </c>
      <c r="G978" s="35" t="s">
        <v>1555</v>
      </c>
      <c r="H978" s="35" t="s">
        <v>4770</v>
      </c>
      <c r="I978" s="66"/>
      <c r="J978" s="89"/>
      <c r="K978" s="37">
        <f>IFERROR(__xludf.DUMMYFUNCTION("query(assistance!$A$2:$E988,""Select C Where D = '""&amp;L978&amp;""'"")"),64.0)</f>
        <v>64</v>
      </c>
      <c r="L978" s="36" t="s">
        <v>817</v>
      </c>
      <c r="M978" s="38">
        <f t="shared" ref="M978:M980" si="130">if(N978="Inactive",3,if(N978="Limited", 2, 1))</f>
        <v>1</v>
      </c>
      <c r="N978" s="39" t="s">
        <v>42</v>
      </c>
      <c r="O978" s="65"/>
      <c r="P978" s="50"/>
      <c r="Q978" s="35"/>
      <c r="R978" s="35" t="s">
        <v>1450</v>
      </c>
      <c r="S978" s="35" t="b">
        <v>0</v>
      </c>
      <c r="T978" s="35" t="b">
        <v>0</v>
      </c>
      <c r="U978" s="41" t="str">
        <f>IFERROR(__xludf.DUMMYFUNCTION("""["" &amp; JOIN("", "", ARRAYFORMULA("""""""" &amp; TRIM(SPLIT(A978, "","")) &amp; """""""")) &amp; ""]"""),"[""77036"", ""77042"", ""77057"", ""77063"", ""77072"", ""77077"", ""77082"", ""77083"", ""77099""]")</f>
        <v>["77036", "77042", "77057", "77063", "77072", "77077", "77082", "77083", "77099"]</v>
      </c>
      <c r="V978" s="52" t="s">
        <v>4766</v>
      </c>
      <c r="W978" s="52" t="s">
        <v>4767</v>
      </c>
      <c r="X978" s="43"/>
      <c r="Y978" s="44" t="str">
        <f>vlookup(G978,zip_codes!$B$6:$J988,3,false)</f>
        <v>Houston</v>
      </c>
      <c r="Z978" s="45" t="str">
        <f>vlookup(G978,zip_codes!$B$6:$J988,9,false)</f>
        <v>Royal Oaks, Westchase, Westside</v>
      </c>
      <c r="AA978" s="44" t="str">
        <f>vlookup(B978,organizations!$B$1:$C988,2,false)</f>
        <v>West Houston Assistance Ministries (WHAM)</v>
      </c>
      <c r="AB978" s="46" t="s">
        <v>4768</v>
      </c>
      <c r="AC978" s="53"/>
      <c r="AD978" s="48" t="s">
        <v>1059</v>
      </c>
      <c r="AE978" s="48" t="str">
        <f t="shared" si="123"/>
        <v>West Houston Assistance Ministries (WHAM)10501 Meadowglen Lane64</v>
      </c>
      <c r="AF978" s="48" t="str">
        <f t="shared" si="129"/>
        <v/>
      </c>
    </row>
    <row r="979" ht="66.75" customHeight="1">
      <c r="A979" s="49" t="s">
        <v>50</v>
      </c>
      <c r="B979" s="35" t="s">
        <v>4783</v>
      </c>
      <c r="C979" s="36" t="s">
        <v>4784</v>
      </c>
      <c r="D979" s="36"/>
      <c r="E979" s="36" t="s">
        <v>36</v>
      </c>
      <c r="F979" s="36" t="s">
        <v>37</v>
      </c>
      <c r="G979" s="35" t="s">
        <v>749</v>
      </c>
      <c r="H979" s="35" t="s">
        <v>4785</v>
      </c>
      <c r="I979" s="35" t="s">
        <v>4786</v>
      </c>
      <c r="J979" s="35"/>
      <c r="K979" s="37">
        <f>IFERROR(__xludf.DUMMYFUNCTION("query(assistance!$A$2:$E988,""Select C Where D = '""&amp;L979&amp;""'"")"),11.0)</f>
        <v>11</v>
      </c>
      <c r="L979" s="36" t="s">
        <v>322</v>
      </c>
      <c r="M979" s="38">
        <f t="shared" si="130"/>
        <v>1</v>
      </c>
      <c r="N979" s="51" t="s">
        <v>42</v>
      </c>
      <c r="O979" s="40">
        <v>45974.0</v>
      </c>
      <c r="P979" s="35" t="s">
        <v>43</v>
      </c>
      <c r="Q979" s="35"/>
      <c r="R979" s="35" t="s">
        <v>4787</v>
      </c>
      <c r="S979" s="35" t="b">
        <v>0</v>
      </c>
      <c r="T979" s="35" t="b">
        <v>0</v>
      </c>
      <c r="U979" s="41" t="str">
        <f>IFERROR(__xludf.DUMMYFUNCTION("""["" &amp; JOIN("", "", ARRAYFORMULA("""""""" &amp; TRIM(SPLIT(A979, "","")) &amp; """""""")) &amp; ""]"""),"[""99999""]")</f>
        <v>["99999"]</v>
      </c>
      <c r="V979" s="91" t="s">
        <v>4788</v>
      </c>
      <c r="W979" s="52" t="s">
        <v>4789</v>
      </c>
      <c r="X979" s="43"/>
      <c r="Y979" s="44" t="str">
        <f>vlookup(G979,zip_codes!$B$6:$J988,3,false)</f>
        <v>Houston</v>
      </c>
      <c r="Z979" s="45" t="str">
        <f>vlookup(G979,zip_codes!$B$6:$J988,9,false)</f>
        <v>East Downtown, Downtown Houston, Houston Museum District, Midtown, Museum District, South Central Houston, South Side, Third Ward, University Place</v>
      </c>
      <c r="AA979" s="44" t="str">
        <f>vlookup(B979,organizations!$B$1:$C988,2,false)</f>
        <v>Wheeler Avenue Baptist Church</v>
      </c>
      <c r="AB979" s="46" t="s">
        <v>4790</v>
      </c>
      <c r="AC979" s="47" t="s">
        <v>4791</v>
      </c>
      <c r="AD979" s="48" t="s">
        <v>49</v>
      </c>
      <c r="AE979" s="48" t="str">
        <f t="shared" si="123"/>
        <v>Wheeler Avenue Baptist Church3826 Wheeler Avenue11</v>
      </c>
      <c r="AF979" s="48" t="str">
        <f t="shared" si="129"/>
        <v/>
      </c>
    </row>
    <row r="980" ht="66.75" customHeight="1">
      <c r="A980" s="49" t="s">
        <v>50</v>
      </c>
      <c r="B980" s="35" t="s">
        <v>4783</v>
      </c>
      <c r="C980" s="36" t="s">
        <v>4784</v>
      </c>
      <c r="D980" s="36"/>
      <c r="E980" s="36" t="s">
        <v>36</v>
      </c>
      <c r="F980" s="36" t="s">
        <v>37</v>
      </c>
      <c r="G980" s="35" t="s">
        <v>749</v>
      </c>
      <c r="H980" s="35" t="s">
        <v>4785</v>
      </c>
      <c r="I980" s="35" t="s">
        <v>4786</v>
      </c>
      <c r="J980" s="35"/>
      <c r="K980" s="37">
        <f>IFERROR(__xludf.DUMMYFUNCTION("query(assistance!$A$2:$E988,""Select C Where D = '""&amp;L980&amp;""'"")"),12.0)</f>
        <v>12</v>
      </c>
      <c r="L980" s="36" t="s">
        <v>330</v>
      </c>
      <c r="M980" s="38">
        <f t="shared" si="130"/>
        <v>1</v>
      </c>
      <c r="N980" s="51" t="s">
        <v>42</v>
      </c>
      <c r="O980" s="40">
        <v>45974.0</v>
      </c>
      <c r="P980" s="35" t="s">
        <v>43</v>
      </c>
      <c r="Q980" s="35"/>
      <c r="R980" s="35" t="s">
        <v>4792</v>
      </c>
      <c r="S980" s="35" t="b">
        <v>0</v>
      </c>
      <c r="T980" s="35" t="b">
        <v>0</v>
      </c>
      <c r="U980" s="41" t="str">
        <f>IFERROR(__xludf.DUMMYFUNCTION("""["" &amp; JOIN("", "", ARRAYFORMULA("""""""" &amp; TRIM(SPLIT(A980, "","")) &amp; """""""")) &amp; ""]"""),"[""99999""]")</f>
        <v>["99999"]</v>
      </c>
      <c r="V980" s="91" t="s">
        <v>4788</v>
      </c>
      <c r="W980" s="52" t="s">
        <v>4789</v>
      </c>
      <c r="X980" s="43"/>
      <c r="Y980" s="44" t="str">
        <f>vlookup(G980,zip_codes!$B$6:$J988,3,false)</f>
        <v>Houston</v>
      </c>
      <c r="Z980" s="45" t="str">
        <f>vlookup(G980,zip_codes!$B$6:$J988,9,false)</f>
        <v>East Downtown, Downtown Houston, Houston Museum District, Midtown, Museum District, South Central Houston, South Side, Third Ward, University Place</v>
      </c>
      <c r="AA980" s="44" t="str">
        <f>vlookup(B980,organizations!$B$1:$C988,2,false)</f>
        <v>Wheeler Avenue Baptist Church</v>
      </c>
      <c r="AB980" s="46" t="s">
        <v>4790</v>
      </c>
      <c r="AC980" s="47" t="s">
        <v>4791</v>
      </c>
      <c r="AD980" s="48" t="s">
        <v>49</v>
      </c>
      <c r="AE980" s="48" t="str">
        <f t="shared" si="123"/>
        <v>Wheeler Avenue Baptist Church3826 Wheeler Avenue12</v>
      </c>
      <c r="AF980" s="48" t="str">
        <f t="shared" si="129"/>
        <v/>
      </c>
    </row>
    <row r="981" ht="66.75" customHeight="1">
      <c r="A981" s="49" t="s">
        <v>50</v>
      </c>
      <c r="B981" s="35" t="s">
        <v>4793</v>
      </c>
      <c r="C981" s="36" t="s">
        <v>4794</v>
      </c>
      <c r="D981" s="36"/>
      <c r="E981" s="36" t="s">
        <v>36</v>
      </c>
      <c r="F981" s="36" t="s">
        <v>37</v>
      </c>
      <c r="G981" s="35" t="s">
        <v>658</v>
      </c>
      <c r="H981" s="35" t="s">
        <v>4795</v>
      </c>
      <c r="I981" s="35" t="s">
        <v>4796</v>
      </c>
      <c r="J981" s="35"/>
      <c r="K981" s="37">
        <f>IFERROR(__xludf.DUMMYFUNCTION("query(assistance!$A$2:$E988,""Select C Where D = '""&amp;L981&amp;""'"")"),11.0)</f>
        <v>11</v>
      </c>
      <c r="L981" s="36" t="s">
        <v>322</v>
      </c>
      <c r="M981" s="39">
        <f t="shared" ref="M981:M982" si="131">if(N981="Inactive",3,if(N981="Limited", 2, if(N981="Closed", 4, 1)))</f>
        <v>3</v>
      </c>
      <c r="N981" s="51" t="s">
        <v>973</v>
      </c>
      <c r="O981" s="40">
        <v>45663.0</v>
      </c>
      <c r="P981" s="50"/>
      <c r="Q981" s="35"/>
      <c r="R981" s="35" t="s">
        <v>4797</v>
      </c>
      <c r="S981" s="35" t="b">
        <v>0</v>
      </c>
      <c r="T981" s="35" t="b">
        <v>0</v>
      </c>
      <c r="U981" s="41" t="str">
        <f>IFERROR(__xludf.DUMMYFUNCTION("""["" &amp; JOIN("", "", ARRAYFORMULA("""""""" &amp; TRIM(SPLIT(A981, "","")) &amp; """""""")) &amp; ""]"""),"[""99999""]")</f>
        <v>["99999"]</v>
      </c>
      <c r="V981" s="42" t="s">
        <v>4798</v>
      </c>
      <c r="W981" s="52" t="s">
        <v>4799</v>
      </c>
      <c r="X981" s="43"/>
      <c r="Y981" s="44" t="str">
        <f>vlookup(G981,zip_codes!$B$6:$J988,3,false)</f>
        <v>Houston</v>
      </c>
      <c r="Z981" s="45" t="str">
        <f>vlookup(G981,zip_codes!$B$6:$J988,9,false)</f>
        <v>Brentwood, Central Southwest, Hiram Clarke</v>
      </c>
      <c r="AA981" s="44" t="str">
        <f>vlookup(B981,organizations!$B$1:$C988,2,false)</f>
        <v>Windsor Village Social Services</v>
      </c>
      <c r="AB981" s="46" t="s">
        <v>4800</v>
      </c>
      <c r="AC981" s="47" t="s">
        <v>4801</v>
      </c>
      <c r="AD981" s="48" t="s">
        <v>662</v>
      </c>
      <c r="AE981" s="48" t="str">
        <f t="shared" si="123"/>
        <v>Windsor Village Social Services12041 1/2 Post Oak Road11</v>
      </c>
      <c r="AF981" s="48" t="str">
        <f t="shared" si="129"/>
        <v/>
      </c>
    </row>
    <row r="982" ht="66.75" customHeight="1">
      <c r="A982" s="49" t="s">
        <v>50</v>
      </c>
      <c r="B982" s="35" t="s">
        <v>4793</v>
      </c>
      <c r="C982" s="36" t="s">
        <v>4794</v>
      </c>
      <c r="D982" s="36"/>
      <c r="E982" s="36" t="s">
        <v>36</v>
      </c>
      <c r="F982" s="36" t="s">
        <v>37</v>
      </c>
      <c r="G982" s="35" t="s">
        <v>658</v>
      </c>
      <c r="H982" s="35" t="s">
        <v>4795</v>
      </c>
      <c r="I982" s="35" t="s">
        <v>4796</v>
      </c>
      <c r="J982" s="35"/>
      <c r="K982" s="37">
        <f>IFERROR(__xludf.DUMMYFUNCTION("query(assistance!$A$2:$E988,""Select C Where D = '""&amp;L982&amp;""'"")"),12.0)</f>
        <v>12</v>
      </c>
      <c r="L982" s="36" t="s">
        <v>330</v>
      </c>
      <c r="M982" s="39">
        <f t="shared" si="131"/>
        <v>3</v>
      </c>
      <c r="N982" s="51" t="s">
        <v>973</v>
      </c>
      <c r="O982" s="40">
        <v>45663.0</v>
      </c>
      <c r="P982" s="50"/>
      <c r="Q982" s="35"/>
      <c r="R982" s="35" t="s">
        <v>4802</v>
      </c>
      <c r="S982" s="35" t="b">
        <v>0</v>
      </c>
      <c r="T982" s="35" t="b">
        <v>0</v>
      </c>
      <c r="U982" s="41" t="str">
        <f>IFERROR(__xludf.DUMMYFUNCTION("""["" &amp; JOIN("", "", ARRAYFORMULA("""""""" &amp; TRIM(SPLIT(A982, "","")) &amp; """""""")) &amp; ""]"""),"[""99999""]")</f>
        <v>["99999"]</v>
      </c>
      <c r="V982" s="42" t="s">
        <v>4798</v>
      </c>
      <c r="W982" s="52" t="s">
        <v>4799</v>
      </c>
      <c r="X982" s="43"/>
      <c r="Y982" s="44" t="str">
        <f>vlookup(G982,zip_codes!$B$6:$J988,3,false)</f>
        <v>Houston</v>
      </c>
      <c r="Z982" s="45" t="str">
        <f>vlookup(G982,zip_codes!$B$6:$J988,9,false)</f>
        <v>Brentwood, Central Southwest, Hiram Clarke</v>
      </c>
      <c r="AA982" s="44" t="str">
        <f>vlookup(B982,organizations!$B$1:$C988,2,false)</f>
        <v>Windsor Village Social Services</v>
      </c>
      <c r="AB982" s="46" t="s">
        <v>4800</v>
      </c>
      <c r="AC982" s="47" t="s">
        <v>4801</v>
      </c>
      <c r="AD982" s="48" t="s">
        <v>662</v>
      </c>
      <c r="AE982" s="48" t="str">
        <f t="shared" si="123"/>
        <v>Windsor Village Social Services12041 1/2 Post Oak Road12</v>
      </c>
      <c r="AF982" s="48" t="str">
        <f t="shared" si="129"/>
        <v/>
      </c>
    </row>
    <row r="983" ht="66.75" customHeight="1">
      <c r="A983" s="49" t="s">
        <v>50</v>
      </c>
      <c r="B983" s="35" t="s">
        <v>4793</v>
      </c>
      <c r="C983" s="36" t="s">
        <v>4794</v>
      </c>
      <c r="D983" s="36"/>
      <c r="E983" s="36" t="s">
        <v>36</v>
      </c>
      <c r="F983" s="36" t="s">
        <v>37</v>
      </c>
      <c r="G983" s="35" t="s">
        <v>658</v>
      </c>
      <c r="H983" s="35" t="s">
        <v>4795</v>
      </c>
      <c r="I983" s="35" t="s">
        <v>4803</v>
      </c>
      <c r="J983" s="35"/>
      <c r="K983" s="37">
        <f>IFERROR(__xludf.DUMMYFUNCTION("query(assistance!$A$2:$E988,""Select C Where D = '""&amp;L983&amp;""'"")"),13.0)</f>
        <v>13</v>
      </c>
      <c r="L983" s="36" t="s">
        <v>240</v>
      </c>
      <c r="M983" s="38">
        <f t="shared" ref="M983:M988" si="132">if(N983="Inactive",3,if(N983="Limited", 2, 1))</f>
        <v>1</v>
      </c>
      <c r="N983" s="39" t="s">
        <v>42</v>
      </c>
      <c r="O983" s="65"/>
      <c r="P983" s="50"/>
      <c r="Q983" s="35"/>
      <c r="R983" s="35" t="s">
        <v>4804</v>
      </c>
      <c r="S983" s="35" t="b">
        <v>0</v>
      </c>
      <c r="T983" s="35" t="b">
        <v>0</v>
      </c>
      <c r="U983" s="41" t="str">
        <f>IFERROR(__xludf.DUMMYFUNCTION("""["" &amp; JOIN("", "", ARRAYFORMULA("""""""" &amp; TRIM(SPLIT(A983, "","")) &amp; """""""")) &amp; ""]"""),"[""99999""]")</f>
        <v>["99999"]</v>
      </c>
      <c r="V983" s="42" t="s">
        <v>4798</v>
      </c>
      <c r="W983" s="52" t="s">
        <v>4799</v>
      </c>
      <c r="X983" s="43"/>
      <c r="Y983" s="44" t="str">
        <f>vlookup(G983,zip_codes!$B$6:$J988,3,false)</f>
        <v>Houston</v>
      </c>
      <c r="Z983" s="45" t="str">
        <f>vlookup(G983,zip_codes!$B$6:$J988,9,false)</f>
        <v>Brentwood, Central Southwest, Hiram Clarke</v>
      </c>
      <c r="AA983" s="44" t="str">
        <f>vlookup(B983,organizations!$B$1:$C988,2,false)</f>
        <v>Windsor Village Social Services</v>
      </c>
      <c r="AB983" s="46" t="s">
        <v>4800</v>
      </c>
      <c r="AC983" s="47" t="s">
        <v>4805</v>
      </c>
      <c r="AD983" s="48" t="s">
        <v>662</v>
      </c>
      <c r="AE983" s="48" t="str">
        <f t="shared" si="123"/>
        <v>Windsor Village Social Services12041 1/2 Post Oak Road13</v>
      </c>
      <c r="AF983" s="48" t="str">
        <f t="shared" si="129"/>
        <v/>
      </c>
    </row>
    <row r="984" ht="66.75" customHeight="1">
      <c r="A984" s="49" t="s">
        <v>50</v>
      </c>
      <c r="B984" s="35" t="s">
        <v>4806</v>
      </c>
      <c r="C984" s="36" t="s">
        <v>4807</v>
      </c>
      <c r="D984" s="36"/>
      <c r="E984" s="36" t="s">
        <v>36</v>
      </c>
      <c r="F984" s="36" t="s">
        <v>37</v>
      </c>
      <c r="G984" s="35" t="s">
        <v>1265</v>
      </c>
      <c r="H984" s="35" t="s">
        <v>4808</v>
      </c>
      <c r="I984" s="35" t="s">
        <v>332</v>
      </c>
      <c r="J984" s="35"/>
      <c r="K984" s="37">
        <f>IFERROR(__xludf.DUMMYFUNCTION("query(assistance!$A$2:$E988,""Select C Where D = '""&amp;L984&amp;""'"")"),52.0)</f>
        <v>52</v>
      </c>
      <c r="L984" s="36" t="s">
        <v>336</v>
      </c>
      <c r="M984" s="38">
        <f t="shared" si="132"/>
        <v>1</v>
      </c>
      <c r="N984" s="39" t="s">
        <v>42</v>
      </c>
      <c r="O984" s="40">
        <v>45885.0</v>
      </c>
      <c r="P984" s="35" t="s">
        <v>43</v>
      </c>
      <c r="Q984" s="35"/>
      <c r="R984" s="35" t="s">
        <v>4809</v>
      </c>
      <c r="S984" s="35" t="b">
        <v>0</v>
      </c>
      <c r="T984" s="35" t="b">
        <v>0</v>
      </c>
      <c r="U984" s="41" t="str">
        <f>IFERROR(__xludf.DUMMYFUNCTION("""["" &amp; JOIN("", "", ARRAYFORMULA("""""""" &amp; TRIM(SPLIT(A984, "","")) &amp; """""""")) &amp; ""]"""),"[""99999""]")</f>
        <v>["99999"]</v>
      </c>
      <c r="V984" s="42" t="s">
        <v>4810</v>
      </c>
      <c r="W984" s="42" t="s">
        <v>4811</v>
      </c>
      <c r="X984" s="43"/>
      <c r="Y984" s="44" t="str">
        <f>vlookup(G984,zip_codes!$B$6:$J988,3,false)</f>
        <v>Houston</v>
      </c>
      <c r="Z984" s="45" t="str">
        <f>vlookup(G984,zip_codes!$B$6:$J988,9,false)</f>
        <v>Central Northwest, Fairbanks / Northwest Crossing, Lazybrook / Timbergrove, Oak Forest West, Westside</v>
      </c>
      <c r="AA984" s="44" t="str">
        <f>vlookup(B984,organizations!$B$1:$C988,2,false)</f>
        <v>WorkFaith</v>
      </c>
      <c r="AB984" s="55" t="s">
        <v>4812</v>
      </c>
      <c r="AC984" s="47" t="s">
        <v>335</v>
      </c>
      <c r="AD984" s="48" t="s">
        <v>483</v>
      </c>
      <c r="AE984" s="48" t="str">
        <f t="shared" si="123"/>
        <v>WorkFaith - Main Campus4555 Dacoma Street52</v>
      </c>
      <c r="AF984" s="48" t="str">
        <f t="shared" si="129"/>
        <v/>
      </c>
    </row>
    <row r="985" ht="66.75" customHeight="1">
      <c r="A985" s="49" t="s">
        <v>50</v>
      </c>
      <c r="B985" s="35" t="s">
        <v>4813</v>
      </c>
      <c r="C985" s="36" t="s">
        <v>4433</v>
      </c>
      <c r="D985" s="36"/>
      <c r="E985" s="36" t="s">
        <v>36</v>
      </c>
      <c r="F985" s="36" t="s">
        <v>37</v>
      </c>
      <c r="G985" s="35" t="s">
        <v>881</v>
      </c>
      <c r="H985" s="35" t="s">
        <v>4814</v>
      </c>
      <c r="I985" s="35" t="s">
        <v>332</v>
      </c>
      <c r="J985" s="35"/>
      <c r="K985" s="37">
        <f>IFERROR(__xludf.DUMMYFUNCTION("query(assistance!$A$2:$E988,""Select C Where D = '""&amp;L985&amp;""'"")"),52.0)</f>
        <v>52</v>
      </c>
      <c r="L985" s="36" t="s">
        <v>336</v>
      </c>
      <c r="M985" s="38">
        <f t="shared" si="132"/>
        <v>1</v>
      </c>
      <c r="N985" s="39" t="s">
        <v>42</v>
      </c>
      <c r="O985" s="40">
        <v>45885.0</v>
      </c>
      <c r="P985" s="35" t="s">
        <v>43</v>
      </c>
      <c r="Q985" s="35"/>
      <c r="R985" s="35" t="s">
        <v>4809</v>
      </c>
      <c r="S985" s="35" t="b">
        <v>0</v>
      </c>
      <c r="T985" s="35" t="b">
        <v>0</v>
      </c>
      <c r="U985" s="41" t="str">
        <f>IFERROR(__xludf.DUMMYFUNCTION("""["" &amp; JOIN("", "", ARRAYFORMULA("""""""" &amp; TRIM(SPLIT(A985, "","")) &amp; """""""")) &amp; ""]"""),"[""99999""]")</f>
        <v>["99999"]</v>
      </c>
      <c r="V985" s="42" t="s">
        <v>4810</v>
      </c>
      <c r="W985" s="42" t="s">
        <v>4815</v>
      </c>
      <c r="X985" s="43"/>
      <c r="Y985" s="44" t="str">
        <f>vlookup(G985,zip_codes!$B$6:$J988,3,false)</f>
        <v>Houston</v>
      </c>
      <c r="Z985" s="45" t="str">
        <f>vlookup(G985,zip_codes!$B$6:$J988,9,false)</f>
        <v>Central Southwest, South Park, South Side, Sunnyside</v>
      </c>
      <c r="AA985" s="44" t="str">
        <f>vlookup(B985,organizations!$B$1:$C988,2,false)</f>
        <v>WorkFaith</v>
      </c>
      <c r="AB985" s="55" t="s">
        <v>4816</v>
      </c>
      <c r="AC985" s="47" t="s">
        <v>335</v>
      </c>
      <c r="AD985" s="48" t="s">
        <v>662</v>
      </c>
      <c r="AE985" s="48" t="str">
        <f t="shared" si="123"/>
        <v>WorkFaith - Satellite Campus2575 Reed Road52</v>
      </c>
      <c r="AF985" s="48" t="str">
        <f t="shared" si="129"/>
        <v/>
      </c>
    </row>
    <row r="986" ht="66.75" customHeight="1">
      <c r="A986" s="49" t="s">
        <v>50</v>
      </c>
      <c r="B986" s="35" t="s">
        <v>4817</v>
      </c>
      <c r="C986" s="36" t="s">
        <v>4818</v>
      </c>
      <c r="D986" s="36"/>
      <c r="E986" s="36" t="s">
        <v>36</v>
      </c>
      <c r="F986" s="36" t="s">
        <v>37</v>
      </c>
      <c r="G986" s="35" t="s">
        <v>318</v>
      </c>
      <c r="H986" s="35" t="s">
        <v>4819</v>
      </c>
      <c r="I986" s="35" t="s">
        <v>1806</v>
      </c>
      <c r="J986" s="35"/>
      <c r="K986" s="37">
        <f>IFERROR(__xludf.DUMMYFUNCTION("query(assistance!$A$2:$E988,""Select C Where D = '""&amp;L986&amp;""'"")"),44.0)</f>
        <v>44</v>
      </c>
      <c r="L986" s="36" t="s">
        <v>102</v>
      </c>
      <c r="M986" s="38">
        <f t="shared" si="132"/>
        <v>2</v>
      </c>
      <c r="N986" s="51" t="s">
        <v>385</v>
      </c>
      <c r="O986" s="40">
        <v>45817.0</v>
      </c>
      <c r="P986" s="35" t="s">
        <v>4820</v>
      </c>
      <c r="Q986" s="35"/>
      <c r="R986" s="35" t="s">
        <v>4821</v>
      </c>
      <c r="S986" s="35" t="b">
        <v>0</v>
      </c>
      <c r="T986" s="35" t="b">
        <v>0</v>
      </c>
      <c r="U986" s="41" t="str">
        <f>IFERROR(__xludf.DUMMYFUNCTION("""["" &amp; JOIN("", "", ARRAYFORMULA("""""""" &amp; TRIM(SPLIT(A986, "","")) &amp; """""""")) &amp; ""]"""),"[""99999""]")</f>
        <v>["99999"]</v>
      </c>
      <c r="V986" s="42" t="s">
        <v>4822</v>
      </c>
      <c r="W986" s="43"/>
      <c r="X986" s="43"/>
      <c r="Y986" s="44" t="str">
        <f>vlookup(G986,zip_codes!$B$6:$J988,3,false)</f>
        <v>Houston</v>
      </c>
      <c r="Z986" s="45" t="str">
        <f>vlookup(G986,zip_codes!$B$6:$J988,9,false)</f>
        <v>Braeswood, Braeswood Place, Knollwood Village</v>
      </c>
      <c r="AA986" s="44" t="str">
        <f>vlookup(B986,organizations!$B$1:$C988,2,false)</f>
        <v>Workforce Solutions</v>
      </c>
      <c r="AB986" s="46" t="s">
        <v>4823</v>
      </c>
      <c r="AC986" s="47" t="s">
        <v>1809</v>
      </c>
      <c r="AD986" s="48" t="s">
        <v>329</v>
      </c>
      <c r="AE986" s="48" t="str">
        <f t="shared" si="123"/>
        <v>Workforce Solutions9315 Stella Link Road44</v>
      </c>
      <c r="AF986" s="48" t="str">
        <f t="shared" si="129"/>
        <v/>
      </c>
    </row>
    <row r="987" ht="66.75" customHeight="1">
      <c r="A987" s="49" t="s">
        <v>50</v>
      </c>
      <c r="B987" s="35" t="s">
        <v>4817</v>
      </c>
      <c r="C987" s="36" t="s">
        <v>4818</v>
      </c>
      <c r="D987" s="36"/>
      <c r="E987" s="36" t="s">
        <v>36</v>
      </c>
      <c r="F987" s="36" t="s">
        <v>37</v>
      </c>
      <c r="G987" s="35" t="s">
        <v>318</v>
      </c>
      <c r="H987" s="35" t="s">
        <v>4824</v>
      </c>
      <c r="I987" s="35" t="s">
        <v>272</v>
      </c>
      <c r="J987" s="35"/>
      <c r="K987" s="37">
        <f>IFERROR(__xludf.DUMMYFUNCTION("query(assistance!$A$2:$E988,""Select C Where D = '""&amp;L987&amp;""'"")"),52.0)</f>
        <v>52</v>
      </c>
      <c r="L987" s="36" t="s">
        <v>336</v>
      </c>
      <c r="M987" s="38">
        <f t="shared" si="132"/>
        <v>1</v>
      </c>
      <c r="N987" s="51" t="s">
        <v>42</v>
      </c>
      <c r="O987" s="40">
        <v>45761.0</v>
      </c>
      <c r="P987" s="35" t="s">
        <v>406</v>
      </c>
      <c r="Q987" s="35"/>
      <c r="R987" s="35" t="s">
        <v>4825</v>
      </c>
      <c r="S987" s="35" t="b">
        <v>0</v>
      </c>
      <c r="T987" s="35" t="b">
        <v>0</v>
      </c>
      <c r="U987" s="41" t="str">
        <f>IFERROR(__xludf.DUMMYFUNCTION("""["" &amp; JOIN("", "", ARRAYFORMULA("""""""" &amp; TRIM(SPLIT(A987, "","")) &amp; """""""")) &amp; ""]"""),"[""99999""]")</f>
        <v>["99999"]</v>
      </c>
      <c r="V987" s="52" t="s">
        <v>4826</v>
      </c>
      <c r="W987" s="43"/>
      <c r="X987" s="43"/>
      <c r="Y987" s="44" t="str">
        <f>vlookup(G987,zip_codes!$B$6:$J988,3,false)</f>
        <v>Houston</v>
      </c>
      <c r="Z987" s="45" t="str">
        <f>vlookup(G987,zip_codes!$B$6:$J988,9,false)</f>
        <v>Braeswood, Braeswood Place, Knollwood Village</v>
      </c>
      <c r="AA987" s="44" t="str">
        <f>vlookup(B987,organizations!$B$1:$C988,2,false)</f>
        <v>Workforce Solutions</v>
      </c>
      <c r="AB987" s="46" t="s">
        <v>4823</v>
      </c>
      <c r="AC987" s="47" t="s">
        <v>278</v>
      </c>
      <c r="AD987" s="48" t="s">
        <v>329</v>
      </c>
      <c r="AE987" s="48" t="str">
        <f t="shared" si="123"/>
        <v>Workforce Solutions9315 Stella Link Road52</v>
      </c>
      <c r="AF987" s="48" t="str">
        <f t="shared" si="129"/>
        <v/>
      </c>
    </row>
    <row r="988" ht="66.75" customHeight="1">
      <c r="A988" s="49" t="s">
        <v>50</v>
      </c>
      <c r="B988" s="35" t="s">
        <v>4827</v>
      </c>
      <c r="C988" s="36" t="s">
        <v>4828</v>
      </c>
      <c r="D988" s="36" t="s">
        <v>199</v>
      </c>
      <c r="E988" s="36" t="s">
        <v>36</v>
      </c>
      <c r="F988" s="36" t="s">
        <v>37</v>
      </c>
      <c r="G988" s="35" t="s">
        <v>642</v>
      </c>
      <c r="H988" s="35" t="s">
        <v>4829</v>
      </c>
      <c r="I988" s="35" t="s">
        <v>67</v>
      </c>
      <c r="J988" s="35"/>
      <c r="K988" s="37">
        <f>IFERROR(__xludf.DUMMYFUNCTION("query(assistance!$A$2:$E988,""Select C Where D = '""&amp;L988&amp;""'"")"),55.0)</f>
        <v>55</v>
      </c>
      <c r="L988" s="36" t="s">
        <v>436</v>
      </c>
      <c r="M988" s="39">
        <f t="shared" si="132"/>
        <v>2</v>
      </c>
      <c r="N988" s="51" t="s">
        <v>385</v>
      </c>
      <c r="O988" s="40">
        <v>45893.0</v>
      </c>
      <c r="P988" s="40"/>
      <c r="Q988" s="35"/>
      <c r="R988" s="35" t="s">
        <v>932</v>
      </c>
      <c r="S988" s="35" t="b">
        <v>0</v>
      </c>
      <c r="T988" s="35" t="b">
        <v>0</v>
      </c>
      <c r="U988" s="41" t="str">
        <f>IFERROR(__xludf.DUMMYFUNCTION("""["" &amp; JOIN("", "", ARRAYFORMULA("""""""" &amp; TRIM(SPLIT(A988, "","")) &amp; """""""")) &amp; ""]"""),"[""99999""]")</f>
        <v>["99999"]</v>
      </c>
      <c r="V988" s="98" t="s">
        <v>4830</v>
      </c>
      <c r="W988" s="69"/>
      <c r="X988" s="69"/>
      <c r="Y988" s="44" t="str">
        <f>vlookup(G988,zip_codes!$B$6:$J988,3,false)</f>
        <v>Houston</v>
      </c>
      <c r="Z988" s="45" t="str">
        <f>vlookup(G988,zip_codes!$B$6:$J988,9,false)</f>
        <v>Alief, Eldridge/West Oaks, Westside</v>
      </c>
      <c r="AA988" s="44" t="str">
        <f>vlookup(B988,organizations!$B$1:$C988,2,false)</f>
        <v>YMCA International Services</v>
      </c>
      <c r="AB988" s="46" t="s">
        <v>4831</v>
      </c>
      <c r="AC988" s="47" t="s">
        <v>73</v>
      </c>
      <c r="AD988" s="48" t="s">
        <v>1059</v>
      </c>
      <c r="AE988" s="48" t="str">
        <f t="shared" si="123"/>
        <v>YMCA International Services3110 Hayes Road55</v>
      </c>
      <c r="AF988" s="48" t="str">
        <f t="shared" si="129"/>
        <v/>
      </c>
    </row>
  </sheetData>
  <autoFilter ref="$A$1:$AF$988"/>
  <dataValidations>
    <dataValidation type="list" allowBlank="1" showErrorMessage="1" sqref="L2:L988">
      <formula1>assistance!$D$2:$D988</formula1>
    </dataValidation>
    <dataValidation type="list" allowBlank="1" showErrorMessage="1" sqref="M2:M988">
      <formula1>"1,2,3,4"</formula1>
    </dataValidation>
    <dataValidation type="list" allowBlank="1" showErrorMessage="1" sqref="N2:N988">
      <formula1>"ACTIVE,LIMITED,INACTIVE,CLOSED"</formula1>
    </dataValidation>
    <dataValidation type="list" allowBlank="1" showErrorMessage="1" sqref="B2:B988">
      <formula1>organizations!$B$2:$B988</formula1>
    </dataValidation>
    <dataValidation type="list" allowBlank="1" showErrorMessage="1" sqref="S2:T988">
      <formula1>"TRUE,FALSE"</formula1>
    </dataValidation>
  </dataValidations>
  <hyperlinks>
    <hyperlink r:id="rId1" ref="V4"/>
    <hyperlink r:id="rId2" ref="W4"/>
    <hyperlink r:id="rId3" ref="W5"/>
    <hyperlink r:id="rId4" ref="W6"/>
    <hyperlink r:id="rId5" ref="V7"/>
    <hyperlink r:id="rId6" ref="W7"/>
    <hyperlink r:id="rId7" ref="V8"/>
    <hyperlink r:id="rId8" ref="W8"/>
    <hyperlink r:id="rId9" ref="V9"/>
    <hyperlink r:id="rId10" ref="W9"/>
    <hyperlink r:id="rId11" ref="V10"/>
    <hyperlink r:id="rId12" ref="W10"/>
    <hyperlink r:id="rId13" ref="V11"/>
    <hyperlink r:id="rId14" ref="W11"/>
    <hyperlink r:id="rId15" ref="V12"/>
    <hyperlink r:id="rId16" ref="W12"/>
    <hyperlink r:id="rId17" ref="V13"/>
    <hyperlink r:id="rId18" ref="W13"/>
    <hyperlink r:id="rId19" ref="V14"/>
    <hyperlink r:id="rId20" ref="W14"/>
    <hyperlink r:id="rId21" ref="V15"/>
    <hyperlink r:id="rId22" ref="W15"/>
    <hyperlink r:id="rId23" ref="V16"/>
    <hyperlink r:id="rId24" ref="W16"/>
    <hyperlink r:id="rId25" ref="V17"/>
    <hyperlink r:id="rId26" ref="W17"/>
    <hyperlink r:id="rId27" ref="V18"/>
    <hyperlink r:id="rId28" ref="W18"/>
    <hyperlink r:id="rId29" ref="V19"/>
    <hyperlink r:id="rId30" ref="W19"/>
    <hyperlink r:id="rId31" ref="V20"/>
    <hyperlink r:id="rId32" ref="W20"/>
    <hyperlink r:id="rId33" ref="V21"/>
    <hyperlink r:id="rId34" ref="W21"/>
    <hyperlink r:id="rId35" ref="V22"/>
    <hyperlink r:id="rId36" ref="W22"/>
    <hyperlink r:id="rId37" ref="V23"/>
    <hyperlink r:id="rId38" ref="W23"/>
    <hyperlink r:id="rId39" ref="V24"/>
    <hyperlink r:id="rId40" ref="W24"/>
    <hyperlink r:id="rId41" ref="V25"/>
    <hyperlink r:id="rId42" ref="W25"/>
    <hyperlink r:id="rId43" ref="W28"/>
    <hyperlink r:id="rId44" ref="W29"/>
    <hyperlink r:id="rId45" ref="W31"/>
    <hyperlink r:id="rId46" ref="W32"/>
    <hyperlink r:id="rId47" ref="V34"/>
    <hyperlink r:id="rId48" ref="W34"/>
    <hyperlink r:id="rId49" ref="W39"/>
    <hyperlink r:id="rId50" ref="V43"/>
    <hyperlink r:id="rId51" ref="V44"/>
    <hyperlink r:id="rId52" ref="W44"/>
    <hyperlink r:id="rId53" ref="V51"/>
    <hyperlink r:id="rId54" ref="W51"/>
    <hyperlink r:id="rId55" ref="V52"/>
    <hyperlink r:id="rId56" ref="W52"/>
    <hyperlink r:id="rId57" ref="V53"/>
    <hyperlink r:id="rId58" ref="W53"/>
    <hyperlink r:id="rId59" ref="V54"/>
    <hyperlink r:id="rId60" ref="W54"/>
    <hyperlink r:id="rId61" ref="V58"/>
    <hyperlink r:id="rId62" ref="W60"/>
    <hyperlink r:id="rId63" ref="W61"/>
    <hyperlink r:id="rId64" ref="W62"/>
    <hyperlink r:id="rId65" ref="W63"/>
    <hyperlink r:id="rId66" ref="W64"/>
    <hyperlink r:id="rId67" ref="W65"/>
    <hyperlink r:id="rId68" ref="W66"/>
    <hyperlink r:id="rId69" ref="W67"/>
    <hyperlink r:id="rId70" ref="W68"/>
    <hyperlink r:id="rId71" ref="W69"/>
    <hyperlink r:id="rId72" ref="W70"/>
    <hyperlink r:id="rId73" ref="W71"/>
    <hyperlink r:id="rId74" ref="W72"/>
    <hyperlink r:id="rId75" ref="V75"/>
    <hyperlink r:id="rId76" ref="W75"/>
    <hyperlink r:id="rId77" ref="V76"/>
    <hyperlink r:id="rId78" ref="W76"/>
    <hyperlink r:id="rId79" ref="V77"/>
    <hyperlink r:id="rId80" ref="W77"/>
    <hyperlink r:id="rId81" location="location-contact" ref="V78"/>
    <hyperlink r:id="rId82" ref="V79"/>
    <hyperlink r:id="rId83" location="location-contact" ref="V80"/>
    <hyperlink r:id="rId84" ref="V81"/>
    <hyperlink r:id="rId85" ref="W81"/>
    <hyperlink r:id="rId86" ref="V84"/>
    <hyperlink r:id="rId87" ref="V85"/>
    <hyperlink r:id="rId88" ref="V86"/>
    <hyperlink r:id="rId89" ref="W86"/>
    <hyperlink r:id="rId90" ref="V87"/>
    <hyperlink r:id="rId91" ref="V88"/>
    <hyperlink r:id="rId92" ref="W88"/>
    <hyperlink r:id="rId93" ref="V89"/>
    <hyperlink r:id="rId94" ref="W89"/>
    <hyperlink r:id="rId95" ref="V90"/>
    <hyperlink r:id="rId96" ref="W90"/>
    <hyperlink r:id="rId97" ref="V91"/>
    <hyperlink r:id="rId98" ref="W91"/>
    <hyperlink r:id="rId99" ref="V92"/>
    <hyperlink r:id="rId100" ref="W92"/>
    <hyperlink r:id="rId101" ref="V93"/>
    <hyperlink r:id="rId102" ref="W93"/>
    <hyperlink r:id="rId103" ref="V94"/>
    <hyperlink r:id="rId104" ref="W94"/>
    <hyperlink r:id="rId105" ref="V95"/>
    <hyperlink r:id="rId106" ref="W95"/>
    <hyperlink r:id="rId107" ref="V96"/>
    <hyperlink r:id="rId108" ref="W96"/>
    <hyperlink r:id="rId109" ref="V97"/>
    <hyperlink r:id="rId110" ref="W97"/>
    <hyperlink r:id="rId111" ref="V98"/>
    <hyperlink r:id="rId112" ref="W98"/>
    <hyperlink r:id="rId113" ref="V99"/>
    <hyperlink r:id="rId114" ref="W99"/>
    <hyperlink r:id="rId115" ref="V100"/>
    <hyperlink r:id="rId116" ref="W100"/>
    <hyperlink r:id="rId117" ref="V101"/>
    <hyperlink r:id="rId118" ref="W101"/>
    <hyperlink r:id="rId119" ref="V103"/>
    <hyperlink r:id="rId120" ref="V104"/>
    <hyperlink r:id="rId121" ref="V106"/>
    <hyperlink r:id="rId122" ref="V108"/>
    <hyperlink r:id="rId123" ref="V109"/>
    <hyperlink r:id="rId124" ref="V110"/>
    <hyperlink r:id="rId125" ref="V113"/>
    <hyperlink r:id="rId126" ref="W113"/>
    <hyperlink r:id="rId127" ref="W114"/>
    <hyperlink r:id="rId128" ref="V117"/>
    <hyperlink r:id="rId129" ref="W117"/>
    <hyperlink r:id="rId130" ref="W118"/>
    <hyperlink r:id="rId131" ref="W119"/>
    <hyperlink r:id="rId132" ref="W120"/>
    <hyperlink r:id="rId133" ref="V121"/>
    <hyperlink r:id="rId134" ref="W121"/>
    <hyperlink r:id="rId135" ref="V122"/>
    <hyperlink r:id="rId136" ref="W122"/>
    <hyperlink r:id="rId137" ref="V123"/>
    <hyperlink r:id="rId138" ref="W123"/>
    <hyperlink r:id="rId139" ref="V127"/>
    <hyperlink r:id="rId140" ref="W127"/>
    <hyperlink r:id="rId141" ref="V128"/>
    <hyperlink r:id="rId142" ref="W128"/>
    <hyperlink r:id="rId143" ref="V135"/>
    <hyperlink r:id="rId144" ref="W135"/>
    <hyperlink r:id="rId145" ref="V147"/>
    <hyperlink r:id="rId146" ref="W147"/>
    <hyperlink r:id="rId147" ref="V148"/>
    <hyperlink r:id="rId148" ref="W148"/>
    <hyperlink r:id="rId149" ref="V150"/>
    <hyperlink r:id="rId150" ref="W150"/>
    <hyperlink r:id="rId151" ref="V164"/>
    <hyperlink r:id="rId152" ref="V168"/>
    <hyperlink r:id="rId153" ref="V169"/>
    <hyperlink r:id="rId154" ref="W196"/>
    <hyperlink r:id="rId155" ref="W197"/>
    <hyperlink r:id="rId156" ref="W198"/>
    <hyperlink r:id="rId157" ref="W199"/>
    <hyperlink r:id="rId158" ref="W200"/>
    <hyperlink r:id="rId159" ref="W201"/>
    <hyperlink r:id="rId160" ref="W202"/>
    <hyperlink r:id="rId161" ref="W203"/>
    <hyperlink r:id="rId162" ref="V225"/>
    <hyperlink r:id="rId163" ref="V226"/>
    <hyperlink r:id="rId164" ref="V233"/>
    <hyperlink r:id="rId165" ref="W233"/>
    <hyperlink r:id="rId166" ref="V234"/>
    <hyperlink r:id="rId167" ref="W234"/>
    <hyperlink r:id="rId168" ref="W235"/>
    <hyperlink r:id="rId169" ref="V236"/>
    <hyperlink r:id="rId170" ref="W236"/>
    <hyperlink r:id="rId171" ref="V250"/>
    <hyperlink r:id="rId172" ref="W262"/>
    <hyperlink r:id="rId173" ref="W263"/>
    <hyperlink r:id="rId174" ref="V264"/>
    <hyperlink r:id="rId175" ref="V266"/>
    <hyperlink r:id="rId176" ref="W266"/>
    <hyperlink r:id="rId177" location="randp" ref="V273"/>
    <hyperlink r:id="rId178" ref="W273"/>
    <hyperlink r:id="rId179" location="randp" ref="V274"/>
    <hyperlink r:id="rId180" ref="W274"/>
    <hyperlink r:id="rId181" ref="V297"/>
    <hyperlink r:id="rId182" ref="W297"/>
    <hyperlink r:id="rId183" ref="V298"/>
    <hyperlink r:id="rId184" ref="W298"/>
    <hyperlink r:id="rId185" ref="V299"/>
    <hyperlink r:id="rId186" ref="W299"/>
    <hyperlink r:id="rId187" ref="V300"/>
    <hyperlink r:id="rId188" ref="W300"/>
    <hyperlink r:id="rId189" ref="V301"/>
    <hyperlink r:id="rId190" ref="W301"/>
    <hyperlink r:id="rId191" ref="V302"/>
    <hyperlink r:id="rId192" ref="W302"/>
    <hyperlink r:id="rId193" ref="W303"/>
    <hyperlink r:id="rId194" ref="W304"/>
    <hyperlink r:id="rId195" ref="W305"/>
    <hyperlink r:id="rId196" ref="V306"/>
    <hyperlink r:id="rId197" ref="W306"/>
    <hyperlink r:id="rId198" ref="W309"/>
    <hyperlink r:id="rId199" ref="W310"/>
    <hyperlink r:id="rId200" ref="W315"/>
    <hyperlink r:id="rId201" ref="W316"/>
    <hyperlink r:id="rId202" ref="W317"/>
    <hyperlink r:id="rId203" ref="W318"/>
    <hyperlink r:id="rId204" ref="W319"/>
    <hyperlink r:id="rId205" ref="W320"/>
    <hyperlink r:id="rId206" ref="W321"/>
    <hyperlink r:id="rId207" ref="W322"/>
    <hyperlink r:id="rId208" ref="W323"/>
    <hyperlink r:id="rId209" ref="W324"/>
    <hyperlink r:id="rId210" ref="W325"/>
    <hyperlink r:id="rId211" ref="V326"/>
    <hyperlink r:id="rId212" ref="W326"/>
    <hyperlink r:id="rId213" ref="V327"/>
    <hyperlink r:id="rId214" ref="W327"/>
    <hyperlink r:id="rId215" ref="V328"/>
    <hyperlink r:id="rId216" ref="W328"/>
    <hyperlink r:id="rId217" ref="V329"/>
    <hyperlink r:id="rId218" ref="W329"/>
    <hyperlink r:id="rId219" ref="V330"/>
    <hyperlink r:id="rId220" ref="W330"/>
    <hyperlink r:id="rId221" ref="V331"/>
    <hyperlink r:id="rId222" ref="W331"/>
    <hyperlink r:id="rId223" ref="V332"/>
    <hyperlink r:id="rId224" ref="W332"/>
    <hyperlink r:id="rId225" ref="V333"/>
    <hyperlink r:id="rId226" ref="W333"/>
    <hyperlink r:id="rId227" ref="V334"/>
    <hyperlink r:id="rId228" ref="W334"/>
    <hyperlink r:id="rId229" ref="V335"/>
    <hyperlink r:id="rId230" ref="W335"/>
    <hyperlink r:id="rId231" ref="V340"/>
    <hyperlink r:id="rId232" ref="W340"/>
    <hyperlink r:id="rId233" ref="V344"/>
    <hyperlink r:id="rId234" ref="V346"/>
    <hyperlink r:id="rId235" ref="W346"/>
    <hyperlink r:id="rId236" ref="V357"/>
    <hyperlink r:id="rId237" ref="W357"/>
    <hyperlink r:id="rId238" ref="V358"/>
    <hyperlink r:id="rId239" ref="W358"/>
    <hyperlink r:id="rId240" ref="V359"/>
    <hyperlink r:id="rId241" ref="W359"/>
    <hyperlink r:id="rId242" ref="V360"/>
    <hyperlink r:id="rId243" ref="W360"/>
    <hyperlink r:id="rId244" ref="V361"/>
    <hyperlink r:id="rId245" ref="W361"/>
    <hyperlink r:id="rId246" ref="V362"/>
    <hyperlink r:id="rId247" ref="W362"/>
    <hyperlink r:id="rId248" ref="V363"/>
    <hyperlink r:id="rId249" ref="W363"/>
    <hyperlink r:id="rId250" ref="V364"/>
    <hyperlink r:id="rId251" ref="W364"/>
    <hyperlink r:id="rId252" ref="V365"/>
    <hyperlink r:id="rId253" ref="W365"/>
    <hyperlink r:id="rId254" ref="V366"/>
    <hyperlink r:id="rId255" ref="W366"/>
    <hyperlink r:id="rId256" ref="V367"/>
    <hyperlink r:id="rId257" ref="W367"/>
    <hyperlink r:id="rId258" ref="V368"/>
    <hyperlink r:id="rId259" ref="W368"/>
    <hyperlink r:id="rId260" ref="V369"/>
    <hyperlink r:id="rId261" ref="W369"/>
    <hyperlink r:id="rId262" ref="V373"/>
    <hyperlink r:id="rId263" ref="W373"/>
    <hyperlink r:id="rId264" ref="W375"/>
    <hyperlink r:id="rId265" ref="V376"/>
    <hyperlink r:id="rId266" ref="W376"/>
    <hyperlink r:id="rId267" ref="V378"/>
    <hyperlink r:id="rId268" ref="W378"/>
    <hyperlink r:id="rId269" ref="W380"/>
    <hyperlink r:id="rId270" ref="W381"/>
    <hyperlink r:id="rId271" ref="W382"/>
    <hyperlink r:id="rId272" ref="W383"/>
    <hyperlink r:id="rId273" ref="W384"/>
    <hyperlink r:id="rId274" ref="W385"/>
    <hyperlink r:id="rId275" ref="W386"/>
    <hyperlink r:id="rId276" ref="W387"/>
    <hyperlink r:id="rId277" ref="W388"/>
    <hyperlink r:id="rId278" ref="W389"/>
    <hyperlink r:id="rId279" ref="W390"/>
    <hyperlink r:id="rId280" ref="W391"/>
    <hyperlink r:id="rId281" ref="W392"/>
    <hyperlink r:id="rId282" ref="W393"/>
    <hyperlink r:id="rId283" ref="W394"/>
    <hyperlink r:id="rId284" ref="W395"/>
    <hyperlink r:id="rId285" ref="W396"/>
    <hyperlink r:id="rId286" ref="W397"/>
    <hyperlink r:id="rId287" ref="W398"/>
    <hyperlink r:id="rId288" ref="W399"/>
    <hyperlink r:id="rId289" ref="W400"/>
    <hyperlink r:id="rId290" ref="W401"/>
    <hyperlink r:id="rId291" ref="W402"/>
    <hyperlink r:id="rId292" ref="W403"/>
    <hyperlink r:id="rId293" ref="W404"/>
    <hyperlink r:id="rId294" ref="W405"/>
    <hyperlink r:id="rId295" ref="W406"/>
    <hyperlink r:id="rId296" ref="W407"/>
    <hyperlink r:id="rId297" ref="W408"/>
    <hyperlink r:id="rId298" ref="W409"/>
    <hyperlink r:id="rId299" ref="W410"/>
    <hyperlink r:id="rId300" ref="W411"/>
    <hyperlink r:id="rId301" ref="V412"/>
    <hyperlink r:id="rId302" ref="W412"/>
    <hyperlink r:id="rId303" ref="V413"/>
    <hyperlink r:id="rId304" ref="W413"/>
    <hyperlink r:id="rId305" ref="V414"/>
    <hyperlink r:id="rId306" ref="W414"/>
    <hyperlink r:id="rId307" ref="V415"/>
    <hyperlink r:id="rId308" ref="W415"/>
    <hyperlink r:id="rId309" ref="V416"/>
    <hyperlink r:id="rId310" ref="W416"/>
    <hyperlink r:id="rId311" ref="V417"/>
    <hyperlink r:id="rId312" ref="W417"/>
    <hyperlink r:id="rId313" ref="V418"/>
    <hyperlink r:id="rId314" ref="W418"/>
    <hyperlink r:id="rId315" ref="V419"/>
    <hyperlink r:id="rId316" ref="W419"/>
    <hyperlink r:id="rId317" ref="V420"/>
    <hyperlink r:id="rId318" ref="W420"/>
    <hyperlink r:id="rId319" ref="V421"/>
    <hyperlink r:id="rId320" ref="W421"/>
    <hyperlink r:id="rId321" ref="V422"/>
    <hyperlink r:id="rId322" ref="W422"/>
    <hyperlink r:id="rId323" ref="V423"/>
    <hyperlink r:id="rId324" ref="W423"/>
    <hyperlink r:id="rId325" ref="V436"/>
    <hyperlink r:id="rId326" ref="W436"/>
    <hyperlink r:id="rId327" ref="V437"/>
    <hyperlink r:id="rId328" ref="W437"/>
    <hyperlink r:id="rId329" ref="V441"/>
    <hyperlink r:id="rId330" ref="W441"/>
    <hyperlink r:id="rId331" ref="V442"/>
    <hyperlink r:id="rId332" ref="W442"/>
    <hyperlink r:id="rId333" ref="V450"/>
    <hyperlink r:id="rId334" ref="W450"/>
    <hyperlink r:id="rId335" ref="W451"/>
    <hyperlink r:id="rId336" ref="W452"/>
    <hyperlink r:id="rId337" ref="W453"/>
    <hyperlink r:id="rId338" ref="W454"/>
    <hyperlink r:id="rId339" ref="W455"/>
    <hyperlink r:id="rId340" ref="W456"/>
    <hyperlink r:id="rId341" ref="V467"/>
    <hyperlink r:id="rId342" ref="V468"/>
    <hyperlink r:id="rId343" ref="W468"/>
    <hyperlink r:id="rId344" ref="V469"/>
    <hyperlink r:id="rId345" ref="W469"/>
    <hyperlink r:id="rId346" ref="V471"/>
    <hyperlink r:id="rId347" ref="W471"/>
    <hyperlink r:id="rId348" ref="V480"/>
    <hyperlink r:id="rId349" ref="W480"/>
    <hyperlink r:id="rId350" ref="V481"/>
    <hyperlink r:id="rId351" ref="W481"/>
    <hyperlink r:id="rId352" ref="V482"/>
    <hyperlink r:id="rId353" ref="W482"/>
    <hyperlink r:id="rId354" ref="V483"/>
    <hyperlink r:id="rId355" ref="W483"/>
    <hyperlink r:id="rId356" ref="V492"/>
    <hyperlink r:id="rId357" ref="V493"/>
    <hyperlink r:id="rId358" ref="W493"/>
    <hyperlink r:id="rId359" ref="V494"/>
    <hyperlink r:id="rId360" ref="W494"/>
    <hyperlink r:id="rId361" ref="V495"/>
    <hyperlink r:id="rId362" ref="V516"/>
    <hyperlink r:id="rId363" ref="W516"/>
    <hyperlink r:id="rId364" ref="V522"/>
    <hyperlink r:id="rId365" ref="W525"/>
    <hyperlink r:id="rId366" ref="W526"/>
    <hyperlink r:id="rId367" ref="R563"/>
    <hyperlink r:id="rId368" ref="V563"/>
    <hyperlink r:id="rId369" ref="V566"/>
    <hyperlink r:id="rId370" ref="W566"/>
    <hyperlink r:id="rId371" ref="V567"/>
    <hyperlink r:id="rId372" ref="W567"/>
    <hyperlink r:id="rId373" ref="W577"/>
    <hyperlink r:id="rId374" ref="W578"/>
    <hyperlink r:id="rId375" ref="W579"/>
    <hyperlink r:id="rId376" ref="W580"/>
    <hyperlink r:id="rId377" ref="W581"/>
    <hyperlink r:id="rId378" ref="V589"/>
    <hyperlink r:id="rId379" ref="V590"/>
    <hyperlink r:id="rId380" ref="V591"/>
    <hyperlink r:id="rId381" ref="V592"/>
    <hyperlink r:id="rId382" ref="V593"/>
    <hyperlink r:id="rId383" ref="W593"/>
    <hyperlink r:id="rId384" ref="W604"/>
    <hyperlink r:id="rId385" ref="V605"/>
    <hyperlink r:id="rId386" ref="W605"/>
    <hyperlink r:id="rId387" ref="V613"/>
    <hyperlink r:id="rId388" ref="W613"/>
    <hyperlink r:id="rId389" ref="V614"/>
    <hyperlink r:id="rId390" ref="W614"/>
    <hyperlink r:id="rId391" ref="V615"/>
    <hyperlink r:id="rId392" ref="V616"/>
    <hyperlink r:id="rId393" ref="W616"/>
    <hyperlink r:id="rId394" ref="V631"/>
    <hyperlink r:id="rId395" ref="W631"/>
    <hyperlink r:id="rId396" ref="V632"/>
    <hyperlink r:id="rId397" ref="W632"/>
    <hyperlink r:id="rId398" ref="V649"/>
    <hyperlink r:id="rId399" ref="W649"/>
    <hyperlink r:id="rId400" ref="W651"/>
    <hyperlink r:id="rId401" ref="W652"/>
    <hyperlink r:id="rId402" ref="V653"/>
    <hyperlink r:id="rId403" ref="V664"/>
    <hyperlink r:id="rId404" ref="W664"/>
    <hyperlink r:id="rId405" ref="V677"/>
    <hyperlink r:id="rId406" ref="W677"/>
    <hyperlink r:id="rId407" ref="V678"/>
    <hyperlink r:id="rId408" ref="W678"/>
    <hyperlink r:id="rId409" ref="V679"/>
    <hyperlink r:id="rId410" ref="W679"/>
    <hyperlink r:id="rId411" ref="W680"/>
    <hyperlink r:id="rId412" ref="W700"/>
    <hyperlink r:id="rId413" ref="V701"/>
    <hyperlink r:id="rId414" ref="W701"/>
    <hyperlink r:id="rId415" ref="V702"/>
    <hyperlink r:id="rId416" ref="W702"/>
    <hyperlink r:id="rId417" ref="V703"/>
    <hyperlink r:id="rId418" ref="W703"/>
    <hyperlink r:id="rId419" ref="V704"/>
    <hyperlink r:id="rId420" ref="W704"/>
    <hyperlink r:id="rId421" ref="V714"/>
    <hyperlink r:id="rId422" ref="V715"/>
    <hyperlink r:id="rId423" ref="V716"/>
    <hyperlink r:id="rId424" ref="V717"/>
    <hyperlink r:id="rId425" ref="V718"/>
    <hyperlink r:id="rId426" ref="W718"/>
    <hyperlink r:id="rId427" ref="V720"/>
    <hyperlink r:id="rId428" ref="W720"/>
    <hyperlink r:id="rId429" ref="W728"/>
    <hyperlink r:id="rId430" ref="V733"/>
    <hyperlink r:id="rId431" ref="W733"/>
    <hyperlink r:id="rId432" ref="V734"/>
    <hyperlink r:id="rId433" ref="W734"/>
    <hyperlink r:id="rId434" ref="V735"/>
    <hyperlink r:id="rId435" ref="W735"/>
    <hyperlink r:id="rId436" ref="V750"/>
    <hyperlink r:id="rId437" ref="W750"/>
    <hyperlink r:id="rId438" ref="V751"/>
    <hyperlink r:id="rId439" ref="W751"/>
    <hyperlink r:id="rId440" ref="V752"/>
    <hyperlink r:id="rId441" ref="W752"/>
    <hyperlink r:id="rId442" ref="V753"/>
    <hyperlink r:id="rId443" ref="W753"/>
    <hyperlink r:id="rId444" ref="W754"/>
    <hyperlink r:id="rId445" ref="W755"/>
    <hyperlink r:id="rId446" ref="V899"/>
    <hyperlink r:id="rId447" ref="W903"/>
    <hyperlink r:id="rId448" ref="W904"/>
    <hyperlink r:id="rId449" ref="W905"/>
    <hyperlink r:id="rId450" ref="W906"/>
    <hyperlink r:id="rId451" ref="W907"/>
    <hyperlink r:id="rId452" ref="V909"/>
    <hyperlink r:id="rId453" ref="W909"/>
    <hyperlink r:id="rId454" ref="V910"/>
    <hyperlink r:id="rId455" ref="W910"/>
    <hyperlink r:id="rId456" ref="W911"/>
    <hyperlink r:id="rId457" ref="W912"/>
    <hyperlink r:id="rId458" ref="V914"/>
    <hyperlink r:id="rId459" ref="W914"/>
    <hyperlink r:id="rId460" ref="W916"/>
    <hyperlink r:id="rId461" ref="V918"/>
    <hyperlink r:id="rId462" ref="W918"/>
    <hyperlink r:id="rId463" ref="V919"/>
    <hyperlink r:id="rId464" ref="W919"/>
    <hyperlink r:id="rId465" ref="V925"/>
    <hyperlink r:id="rId466" ref="W925"/>
    <hyperlink r:id="rId467" ref="V930"/>
    <hyperlink r:id="rId468" ref="W930"/>
    <hyperlink r:id="rId469" ref="V931"/>
    <hyperlink r:id="rId470" ref="W931"/>
    <hyperlink r:id="rId471" ref="V932"/>
    <hyperlink r:id="rId472" ref="W932"/>
    <hyperlink r:id="rId473" ref="V933"/>
    <hyperlink r:id="rId474" ref="W933"/>
    <hyperlink r:id="rId475" ref="V934"/>
    <hyperlink r:id="rId476" ref="W934"/>
    <hyperlink r:id="rId477" ref="W935"/>
    <hyperlink r:id="rId478" ref="V948"/>
    <hyperlink r:id="rId479" ref="W948"/>
    <hyperlink r:id="rId480" ref="V951"/>
    <hyperlink r:id="rId481" ref="W951"/>
    <hyperlink r:id="rId482" ref="V952"/>
    <hyperlink r:id="rId483" ref="W952"/>
    <hyperlink r:id="rId484" ref="W953"/>
    <hyperlink r:id="rId485" ref="W954"/>
    <hyperlink r:id="rId486" ref="W955"/>
    <hyperlink r:id="rId487" ref="W956"/>
    <hyperlink r:id="rId488" ref="V957"/>
    <hyperlink r:id="rId489" ref="W957"/>
    <hyperlink r:id="rId490" ref="W958"/>
    <hyperlink r:id="rId491" ref="V966"/>
    <hyperlink r:id="rId492" ref="W967"/>
    <hyperlink r:id="rId493" ref="W985"/>
  </hyperlinks>
  <drawing r:id="rId49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20.25"/>
    <col customWidth="1" min="3" max="3" width="14.38"/>
    <col customWidth="1" min="4" max="4" width="20.25"/>
    <col customWidth="1" min="5" max="5" width="13.38"/>
    <col customWidth="1" min="6" max="6" width="4.63"/>
    <col customWidth="1" min="7" max="7" width="14.38"/>
    <col customWidth="1" min="8" max="8" width="18.25"/>
    <col customWidth="1" min="9" max="9" width="35.88"/>
    <col customWidth="1" min="10" max="10" width="33.88"/>
    <col customWidth="1" min="11" max="11" width="35.0"/>
    <col customWidth="1" min="12" max="12" width="53.75"/>
    <col customWidth="1" min="13" max="16" width="3.75"/>
  </cols>
  <sheetData>
    <row r="1">
      <c r="A1" s="99" t="s">
        <v>0</v>
      </c>
      <c r="B1" s="99" t="s">
        <v>4832</v>
      </c>
      <c r="C1" s="99" t="s">
        <v>4833</v>
      </c>
      <c r="D1" s="99" t="s">
        <v>4834</v>
      </c>
      <c r="E1" s="99" t="s">
        <v>4835</v>
      </c>
      <c r="F1" s="99" t="s">
        <v>4836</v>
      </c>
      <c r="G1" s="99" t="s">
        <v>4837</v>
      </c>
      <c r="H1" s="99" t="s">
        <v>4838</v>
      </c>
      <c r="I1" s="99" t="s">
        <v>4839</v>
      </c>
      <c r="J1" s="99" t="s">
        <v>4840</v>
      </c>
      <c r="K1" s="99" t="s">
        <v>4841</v>
      </c>
      <c r="L1" s="100" t="s">
        <v>4842</v>
      </c>
      <c r="M1" s="101"/>
      <c r="N1" s="101"/>
      <c r="O1" s="101"/>
      <c r="P1" s="101"/>
    </row>
    <row r="2">
      <c r="A2" s="102">
        <f t="array" ref="A2:A285">IF(ISBLANK(B2:B285), "", ROW(B2:B285)-1)</f>
        <v>1</v>
      </c>
      <c r="B2" s="103" t="s">
        <v>3219</v>
      </c>
      <c r="C2" s="102"/>
      <c r="D2" s="104" t="s">
        <v>3218</v>
      </c>
      <c r="E2" s="104" t="s">
        <v>4843</v>
      </c>
      <c r="F2" s="104" t="s">
        <v>1698</v>
      </c>
      <c r="G2" s="104" t="s">
        <v>4844</v>
      </c>
      <c r="H2" s="104" t="s">
        <v>4845</v>
      </c>
      <c r="I2" s="105" t="str">
        <f>"https://www.unitedstateszipcodes.org/"&amp;B2&amp;"/"</f>
        <v>https://www.unitedstateszipcodes.org/01930/</v>
      </c>
      <c r="J2" s="104" t="s">
        <v>3225</v>
      </c>
      <c r="K2" s="102" t="str">
        <f t="shared" ref="K2:K285" si="1">E2&amp;" | "&amp;D2&amp;" | "&amp;B2</f>
        <v>Essex | Gloucester | 01930</v>
      </c>
      <c r="L2" s="106" t="str">
        <f t="shared" ref="L2:L285" si="2">E2&amp;" | "&amp;D2&amp;" | "&amp;B2&amp;" - "&amp;J2</f>
        <v>Essex | Gloucester | 01930 - Central</v>
      </c>
      <c r="M2" s="102"/>
      <c r="N2" s="102"/>
      <c r="O2" s="102"/>
      <c r="P2" s="102"/>
    </row>
    <row r="3">
      <c r="A3" s="107">
        <v>2.0</v>
      </c>
      <c r="B3" s="108" t="s">
        <v>3208</v>
      </c>
      <c r="C3" s="107"/>
      <c r="D3" s="109" t="s">
        <v>3207</v>
      </c>
      <c r="E3" s="109" t="s">
        <v>4846</v>
      </c>
      <c r="F3" s="109" t="s">
        <v>1698</v>
      </c>
      <c r="G3" s="109" t="s">
        <v>4844</v>
      </c>
      <c r="H3" s="109" t="s">
        <v>4847</v>
      </c>
      <c r="I3" s="110" t="s">
        <v>4848</v>
      </c>
      <c r="J3" s="109" t="s">
        <v>3207</v>
      </c>
      <c r="K3" s="107" t="str">
        <f t="shared" si="1"/>
        <v>Plymouth | Norwell | 02061</v>
      </c>
      <c r="L3" s="111" t="str">
        <f t="shared" si="2"/>
        <v>Plymouth | Norwell | 02061 - Norwell</v>
      </c>
      <c r="M3" s="107"/>
      <c r="N3" s="107"/>
      <c r="O3" s="107"/>
      <c r="P3" s="107"/>
    </row>
    <row r="4">
      <c r="A4" s="102">
        <v>3.0</v>
      </c>
      <c r="B4" s="103" t="s">
        <v>1699</v>
      </c>
      <c r="C4" s="102"/>
      <c r="D4" s="104" t="s">
        <v>1697</v>
      </c>
      <c r="E4" s="104" t="s">
        <v>4849</v>
      </c>
      <c r="F4" s="104" t="s">
        <v>1698</v>
      </c>
      <c r="G4" s="104" t="s">
        <v>4844</v>
      </c>
      <c r="H4" s="104" t="s">
        <v>4850</v>
      </c>
      <c r="I4" s="112" t="s">
        <v>4848</v>
      </c>
      <c r="J4" s="104" t="s">
        <v>1705</v>
      </c>
      <c r="K4" s="102" t="str">
        <f t="shared" si="1"/>
        <v>Suffolk | Boston | 02116</v>
      </c>
      <c r="L4" s="106" t="str">
        <f t="shared" si="2"/>
        <v>Suffolk | Boston | 02116 - Black Bay</v>
      </c>
      <c r="M4" s="102"/>
      <c r="N4" s="102"/>
      <c r="O4" s="102"/>
      <c r="P4" s="102"/>
    </row>
    <row r="5">
      <c r="A5" s="107">
        <v>4.0</v>
      </c>
      <c r="B5" s="108" t="s">
        <v>1000</v>
      </c>
      <c r="C5" s="107"/>
      <c r="D5" s="107" t="s">
        <v>998</v>
      </c>
      <c r="E5" s="107" t="s">
        <v>998</v>
      </c>
      <c r="F5" s="107" t="s">
        <v>999</v>
      </c>
      <c r="G5" s="107" t="s">
        <v>4844</v>
      </c>
      <c r="H5" s="109" t="s">
        <v>4851</v>
      </c>
      <c r="I5" s="113" t="s">
        <v>4852</v>
      </c>
      <c r="J5" s="109" t="s">
        <v>4853</v>
      </c>
      <c r="K5" s="107" t="str">
        <f t="shared" si="1"/>
        <v>New York | New York | 10022</v>
      </c>
      <c r="L5" s="111" t="str">
        <f t="shared" si="2"/>
        <v>New York | New York | 10022 - Turtle Bay, East Side, Midtown, Manhattan</v>
      </c>
      <c r="M5" s="107">
        <f t="shared" ref="M5:M285" si="3">len(J5)</f>
        <v>41</v>
      </c>
      <c r="N5" s="107"/>
      <c r="O5" s="107"/>
      <c r="P5" s="107"/>
    </row>
    <row r="6">
      <c r="A6" s="102">
        <v>5.0</v>
      </c>
      <c r="B6" s="102" t="s">
        <v>2617</v>
      </c>
      <c r="C6" s="102"/>
      <c r="D6" s="102" t="s">
        <v>998</v>
      </c>
      <c r="E6" s="102" t="s">
        <v>998</v>
      </c>
      <c r="F6" s="102" t="s">
        <v>999</v>
      </c>
      <c r="G6" s="102" t="s">
        <v>4844</v>
      </c>
      <c r="H6" s="102" t="s">
        <v>2621</v>
      </c>
      <c r="I6" s="102" t="s">
        <v>4854</v>
      </c>
      <c r="J6" s="102" t="s">
        <v>4855</v>
      </c>
      <c r="K6" s="102" t="str">
        <f t="shared" si="1"/>
        <v>New York | New York | 10027</v>
      </c>
      <c r="L6" s="106" t="str">
        <f t="shared" si="2"/>
        <v>New York | New York | 10027 - Morningside Heights|Uptown|Manhattan</v>
      </c>
      <c r="M6" s="102">
        <f t="shared" si="3"/>
        <v>36</v>
      </c>
      <c r="N6" s="102"/>
      <c r="O6" s="102">
        <f>median(M6:M285)</f>
        <v>18</v>
      </c>
      <c r="P6" s="102"/>
    </row>
    <row r="7">
      <c r="A7" s="107">
        <v>6.0</v>
      </c>
      <c r="B7" s="107" t="s">
        <v>4856</v>
      </c>
      <c r="C7" s="107"/>
      <c r="D7" s="107" t="s">
        <v>4857</v>
      </c>
      <c r="E7" s="107" t="s">
        <v>4858</v>
      </c>
      <c r="F7" s="107" t="s">
        <v>999</v>
      </c>
      <c r="G7" s="107" t="s">
        <v>4844</v>
      </c>
      <c r="H7" s="107" t="s">
        <v>4859</v>
      </c>
      <c r="I7" s="107" t="s">
        <v>4860</v>
      </c>
      <c r="J7" s="107" t="s">
        <v>4861</v>
      </c>
      <c r="K7" s="107" t="str">
        <f t="shared" si="1"/>
        <v>Sullivan | Rock Hill | 12775</v>
      </c>
      <c r="L7" s="111" t="str">
        <f t="shared" si="2"/>
        <v>Sullivan | Rock Hill | 12775 - Thompsons</v>
      </c>
      <c r="M7" s="107">
        <f t="shared" si="3"/>
        <v>9</v>
      </c>
      <c r="N7" s="107"/>
      <c r="O7" s="107"/>
      <c r="P7" s="107"/>
    </row>
    <row r="8">
      <c r="A8" s="102">
        <v>7.0</v>
      </c>
      <c r="B8" s="103" t="s">
        <v>3444</v>
      </c>
      <c r="C8" s="102"/>
      <c r="D8" s="104" t="s">
        <v>3442</v>
      </c>
      <c r="E8" s="104" t="s">
        <v>4862</v>
      </c>
      <c r="F8" s="104" t="s">
        <v>3443</v>
      </c>
      <c r="G8" s="104" t="s">
        <v>4844</v>
      </c>
      <c r="H8" s="104" t="s">
        <v>4863</v>
      </c>
      <c r="I8" s="114" t="s">
        <v>4864</v>
      </c>
      <c r="J8" s="104" t="s">
        <v>3452</v>
      </c>
      <c r="K8" s="102" t="str">
        <f t="shared" si="1"/>
        <v>District of Columbia | Washington | 20005</v>
      </c>
      <c r="L8" s="106" t="str">
        <f t="shared" si="2"/>
        <v>District of Columbia | Washington | 20005 - Downtown</v>
      </c>
      <c r="M8" s="102">
        <f t="shared" si="3"/>
        <v>8</v>
      </c>
      <c r="N8" s="102"/>
      <c r="O8" s="102"/>
      <c r="P8" s="102"/>
    </row>
    <row r="9">
      <c r="A9" s="107">
        <v>8.0</v>
      </c>
      <c r="B9" s="108" t="s">
        <v>374</v>
      </c>
      <c r="C9" s="107"/>
      <c r="D9" s="109" t="s">
        <v>372</v>
      </c>
      <c r="E9" s="109" t="s">
        <v>4865</v>
      </c>
      <c r="F9" s="109" t="s">
        <v>373</v>
      </c>
      <c r="G9" s="109" t="s">
        <v>4844</v>
      </c>
      <c r="H9" s="109" t="s">
        <v>4866</v>
      </c>
      <c r="I9" s="110" t="s">
        <v>4867</v>
      </c>
      <c r="J9" s="109" t="s">
        <v>380</v>
      </c>
      <c r="K9" s="107" t="str">
        <f t="shared" si="1"/>
        <v>Montgomery | Rockville | 20852</v>
      </c>
      <c r="L9" s="111" t="str">
        <f t="shared" si="2"/>
        <v>Montgomery | Rockville | 20852 - North Bethesda</v>
      </c>
      <c r="M9" s="107">
        <f t="shared" si="3"/>
        <v>14</v>
      </c>
      <c r="N9" s="107"/>
      <c r="O9" s="107"/>
      <c r="P9" s="107"/>
    </row>
    <row r="10">
      <c r="A10" s="102">
        <v>9.0</v>
      </c>
      <c r="B10" s="103" t="s">
        <v>2291</v>
      </c>
      <c r="C10" s="102"/>
      <c r="D10" s="104" t="s">
        <v>2290</v>
      </c>
      <c r="E10" s="104" t="s">
        <v>4865</v>
      </c>
      <c r="F10" s="104" t="s">
        <v>373</v>
      </c>
      <c r="G10" s="104" t="s">
        <v>4844</v>
      </c>
      <c r="H10" s="104" t="s">
        <v>4868</v>
      </c>
      <c r="I10" s="112" t="s">
        <v>4869</v>
      </c>
      <c r="J10" s="104" t="s">
        <v>2290</v>
      </c>
      <c r="K10" s="102" t="str">
        <f t="shared" si="1"/>
        <v>Montgomery | Germantown | 20874</v>
      </c>
      <c r="L10" s="106" t="str">
        <f t="shared" si="2"/>
        <v>Montgomery | Germantown | 20874 - Germantown</v>
      </c>
      <c r="M10" s="102">
        <f t="shared" si="3"/>
        <v>10</v>
      </c>
      <c r="N10" s="102"/>
      <c r="O10" s="102"/>
      <c r="P10" s="102"/>
    </row>
    <row r="11">
      <c r="A11" s="107">
        <v>10.0</v>
      </c>
      <c r="B11" s="108" t="s">
        <v>224</v>
      </c>
      <c r="C11" s="107"/>
      <c r="D11" s="109" t="s">
        <v>222</v>
      </c>
      <c r="E11" s="109" t="s">
        <v>4870</v>
      </c>
      <c r="F11" s="109" t="s">
        <v>223</v>
      </c>
      <c r="G11" s="109" t="s">
        <v>4844</v>
      </c>
      <c r="H11" s="109" t="s">
        <v>4871</v>
      </c>
      <c r="I11" s="110" t="s">
        <v>4872</v>
      </c>
      <c r="J11" s="109" t="s">
        <v>233</v>
      </c>
      <c r="K11" s="107" t="str">
        <f t="shared" si="1"/>
        <v>Chesterfield | Midlothian | 23112</v>
      </c>
      <c r="L11" s="111" t="str">
        <f t="shared" si="2"/>
        <v>Chesterfield | Midlothian | 23112 - Brandermill</v>
      </c>
      <c r="M11" s="107">
        <f t="shared" si="3"/>
        <v>11</v>
      </c>
      <c r="N11" s="107"/>
      <c r="O11" s="107"/>
      <c r="P11" s="107"/>
    </row>
    <row r="12">
      <c r="A12" s="102">
        <v>11.0</v>
      </c>
      <c r="B12" s="103" t="s">
        <v>3456</v>
      </c>
      <c r="C12" s="102"/>
      <c r="D12" s="104" t="s">
        <v>3455</v>
      </c>
      <c r="E12" s="104" t="s">
        <v>4873</v>
      </c>
      <c r="F12" s="104" t="s">
        <v>223</v>
      </c>
      <c r="G12" s="104" t="s">
        <v>4844</v>
      </c>
      <c r="H12" s="104" t="s">
        <v>4874</v>
      </c>
      <c r="I12" s="114" t="s">
        <v>4875</v>
      </c>
      <c r="J12" s="104" t="s">
        <v>3462</v>
      </c>
      <c r="K12" s="102" t="str">
        <f t="shared" si="1"/>
        <v>Hampton City | Hampton | 23666</v>
      </c>
      <c r="L12" s="106" t="str">
        <f t="shared" si="2"/>
        <v>Hampton City | Hampton | 23666 - Northampton</v>
      </c>
      <c r="M12" s="102">
        <f t="shared" si="3"/>
        <v>11</v>
      </c>
      <c r="N12" s="102"/>
      <c r="O12" s="102"/>
      <c r="P12" s="102"/>
    </row>
    <row r="13">
      <c r="A13" s="107">
        <v>12.0</v>
      </c>
      <c r="B13" s="108" t="s">
        <v>4548</v>
      </c>
      <c r="C13" s="107"/>
      <c r="D13" s="109" t="s">
        <v>4547</v>
      </c>
      <c r="E13" s="109" t="s">
        <v>4876</v>
      </c>
      <c r="F13" s="109" t="s">
        <v>364</v>
      </c>
      <c r="G13" s="109" t="s">
        <v>4844</v>
      </c>
      <c r="H13" s="109" t="s">
        <v>4877</v>
      </c>
      <c r="I13" s="110" t="s">
        <v>4878</v>
      </c>
      <c r="J13" s="109" t="s">
        <v>4554</v>
      </c>
      <c r="K13" s="107" t="str">
        <f t="shared" si="1"/>
        <v>Orange | Orlando | 32819</v>
      </c>
      <c r="L13" s="111" t="str">
        <f t="shared" si="2"/>
        <v>Orange | Orlando | 32819 - Florida Center</v>
      </c>
      <c r="M13" s="107">
        <f t="shared" si="3"/>
        <v>14</v>
      </c>
      <c r="N13" s="107"/>
      <c r="O13" s="107"/>
      <c r="P13" s="107"/>
    </row>
    <row r="14">
      <c r="A14" s="102">
        <v>13.0</v>
      </c>
      <c r="B14" s="102" t="s">
        <v>365</v>
      </c>
      <c r="C14" s="102"/>
      <c r="D14" s="104" t="s">
        <v>363</v>
      </c>
      <c r="E14" s="104" t="s">
        <v>4879</v>
      </c>
      <c r="F14" s="104" t="s">
        <v>364</v>
      </c>
      <c r="G14" s="104" t="s">
        <v>4844</v>
      </c>
      <c r="H14" s="104" t="s">
        <v>4880</v>
      </c>
      <c r="I14" s="114" t="s">
        <v>4881</v>
      </c>
      <c r="J14" s="104" t="s">
        <v>369</v>
      </c>
      <c r="K14" s="102" t="str">
        <f t="shared" si="1"/>
        <v>Lee | Fort Myers | 33913</v>
      </c>
      <c r="L14" s="106" t="str">
        <f t="shared" si="2"/>
        <v>Lee | Fort Myers | 33913 - Gateway</v>
      </c>
      <c r="M14" s="102">
        <f t="shared" si="3"/>
        <v>7</v>
      </c>
      <c r="N14" s="102"/>
      <c r="O14" s="102"/>
      <c r="P14" s="102"/>
    </row>
    <row r="15">
      <c r="A15" s="107">
        <v>14.0</v>
      </c>
      <c r="B15" s="108" t="s">
        <v>3479</v>
      </c>
      <c r="C15" s="107"/>
      <c r="D15" s="109" t="s">
        <v>3477</v>
      </c>
      <c r="E15" s="109" t="s">
        <v>4882</v>
      </c>
      <c r="F15" s="109" t="s">
        <v>3478</v>
      </c>
      <c r="G15" s="109" t="s">
        <v>4844</v>
      </c>
      <c r="H15" s="109" t="s">
        <v>3483</v>
      </c>
      <c r="I15" s="110" t="s">
        <v>4883</v>
      </c>
      <c r="J15" s="107" t="s">
        <v>3484</v>
      </c>
      <c r="K15" s="107" t="str">
        <f t="shared" si="1"/>
        <v>Oakland | Southfield | 48037</v>
      </c>
      <c r="L15" s="111" t="str">
        <f t="shared" si="2"/>
        <v>Oakland | Southfield | 48037 - P.O. Boxes</v>
      </c>
      <c r="M15" s="107">
        <f t="shared" si="3"/>
        <v>10</v>
      </c>
      <c r="N15" s="107"/>
      <c r="O15" s="107"/>
      <c r="P15" s="107"/>
    </row>
    <row r="16">
      <c r="A16" s="102">
        <v>15.0</v>
      </c>
      <c r="B16" s="102" t="s">
        <v>3664</v>
      </c>
      <c r="C16" s="102"/>
      <c r="D16" s="102" t="s">
        <v>3662</v>
      </c>
      <c r="E16" s="102" t="s">
        <v>4884</v>
      </c>
      <c r="F16" s="102" t="s">
        <v>3663</v>
      </c>
      <c r="G16" s="102" t="s">
        <v>4844</v>
      </c>
      <c r="H16" s="102" t="s">
        <v>3669</v>
      </c>
      <c r="I16" s="102" t="s">
        <v>4885</v>
      </c>
      <c r="J16" s="102" t="s">
        <v>3484</v>
      </c>
      <c r="K16" s="102" t="str">
        <f t="shared" si="1"/>
        <v>Cook | Palatine | 60078</v>
      </c>
      <c r="L16" s="106" t="str">
        <f t="shared" si="2"/>
        <v>Cook | Palatine | 60078 - P.O. Boxes</v>
      </c>
      <c r="M16" s="102">
        <f t="shared" si="3"/>
        <v>10</v>
      </c>
      <c r="N16" s="102"/>
      <c r="O16" s="102"/>
      <c r="P16" s="102"/>
    </row>
    <row r="17">
      <c r="A17" s="107">
        <v>16.0</v>
      </c>
      <c r="B17" s="108" t="s">
        <v>1849</v>
      </c>
      <c r="C17" s="107"/>
      <c r="D17" s="109" t="s">
        <v>1848</v>
      </c>
      <c r="E17" s="109" t="s">
        <v>4886</v>
      </c>
      <c r="F17" s="109" t="s">
        <v>37</v>
      </c>
      <c r="G17" s="109" t="s">
        <v>4844</v>
      </c>
      <c r="H17" s="109" t="s">
        <v>4887</v>
      </c>
      <c r="I17" s="113" t="s">
        <v>4888</v>
      </c>
      <c r="J17" s="109" t="s">
        <v>1848</v>
      </c>
      <c r="K17" s="107" t="str">
        <f t="shared" si="1"/>
        <v>Collin | Frisco | 75034</v>
      </c>
      <c r="L17" s="111" t="str">
        <f t="shared" si="2"/>
        <v>Collin | Frisco | 75034 - Frisco</v>
      </c>
      <c r="M17" s="107">
        <f t="shared" si="3"/>
        <v>6</v>
      </c>
      <c r="N17" s="107"/>
      <c r="O17" s="107"/>
      <c r="P17" s="107"/>
    </row>
    <row r="18">
      <c r="A18" s="102">
        <v>17.0</v>
      </c>
      <c r="B18" s="102" t="s">
        <v>2936</v>
      </c>
      <c r="C18" s="102"/>
      <c r="D18" s="104" t="s">
        <v>2935</v>
      </c>
      <c r="E18" s="104" t="s">
        <v>4889</v>
      </c>
      <c r="F18" s="104" t="s">
        <v>37</v>
      </c>
      <c r="G18" s="104" t="s">
        <v>4844</v>
      </c>
      <c r="H18" s="104" t="s">
        <v>4890</v>
      </c>
      <c r="I18" s="114" t="s">
        <v>4891</v>
      </c>
      <c r="J18" s="104" t="s">
        <v>2935</v>
      </c>
      <c r="K18" s="102" t="str">
        <f t="shared" si="1"/>
        <v>Dallas | Irving | 75061</v>
      </c>
      <c r="L18" s="106" t="str">
        <f t="shared" si="2"/>
        <v>Dallas | Irving | 75061 - Irving</v>
      </c>
      <c r="M18" s="102">
        <f t="shared" si="3"/>
        <v>6</v>
      </c>
      <c r="N18" s="102"/>
      <c r="O18" s="102">
        <f t="array" ref="O18:O87">sort(unique(M6:M285))</f>
        <v>3</v>
      </c>
      <c r="P18" s="102">
        <f t="shared" ref="P18:P86" si="4">countif($M$6:$M285,O18)</f>
        <v>1</v>
      </c>
    </row>
    <row r="19">
      <c r="A19" s="107">
        <v>18.0</v>
      </c>
      <c r="B19" s="107" t="s">
        <v>3024</v>
      </c>
      <c r="C19" s="107"/>
      <c r="D19" s="107" t="s">
        <v>3023</v>
      </c>
      <c r="E19" s="107" t="s">
        <v>4892</v>
      </c>
      <c r="F19" s="107" t="s">
        <v>37</v>
      </c>
      <c r="G19" s="107" t="s">
        <v>4844</v>
      </c>
      <c r="H19" s="107" t="s">
        <v>4893</v>
      </c>
      <c r="I19" s="107" t="s">
        <v>4894</v>
      </c>
      <c r="J19" s="107" t="s">
        <v>3023</v>
      </c>
      <c r="K19" s="107" t="str">
        <f t="shared" si="1"/>
        <v>Tarrant | Keller | 76248</v>
      </c>
      <c r="L19" s="111" t="str">
        <f t="shared" si="2"/>
        <v>Tarrant | Keller | 76248 - Keller</v>
      </c>
      <c r="M19" s="107">
        <f t="shared" si="3"/>
        <v>6</v>
      </c>
      <c r="N19" s="107"/>
      <c r="O19" s="107">
        <v>5.0</v>
      </c>
      <c r="P19" s="107">
        <f t="shared" si="4"/>
        <v>8</v>
      </c>
    </row>
    <row r="20">
      <c r="A20" s="102">
        <v>19.0</v>
      </c>
      <c r="B20" s="103" t="s">
        <v>4522</v>
      </c>
      <c r="C20" s="102"/>
      <c r="D20" s="104" t="s">
        <v>4521</v>
      </c>
      <c r="E20" s="104" t="s">
        <v>4895</v>
      </c>
      <c r="F20" s="104" t="s">
        <v>37</v>
      </c>
      <c r="G20" s="104" t="s">
        <v>4844</v>
      </c>
      <c r="H20" s="115" t="s">
        <v>4896</v>
      </c>
      <c r="I20" s="114" t="s">
        <v>4897</v>
      </c>
      <c r="J20" s="104" t="s">
        <v>4521</v>
      </c>
      <c r="K20" s="102" t="str">
        <f t="shared" si="1"/>
        <v>Bell | Salado | 76571</v>
      </c>
      <c r="L20" s="106" t="str">
        <f t="shared" si="2"/>
        <v>Bell | Salado | 76571 - Salado</v>
      </c>
      <c r="M20" s="102">
        <f t="shared" si="3"/>
        <v>6</v>
      </c>
      <c r="N20" s="102"/>
      <c r="O20" s="102">
        <v>6.0</v>
      </c>
      <c r="P20" s="102">
        <f t="shared" si="4"/>
        <v>25</v>
      </c>
    </row>
    <row r="21">
      <c r="A21" s="107">
        <v>20.0</v>
      </c>
      <c r="B21" s="107" t="s">
        <v>270</v>
      </c>
      <c r="C21" s="107"/>
      <c r="D21" s="107" t="s">
        <v>36</v>
      </c>
      <c r="E21" s="107" t="s">
        <v>252</v>
      </c>
      <c r="F21" s="107" t="s">
        <v>37</v>
      </c>
      <c r="G21" s="107" t="s">
        <v>4898</v>
      </c>
      <c r="H21" s="107" t="s">
        <v>1162</v>
      </c>
      <c r="I21" s="107" t="s">
        <v>4899</v>
      </c>
      <c r="J21" s="109" t="s">
        <v>4900</v>
      </c>
      <c r="K21" s="107" t="str">
        <f t="shared" si="1"/>
        <v>Harris | Houston | 77002</v>
      </c>
      <c r="L21" s="111" t="str">
        <f t="shared" si="2"/>
        <v>Harris | Houston | 77002 - Central Business District, Downtown Houston, East Downtown, South Central Houston, Theater District, University Place, Warehouse District</v>
      </c>
      <c r="M21" s="107">
        <f t="shared" si="3"/>
        <v>137</v>
      </c>
      <c r="N21" s="107"/>
      <c r="O21" s="107">
        <v>7.0</v>
      </c>
      <c r="P21" s="107">
        <f t="shared" si="4"/>
        <v>13</v>
      </c>
    </row>
    <row r="22">
      <c r="A22" s="102">
        <v>21.0</v>
      </c>
      <c r="B22" s="102" t="s">
        <v>557</v>
      </c>
      <c r="C22" s="102"/>
      <c r="D22" s="102" t="s">
        <v>36</v>
      </c>
      <c r="E22" s="102" t="s">
        <v>252</v>
      </c>
      <c r="F22" s="102" t="s">
        <v>37</v>
      </c>
      <c r="G22" s="102" t="s">
        <v>4898</v>
      </c>
      <c r="H22" s="102" t="s">
        <v>4901</v>
      </c>
      <c r="I22" s="102" t="s">
        <v>4902</v>
      </c>
      <c r="J22" s="104" t="s">
        <v>4903</v>
      </c>
      <c r="K22" s="102" t="str">
        <f t="shared" si="1"/>
        <v>Harris | Houston | 77003</v>
      </c>
      <c r="L22" s="106" t="str">
        <f t="shared" si="2"/>
        <v>Harris | Houston | 77003 - East Downtown, Downtown Houston, Second Ward, South Central Houston, South Side</v>
      </c>
      <c r="M22" s="102">
        <f t="shared" si="3"/>
        <v>79</v>
      </c>
      <c r="N22" s="102"/>
      <c r="O22" s="102">
        <v>8.0</v>
      </c>
      <c r="P22" s="102">
        <f t="shared" si="4"/>
        <v>18</v>
      </c>
    </row>
    <row r="23">
      <c r="A23" s="107">
        <v>22.0</v>
      </c>
      <c r="B23" s="107" t="s">
        <v>749</v>
      </c>
      <c r="C23" s="107"/>
      <c r="D23" s="107" t="s">
        <v>36</v>
      </c>
      <c r="E23" s="107" t="s">
        <v>252</v>
      </c>
      <c r="F23" s="107" t="s">
        <v>37</v>
      </c>
      <c r="G23" s="107" t="s">
        <v>4898</v>
      </c>
      <c r="H23" s="107" t="s">
        <v>4904</v>
      </c>
      <c r="I23" s="107" t="s">
        <v>4905</v>
      </c>
      <c r="J23" s="109" t="s">
        <v>4906</v>
      </c>
      <c r="K23" s="107" t="str">
        <f t="shared" si="1"/>
        <v>Harris | Houston | 77004</v>
      </c>
      <c r="L23" s="111" t="str">
        <f t="shared" si="2"/>
        <v>Harris | Houston | 77004 - East Downtown, Downtown Houston, Houston Museum District, Midtown, Museum District, South Central Houston, South Side, Third Ward, University Place</v>
      </c>
      <c r="M23" s="107">
        <f t="shared" si="3"/>
        <v>147</v>
      </c>
      <c r="N23" s="107"/>
      <c r="O23" s="107">
        <v>9.0</v>
      </c>
      <c r="P23" s="107">
        <f t="shared" si="4"/>
        <v>27</v>
      </c>
    </row>
    <row r="24">
      <c r="A24" s="102">
        <v>23.0</v>
      </c>
      <c r="B24" s="102" t="s">
        <v>3581</v>
      </c>
      <c r="C24" s="102"/>
      <c r="D24" s="102" t="s">
        <v>36</v>
      </c>
      <c r="E24" s="102" t="s">
        <v>252</v>
      </c>
      <c r="F24" s="102" t="s">
        <v>37</v>
      </c>
      <c r="G24" s="102" t="s">
        <v>4898</v>
      </c>
      <c r="H24" s="102" t="s">
        <v>4907</v>
      </c>
      <c r="I24" s="102" t="s">
        <v>4908</v>
      </c>
      <c r="J24" s="102" t="s">
        <v>4909</v>
      </c>
      <c r="K24" s="102" t="str">
        <f t="shared" si="1"/>
        <v>Harris | Houston | 77005</v>
      </c>
      <c r="L24" s="106" t="str">
        <f t="shared" si="2"/>
        <v>Harris | Houston | 77005 - Greenway / Upper Kirby Area, Rice Village, Southside Place, West University Place</v>
      </c>
      <c r="M24" s="102">
        <f t="shared" si="3"/>
        <v>81</v>
      </c>
      <c r="N24" s="102"/>
      <c r="O24" s="102">
        <v>10.0</v>
      </c>
      <c r="P24" s="102">
        <f t="shared" si="4"/>
        <v>20</v>
      </c>
    </row>
    <row r="25">
      <c r="A25" s="107">
        <v>24.0</v>
      </c>
      <c r="B25" s="107" t="s">
        <v>514</v>
      </c>
      <c r="C25" s="107"/>
      <c r="D25" s="107" t="s">
        <v>36</v>
      </c>
      <c r="E25" s="107" t="s">
        <v>252</v>
      </c>
      <c r="F25" s="107" t="s">
        <v>37</v>
      </c>
      <c r="G25" s="107" t="s">
        <v>4898</v>
      </c>
      <c r="H25" s="107" t="s">
        <v>4910</v>
      </c>
      <c r="I25" s="107" t="s">
        <v>4911</v>
      </c>
      <c r="J25" s="107" t="s">
        <v>4912</v>
      </c>
      <c r="K25" s="107" t="str">
        <f t="shared" si="1"/>
        <v>Harris | Houston | 77006</v>
      </c>
      <c r="L25" s="111" t="str">
        <f t="shared" si="2"/>
        <v>Harris | Houston | 77006 - Hyde Park, Montrose, South Central Houston</v>
      </c>
      <c r="M25" s="107">
        <f t="shared" si="3"/>
        <v>42</v>
      </c>
      <c r="N25" s="107"/>
      <c r="O25" s="107">
        <v>11.0</v>
      </c>
      <c r="P25" s="107">
        <f t="shared" si="4"/>
        <v>9</v>
      </c>
    </row>
    <row r="26">
      <c r="A26" s="102">
        <v>25.0</v>
      </c>
      <c r="B26" s="102" t="s">
        <v>1023</v>
      </c>
      <c r="C26" s="102"/>
      <c r="D26" s="102" t="s">
        <v>36</v>
      </c>
      <c r="E26" s="102" t="s">
        <v>252</v>
      </c>
      <c r="F26" s="102" t="s">
        <v>37</v>
      </c>
      <c r="G26" s="102" t="s">
        <v>4898</v>
      </c>
      <c r="H26" s="102" t="s">
        <v>4913</v>
      </c>
      <c r="I26" s="102" t="s">
        <v>4914</v>
      </c>
      <c r="J26" s="102" t="s">
        <v>4915</v>
      </c>
      <c r="K26" s="102" t="str">
        <f t="shared" si="1"/>
        <v>Harris | Houston | 77007</v>
      </c>
      <c r="L26" s="106" t="str">
        <f t="shared" si="2"/>
        <v>Harris | Houston | 77007 - Downtown Houston, Memorial Park, Rice Military, Sawyer Heights, Washington Avenue Coalition / Memorial Park, Washington Corridor</v>
      </c>
      <c r="M26" s="102">
        <f t="shared" si="3"/>
        <v>128</v>
      </c>
      <c r="N26" s="102"/>
      <c r="O26" s="102">
        <v>12.0</v>
      </c>
      <c r="P26" s="102">
        <f t="shared" si="4"/>
        <v>2</v>
      </c>
    </row>
    <row r="27">
      <c r="A27" s="107">
        <v>26.0</v>
      </c>
      <c r="B27" s="107" t="s">
        <v>349</v>
      </c>
      <c r="C27" s="107"/>
      <c r="D27" s="107" t="s">
        <v>36</v>
      </c>
      <c r="E27" s="107" t="s">
        <v>252</v>
      </c>
      <c r="F27" s="107" t="s">
        <v>37</v>
      </c>
      <c r="G27" s="107" t="s">
        <v>4898</v>
      </c>
      <c r="H27" s="107" t="s">
        <v>4916</v>
      </c>
      <c r="I27" s="107" t="s">
        <v>4917</v>
      </c>
      <c r="J27" s="107" t="s">
        <v>4918</v>
      </c>
      <c r="K27" s="107" t="str">
        <f t="shared" si="1"/>
        <v>Harris | Houston | 77008</v>
      </c>
      <c r="L27" s="111" t="str">
        <f t="shared" si="2"/>
        <v>Harris | Houston | 77008 - Lazybrook / Timbergrove, Northside, Shady Acres, The Heights, Timbergrove</v>
      </c>
      <c r="M27" s="107">
        <f t="shared" si="3"/>
        <v>73</v>
      </c>
      <c r="N27" s="107"/>
      <c r="O27" s="107">
        <v>13.0</v>
      </c>
      <c r="P27" s="107">
        <f t="shared" si="4"/>
        <v>5</v>
      </c>
    </row>
    <row r="28">
      <c r="A28" s="102">
        <v>27.0</v>
      </c>
      <c r="B28" s="102" t="s">
        <v>2102</v>
      </c>
      <c r="C28" s="102"/>
      <c r="D28" s="102" t="s">
        <v>36</v>
      </c>
      <c r="E28" s="102" t="s">
        <v>252</v>
      </c>
      <c r="F28" s="102" t="s">
        <v>37</v>
      </c>
      <c r="G28" s="102" t="s">
        <v>4898</v>
      </c>
      <c r="H28" s="102" t="s">
        <v>4919</v>
      </c>
      <c r="I28" s="102" t="s">
        <v>4920</v>
      </c>
      <c r="J28" s="102" t="s">
        <v>4921</v>
      </c>
      <c r="K28" s="102" t="str">
        <f t="shared" si="1"/>
        <v>Harris | Houston | 77009</v>
      </c>
      <c r="L28" s="106" t="str">
        <f t="shared" si="2"/>
        <v>Harris | Houston | 77009 - Lindale Park, Near Northside, Northside, Woodland Heights</v>
      </c>
      <c r="M28" s="102">
        <f t="shared" si="3"/>
        <v>57</v>
      </c>
      <c r="N28" s="102"/>
      <c r="O28" s="102">
        <v>14.0</v>
      </c>
      <c r="P28" s="102">
        <f t="shared" si="4"/>
        <v>4</v>
      </c>
    </row>
    <row r="29">
      <c r="A29" s="107">
        <v>28.0</v>
      </c>
      <c r="B29" s="107" t="s">
        <v>4922</v>
      </c>
      <c r="C29" s="107"/>
      <c r="D29" s="107" t="s">
        <v>36</v>
      </c>
      <c r="E29" s="107" t="s">
        <v>252</v>
      </c>
      <c r="F29" s="107" t="s">
        <v>37</v>
      </c>
      <c r="G29" s="107" t="s">
        <v>4898</v>
      </c>
      <c r="H29" s="107" t="s">
        <v>4923</v>
      </c>
      <c r="I29" s="107" t="s">
        <v>4924</v>
      </c>
      <c r="J29" s="109" t="s">
        <v>4925</v>
      </c>
      <c r="K29" s="107" t="str">
        <f t="shared" si="1"/>
        <v>Harris | Houston | 77010</v>
      </c>
      <c r="L29" s="111" t="str">
        <f t="shared" si="2"/>
        <v>Harris | Houston | 77010 - Discovery Green, Downtown (Convention District), Downtown Houston</v>
      </c>
      <c r="M29" s="107">
        <f t="shared" si="3"/>
        <v>65</v>
      </c>
      <c r="N29" s="107"/>
      <c r="O29" s="107">
        <v>15.0</v>
      </c>
      <c r="P29" s="107">
        <f t="shared" si="4"/>
        <v>1</v>
      </c>
    </row>
    <row r="30">
      <c r="A30" s="102">
        <v>29.0</v>
      </c>
      <c r="B30" s="102" t="s">
        <v>542</v>
      </c>
      <c r="C30" s="102"/>
      <c r="D30" s="102" t="s">
        <v>36</v>
      </c>
      <c r="E30" s="102" t="s">
        <v>252</v>
      </c>
      <c r="F30" s="102" t="s">
        <v>37</v>
      </c>
      <c r="G30" s="102" t="s">
        <v>4898</v>
      </c>
      <c r="H30" s="102" t="s">
        <v>4926</v>
      </c>
      <c r="I30" s="102" t="s">
        <v>4927</v>
      </c>
      <c r="J30" s="102" t="s">
        <v>4928</v>
      </c>
      <c r="K30" s="102" t="str">
        <f t="shared" si="1"/>
        <v>Harris | Houston | 77011</v>
      </c>
      <c r="L30" s="106" t="str">
        <f t="shared" si="2"/>
        <v>Harris | Houston | 77011 - Eastwood, Magnolia Park, Second Ward, South Central Houston</v>
      </c>
      <c r="M30" s="102">
        <f t="shared" si="3"/>
        <v>59</v>
      </c>
      <c r="N30" s="102"/>
      <c r="O30" s="102">
        <v>16.0</v>
      </c>
      <c r="P30" s="102">
        <f t="shared" si="4"/>
        <v>3</v>
      </c>
    </row>
    <row r="31">
      <c r="A31" s="107">
        <v>30.0</v>
      </c>
      <c r="B31" s="107" t="s">
        <v>857</v>
      </c>
      <c r="C31" s="107"/>
      <c r="D31" s="107" t="s">
        <v>36</v>
      </c>
      <c r="E31" s="107" t="s">
        <v>252</v>
      </c>
      <c r="F31" s="107" t="s">
        <v>37</v>
      </c>
      <c r="G31" s="107" t="s">
        <v>4898</v>
      </c>
      <c r="H31" s="107" t="s">
        <v>4929</v>
      </c>
      <c r="I31" s="107" t="s">
        <v>4930</v>
      </c>
      <c r="J31" s="107" t="s">
        <v>4931</v>
      </c>
      <c r="K31" s="107" t="str">
        <f t="shared" si="1"/>
        <v>Harris | Houston | 77012</v>
      </c>
      <c r="L31" s="111" t="str">
        <f t="shared" si="2"/>
        <v>Harris | Houston | 77012 - Greater East End, Harrisburg, Magnolia Park</v>
      </c>
      <c r="M31" s="107">
        <f t="shared" si="3"/>
        <v>43</v>
      </c>
      <c r="N31" s="107"/>
      <c r="O31" s="107">
        <v>17.0</v>
      </c>
      <c r="P31" s="107">
        <f t="shared" si="4"/>
        <v>1</v>
      </c>
    </row>
    <row r="32">
      <c r="A32" s="102">
        <v>31.0</v>
      </c>
      <c r="B32" s="102" t="s">
        <v>2023</v>
      </c>
      <c r="C32" s="102"/>
      <c r="D32" s="102" t="s">
        <v>36</v>
      </c>
      <c r="E32" s="102" t="s">
        <v>252</v>
      </c>
      <c r="F32" s="102" t="s">
        <v>37</v>
      </c>
      <c r="G32" s="102" t="s">
        <v>4898</v>
      </c>
      <c r="H32" s="102" t="s">
        <v>4932</v>
      </c>
      <c r="I32" s="102" t="s">
        <v>4933</v>
      </c>
      <c r="J32" s="102" t="s">
        <v>4934</v>
      </c>
      <c r="K32" s="102" t="str">
        <f t="shared" si="1"/>
        <v>Harris | Houston | 77013</v>
      </c>
      <c r="L32" s="106" t="str">
        <f t="shared" si="2"/>
        <v>Harris | Houston | 77013 - El Dorado / Oates Prairie, Pleasantville</v>
      </c>
      <c r="M32" s="102">
        <f t="shared" si="3"/>
        <v>40</v>
      </c>
      <c r="N32" s="102"/>
      <c r="O32" s="102">
        <v>18.0</v>
      </c>
      <c r="P32" s="102">
        <f t="shared" si="4"/>
        <v>4</v>
      </c>
    </row>
    <row r="33">
      <c r="A33" s="107">
        <v>32.0</v>
      </c>
      <c r="B33" s="107" t="s">
        <v>1388</v>
      </c>
      <c r="C33" s="107"/>
      <c r="D33" s="107" t="s">
        <v>36</v>
      </c>
      <c r="E33" s="107" t="s">
        <v>252</v>
      </c>
      <c r="F33" s="107" t="s">
        <v>37</v>
      </c>
      <c r="G33" s="107" t="s">
        <v>4898</v>
      </c>
      <c r="H33" s="107" t="s">
        <v>4935</v>
      </c>
      <c r="I33" s="107" t="s">
        <v>4936</v>
      </c>
      <c r="J33" s="107" t="s">
        <v>4937</v>
      </c>
      <c r="K33" s="107" t="str">
        <f t="shared" si="1"/>
        <v>Harris | Houston | 77014</v>
      </c>
      <c r="L33" s="111" t="str">
        <f t="shared" si="2"/>
        <v>Harris | Houston | 77014 - Bammel Village, Cornerstone Village North, Northchase</v>
      </c>
      <c r="M33" s="107">
        <f t="shared" si="3"/>
        <v>53</v>
      </c>
      <c r="N33" s="107"/>
      <c r="O33" s="107">
        <v>19.0</v>
      </c>
      <c r="P33" s="107">
        <f t="shared" si="4"/>
        <v>5</v>
      </c>
    </row>
    <row r="34">
      <c r="A34" s="102">
        <v>33.0</v>
      </c>
      <c r="B34" s="102" t="s">
        <v>2818</v>
      </c>
      <c r="C34" s="102"/>
      <c r="D34" s="102" t="s">
        <v>36</v>
      </c>
      <c r="E34" s="102" t="s">
        <v>252</v>
      </c>
      <c r="F34" s="102" t="s">
        <v>37</v>
      </c>
      <c r="G34" s="102" t="s">
        <v>4898</v>
      </c>
      <c r="H34" s="102" t="s">
        <v>4938</v>
      </c>
      <c r="I34" s="102" t="s">
        <v>4939</v>
      </c>
      <c r="J34" s="102" t="s">
        <v>4940</v>
      </c>
      <c r="K34" s="102" t="str">
        <f t="shared" si="1"/>
        <v>Harris | Houston | 77015</v>
      </c>
      <c r="L34" s="106" t="str">
        <f t="shared" si="2"/>
        <v>Harris | Houston | 77015 - Cloverleaf, Northeast Houston, Northshore</v>
      </c>
      <c r="M34" s="102">
        <f t="shared" si="3"/>
        <v>41</v>
      </c>
      <c r="N34" s="102"/>
      <c r="O34" s="102">
        <v>20.0</v>
      </c>
      <c r="P34" s="102">
        <f t="shared" si="4"/>
        <v>6</v>
      </c>
    </row>
    <row r="35">
      <c r="A35" s="107">
        <v>34.0</v>
      </c>
      <c r="B35" s="107" t="s">
        <v>3327</v>
      </c>
      <c r="C35" s="107"/>
      <c r="D35" s="107" t="s">
        <v>36</v>
      </c>
      <c r="E35" s="107" t="s">
        <v>252</v>
      </c>
      <c r="F35" s="107" t="s">
        <v>37</v>
      </c>
      <c r="G35" s="107" t="s">
        <v>4898</v>
      </c>
      <c r="H35" s="107" t="s">
        <v>4941</v>
      </c>
      <c r="I35" s="107" t="s">
        <v>4942</v>
      </c>
      <c r="J35" s="107" t="s">
        <v>4943</v>
      </c>
      <c r="K35" s="107" t="str">
        <f t="shared" si="1"/>
        <v>Harris | Houston | 77016</v>
      </c>
      <c r="L35" s="111" t="str">
        <f t="shared" si="2"/>
        <v>Harris | Houston | 77016 - East Little York, Trinity Gardens</v>
      </c>
      <c r="M35" s="107">
        <f t="shared" si="3"/>
        <v>33</v>
      </c>
      <c r="N35" s="107"/>
      <c r="O35" s="107">
        <v>22.0</v>
      </c>
      <c r="P35" s="107">
        <f t="shared" si="4"/>
        <v>4</v>
      </c>
    </row>
    <row r="36">
      <c r="A36" s="102">
        <v>35.0</v>
      </c>
      <c r="B36" s="102" t="s">
        <v>1236</v>
      </c>
      <c r="C36" s="102"/>
      <c r="D36" s="102" t="s">
        <v>36</v>
      </c>
      <c r="E36" s="102" t="s">
        <v>252</v>
      </c>
      <c r="F36" s="102" t="s">
        <v>37</v>
      </c>
      <c r="G36" s="102" t="s">
        <v>4898</v>
      </c>
      <c r="H36" s="102" t="s">
        <v>4944</v>
      </c>
      <c r="I36" s="102" t="s">
        <v>4945</v>
      </c>
      <c r="J36" s="102" t="s">
        <v>4946</v>
      </c>
      <c r="K36" s="102" t="str">
        <f t="shared" si="1"/>
        <v>Harris | Houston | 77017</v>
      </c>
      <c r="L36" s="106" t="str">
        <f t="shared" si="2"/>
        <v>Harris | Houston | 77017 - Meadowbrook / Allendale, Meadowcreek Village, Park Place</v>
      </c>
      <c r="M36" s="102">
        <f t="shared" si="3"/>
        <v>56</v>
      </c>
      <c r="N36" s="102"/>
      <c r="O36" s="102">
        <v>23.0</v>
      </c>
      <c r="P36" s="102">
        <f t="shared" si="4"/>
        <v>2</v>
      </c>
    </row>
    <row r="37">
      <c r="A37" s="107">
        <v>36.0</v>
      </c>
      <c r="B37" s="107" t="s">
        <v>2179</v>
      </c>
      <c r="C37" s="107"/>
      <c r="D37" s="107" t="s">
        <v>36</v>
      </c>
      <c r="E37" s="107" t="s">
        <v>252</v>
      </c>
      <c r="F37" s="107" t="s">
        <v>37</v>
      </c>
      <c r="G37" s="107" t="s">
        <v>4898</v>
      </c>
      <c r="H37" s="107" t="s">
        <v>4947</v>
      </c>
      <c r="I37" s="107" t="s">
        <v>4948</v>
      </c>
      <c r="J37" s="107" t="s">
        <v>4949</v>
      </c>
      <c r="K37" s="107" t="str">
        <f t="shared" si="1"/>
        <v>Harris | Houston | 77018</v>
      </c>
      <c r="L37" s="111" t="str">
        <f t="shared" si="2"/>
        <v>Harris | Houston | 77018 - Central Northwest, Garden Oaks, Northside, Oak Forest</v>
      </c>
      <c r="M37" s="107">
        <f t="shared" si="3"/>
        <v>53</v>
      </c>
      <c r="N37" s="107"/>
      <c r="O37" s="107">
        <v>24.0</v>
      </c>
      <c r="P37" s="107">
        <f t="shared" si="4"/>
        <v>2</v>
      </c>
    </row>
    <row r="38">
      <c r="A38" s="102">
        <v>37.0</v>
      </c>
      <c r="B38" s="102" t="s">
        <v>4615</v>
      </c>
      <c r="C38" s="102"/>
      <c r="D38" s="102" t="s">
        <v>36</v>
      </c>
      <c r="E38" s="102" t="s">
        <v>252</v>
      </c>
      <c r="F38" s="102" t="s">
        <v>37</v>
      </c>
      <c r="G38" s="102" t="s">
        <v>4898</v>
      </c>
      <c r="H38" s="102" t="s">
        <v>4950</v>
      </c>
      <c r="I38" s="102" t="s">
        <v>4951</v>
      </c>
      <c r="J38" s="102" t="s">
        <v>4952</v>
      </c>
      <c r="K38" s="102" t="str">
        <f t="shared" si="1"/>
        <v>Harris | Houston | 77019</v>
      </c>
      <c r="L38" s="106" t="str">
        <f t="shared" si="2"/>
        <v>Harris | Houston | 77019 - Fourth Ward, Montrose, River Oaks</v>
      </c>
      <c r="M38" s="102">
        <f t="shared" si="3"/>
        <v>33</v>
      </c>
      <c r="N38" s="102"/>
      <c r="O38" s="102">
        <v>25.0</v>
      </c>
      <c r="P38" s="102">
        <f t="shared" si="4"/>
        <v>2</v>
      </c>
    </row>
    <row r="39">
      <c r="A39" s="107">
        <v>38.0</v>
      </c>
      <c r="B39" s="107" t="s">
        <v>846</v>
      </c>
      <c r="C39" s="107"/>
      <c r="D39" s="107" t="s">
        <v>36</v>
      </c>
      <c r="E39" s="107" t="s">
        <v>252</v>
      </c>
      <c r="F39" s="107" t="s">
        <v>37</v>
      </c>
      <c r="G39" s="107" t="s">
        <v>4898</v>
      </c>
      <c r="H39" s="107" t="s">
        <v>4953</v>
      </c>
      <c r="I39" s="107" t="s">
        <v>4954</v>
      </c>
      <c r="J39" s="107" t="s">
        <v>4955</v>
      </c>
      <c r="K39" s="107" t="str">
        <f t="shared" si="1"/>
        <v>Harris | Houston | 77020</v>
      </c>
      <c r="L39" s="111" t="str">
        <f t="shared" si="2"/>
        <v>Harris | Houston | 77020 - Denver Harbor / Port Houston, Fifth Ward, Northside</v>
      </c>
      <c r="M39" s="107">
        <f t="shared" si="3"/>
        <v>51</v>
      </c>
      <c r="N39" s="107"/>
      <c r="O39" s="107">
        <v>26.0</v>
      </c>
      <c r="P39" s="107">
        <f t="shared" si="4"/>
        <v>3</v>
      </c>
    </row>
    <row r="40">
      <c r="A40" s="102">
        <v>39.0</v>
      </c>
      <c r="B40" s="102" t="s">
        <v>38</v>
      </c>
      <c r="C40" s="102"/>
      <c r="D40" s="102" t="s">
        <v>36</v>
      </c>
      <c r="E40" s="102" t="s">
        <v>252</v>
      </c>
      <c r="F40" s="102" t="s">
        <v>37</v>
      </c>
      <c r="G40" s="102" t="s">
        <v>4898</v>
      </c>
      <c r="H40" s="102" t="s">
        <v>4956</v>
      </c>
      <c r="I40" s="102" t="s">
        <v>4957</v>
      </c>
      <c r="J40" s="102" t="s">
        <v>4958</v>
      </c>
      <c r="K40" s="102" t="str">
        <f t="shared" si="1"/>
        <v>Harris | Houston | 77021</v>
      </c>
      <c r="L40" s="106" t="str">
        <f t="shared" si="2"/>
        <v>Harris | Houston | 77021 - MacGregor, Riverside Terrace, South Side</v>
      </c>
      <c r="M40" s="102">
        <f t="shared" si="3"/>
        <v>40</v>
      </c>
      <c r="N40" s="102"/>
      <c r="O40" s="102">
        <v>27.0</v>
      </c>
      <c r="P40" s="102">
        <f t="shared" si="4"/>
        <v>2</v>
      </c>
    </row>
    <row r="41">
      <c r="A41" s="107">
        <v>40.0</v>
      </c>
      <c r="B41" s="107" t="s">
        <v>876</v>
      </c>
      <c r="C41" s="107"/>
      <c r="D41" s="107" t="s">
        <v>36</v>
      </c>
      <c r="E41" s="107" t="s">
        <v>252</v>
      </c>
      <c r="F41" s="107" t="s">
        <v>37</v>
      </c>
      <c r="G41" s="107" t="s">
        <v>4898</v>
      </c>
      <c r="H41" s="107" t="s">
        <v>4959</v>
      </c>
      <c r="I41" s="107" t="s">
        <v>4960</v>
      </c>
      <c r="J41" s="107" t="s">
        <v>4961</v>
      </c>
      <c r="K41" s="107" t="str">
        <f t="shared" si="1"/>
        <v>Harris | Houston | 77022</v>
      </c>
      <c r="L41" s="111" t="str">
        <f t="shared" si="2"/>
        <v>Harris | Houston | 77022 - Independence Heights, Northline, Northside / Northline</v>
      </c>
      <c r="M41" s="107">
        <f t="shared" si="3"/>
        <v>54</v>
      </c>
      <c r="N41" s="107"/>
      <c r="O41" s="107">
        <v>28.0</v>
      </c>
      <c r="P41" s="107">
        <f t="shared" si="4"/>
        <v>5</v>
      </c>
    </row>
    <row r="42">
      <c r="A42" s="102">
        <v>41.0</v>
      </c>
      <c r="B42" s="102" t="s">
        <v>77</v>
      </c>
      <c r="C42" s="102"/>
      <c r="D42" s="102" t="s">
        <v>36</v>
      </c>
      <c r="E42" s="102" t="s">
        <v>252</v>
      </c>
      <c r="F42" s="102" t="s">
        <v>37</v>
      </c>
      <c r="G42" s="102" t="s">
        <v>4898</v>
      </c>
      <c r="H42" s="102" t="s">
        <v>1071</v>
      </c>
      <c r="I42" s="102" t="s">
        <v>4962</v>
      </c>
      <c r="J42" s="102" t="s">
        <v>4963</v>
      </c>
      <c r="K42" s="102" t="str">
        <f t="shared" si="1"/>
        <v>Harris | Houston | 77023</v>
      </c>
      <c r="L42" s="106" t="str">
        <f t="shared" si="2"/>
        <v>Harris | Houston | 77023 - Eastwood, Gulfgate Riverview / Pine Valley, Idylwood, Lawndale / Wayside, Magnolia Park, South Central Houston</v>
      </c>
      <c r="M42" s="102">
        <f t="shared" si="3"/>
        <v>110</v>
      </c>
      <c r="N42" s="102"/>
      <c r="O42" s="102">
        <v>29.0</v>
      </c>
      <c r="P42" s="102">
        <f t="shared" si="4"/>
        <v>5</v>
      </c>
    </row>
    <row r="43">
      <c r="A43" s="107">
        <v>42.0</v>
      </c>
      <c r="B43" s="107" t="s">
        <v>497</v>
      </c>
      <c r="C43" s="107"/>
      <c r="D43" s="107" t="s">
        <v>36</v>
      </c>
      <c r="E43" s="107" t="s">
        <v>252</v>
      </c>
      <c r="F43" s="107" t="s">
        <v>37</v>
      </c>
      <c r="G43" s="107" t="s">
        <v>4898</v>
      </c>
      <c r="H43" s="107" t="s">
        <v>4964</v>
      </c>
      <c r="I43" s="107" t="s">
        <v>4965</v>
      </c>
      <c r="J43" s="107" t="s">
        <v>4966</v>
      </c>
      <c r="K43" s="107" t="str">
        <f t="shared" si="1"/>
        <v>Harris | Houston | 77024</v>
      </c>
      <c r="L43" s="111" t="str">
        <f t="shared" si="2"/>
        <v>Harris | Houston | 77024 - Hedwig Village, Hunters Creek, Memorial City, Memorial Villages, Northwest Houston, Westside</v>
      </c>
      <c r="M43" s="107">
        <f t="shared" si="3"/>
        <v>92</v>
      </c>
      <c r="N43" s="107"/>
      <c r="O43" s="107">
        <v>30.0</v>
      </c>
      <c r="P43" s="107">
        <f t="shared" si="4"/>
        <v>2</v>
      </c>
    </row>
    <row r="44">
      <c r="A44" s="102">
        <v>43.0</v>
      </c>
      <c r="B44" s="102" t="s">
        <v>318</v>
      </c>
      <c r="C44" s="102"/>
      <c r="D44" s="102" t="s">
        <v>36</v>
      </c>
      <c r="E44" s="102" t="s">
        <v>252</v>
      </c>
      <c r="F44" s="102" t="s">
        <v>37</v>
      </c>
      <c r="G44" s="102" t="s">
        <v>4898</v>
      </c>
      <c r="H44" s="102" t="s">
        <v>4967</v>
      </c>
      <c r="I44" s="102" t="s">
        <v>4968</v>
      </c>
      <c r="J44" s="102" t="s">
        <v>4969</v>
      </c>
      <c r="K44" s="102" t="str">
        <f t="shared" si="1"/>
        <v>Harris | Houston | 77025</v>
      </c>
      <c r="L44" s="106" t="str">
        <f t="shared" si="2"/>
        <v>Harris | Houston | 77025 - Braeswood, Braeswood Place, Knollwood Village</v>
      </c>
      <c r="M44" s="102">
        <f t="shared" si="3"/>
        <v>45</v>
      </c>
      <c r="N44" s="102"/>
      <c r="O44" s="102">
        <v>31.0</v>
      </c>
      <c r="P44" s="102">
        <f t="shared" si="4"/>
        <v>9</v>
      </c>
    </row>
    <row r="45">
      <c r="A45" s="107">
        <v>44.0</v>
      </c>
      <c r="B45" s="107" t="s">
        <v>762</v>
      </c>
      <c r="C45" s="109">
        <v>1.0</v>
      </c>
      <c r="D45" s="107" t="s">
        <v>36</v>
      </c>
      <c r="E45" s="107" t="s">
        <v>252</v>
      </c>
      <c r="F45" s="107" t="s">
        <v>37</v>
      </c>
      <c r="G45" s="107" t="s">
        <v>4898</v>
      </c>
      <c r="H45" s="107" t="s">
        <v>4970</v>
      </c>
      <c r="I45" s="107" t="s">
        <v>4971</v>
      </c>
      <c r="J45" s="107" t="s">
        <v>4972</v>
      </c>
      <c r="K45" s="107" t="str">
        <f t="shared" si="1"/>
        <v>Harris | Houston | 77026</v>
      </c>
      <c r="L45" s="111" t="str">
        <f t="shared" si="2"/>
        <v>Harris | Houston | 77026 - Kashmere Gardens, Northside, Trinity / Houston Gardens</v>
      </c>
      <c r="M45" s="107">
        <f t="shared" si="3"/>
        <v>54</v>
      </c>
      <c r="N45" s="107"/>
      <c r="O45" s="107">
        <v>32.0</v>
      </c>
      <c r="P45" s="107">
        <f t="shared" si="4"/>
        <v>2</v>
      </c>
    </row>
    <row r="46">
      <c r="A46" s="102">
        <v>45.0</v>
      </c>
      <c r="B46" s="102" t="s">
        <v>1116</v>
      </c>
      <c r="C46" s="102"/>
      <c r="D46" s="102" t="s">
        <v>36</v>
      </c>
      <c r="E46" s="102" t="s">
        <v>252</v>
      </c>
      <c r="F46" s="102" t="s">
        <v>37</v>
      </c>
      <c r="G46" s="102" t="s">
        <v>4898</v>
      </c>
      <c r="H46" s="102" t="s">
        <v>4973</v>
      </c>
      <c r="I46" s="102" t="s">
        <v>4974</v>
      </c>
      <c r="J46" s="102" t="s">
        <v>4975</v>
      </c>
      <c r="K46" s="102" t="str">
        <f t="shared" si="1"/>
        <v>Harris | Houston | 77027</v>
      </c>
      <c r="L46" s="106" t="str">
        <f t="shared" si="2"/>
        <v>Harris | Houston | 77027 - Afton Oaks, Greenway / Upper Kirby Area, Highland Village, River Oaks District, Westside</v>
      </c>
      <c r="M46" s="102">
        <f t="shared" si="3"/>
        <v>88</v>
      </c>
      <c r="N46" s="102"/>
      <c r="O46" s="102">
        <v>33.0</v>
      </c>
      <c r="P46" s="102">
        <f t="shared" si="4"/>
        <v>6</v>
      </c>
    </row>
    <row r="47">
      <c r="A47" s="107">
        <v>46.0</v>
      </c>
      <c r="B47" s="107" t="s">
        <v>1949</v>
      </c>
      <c r="C47" s="109">
        <v>1.0</v>
      </c>
      <c r="D47" s="107" t="s">
        <v>36</v>
      </c>
      <c r="E47" s="107" t="s">
        <v>252</v>
      </c>
      <c r="F47" s="107" t="s">
        <v>37</v>
      </c>
      <c r="G47" s="107" t="s">
        <v>4898</v>
      </c>
      <c r="H47" s="107" t="s">
        <v>4976</v>
      </c>
      <c r="I47" s="107" t="s">
        <v>4977</v>
      </c>
      <c r="J47" s="107" t="s">
        <v>4978</v>
      </c>
      <c r="K47" s="107" t="str">
        <f t="shared" si="1"/>
        <v>Harris | Houston | 77028</v>
      </c>
      <c r="L47" s="111" t="str">
        <f t="shared" si="2"/>
        <v>Harris | Houston | 77028 - East Houston, Northside, Settegast</v>
      </c>
      <c r="M47" s="107">
        <f t="shared" si="3"/>
        <v>34</v>
      </c>
      <c r="N47" s="107"/>
      <c r="O47" s="107">
        <v>34.0</v>
      </c>
      <c r="P47" s="107">
        <f t="shared" si="4"/>
        <v>3</v>
      </c>
    </row>
    <row r="48">
      <c r="A48" s="102">
        <v>47.0</v>
      </c>
      <c r="B48" s="102" t="s">
        <v>2515</v>
      </c>
      <c r="C48" s="102"/>
      <c r="D48" s="102" t="s">
        <v>36</v>
      </c>
      <c r="E48" s="102" t="s">
        <v>252</v>
      </c>
      <c r="F48" s="102" t="s">
        <v>37</v>
      </c>
      <c r="G48" s="102" t="s">
        <v>4898</v>
      </c>
      <c r="H48" s="102" t="s">
        <v>4979</v>
      </c>
      <c r="I48" s="102" t="s">
        <v>4980</v>
      </c>
      <c r="J48" s="102" t="s">
        <v>4981</v>
      </c>
      <c r="K48" s="102" t="str">
        <f t="shared" si="1"/>
        <v>Harris | Houston | 77029</v>
      </c>
      <c r="L48" s="106" t="str">
        <f t="shared" si="2"/>
        <v>Harris | Houston | 77029 - Clinton Park, Pleasantville</v>
      </c>
      <c r="M48" s="102">
        <f t="shared" si="3"/>
        <v>27</v>
      </c>
      <c r="N48" s="102"/>
      <c r="O48" s="102">
        <v>35.0</v>
      </c>
      <c r="P48" s="102">
        <f t="shared" si="4"/>
        <v>3</v>
      </c>
    </row>
    <row r="49">
      <c r="A49" s="107">
        <v>48.0</v>
      </c>
      <c r="B49" s="107" t="s">
        <v>307</v>
      </c>
      <c r="C49" s="107"/>
      <c r="D49" s="107" t="s">
        <v>36</v>
      </c>
      <c r="E49" s="107" t="s">
        <v>252</v>
      </c>
      <c r="F49" s="107" t="s">
        <v>37</v>
      </c>
      <c r="G49" s="107" t="s">
        <v>4898</v>
      </c>
      <c r="H49" s="107" t="s">
        <v>4602</v>
      </c>
      <c r="I49" s="107" t="s">
        <v>4982</v>
      </c>
      <c r="J49" s="107" t="s">
        <v>4983</v>
      </c>
      <c r="K49" s="107" t="str">
        <f t="shared" si="1"/>
        <v>Harris | Houston | 77030</v>
      </c>
      <c r="L49" s="111" t="str">
        <f t="shared" si="2"/>
        <v>Harris | Houston | 77030 - Central Southwest, Houston Museum District, South Central Houston, Southgate, Texas Medical Center</v>
      </c>
      <c r="M49" s="107">
        <f t="shared" si="3"/>
        <v>98</v>
      </c>
      <c r="N49" s="107"/>
      <c r="O49" s="107">
        <v>36.0</v>
      </c>
      <c r="P49" s="107">
        <f t="shared" si="4"/>
        <v>2</v>
      </c>
    </row>
    <row r="50">
      <c r="A50" s="102">
        <v>49.0</v>
      </c>
      <c r="B50" s="102" t="s">
        <v>822</v>
      </c>
      <c r="C50" s="102"/>
      <c r="D50" s="102" t="s">
        <v>36</v>
      </c>
      <c r="E50" s="102" t="s">
        <v>252</v>
      </c>
      <c r="F50" s="102" t="s">
        <v>37</v>
      </c>
      <c r="G50" s="102" t="s">
        <v>4898</v>
      </c>
      <c r="H50" s="102" t="s">
        <v>4984</v>
      </c>
      <c r="I50" s="102" t="s">
        <v>4985</v>
      </c>
      <c r="J50" s="102" t="s">
        <v>4986</v>
      </c>
      <c r="K50" s="102" t="str">
        <f t="shared" si="1"/>
        <v>Harris | Houston | 77031</v>
      </c>
      <c r="L50" s="106" t="str">
        <f t="shared" si="2"/>
        <v>Harris | Houston | 77031 - Brays Oaks, Fondren Southwest</v>
      </c>
      <c r="M50" s="102">
        <f t="shared" si="3"/>
        <v>29</v>
      </c>
      <c r="N50" s="102"/>
      <c r="O50" s="102">
        <v>37.0</v>
      </c>
      <c r="P50" s="102">
        <f t="shared" si="4"/>
        <v>4</v>
      </c>
    </row>
    <row r="51">
      <c r="A51" s="107">
        <v>50.0</v>
      </c>
      <c r="B51" s="107" t="s">
        <v>4987</v>
      </c>
      <c r="C51" s="107"/>
      <c r="D51" s="107" t="s">
        <v>36</v>
      </c>
      <c r="E51" s="107" t="s">
        <v>252</v>
      </c>
      <c r="F51" s="107" t="s">
        <v>37</v>
      </c>
      <c r="G51" s="107" t="s">
        <v>4898</v>
      </c>
      <c r="H51" s="107" t="s">
        <v>4988</v>
      </c>
      <c r="I51" s="107" t="s">
        <v>4989</v>
      </c>
      <c r="J51" s="107" t="s">
        <v>4990</v>
      </c>
      <c r="K51" s="107" t="str">
        <f t="shared" si="1"/>
        <v>Harris | Houston | 77032</v>
      </c>
      <c r="L51" s="111" t="str">
        <f t="shared" si="2"/>
        <v>Harris | Houston | 77032 - Bush IAH / Airport</v>
      </c>
      <c r="M51" s="107">
        <f t="shared" si="3"/>
        <v>18</v>
      </c>
      <c r="N51" s="107"/>
      <c r="O51" s="107">
        <v>38.0</v>
      </c>
      <c r="P51" s="107">
        <f t="shared" si="4"/>
        <v>7</v>
      </c>
    </row>
    <row r="52">
      <c r="A52" s="102">
        <v>51.0</v>
      </c>
      <c r="B52" s="102" t="s">
        <v>4991</v>
      </c>
      <c r="C52" s="104">
        <v>1.0</v>
      </c>
      <c r="D52" s="102" t="s">
        <v>36</v>
      </c>
      <c r="E52" s="102" t="s">
        <v>252</v>
      </c>
      <c r="F52" s="102" t="s">
        <v>37</v>
      </c>
      <c r="G52" s="102" t="s">
        <v>4898</v>
      </c>
      <c r="H52" s="102" t="s">
        <v>4992</v>
      </c>
      <c r="I52" s="102" t="s">
        <v>4993</v>
      </c>
      <c r="J52" s="102" t="s">
        <v>4469</v>
      </c>
      <c r="K52" s="102" t="str">
        <f t="shared" si="1"/>
        <v>Harris | Houston | 77033</v>
      </c>
      <c r="L52" s="106" t="str">
        <f t="shared" si="2"/>
        <v>Harris | Houston | 77033 - Sunnyside</v>
      </c>
      <c r="M52" s="102">
        <f t="shared" si="3"/>
        <v>9</v>
      </c>
      <c r="N52" s="102"/>
      <c r="O52" s="102">
        <v>39.0</v>
      </c>
      <c r="P52" s="102">
        <f t="shared" si="4"/>
        <v>1</v>
      </c>
    </row>
    <row r="53">
      <c r="A53" s="107">
        <v>52.0</v>
      </c>
      <c r="B53" s="107" t="s">
        <v>2902</v>
      </c>
      <c r="C53" s="107"/>
      <c r="D53" s="107" t="s">
        <v>36</v>
      </c>
      <c r="E53" s="107" t="s">
        <v>252</v>
      </c>
      <c r="F53" s="107" t="s">
        <v>37</v>
      </c>
      <c r="G53" s="107" t="s">
        <v>4898</v>
      </c>
      <c r="H53" s="107" t="s">
        <v>4994</v>
      </c>
      <c r="I53" s="107" t="s">
        <v>4995</v>
      </c>
      <c r="J53" s="107" t="s">
        <v>4996</v>
      </c>
      <c r="K53" s="107" t="str">
        <f t="shared" si="1"/>
        <v>Harris | Houston | 77034</v>
      </c>
      <c r="L53" s="111" t="str">
        <f t="shared" si="2"/>
        <v>Harris | Houston | 77034 - Edgebrook Area, Ellington, Southbelt</v>
      </c>
      <c r="M53" s="107">
        <f t="shared" si="3"/>
        <v>36</v>
      </c>
      <c r="N53" s="107"/>
      <c r="O53" s="107">
        <v>40.0</v>
      </c>
      <c r="P53" s="107">
        <f t="shared" si="4"/>
        <v>7</v>
      </c>
    </row>
    <row r="54">
      <c r="A54" s="102">
        <v>53.0</v>
      </c>
      <c r="B54" s="102" t="s">
        <v>524</v>
      </c>
      <c r="C54" s="102"/>
      <c r="D54" s="102" t="s">
        <v>36</v>
      </c>
      <c r="E54" s="102" t="s">
        <v>252</v>
      </c>
      <c r="F54" s="102" t="s">
        <v>37</v>
      </c>
      <c r="G54" s="102" t="s">
        <v>4898</v>
      </c>
      <c r="H54" s="102" t="s">
        <v>4997</v>
      </c>
      <c r="I54" s="102" t="s">
        <v>4998</v>
      </c>
      <c r="J54" s="102" t="s">
        <v>4999</v>
      </c>
      <c r="K54" s="102" t="str">
        <f t="shared" si="1"/>
        <v>Harris | Houston | 77035</v>
      </c>
      <c r="L54" s="106" t="str">
        <f t="shared" si="2"/>
        <v>Harris | Houston | 77035 - Bellaire, Brays Oaks, Fondren Gardens, Westbury, Willow Meadows/ Willowbend Area, Willowbend</v>
      </c>
      <c r="M54" s="102">
        <f t="shared" si="3"/>
        <v>92</v>
      </c>
      <c r="N54" s="102"/>
      <c r="O54" s="102">
        <v>41.0</v>
      </c>
      <c r="P54" s="102">
        <f t="shared" si="4"/>
        <v>3</v>
      </c>
    </row>
    <row r="55">
      <c r="A55" s="107">
        <v>54.0</v>
      </c>
      <c r="B55" s="107" t="s">
        <v>599</v>
      </c>
      <c r="C55" s="107"/>
      <c r="D55" s="107" t="s">
        <v>36</v>
      </c>
      <c r="E55" s="107" t="s">
        <v>252</v>
      </c>
      <c r="F55" s="107" t="s">
        <v>37</v>
      </c>
      <c r="G55" s="107" t="s">
        <v>4898</v>
      </c>
      <c r="H55" s="107" t="s">
        <v>5000</v>
      </c>
      <c r="I55" s="107" t="s">
        <v>5001</v>
      </c>
      <c r="J55" s="107" t="s">
        <v>5002</v>
      </c>
      <c r="K55" s="107" t="str">
        <f t="shared" si="1"/>
        <v>Harris | Houston | 77036</v>
      </c>
      <c r="L55" s="111" t="str">
        <f t="shared" si="2"/>
        <v>Harris | Houston | 77036 - Chinatown, Sharpstown, Westside</v>
      </c>
      <c r="M55" s="107">
        <f t="shared" si="3"/>
        <v>31</v>
      </c>
      <c r="N55" s="107"/>
      <c r="O55" s="107">
        <v>42.0</v>
      </c>
      <c r="P55" s="107">
        <f t="shared" si="4"/>
        <v>2</v>
      </c>
    </row>
    <row r="56">
      <c r="A56" s="102">
        <v>55.0</v>
      </c>
      <c r="B56" s="102" t="s">
        <v>1196</v>
      </c>
      <c r="C56" s="102"/>
      <c r="D56" s="102" t="s">
        <v>36</v>
      </c>
      <c r="E56" s="102" t="s">
        <v>252</v>
      </c>
      <c r="F56" s="102" t="s">
        <v>37</v>
      </c>
      <c r="G56" s="102" t="s">
        <v>4898</v>
      </c>
      <c r="H56" s="102" t="s">
        <v>5003</v>
      </c>
      <c r="I56" s="102" t="s">
        <v>5004</v>
      </c>
      <c r="J56" s="102" t="s">
        <v>5005</v>
      </c>
      <c r="K56" s="102" t="str">
        <f t="shared" si="1"/>
        <v>Harris | Houston | 77037</v>
      </c>
      <c r="L56" s="106" t="str">
        <f t="shared" si="2"/>
        <v>Harris | Houston | 77037 - Northline, Northside, Northside / Northline</v>
      </c>
      <c r="M56" s="102">
        <f t="shared" si="3"/>
        <v>43</v>
      </c>
      <c r="N56" s="102"/>
      <c r="O56" s="102">
        <v>43.0</v>
      </c>
      <c r="P56" s="102">
        <f t="shared" si="4"/>
        <v>3</v>
      </c>
    </row>
    <row r="57">
      <c r="A57" s="107">
        <v>56.0</v>
      </c>
      <c r="B57" s="107" t="s">
        <v>5006</v>
      </c>
      <c r="C57" s="107"/>
      <c r="D57" s="107" t="s">
        <v>36</v>
      </c>
      <c r="E57" s="107" t="s">
        <v>252</v>
      </c>
      <c r="F57" s="107" t="s">
        <v>37</v>
      </c>
      <c r="G57" s="107" t="s">
        <v>4898</v>
      </c>
      <c r="H57" s="107" t="s">
        <v>5007</v>
      </c>
      <c r="I57" s="107" t="s">
        <v>5008</v>
      </c>
      <c r="J57" s="107" t="s">
        <v>5009</v>
      </c>
      <c r="K57" s="107" t="str">
        <f t="shared" si="1"/>
        <v>Harris | Houston | 77038</v>
      </c>
      <c r="L57" s="111" t="str">
        <f t="shared" si="2"/>
        <v>Harris | Houston | 77038 - Greater Inwood, Hidden Valley</v>
      </c>
      <c r="M57" s="107">
        <f t="shared" si="3"/>
        <v>29</v>
      </c>
      <c r="N57" s="107"/>
      <c r="O57" s="107">
        <v>44.0</v>
      </c>
      <c r="P57" s="107">
        <f t="shared" si="4"/>
        <v>2</v>
      </c>
    </row>
    <row r="58">
      <c r="A58" s="102">
        <v>57.0</v>
      </c>
      <c r="B58" s="102" t="s">
        <v>580</v>
      </c>
      <c r="C58" s="102"/>
      <c r="D58" s="102" t="s">
        <v>36</v>
      </c>
      <c r="E58" s="102" t="s">
        <v>252</v>
      </c>
      <c r="F58" s="102" t="s">
        <v>37</v>
      </c>
      <c r="G58" s="102" t="s">
        <v>4898</v>
      </c>
      <c r="H58" s="102" t="s">
        <v>5010</v>
      </c>
      <c r="I58" s="102" t="s">
        <v>5011</v>
      </c>
      <c r="J58" s="102" t="s">
        <v>5012</v>
      </c>
      <c r="K58" s="102" t="str">
        <f t="shared" si="1"/>
        <v>Harris | Houston | 77039</v>
      </c>
      <c r="L58" s="106" t="str">
        <f t="shared" si="2"/>
        <v>Harris | Houston | 77039 - Airline, Aldine, Fairgreen, High Meadows</v>
      </c>
      <c r="M58" s="102">
        <f t="shared" si="3"/>
        <v>40</v>
      </c>
      <c r="N58" s="102"/>
      <c r="O58" s="102">
        <v>45.0</v>
      </c>
      <c r="P58" s="102">
        <f t="shared" si="4"/>
        <v>3</v>
      </c>
    </row>
    <row r="59">
      <c r="A59" s="107">
        <v>58.0</v>
      </c>
      <c r="B59" s="107" t="s">
        <v>1414</v>
      </c>
      <c r="C59" s="107"/>
      <c r="D59" s="107" t="s">
        <v>36</v>
      </c>
      <c r="E59" s="107" t="s">
        <v>252</v>
      </c>
      <c r="F59" s="107" t="s">
        <v>37</v>
      </c>
      <c r="G59" s="107" t="s">
        <v>4898</v>
      </c>
      <c r="H59" s="107" t="s">
        <v>5013</v>
      </c>
      <c r="I59" s="107" t="s">
        <v>5014</v>
      </c>
      <c r="J59" s="107" t="s">
        <v>5015</v>
      </c>
      <c r="K59" s="107" t="str">
        <f t="shared" si="1"/>
        <v>Harris | Houston | 77040</v>
      </c>
      <c r="L59" s="111" t="str">
        <f t="shared" si="2"/>
        <v>Harris | Houston | 77040 - Fairbanks / Northwest Crossing, Jersey Village, Northside, Oak Hollow</v>
      </c>
      <c r="M59" s="107">
        <f t="shared" si="3"/>
        <v>69</v>
      </c>
      <c r="N59" s="107"/>
      <c r="O59" s="107">
        <v>46.0</v>
      </c>
      <c r="P59" s="107">
        <f t="shared" si="4"/>
        <v>2</v>
      </c>
    </row>
    <row r="60">
      <c r="A60" s="102">
        <v>59.0</v>
      </c>
      <c r="B60" s="102" t="s">
        <v>3100</v>
      </c>
      <c r="C60" s="102"/>
      <c r="D60" s="102" t="s">
        <v>36</v>
      </c>
      <c r="E60" s="102" t="s">
        <v>252</v>
      </c>
      <c r="F60" s="102" t="s">
        <v>37</v>
      </c>
      <c r="G60" s="102" t="s">
        <v>4898</v>
      </c>
      <c r="H60" s="102" t="s">
        <v>5016</v>
      </c>
      <c r="I60" s="102" t="s">
        <v>5017</v>
      </c>
      <c r="J60" s="102" t="s">
        <v>5018</v>
      </c>
      <c r="K60" s="102" t="str">
        <f t="shared" si="1"/>
        <v>Harris | Houston | 77041</v>
      </c>
      <c r="L60" s="106" t="str">
        <f t="shared" si="2"/>
        <v>Harris | Houston | 77041 - Northwest Houston, Spring Branch North</v>
      </c>
      <c r="M60" s="102">
        <f t="shared" si="3"/>
        <v>38</v>
      </c>
      <c r="N60" s="102"/>
      <c r="O60" s="102">
        <v>47.0</v>
      </c>
      <c r="P60" s="102">
        <f t="shared" si="4"/>
        <v>3</v>
      </c>
    </row>
    <row r="61">
      <c r="A61" s="107">
        <v>60.0</v>
      </c>
      <c r="B61" s="107" t="s">
        <v>1555</v>
      </c>
      <c r="C61" s="107"/>
      <c r="D61" s="107" t="s">
        <v>36</v>
      </c>
      <c r="E61" s="107" t="s">
        <v>252</v>
      </c>
      <c r="F61" s="107" t="s">
        <v>37</v>
      </c>
      <c r="G61" s="107" t="s">
        <v>4898</v>
      </c>
      <c r="H61" s="107" t="s">
        <v>5019</v>
      </c>
      <c r="I61" s="107" t="s">
        <v>5020</v>
      </c>
      <c r="J61" s="107" t="s">
        <v>5021</v>
      </c>
      <c r="K61" s="107" t="str">
        <f t="shared" si="1"/>
        <v>Harris | Houston | 77042</v>
      </c>
      <c r="L61" s="111" t="str">
        <f t="shared" si="2"/>
        <v>Harris | Houston | 77042 - Royal Oaks, Westchase, Westside</v>
      </c>
      <c r="M61" s="107">
        <f t="shared" si="3"/>
        <v>31</v>
      </c>
      <c r="N61" s="107"/>
      <c r="O61" s="107">
        <v>49.0</v>
      </c>
      <c r="P61" s="107">
        <f t="shared" si="4"/>
        <v>1</v>
      </c>
    </row>
    <row r="62">
      <c r="A62" s="102">
        <v>61.0</v>
      </c>
      <c r="B62" s="102" t="s">
        <v>3946</v>
      </c>
      <c r="C62" s="102"/>
      <c r="D62" s="102" t="s">
        <v>36</v>
      </c>
      <c r="E62" s="102" t="s">
        <v>252</v>
      </c>
      <c r="F62" s="102" t="s">
        <v>37</v>
      </c>
      <c r="G62" s="102" t="s">
        <v>4898</v>
      </c>
      <c r="H62" s="102" t="s">
        <v>5022</v>
      </c>
      <c r="I62" s="102" t="s">
        <v>5023</v>
      </c>
      <c r="J62" s="102" t="s">
        <v>5024</v>
      </c>
      <c r="K62" s="102" t="str">
        <f t="shared" si="1"/>
        <v>Harris | Houston | 77043</v>
      </c>
      <c r="L62" s="106" t="str">
        <f t="shared" si="2"/>
        <v>Harris | Houston | 77043 - Northwest Houston, Spring Branch West</v>
      </c>
      <c r="M62" s="102">
        <f t="shared" si="3"/>
        <v>37</v>
      </c>
      <c r="N62" s="102"/>
      <c r="O62" s="102">
        <v>50.0</v>
      </c>
      <c r="P62" s="102">
        <f t="shared" si="4"/>
        <v>3</v>
      </c>
    </row>
    <row r="63">
      <c r="A63" s="107">
        <v>62.0</v>
      </c>
      <c r="B63" s="107" t="s">
        <v>3759</v>
      </c>
      <c r="C63" s="107"/>
      <c r="D63" s="107" t="s">
        <v>36</v>
      </c>
      <c r="E63" s="107" t="s">
        <v>252</v>
      </c>
      <c r="F63" s="107" t="s">
        <v>37</v>
      </c>
      <c r="G63" s="107" t="s">
        <v>4898</v>
      </c>
      <c r="H63" s="107" t="s">
        <v>5025</v>
      </c>
      <c r="I63" s="107" t="s">
        <v>5026</v>
      </c>
      <c r="J63" s="109" t="s">
        <v>5027</v>
      </c>
      <c r="K63" s="107" t="str">
        <f t="shared" si="1"/>
        <v>Harris | Houston | 77044</v>
      </c>
      <c r="L63" s="111" t="str">
        <f t="shared" si="2"/>
        <v>Harris | Houston | 77044 - Houmont Park, Lake Houston, Summerwood</v>
      </c>
      <c r="M63" s="107">
        <f t="shared" si="3"/>
        <v>38</v>
      </c>
      <c r="N63" s="107"/>
      <c r="O63" s="107">
        <v>51.0</v>
      </c>
      <c r="P63" s="107">
        <f t="shared" si="4"/>
        <v>1</v>
      </c>
    </row>
    <row r="64">
      <c r="A64" s="102">
        <v>63.0</v>
      </c>
      <c r="B64" s="102" t="s">
        <v>658</v>
      </c>
      <c r="C64" s="102"/>
      <c r="D64" s="102" t="s">
        <v>36</v>
      </c>
      <c r="E64" s="102" t="s">
        <v>252</v>
      </c>
      <c r="F64" s="102" t="s">
        <v>37</v>
      </c>
      <c r="G64" s="102" t="s">
        <v>4898</v>
      </c>
      <c r="H64" s="102" t="s">
        <v>5028</v>
      </c>
      <c r="I64" s="102" t="s">
        <v>5029</v>
      </c>
      <c r="J64" s="102" t="s">
        <v>5030</v>
      </c>
      <c r="K64" s="102" t="str">
        <f t="shared" si="1"/>
        <v>Harris | Houston | 77045</v>
      </c>
      <c r="L64" s="106" t="str">
        <f t="shared" si="2"/>
        <v>Harris | Houston | 77045 - Brentwood, Central Southwest, Hiram Clarke</v>
      </c>
      <c r="M64" s="102">
        <f t="shared" si="3"/>
        <v>42</v>
      </c>
      <c r="N64" s="102"/>
      <c r="O64" s="102">
        <v>52.0</v>
      </c>
      <c r="P64" s="102">
        <f t="shared" si="4"/>
        <v>4</v>
      </c>
    </row>
    <row r="65">
      <c r="A65" s="107">
        <v>64.0</v>
      </c>
      <c r="B65" s="107" t="s">
        <v>5031</v>
      </c>
      <c r="C65" s="107"/>
      <c r="D65" s="107" t="s">
        <v>36</v>
      </c>
      <c r="E65" s="107" t="s">
        <v>252</v>
      </c>
      <c r="F65" s="107" t="s">
        <v>37</v>
      </c>
      <c r="G65" s="107" t="s">
        <v>4898</v>
      </c>
      <c r="H65" s="107" t="s">
        <v>5032</v>
      </c>
      <c r="I65" s="107" t="s">
        <v>5033</v>
      </c>
      <c r="J65" s="107" t="s">
        <v>5034</v>
      </c>
      <c r="K65" s="107" t="str">
        <f t="shared" si="1"/>
        <v>Harris | Houston | 77046</v>
      </c>
      <c r="L65" s="111" t="str">
        <f t="shared" si="2"/>
        <v>Harris | Houston | 77046 - Greenway Plaza</v>
      </c>
      <c r="M65" s="107">
        <f t="shared" si="3"/>
        <v>14</v>
      </c>
      <c r="N65" s="107"/>
      <c r="O65" s="107">
        <v>53.0</v>
      </c>
      <c r="P65" s="107">
        <f t="shared" si="4"/>
        <v>3</v>
      </c>
    </row>
    <row r="66">
      <c r="A66" s="102">
        <v>65.0</v>
      </c>
      <c r="B66" s="102" t="s">
        <v>2161</v>
      </c>
      <c r="C66" s="102"/>
      <c r="D66" s="102" t="s">
        <v>36</v>
      </c>
      <c r="E66" s="102" t="s">
        <v>252</v>
      </c>
      <c r="F66" s="102" t="s">
        <v>37</v>
      </c>
      <c r="G66" s="102" t="s">
        <v>4898</v>
      </c>
      <c r="H66" s="102" t="s">
        <v>5035</v>
      </c>
      <c r="I66" s="102" t="s">
        <v>5036</v>
      </c>
      <c r="J66" s="102" t="s">
        <v>5037</v>
      </c>
      <c r="K66" s="102" t="str">
        <f t="shared" si="1"/>
        <v>Harris | Houston | 77047</v>
      </c>
      <c r="L66" s="106" t="str">
        <f t="shared" si="2"/>
        <v>Harris | Houston | 77047 - Minnetex, South Acres / Crestmont Park</v>
      </c>
      <c r="M66" s="102">
        <f t="shared" si="3"/>
        <v>38</v>
      </c>
      <c r="N66" s="102"/>
      <c r="O66" s="102">
        <v>54.0</v>
      </c>
      <c r="P66" s="102">
        <f t="shared" si="4"/>
        <v>3</v>
      </c>
    </row>
    <row r="67">
      <c r="A67" s="107">
        <v>66.0</v>
      </c>
      <c r="B67" s="107" t="s">
        <v>4323</v>
      </c>
      <c r="C67" s="107"/>
      <c r="D67" s="107" t="s">
        <v>36</v>
      </c>
      <c r="E67" s="107" t="s">
        <v>252</v>
      </c>
      <c r="F67" s="107" t="s">
        <v>37</v>
      </c>
      <c r="G67" s="107" t="s">
        <v>4898</v>
      </c>
      <c r="H67" s="107" t="s">
        <v>5038</v>
      </c>
      <c r="I67" s="107" t="s">
        <v>5039</v>
      </c>
      <c r="J67" s="107" t="s">
        <v>5037</v>
      </c>
      <c r="K67" s="107" t="str">
        <f t="shared" si="1"/>
        <v>Harris | Houston | 77048</v>
      </c>
      <c r="L67" s="111" t="str">
        <f t="shared" si="2"/>
        <v>Harris | Houston | 77048 - Minnetex, South Acres / Crestmont Park</v>
      </c>
      <c r="M67" s="107">
        <f t="shared" si="3"/>
        <v>38</v>
      </c>
      <c r="N67" s="107"/>
      <c r="O67" s="107">
        <v>56.0</v>
      </c>
      <c r="P67" s="107">
        <f t="shared" si="4"/>
        <v>1</v>
      </c>
    </row>
    <row r="68">
      <c r="A68" s="102">
        <v>67.0</v>
      </c>
      <c r="B68" s="102" t="s">
        <v>867</v>
      </c>
      <c r="C68" s="102"/>
      <c r="D68" s="102" t="s">
        <v>36</v>
      </c>
      <c r="E68" s="102" t="s">
        <v>252</v>
      </c>
      <c r="F68" s="102" t="s">
        <v>37</v>
      </c>
      <c r="G68" s="102" t="s">
        <v>4898</v>
      </c>
      <c r="H68" s="102" t="s">
        <v>5040</v>
      </c>
      <c r="I68" s="102" t="s">
        <v>5041</v>
      </c>
      <c r="J68" s="102" t="s">
        <v>5042</v>
      </c>
      <c r="K68" s="102" t="str">
        <f t="shared" si="1"/>
        <v>Harris | Houston | 77049</v>
      </c>
      <c r="L68" s="106" t="str">
        <f t="shared" si="2"/>
        <v>Harris | Houston | 77049 - Cloverleaf, Hunterwood, Sheldon</v>
      </c>
      <c r="M68" s="102">
        <f t="shared" si="3"/>
        <v>31</v>
      </c>
      <c r="N68" s="102"/>
      <c r="O68" s="102">
        <v>57.0</v>
      </c>
      <c r="P68" s="102">
        <f t="shared" si="4"/>
        <v>2</v>
      </c>
    </row>
    <row r="69">
      <c r="A69" s="107">
        <v>68.0</v>
      </c>
      <c r="B69" s="107" t="s">
        <v>5043</v>
      </c>
      <c r="C69" s="109">
        <v>1.0</v>
      </c>
      <c r="D69" s="107" t="s">
        <v>36</v>
      </c>
      <c r="E69" s="107" t="s">
        <v>252</v>
      </c>
      <c r="F69" s="107" t="s">
        <v>37</v>
      </c>
      <c r="G69" s="107" t="s">
        <v>4898</v>
      </c>
      <c r="H69" s="107" t="s">
        <v>5044</v>
      </c>
      <c r="I69" s="107" t="s">
        <v>5045</v>
      </c>
      <c r="J69" s="107" t="s">
        <v>5046</v>
      </c>
      <c r="K69" s="107" t="str">
        <f t="shared" si="1"/>
        <v>Harris | Houston | 77050</v>
      </c>
      <c r="L69" s="111" t="str">
        <f t="shared" si="2"/>
        <v>Harris | Houston | 77050 - Fontaine Place, Greens Bayou</v>
      </c>
      <c r="M69" s="107">
        <f t="shared" si="3"/>
        <v>28</v>
      </c>
      <c r="N69" s="107"/>
      <c r="O69" s="107">
        <v>59.0</v>
      </c>
      <c r="P69" s="107">
        <f t="shared" si="4"/>
        <v>1</v>
      </c>
    </row>
    <row r="70">
      <c r="A70" s="102">
        <v>69.0</v>
      </c>
      <c r="B70" s="102" t="s">
        <v>881</v>
      </c>
      <c r="C70" s="104">
        <v>1.0</v>
      </c>
      <c r="D70" s="102" t="s">
        <v>36</v>
      </c>
      <c r="E70" s="102" t="s">
        <v>252</v>
      </c>
      <c r="F70" s="102" t="s">
        <v>37</v>
      </c>
      <c r="G70" s="102" t="s">
        <v>4898</v>
      </c>
      <c r="H70" s="102" t="s">
        <v>5047</v>
      </c>
      <c r="I70" s="102" t="s">
        <v>5048</v>
      </c>
      <c r="J70" s="102" t="s">
        <v>5049</v>
      </c>
      <c r="K70" s="102" t="str">
        <f t="shared" si="1"/>
        <v>Harris | Houston | 77051</v>
      </c>
      <c r="L70" s="106" t="str">
        <f t="shared" si="2"/>
        <v>Harris | Houston | 77051 - Central Southwest, South Park, South Side, Sunnyside</v>
      </c>
      <c r="M70" s="102">
        <f t="shared" si="3"/>
        <v>52</v>
      </c>
      <c r="N70" s="102"/>
      <c r="O70" s="102">
        <v>60.0</v>
      </c>
      <c r="P70" s="102">
        <f t="shared" si="4"/>
        <v>1</v>
      </c>
    </row>
    <row r="71">
      <c r="A71" s="107">
        <v>70.0</v>
      </c>
      <c r="B71" s="107" t="s">
        <v>2532</v>
      </c>
      <c r="C71" s="107"/>
      <c r="D71" s="107" t="s">
        <v>36</v>
      </c>
      <c r="E71" s="107" t="s">
        <v>5050</v>
      </c>
      <c r="F71" s="107" t="s">
        <v>37</v>
      </c>
      <c r="G71" s="107" t="s">
        <v>4898</v>
      </c>
      <c r="H71" s="107" t="s">
        <v>5051</v>
      </c>
      <c r="I71" s="107" t="s">
        <v>5052</v>
      </c>
      <c r="J71" s="107" t="s">
        <v>5053</v>
      </c>
      <c r="K71" s="107" t="str">
        <f t="shared" si="1"/>
        <v>Fort Bend | Houston | 77053</v>
      </c>
      <c r="L71" s="111" t="str">
        <f t="shared" si="2"/>
        <v>Fort Bend | Houston | 77053 - Briar Villa, Fort Bend Houston, Orchard Grove</v>
      </c>
      <c r="M71" s="107">
        <f t="shared" si="3"/>
        <v>45</v>
      </c>
      <c r="N71" s="107"/>
      <c r="O71" s="107">
        <v>63.0</v>
      </c>
      <c r="P71" s="107">
        <f t="shared" si="4"/>
        <v>1</v>
      </c>
    </row>
    <row r="72">
      <c r="A72" s="102">
        <v>71.0</v>
      </c>
      <c r="B72" s="102" t="s">
        <v>919</v>
      </c>
      <c r="C72" s="102"/>
      <c r="D72" s="102" t="s">
        <v>36</v>
      </c>
      <c r="E72" s="102" t="s">
        <v>252</v>
      </c>
      <c r="F72" s="102" t="s">
        <v>37</v>
      </c>
      <c r="G72" s="102" t="s">
        <v>4898</v>
      </c>
      <c r="H72" s="102" t="s">
        <v>5054</v>
      </c>
      <c r="I72" s="102" t="s">
        <v>5055</v>
      </c>
      <c r="J72" s="102" t="s">
        <v>5056</v>
      </c>
      <c r="K72" s="102" t="str">
        <f t="shared" si="1"/>
        <v>Harris | Houston | 77054</v>
      </c>
      <c r="L72" s="106" t="str">
        <f t="shared" si="2"/>
        <v>Harris | Houston | 77054 - Astrodome Area, Medical Center South, NRG Park area, South Main</v>
      </c>
      <c r="M72" s="102">
        <f t="shared" si="3"/>
        <v>63</v>
      </c>
      <c r="N72" s="102"/>
      <c r="O72" s="102">
        <v>65.0</v>
      </c>
      <c r="P72" s="102">
        <f t="shared" si="4"/>
        <v>1</v>
      </c>
    </row>
    <row r="73">
      <c r="A73" s="107">
        <v>72.0</v>
      </c>
      <c r="B73" s="107" t="s">
        <v>711</v>
      </c>
      <c r="C73" s="107"/>
      <c r="D73" s="107" t="s">
        <v>36</v>
      </c>
      <c r="E73" s="107" t="s">
        <v>252</v>
      </c>
      <c r="F73" s="107" t="s">
        <v>37</v>
      </c>
      <c r="G73" s="107" t="s">
        <v>4898</v>
      </c>
      <c r="H73" s="107" t="s">
        <v>5057</v>
      </c>
      <c r="I73" s="107" t="s">
        <v>5058</v>
      </c>
      <c r="J73" s="107" t="s">
        <v>5059</v>
      </c>
      <c r="K73" s="107" t="str">
        <f t="shared" si="1"/>
        <v>Harris | Houston | 77055</v>
      </c>
      <c r="L73" s="111" t="str">
        <f t="shared" si="2"/>
        <v>Harris | Houston | 77055 - Hilshire Village, Montrose, Northwest Houston, Spring Branch East, Washington Avenue Coalition / Memorial Park</v>
      </c>
      <c r="M73" s="107">
        <f t="shared" si="3"/>
        <v>110</v>
      </c>
      <c r="N73" s="107"/>
      <c r="O73" s="107">
        <v>69.0</v>
      </c>
      <c r="P73" s="107">
        <f t="shared" si="4"/>
        <v>1</v>
      </c>
    </row>
    <row r="74">
      <c r="A74" s="102">
        <v>73.0</v>
      </c>
      <c r="B74" s="102" t="s">
        <v>1053</v>
      </c>
      <c r="C74" s="102"/>
      <c r="D74" s="102" t="s">
        <v>36</v>
      </c>
      <c r="E74" s="102" t="s">
        <v>252</v>
      </c>
      <c r="F74" s="102" t="s">
        <v>37</v>
      </c>
      <c r="G74" s="102" t="s">
        <v>4898</v>
      </c>
      <c r="H74" s="102" t="s">
        <v>5060</v>
      </c>
      <c r="I74" s="102" t="s">
        <v>5061</v>
      </c>
      <c r="J74" s="102" t="s">
        <v>5062</v>
      </c>
      <c r="K74" s="102" t="str">
        <f t="shared" si="1"/>
        <v>Harris | Houston | 77056</v>
      </c>
      <c r="L74" s="106" t="str">
        <f t="shared" si="2"/>
        <v>Harris | Houston | 77056 - Galleria, Tanglewood, Uptown, Westside</v>
      </c>
      <c r="M74" s="102">
        <f t="shared" si="3"/>
        <v>38</v>
      </c>
      <c r="N74" s="102"/>
      <c r="O74" s="102">
        <v>73.0</v>
      </c>
      <c r="P74" s="102">
        <f t="shared" si="4"/>
        <v>1</v>
      </c>
    </row>
    <row r="75">
      <c r="A75" s="107">
        <v>74.0</v>
      </c>
      <c r="B75" s="107" t="s">
        <v>5063</v>
      </c>
      <c r="C75" s="107"/>
      <c r="D75" s="107" t="s">
        <v>36</v>
      </c>
      <c r="E75" s="107" t="s">
        <v>252</v>
      </c>
      <c r="F75" s="107" t="s">
        <v>37</v>
      </c>
      <c r="G75" s="107" t="s">
        <v>4898</v>
      </c>
      <c r="H75" s="107" t="s">
        <v>5064</v>
      </c>
      <c r="I75" s="107" t="s">
        <v>5065</v>
      </c>
      <c r="J75" s="107" t="s">
        <v>5066</v>
      </c>
      <c r="K75" s="107" t="str">
        <f t="shared" si="1"/>
        <v>Harris | Houston | 77057</v>
      </c>
      <c r="L75" s="111" t="str">
        <f t="shared" si="2"/>
        <v>Harris | Houston | 77057 - Briargrove, Woodlake</v>
      </c>
      <c r="M75" s="107">
        <f t="shared" si="3"/>
        <v>20</v>
      </c>
      <c r="N75" s="107"/>
      <c r="O75" s="107">
        <v>74.0</v>
      </c>
      <c r="P75" s="107">
        <f t="shared" si="4"/>
        <v>1</v>
      </c>
    </row>
    <row r="76">
      <c r="A76" s="102">
        <v>75.0</v>
      </c>
      <c r="B76" s="102" t="s">
        <v>4305</v>
      </c>
      <c r="C76" s="102"/>
      <c r="D76" s="102" t="s">
        <v>36</v>
      </c>
      <c r="E76" s="102" t="s">
        <v>252</v>
      </c>
      <c r="F76" s="102" t="s">
        <v>37</v>
      </c>
      <c r="G76" s="102" t="s">
        <v>4898</v>
      </c>
      <c r="H76" s="102" t="s">
        <v>5067</v>
      </c>
      <c r="I76" s="102" t="s">
        <v>5068</v>
      </c>
      <c r="J76" s="102" t="s">
        <v>5069</v>
      </c>
      <c r="K76" s="102" t="str">
        <f t="shared" si="1"/>
        <v>Harris | Houston | 77058</v>
      </c>
      <c r="L76" s="106" t="str">
        <f t="shared" si="2"/>
        <v>Harris | Houston | 77058 - Clear Lake, Nassau Bay</v>
      </c>
      <c r="M76" s="102">
        <f t="shared" si="3"/>
        <v>22</v>
      </c>
      <c r="N76" s="102"/>
      <c r="O76" s="102">
        <v>79.0</v>
      </c>
      <c r="P76" s="102">
        <f t="shared" si="4"/>
        <v>1</v>
      </c>
    </row>
    <row r="77">
      <c r="A77" s="107">
        <v>76.0</v>
      </c>
      <c r="B77" s="107" t="s">
        <v>3976</v>
      </c>
      <c r="C77" s="107"/>
      <c r="D77" s="107" t="s">
        <v>36</v>
      </c>
      <c r="E77" s="107" t="s">
        <v>252</v>
      </c>
      <c r="F77" s="107" t="s">
        <v>37</v>
      </c>
      <c r="G77" s="107" t="s">
        <v>4898</v>
      </c>
      <c r="H77" s="107" t="s">
        <v>5070</v>
      </c>
      <c r="I77" s="107" t="s">
        <v>5071</v>
      </c>
      <c r="J77" s="107" t="s">
        <v>5072</v>
      </c>
      <c r="K77" s="107" t="str">
        <f t="shared" si="1"/>
        <v>Harris | Houston | 77059</v>
      </c>
      <c r="L77" s="111" t="str">
        <f t="shared" si="2"/>
        <v>Harris | Houston | 77059 - Clear Lake, Pine Brook</v>
      </c>
      <c r="M77" s="107">
        <f t="shared" si="3"/>
        <v>22</v>
      </c>
      <c r="N77" s="107"/>
      <c r="O77" s="107">
        <v>81.0</v>
      </c>
      <c r="P77" s="107">
        <f t="shared" si="4"/>
        <v>1</v>
      </c>
    </row>
    <row r="78">
      <c r="A78" s="102">
        <v>77.0</v>
      </c>
      <c r="B78" s="102" t="s">
        <v>5073</v>
      </c>
      <c r="C78" s="104">
        <v>1.0</v>
      </c>
      <c r="D78" s="102" t="s">
        <v>36</v>
      </c>
      <c r="E78" s="102" t="s">
        <v>252</v>
      </c>
      <c r="F78" s="102" t="s">
        <v>37</v>
      </c>
      <c r="G78" s="102" t="s">
        <v>4898</v>
      </c>
      <c r="H78" s="102" t="s">
        <v>5074</v>
      </c>
      <c r="I78" s="102" t="s">
        <v>5075</v>
      </c>
      <c r="J78" s="102" t="s">
        <v>5076</v>
      </c>
      <c r="K78" s="102" t="str">
        <f t="shared" si="1"/>
        <v>Harris | Houston | 77060</v>
      </c>
      <c r="L78" s="106" t="str">
        <f t="shared" si="2"/>
        <v>Harris | Houston | 77060 - Greenspoint</v>
      </c>
      <c r="M78" s="102">
        <f t="shared" si="3"/>
        <v>11</v>
      </c>
      <c r="N78" s="102"/>
      <c r="O78" s="102">
        <v>82.0</v>
      </c>
      <c r="P78" s="102">
        <f t="shared" si="4"/>
        <v>1</v>
      </c>
    </row>
    <row r="79">
      <c r="A79" s="107">
        <v>78.0</v>
      </c>
      <c r="B79" s="107" t="s">
        <v>5077</v>
      </c>
      <c r="C79" s="107"/>
      <c r="D79" s="107" t="s">
        <v>36</v>
      </c>
      <c r="E79" s="107" t="s">
        <v>252</v>
      </c>
      <c r="F79" s="107" t="s">
        <v>37</v>
      </c>
      <c r="G79" s="107" t="s">
        <v>4898</v>
      </c>
      <c r="H79" s="107" t="s">
        <v>5078</v>
      </c>
      <c r="I79" s="107" t="s">
        <v>5079</v>
      </c>
      <c r="J79" s="107" t="s">
        <v>5080</v>
      </c>
      <c r="K79" s="107" t="str">
        <f t="shared" si="1"/>
        <v>Harris | Houston | 77061</v>
      </c>
      <c r="L79" s="111" t="str">
        <f t="shared" si="2"/>
        <v>Harris | Houston | 77061 - Hobby Airport Area, Park Place</v>
      </c>
      <c r="M79" s="107">
        <f t="shared" si="3"/>
        <v>30</v>
      </c>
      <c r="N79" s="107"/>
      <c r="O79" s="107">
        <v>88.0</v>
      </c>
      <c r="P79" s="107">
        <f t="shared" si="4"/>
        <v>1</v>
      </c>
    </row>
    <row r="80">
      <c r="A80" s="102">
        <v>79.0</v>
      </c>
      <c r="B80" s="102" t="s">
        <v>3940</v>
      </c>
      <c r="C80" s="102"/>
      <c r="D80" s="102" t="s">
        <v>36</v>
      </c>
      <c r="E80" s="102" t="s">
        <v>252</v>
      </c>
      <c r="F80" s="102" t="s">
        <v>37</v>
      </c>
      <c r="G80" s="102" t="s">
        <v>4898</v>
      </c>
      <c r="H80" s="102" t="s">
        <v>5081</v>
      </c>
      <c r="I80" s="102" t="s">
        <v>5082</v>
      </c>
      <c r="J80" s="102" t="s">
        <v>1670</v>
      </c>
      <c r="K80" s="102" t="str">
        <f t="shared" si="1"/>
        <v>Harris | Houston | 77062</v>
      </c>
      <c r="L80" s="106" t="str">
        <f t="shared" si="2"/>
        <v>Harris | Houston | 77062 - Clear Lake</v>
      </c>
      <c r="M80" s="102">
        <f t="shared" si="3"/>
        <v>10</v>
      </c>
      <c r="N80" s="102"/>
      <c r="O80" s="102">
        <v>92.0</v>
      </c>
      <c r="P80" s="102">
        <f t="shared" si="4"/>
        <v>2</v>
      </c>
    </row>
    <row r="81">
      <c r="A81" s="107">
        <v>80.0</v>
      </c>
      <c r="B81" s="107" t="s">
        <v>5083</v>
      </c>
      <c r="C81" s="107"/>
      <c r="D81" s="107" t="s">
        <v>36</v>
      </c>
      <c r="E81" s="107" t="s">
        <v>252</v>
      </c>
      <c r="F81" s="107" t="s">
        <v>37</v>
      </c>
      <c r="G81" s="107" t="s">
        <v>4898</v>
      </c>
      <c r="H81" s="107" t="s">
        <v>5084</v>
      </c>
      <c r="I81" s="107" t="s">
        <v>5085</v>
      </c>
      <c r="J81" s="107" t="s">
        <v>5086</v>
      </c>
      <c r="K81" s="107" t="str">
        <f t="shared" si="1"/>
        <v>Harris | Houston | 77063</v>
      </c>
      <c r="L81" s="111" t="str">
        <f t="shared" si="2"/>
        <v>Harris | Houston | 77063 - Briarmeadow, Westchase</v>
      </c>
      <c r="M81" s="107">
        <f t="shared" si="3"/>
        <v>22</v>
      </c>
      <c r="N81" s="107"/>
      <c r="O81" s="107">
        <v>93.0</v>
      </c>
      <c r="P81" s="107">
        <f t="shared" si="4"/>
        <v>1</v>
      </c>
    </row>
    <row r="82">
      <c r="A82" s="102">
        <v>81.0</v>
      </c>
      <c r="B82" s="102" t="s">
        <v>5087</v>
      </c>
      <c r="C82" s="102"/>
      <c r="D82" s="102" t="s">
        <v>36</v>
      </c>
      <c r="E82" s="102" t="s">
        <v>252</v>
      </c>
      <c r="F82" s="102" t="s">
        <v>37</v>
      </c>
      <c r="G82" s="102" t="s">
        <v>4898</v>
      </c>
      <c r="H82" s="102" t="s">
        <v>5088</v>
      </c>
      <c r="I82" s="102" t="s">
        <v>5089</v>
      </c>
      <c r="J82" s="102" t="s">
        <v>5090</v>
      </c>
      <c r="K82" s="102" t="str">
        <f t="shared" si="1"/>
        <v>Harris | Houston | 77064</v>
      </c>
      <c r="L82" s="106" t="str">
        <f t="shared" si="2"/>
        <v>Harris | Houston | 77064 - Willowbrook, Winchester</v>
      </c>
      <c r="M82" s="102">
        <f t="shared" si="3"/>
        <v>23</v>
      </c>
      <c r="N82" s="102"/>
      <c r="O82" s="102">
        <v>98.0</v>
      </c>
      <c r="P82" s="102">
        <f t="shared" si="4"/>
        <v>1</v>
      </c>
    </row>
    <row r="83">
      <c r="A83" s="107">
        <v>82.0</v>
      </c>
      <c r="B83" s="107" t="s">
        <v>1100</v>
      </c>
      <c r="C83" s="107"/>
      <c r="D83" s="107" t="s">
        <v>36</v>
      </c>
      <c r="E83" s="107" t="s">
        <v>252</v>
      </c>
      <c r="F83" s="107" t="s">
        <v>37</v>
      </c>
      <c r="G83" s="107" t="s">
        <v>4898</v>
      </c>
      <c r="H83" s="107" t="s">
        <v>5091</v>
      </c>
      <c r="I83" s="107" t="s">
        <v>5092</v>
      </c>
      <c r="J83" s="107" t="s">
        <v>5093</v>
      </c>
      <c r="K83" s="107" t="str">
        <f t="shared" si="1"/>
        <v>Harris | Houston | 77065</v>
      </c>
      <c r="L83" s="111" t="str">
        <f t="shared" si="2"/>
        <v>Harris | Houston | 77065 - Cypress, Fairbanks</v>
      </c>
      <c r="M83" s="107">
        <f t="shared" si="3"/>
        <v>18</v>
      </c>
      <c r="N83" s="107"/>
      <c r="O83" s="107">
        <v>101.0</v>
      </c>
      <c r="P83" s="107">
        <f t="shared" si="4"/>
        <v>1</v>
      </c>
    </row>
    <row r="84">
      <c r="A84" s="102">
        <v>83.0</v>
      </c>
      <c r="B84" s="102" t="s">
        <v>5094</v>
      </c>
      <c r="C84" s="102"/>
      <c r="D84" s="102" t="s">
        <v>36</v>
      </c>
      <c r="E84" s="102" t="s">
        <v>252</v>
      </c>
      <c r="F84" s="102" t="s">
        <v>37</v>
      </c>
      <c r="G84" s="102" t="s">
        <v>4898</v>
      </c>
      <c r="H84" s="102" t="s">
        <v>5095</v>
      </c>
      <c r="I84" s="102" t="s">
        <v>5096</v>
      </c>
      <c r="J84" s="102" t="s">
        <v>5097</v>
      </c>
      <c r="K84" s="102" t="str">
        <f t="shared" si="1"/>
        <v>Harris | Houston | 77066</v>
      </c>
      <c r="L84" s="106" t="str">
        <f t="shared" si="2"/>
        <v>Harris | Houston | 77066 - Northchase, Northcliffe Manor</v>
      </c>
      <c r="M84" s="102">
        <f t="shared" si="3"/>
        <v>29</v>
      </c>
      <c r="N84" s="102"/>
      <c r="O84" s="102">
        <v>110.0</v>
      </c>
      <c r="P84" s="102">
        <f t="shared" si="4"/>
        <v>2</v>
      </c>
    </row>
    <row r="85">
      <c r="A85" s="107">
        <v>84.0</v>
      </c>
      <c r="B85" s="107" t="s">
        <v>5098</v>
      </c>
      <c r="C85" s="107"/>
      <c r="D85" s="107" t="s">
        <v>36</v>
      </c>
      <c r="E85" s="107" t="s">
        <v>252</v>
      </c>
      <c r="F85" s="107" t="s">
        <v>37</v>
      </c>
      <c r="G85" s="107" t="s">
        <v>4898</v>
      </c>
      <c r="H85" s="107" t="s">
        <v>5099</v>
      </c>
      <c r="I85" s="107" t="s">
        <v>5100</v>
      </c>
      <c r="J85" s="107" t="s">
        <v>5101</v>
      </c>
      <c r="K85" s="107" t="str">
        <f t="shared" si="1"/>
        <v>Harris | Houston | 77067</v>
      </c>
      <c r="L85" s="111" t="str">
        <f t="shared" si="2"/>
        <v>Harris | Houston | 77067 - Greenspoint, North Houston District</v>
      </c>
      <c r="M85" s="107">
        <f t="shared" si="3"/>
        <v>35</v>
      </c>
      <c r="N85" s="107"/>
      <c r="O85" s="107">
        <v>128.0</v>
      </c>
      <c r="P85" s="107">
        <f t="shared" si="4"/>
        <v>1</v>
      </c>
    </row>
    <row r="86">
      <c r="A86" s="102">
        <v>85.0</v>
      </c>
      <c r="B86" s="102" t="s">
        <v>5102</v>
      </c>
      <c r="C86" s="102"/>
      <c r="D86" s="102" t="s">
        <v>36</v>
      </c>
      <c r="E86" s="102" t="s">
        <v>252</v>
      </c>
      <c r="F86" s="102" t="s">
        <v>37</v>
      </c>
      <c r="G86" s="102" t="s">
        <v>4898</v>
      </c>
      <c r="H86" s="102" t="s">
        <v>5103</v>
      </c>
      <c r="I86" s="102" t="s">
        <v>5104</v>
      </c>
      <c r="J86" s="102" t="s">
        <v>5105</v>
      </c>
      <c r="K86" s="102" t="str">
        <f t="shared" si="1"/>
        <v>Harris | Houston | 77068</v>
      </c>
      <c r="L86" s="106" t="str">
        <f t="shared" si="2"/>
        <v>Harris | Houston | 77068 - Northcliffe, Ponderosa Forest</v>
      </c>
      <c r="M86" s="102">
        <f t="shared" si="3"/>
        <v>29</v>
      </c>
      <c r="N86" s="102"/>
      <c r="O86" s="102">
        <v>137.0</v>
      </c>
      <c r="P86" s="102">
        <f t="shared" si="4"/>
        <v>1</v>
      </c>
    </row>
    <row r="87">
      <c r="A87" s="107">
        <v>86.0</v>
      </c>
      <c r="B87" s="107" t="s">
        <v>5106</v>
      </c>
      <c r="C87" s="107"/>
      <c r="D87" s="107" t="s">
        <v>36</v>
      </c>
      <c r="E87" s="107" t="s">
        <v>252</v>
      </c>
      <c r="F87" s="107" t="s">
        <v>37</v>
      </c>
      <c r="G87" s="107" t="s">
        <v>4898</v>
      </c>
      <c r="H87" s="107" t="s">
        <v>5107</v>
      </c>
      <c r="I87" s="107" t="s">
        <v>5108</v>
      </c>
      <c r="J87" s="107" t="s">
        <v>5109</v>
      </c>
      <c r="K87" s="107" t="str">
        <f t="shared" si="1"/>
        <v>Harris | Houston | 77069</v>
      </c>
      <c r="L87" s="111" t="str">
        <f t="shared" si="2"/>
        <v>Harris | Houston | 77069 - Champions</v>
      </c>
      <c r="M87" s="107">
        <f t="shared" si="3"/>
        <v>9</v>
      </c>
      <c r="N87" s="107"/>
      <c r="O87" s="107">
        <v>147.0</v>
      </c>
      <c r="P87" s="107"/>
    </row>
    <row r="88">
      <c r="A88" s="102">
        <v>87.0</v>
      </c>
      <c r="B88" s="102" t="s">
        <v>2112</v>
      </c>
      <c r="C88" s="102"/>
      <c r="D88" s="102" t="s">
        <v>36</v>
      </c>
      <c r="E88" s="102" t="s">
        <v>252</v>
      </c>
      <c r="F88" s="102" t="s">
        <v>37</v>
      </c>
      <c r="G88" s="102" t="s">
        <v>4898</v>
      </c>
      <c r="H88" s="102" t="s">
        <v>5110</v>
      </c>
      <c r="I88" s="102" t="s">
        <v>5111</v>
      </c>
      <c r="J88" s="102" t="s">
        <v>5112</v>
      </c>
      <c r="K88" s="102" t="str">
        <f t="shared" si="1"/>
        <v>Harris | Houston | 77070</v>
      </c>
      <c r="L88" s="106" t="str">
        <f t="shared" si="2"/>
        <v>Harris | Houston | 77070 - Champion Forest, Mill Ridge North, Willowbrook</v>
      </c>
      <c r="M88" s="102">
        <f t="shared" si="3"/>
        <v>46</v>
      </c>
      <c r="N88" s="102"/>
      <c r="O88" s="102"/>
      <c r="P88" s="102"/>
    </row>
    <row r="89">
      <c r="A89" s="107">
        <v>88.0</v>
      </c>
      <c r="B89" s="107" t="s">
        <v>1405</v>
      </c>
      <c r="C89" s="107"/>
      <c r="D89" s="107" t="s">
        <v>36</v>
      </c>
      <c r="E89" s="107" t="s">
        <v>252</v>
      </c>
      <c r="F89" s="107" t="s">
        <v>37</v>
      </c>
      <c r="G89" s="107" t="s">
        <v>4898</v>
      </c>
      <c r="H89" s="107" t="s">
        <v>5113</v>
      </c>
      <c r="I89" s="107" t="s">
        <v>5114</v>
      </c>
      <c r="J89" s="107" t="s">
        <v>5115</v>
      </c>
      <c r="K89" s="107" t="str">
        <f t="shared" si="1"/>
        <v>Harris | Houston | 77071</v>
      </c>
      <c r="L89" s="111" t="str">
        <f t="shared" si="2"/>
        <v>Harris | Houston | 77071 - Brays Oaks, Fondren Gardens, Westbury</v>
      </c>
      <c r="M89" s="107">
        <f t="shared" si="3"/>
        <v>37</v>
      </c>
      <c r="N89" s="107"/>
      <c r="O89" s="107"/>
      <c r="P89" s="107"/>
    </row>
    <row r="90">
      <c r="A90" s="102">
        <v>89.0</v>
      </c>
      <c r="B90" s="102" t="s">
        <v>340</v>
      </c>
      <c r="C90" s="102"/>
      <c r="D90" s="102" t="s">
        <v>36</v>
      </c>
      <c r="E90" s="102" t="s">
        <v>252</v>
      </c>
      <c r="F90" s="102" t="s">
        <v>37</v>
      </c>
      <c r="G90" s="102" t="s">
        <v>4898</v>
      </c>
      <c r="H90" s="102" t="s">
        <v>5116</v>
      </c>
      <c r="I90" s="102" t="s">
        <v>5117</v>
      </c>
      <c r="J90" s="102" t="s">
        <v>345</v>
      </c>
      <c r="K90" s="102" t="str">
        <f t="shared" si="1"/>
        <v>Harris | Houston | 77072</v>
      </c>
      <c r="L90" s="106" t="str">
        <f t="shared" si="2"/>
        <v>Harris | Houston | 77072 - Alief</v>
      </c>
      <c r="M90" s="102">
        <f t="shared" si="3"/>
        <v>5</v>
      </c>
      <c r="N90" s="102"/>
      <c r="O90" s="102"/>
      <c r="P90" s="102"/>
    </row>
    <row r="91">
      <c r="A91" s="107">
        <v>90.0</v>
      </c>
      <c r="B91" s="107" t="s">
        <v>5118</v>
      </c>
      <c r="C91" s="107"/>
      <c r="D91" s="107" t="s">
        <v>36</v>
      </c>
      <c r="E91" s="107" t="s">
        <v>252</v>
      </c>
      <c r="F91" s="107" t="s">
        <v>37</v>
      </c>
      <c r="G91" s="107" t="s">
        <v>4898</v>
      </c>
      <c r="H91" s="107" t="s">
        <v>5119</v>
      </c>
      <c r="I91" s="107" t="s">
        <v>5120</v>
      </c>
      <c r="J91" s="107" t="s">
        <v>5121</v>
      </c>
      <c r="K91" s="107" t="str">
        <f t="shared" si="1"/>
        <v>Harris | Houston | 77073</v>
      </c>
      <c r="L91" s="111" t="str">
        <f t="shared" si="2"/>
        <v>Harris | Houston | 77073 - Westfield</v>
      </c>
      <c r="M91" s="107">
        <f t="shared" si="3"/>
        <v>9</v>
      </c>
      <c r="N91" s="107"/>
      <c r="O91" s="107"/>
      <c r="P91" s="107"/>
    </row>
    <row r="92">
      <c r="A92" s="102">
        <v>91.0</v>
      </c>
      <c r="B92" s="102" t="s">
        <v>567</v>
      </c>
      <c r="C92" s="102"/>
      <c r="D92" s="102" t="s">
        <v>36</v>
      </c>
      <c r="E92" s="102" t="s">
        <v>252</v>
      </c>
      <c r="F92" s="102" t="s">
        <v>37</v>
      </c>
      <c r="G92" s="102" t="s">
        <v>4898</v>
      </c>
      <c r="H92" s="102" t="s">
        <v>5122</v>
      </c>
      <c r="I92" s="102" t="s">
        <v>5123</v>
      </c>
      <c r="J92" s="102" t="s">
        <v>5124</v>
      </c>
      <c r="K92" s="102" t="str">
        <f t="shared" si="1"/>
        <v>Harris | Houston | 77074</v>
      </c>
      <c r="L92" s="106" t="str">
        <f t="shared" si="2"/>
        <v>Harris | Houston | 77074 - Braeburn, Robindell, Sharpstown</v>
      </c>
      <c r="M92" s="102">
        <f t="shared" si="3"/>
        <v>31</v>
      </c>
      <c r="N92" s="102"/>
      <c r="O92" s="102"/>
      <c r="P92" s="102"/>
    </row>
    <row r="93">
      <c r="A93" s="107">
        <v>92.0</v>
      </c>
      <c r="B93" s="107" t="s">
        <v>5125</v>
      </c>
      <c r="C93" s="107"/>
      <c r="D93" s="107" t="s">
        <v>36</v>
      </c>
      <c r="E93" s="107" t="s">
        <v>252</v>
      </c>
      <c r="F93" s="107" t="s">
        <v>37</v>
      </c>
      <c r="G93" s="107" t="s">
        <v>4898</v>
      </c>
      <c r="H93" s="107" t="s">
        <v>5126</v>
      </c>
      <c r="I93" s="107" t="s">
        <v>5127</v>
      </c>
      <c r="J93" s="107" t="s">
        <v>5128</v>
      </c>
      <c r="K93" s="107" t="str">
        <f t="shared" si="1"/>
        <v>Harris | Houston | 77075</v>
      </c>
      <c r="L93" s="111" t="str">
        <f t="shared" si="2"/>
        <v>Harris | Houston | 77075 - Allendale, Southbelt</v>
      </c>
      <c r="M93" s="107">
        <f t="shared" si="3"/>
        <v>20</v>
      </c>
      <c r="N93" s="107"/>
      <c r="O93" s="107"/>
      <c r="P93" s="107"/>
    </row>
    <row r="94">
      <c r="A94" s="102">
        <v>93.0</v>
      </c>
      <c r="B94" s="102" t="s">
        <v>65</v>
      </c>
      <c r="C94" s="102"/>
      <c r="D94" s="102" t="s">
        <v>36</v>
      </c>
      <c r="E94" s="102" t="s">
        <v>252</v>
      </c>
      <c r="F94" s="102" t="s">
        <v>37</v>
      </c>
      <c r="G94" s="102" t="s">
        <v>4898</v>
      </c>
      <c r="H94" s="102" t="s">
        <v>5129</v>
      </c>
      <c r="I94" s="102" t="s">
        <v>5130</v>
      </c>
      <c r="J94" s="102" t="s">
        <v>4961</v>
      </c>
      <c r="K94" s="102" t="str">
        <f t="shared" si="1"/>
        <v>Harris | Houston | 77076</v>
      </c>
      <c r="L94" s="106" t="str">
        <f t="shared" si="2"/>
        <v>Harris | Houston | 77076 - Independence Heights, Northline, Northside / Northline</v>
      </c>
      <c r="M94" s="102">
        <f t="shared" si="3"/>
        <v>54</v>
      </c>
      <c r="N94" s="102"/>
      <c r="O94" s="102"/>
      <c r="P94" s="102"/>
    </row>
    <row r="95">
      <c r="A95" s="107">
        <v>94.0</v>
      </c>
      <c r="B95" s="107" t="s">
        <v>5131</v>
      </c>
      <c r="C95" s="107"/>
      <c r="D95" s="107" t="s">
        <v>36</v>
      </c>
      <c r="E95" s="107" t="s">
        <v>252</v>
      </c>
      <c r="F95" s="107" t="s">
        <v>37</v>
      </c>
      <c r="G95" s="107" t="s">
        <v>4898</v>
      </c>
      <c r="H95" s="107" t="s">
        <v>5132</v>
      </c>
      <c r="I95" s="107" t="s">
        <v>5133</v>
      </c>
      <c r="J95" s="107" t="s">
        <v>5134</v>
      </c>
      <c r="K95" s="107" t="str">
        <f t="shared" si="1"/>
        <v>Harris | Houston | 77077</v>
      </c>
      <c r="L95" s="111" t="str">
        <f t="shared" si="2"/>
        <v>Harris | Houston | 77077 - Briar Hills, Energy Corridor</v>
      </c>
      <c r="M95" s="107">
        <f t="shared" si="3"/>
        <v>28</v>
      </c>
      <c r="N95" s="107"/>
      <c r="O95" s="107"/>
      <c r="P95" s="107"/>
    </row>
    <row r="96">
      <c r="A96" s="102">
        <v>95.0</v>
      </c>
      <c r="B96" s="102" t="s">
        <v>5135</v>
      </c>
      <c r="C96" s="102"/>
      <c r="D96" s="102" t="s">
        <v>36</v>
      </c>
      <c r="E96" s="102" t="s">
        <v>252</v>
      </c>
      <c r="F96" s="102" t="s">
        <v>37</v>
      </c>
      <c r="G96" s="102" t="s">
        <v>4898</v>
      </c>
      <c r="H96" s="102" t="s">
        <v>5136</v>
      </c>
      <c r="I96" s="102" t="s">
        <v>5137</v>
      </c>
      <c r="J96" s="102" t="s">
        <v>5138</v>
      </c>
      <c r="K96" s="102" t="str">
        <f t="shared" si="1"/>
        <v>Harris | Houston | 77078</v>
      </c>
      <c r="L96" s="106" t="str">
        <f t="shared" si="2"/>
        <v>Harris | Houston | 77078 - Northeast Houston, Settegast</v>
      </c>
      <c r="M96" s="102">
        <f t="shared" si="3"/>
        <v>28</v>
      </c>
      <c r="N96" s="102"/>
      <c r="O96" s="102"/>
      <c r="P96" s="102"/>
    </row>
    <row r="97">
      <c r="A97" s="107">
        <v>96.0</v>
      </c>
      <c r="B97" s="107" t="s">
        <v>3200</v>
      </c>
      <c r="C97" s="107"/>
      <c r="D97" s="107" t="s">
        <v>36</v>
      </c>
      <c r="E97" s="107" t="s">
        <v>252</v>
      </c>
      <c r="F97" s="107" t="s">
        <v>37</v>
      </c>
      <c r="G97" s="107" t="s">
        <v>4898</v>
      </c>
      <c r="H97" s="107" t="s">
        <v>5139</v>
      </c>
      <c r="I97" s="107" t="s">
        <v>5140</v>
      </c>
      <c r="J97" s="107" t="s">
        <v>5141</v>
      </c>
      <c r="K97" s="107" t="str">
        <f t="shared" si="1"/>
        <v>Harris | Houston | 77079</v>
      </c>
      <c r="L97" s="111" t="str">
        <f t="shared" si="2"/>
        <v>Harris | Houston | 77079 - Fleetwood, Memorial</v>
      </c>
      <c r="M97" s="107">
        <f t="shared" si="3"/>
        <v>19</v>
      </c>
      <c r="N97" s="107"/>
      <c r="O97" s="107"/>
      <c r="P97" s="107"/>
    </row>
    <row r="98">
      <c r="A98" s="102">
        <v>97.0</v>
      </c>
      <c r="B98" s="102" t="s">
        <v>694</v>
      </c>
      <c r="C98" s="102"/>
      <c r="D98" s="102" t="s">
        <v>36</v>
      </c>
      <c r="E98" s="102" t="s">
        <v>252</v>
      </c>
      <c r="F98" s="102" t="s">
        <v>37</v>
      </c>
      <c r="G98" s="102" t="s">
        <v>4898</v>
      </c>
      <c r="H98" s="102" t="s">
        <v>5142</v>
      </c>
      <c r="I98" s="102" t="s">
        <v>5143</v>
      </c>
      <c r="J98" s="102" t="s">
        <v>5144</v>
      </c>
      <c r="K98" s="102" t="str">
        <f t="shared" si="1"/>
        <v>Harris | Houston | 77080</v>
      </c>
      <c r="L98" s="106" t="str">
        <f t="shared" si="2"/>
        <v>Harris | Houston | 77080 - Northwest Houston, Spring Branch Central</v>
      </c>
      <c r="M98" s="102">
        <f t="shared" si="3"/>
        <v>40</v>
      </c>
      <c r="N98" s="102"/>
      <c r="O98" s="102"/>
      <c r="P98" s="102"/>
    </row>
    <row r="99">
      <c r="A99" s="107">
        <v>98.0</v>
      </c>
      <c r="B99" s="107" t="s">
        <v>676</v>
      </c>
      <c r="C99" s="109">
        <v>1.0</v>
      </c>
      <c r="D99" s="107" t="s">
        <v>36</v>
      </c>
      <c r="E99" s="107" t="s">
        <v>252</v>
      </c>
      <c r="F99" s="107" t="s">
        <v>37</v>
      </c>
      <c r="G99" s="107" t="s">
        <v>4898</v>
      </c>
      <c r="H99" s="107" t="s">
        <v>5145</v>
      </c>
      <c r="I99" s="107" t="s">
        <v>5146</v>
      </c>
      <c r="J99" s="107" t="s">
        <v>680</v>
      </c>
      <c r="K99" s="107" t="str">
        <f t="shared" si="1"/>
        <v>Harris | Houston | 77081</v>
      </c>
      <c r="L99" s="111" t="str">
        <f t="shared" si="2"/>
        <v>Harris | Houston | 77081 - Gulfton</v>
      </c>
      <c r="M99" s="107">
        <f t="shared" si="3"/>
        <v>7</v>
      </c>
      <c r="N99" s="107"/>
      <c r="O99" s="107"/>
      <c r="P99" s="107"/>
    </row>
    <row r="100">
      <c r="A100" s="102">
        <v>99.0</v>
      </c>
      <c r="B100" s="102" t="s">
        <v>642</v>
      </c>
      <c r="C100" s="102"/>
      <c r="D100" s="102" t="s">
        <v>36</v>
      </c>
      <c r="E100" s="102" t="s">
        <v>252</v>
      </c>
      <c r="F100" s="102" t="s">
        <v>37</v>
      </c>
      <c r="G100" s="102" t="s">
        <v>4898</v>
      </c>
      <c r="H100" s="102" t="s">
        <v>5147</v>
      </c>
      <c r="I100" s="102" t="s">
        <v>5148</v>
      </c>
      <c r="J100" s="102" t="s">
        <v>5149</v>
      </c>
      <c r="K100" s="102" t="str">
        <f t="shared" si="1"/>
        <v>Harris | Houston | 77082</v>
      </c>
      <c r="L100" s="106" t="str">
        <f t="shared" si="2"/>
        <v>Harris | Houston | 77082 - Alief, Eldridge/West Oaks, Westside</v>
      </c>
      <c r="M100" s="102">
        <f t="shared" si="3"/>
        <v>35</v>
      </c>
      <c r="N100" s="102"/>
      <c r="O100" s="102"/>
      <c r="P100" s="102"/>
    </row>
    <row r="101">
      <c r="A101" s="107">
        <v>100.0</v>
      </c>
      <c r="B101" s="107" t="s">
        <v>3074</v>
      </c>
      <c r="C101" s="107"/>
      <c r="D101" s="107" t="s">
        <v>36</v>
      </c>
      <c r="E101" s="107" t="s">
        <v>252</v>
      </c>
      <c r="F101" s="107" t="s">
        <v>37</v>
      </c>
      <c r="G101" s="107" t="s">
        <v>4898</v>
      </c>
      <c r="H101" s="107" t="s">
        <v>5150</v>
      </c>
      <c r="I101" s="107" t="s">
        <v>5151</v>
      </c>
      <c r="J101" s="107" t="s">
        <v>5152</v>
      </c>
      <c r="K101" s="107" t="str">
        <f t="shared" si="1"/>
        <v>Harris | Houston | 77083</v>
      </c>
      <c r="L101" s="111" t="str">
        <f t="shared" si="2"/>
        <v>Harris | Houston | 77083 - Alief, Mission Bend</v>
      </c>
      <c r="M101" s="107">
        <f t="shared" si="3"/>
        <v>19</v>
      </c>
      <c r="N101" s="107"/>
      <c r="O101" s="107"/>
      <c r="P101" s="107"/>
    </row>
    <row r="102">
      <c r="A102" s="102">
        <v>101.0</v>
      </c>
      <c r="B102" s="102" t="s">
        <v>3064</v>
      </c>
      <c r="C102" s="102"/>
      <c r="D102" s="102" t="s">
        <v>36</v>
      </c>
      <c r="E102" s="102" t="s">
        <v>252</v>
      </c>
      <c r="F102" s="102" t="s">
        <v>37</v>
      </c>
      <c r="G102" s="102" t="s">
        <v>4898</v>
      </c>
      <c r="H102" s="102" t="s">
        <v>5153</v>
      </c>
      <c r="I102" s="102" t="s">
        <v>5154</v>
      </c>
      <c r="J102" s="102" t="s">
        <v>5155</v>
      </c>
      <c r="K102" s="102" t="str">
        <f t="shared" si="1"/>
        <v>Harris | Houston | 77084</v>
      </c>
      <c r="L102" s="106" t="str">
        <f t="shared" si="2"/>
        <v>Harris | Houston | 77084 - Addicks Park Ten, Bear Creek, Copperfield</v>
      </c>
      <c r="M102" s="102">
        <f t="shared" si="3"/>
        <v>41</v>
      </c>
      <c r="N102" s="102"/>
      <c r="O102" s="102"/>
      <c r="P102" s="102"/>
    </row>
    <row r="103">
      <c r="A103" s="107">
        <v>102.0</v>
      </c>
      <c r="B103" s="107" t="s">
        <v>670</v>
      </c>
      <c r="C103" s="107"/>
      <c r="D103" s="107" t="s">
        <v>36</v>
      </c>
      <c r="E103" s="107" t="s">
        <v>252</v>
      </c>
      <c r="F103" s="107" t="s">
        <v>37</v>
      </c>
      <c r="G103" s="107" t="s">
        <v>4898</v>
      </c>
      <c r="H103" s="107" t="s">
        <v>5156</v>
      </c>
      <c r="I103" s="107" t="s">
        <v>5157</v>
      </c>
      <c r="J103" s="107" t="s">
        <v>5158</v>
      </c>
      <c r="K103" s="107" t="str">
        <f t="shared" si="1"/>
        <v>Harris | Houston | 77085</v>
      </c>
      <c r="L103" s="111" t="str">
        <f t="shared" si="2"/>
        <v>Harris | Houston | 77085 - Central Southwest, Fondren Gardens, Hiram Clarke, Willowbend</v>
      </c>
      <c r="M103" s="107">
        <f t="shared" si="3"/>
        <v>60</v>
      </c>
      <c r="N103" s="107"/>
      <c r="O103" s="107"/>
      <c r="P103" s="107"/>
    </row>
    <row r="104">
      <c r="A104" s="102">
        <v>103.0</v>
      </c>
      <c r="B104" s="102" t="s">
        <v>5159</v>
      </c>
      <c r="C104" s="102"/>
      <c r="D104" s="102" t="s">
        <v>36</v>
      </c>
      <c r="E104" s="102" t="s">
        <v>252</v>
      </c>
      <c r="F104" s="102" t="s">
        <v>37</v>
      </c>
      <c r="G104" s="102" t="s">
        <v>4898</v>
      </c>
      <c r="H104" s="102" t="s">
        <v>5160</v>
      </c>
      <c r="I104" s="102" t="s">
        <v>5161</v>
      </c>
      <c r="J104" s="102" t="s">
        <v>5162</v>
      </c>
      <c r="K104" s="102" t="str">
        <f t="shared" si="1"/>
        <v>Harris | Houston | 77086</v>
      </c>
      <c r="L104" s="106" t="str">
        <f t="shared" si="2"/>
        <v>Harris | Houston | 77086 - Carverdale, Greater Inwood</v>
      </c>
      <c r="M104" s="102">
        <f t="shared" si="3"/>
        <v>26</v>
      </c>
      <c r="N104" s="102"/>
      <c r="O104" s="102"/>
      <c r="P104" s="102"/>
    </row>
    <row r="105">
      <c r="A105" s="107">
        <v>104.0</v>
      </c>
      <c r="B105" s="107" t="s">
        <v>403</v>
      </c>
      <c r="C105" s="107"/>
      <c r="D105" s="107" t="s">
        <v>36</v>
      </c>
      <c r="E105" s="107" t="s">
        <v>252</v>
      </c>
      <c r="F105" s="107" t="s">
        <v>37</v>
      </c>
      <c r="G105" s="107" t="s">
        <v>4898</v>
      </c>
      <c r="H105" s="107" t="s">
        <v>5163</v>
      </c>
      <c r="I105" s="107" t="s">
        <v>5164</v>
      </c>
      <c r="J105" s="107" t="s">
        <v>5165</v>
      </c>
      <c r="K105" s="107" t="str">
        <f t="shared" si="1"/>
        <v>Harris | Houston | 77087</v>
      </c>
      <c r="L105" s="111" t="str">
        <f t="shared" si="2"/>
        <v>Harris | Houston | 77087 - Gulfgate, Gulfgate Riverview / Pine Valley, Pine Valley, Southeast Houston</v>
      </c>
      <c r="M105" s="107">
        <f t="shared" si="3"/>
        <v>74</v>
      </c>
      <c r="N105" s="107"/>
      <c r="O105" s="107"/>
      <c r="P105" s="107"/>
    </row>
    <row r="106">
      <c r="A106" s="102">
        <v>105.0</v>
      </c>
      <c r="B106" s="102" t="s">
        <v>1898</v>
      </c>
      <c r="C106" s="102"/>
      <c r="D106" s="102" t="s">
        <v>36</v>
      </c>
      <c r="E106" s="102" t="s">
        <v>252</v>
      </c>
      <c r="F106" s="102" t="s">
        <v>37</v>
      </c>
      <c r="G106" s="102" t="s">
        <v>4898</v>
      </c>
      <c r="H106" s="102" t="s">
        <v>5166</v>
      </c>
      <c r="I106" s="102" t="s">
        <v>5167</v>
      </c>
      <c r="J106" s="102" t="s">
        <v>5168</v>
      </c>
      <c r="K106" s="102" t="str">
        <f t="shared" si="1"/>
        <v>Harris | Houston | 77088</v>
      </c>
      <c r="L106" s="106" t="str">
        <f t="shared" si="2"/>
        <v>Harris | Houston | 77088 - Acres Home, Inwood, Northside</v>
      </c>
      <c r="M106" s="102">
        <f t="shared" si="3"/>
        <v>29</v>
      </c>
      <c r="N106" s="102"/>
      <c r="O106" s="102"/>
      <c r="P106" s="102"/>
    </row>
    <row r="107">
      <c r="A107" s="107">
        <v>106.0</v>
      </c>
      <c r="B107" s="107" t="s">
        <v>4162</v>
      </c>
      <c r="C107" s="107"/>
      <c r="D107" s="107" t="s">
        <v>36</v>
      </c>
      <c r="E107" s="107" t="s">
        <v>252</v>
      </c>
      <c r="F107" s="107" t="s">
        <v>37</v>
      </c>
      <c r="G107" s="107" t="s">
        <v>4898</v>
      </c>
      <c r="H107" s="107" t="s">
        <v>5169</v>
      </c>
      <c r="I107" s="107" t="s">
        <v>5170</v>
      </c>
      <c r="J107" s="107" t="s">
        <v>5171</v>
      </c>
      <c r="K107" s="107" t="str">
        <f t="shared" si="1"/>
        <v>Harris | Houston | 77089</v>
      </c>
      <c r="L107" s="111" t="str">
        <f t="shared" si="2"/>
        <v>Harris | Houston | 77089 - Sagemont, South Belt / Ellington</v>
      </c>
      <c r="M107" s="107">
        <f t="shared" si="3"/>
        <v>32</v>
      </c>
      <c r="N107" s="107"/>
      <c r="O107" s="107"/>
      <c r="P107" s="107"/>
    </row>
    <row r="108">
      <c r="A108" s="102">
        <v>107.0</v>
      </c>
      <c r="B108" s="102" t="s">
        <v>533</v>
      </c>
      <c r="C108" s="102"/>
      <c r="D108" s="102" t="s">
        <v>36</v>
      </c>
      <c r="E108" s="102" t="s">
        <v>252</v>
      </c>
      <c r="F108" s="102" t="s">
        <v>37</v>
      </c>
      <c r="G108" s="102" t="s">
        <v>4898</v>
      </c>
      <c r="H108" s="102" t="s">
        <v>5172</v>
      </c>
      <c r="I108" s="102" t="s">
        <v>5173</v>
      </c>
      <c r="J108" s="102" t="s">
        <v>5174</v>
      </c>
      <c r="K108" s="102" t="str">
        <f t="shared" si="1"/>
        <v>Harris | Houston | 77090</v>
      </c>
      <c r="L108" s="106" t="str">
        <f t="shared" si="2"/>
        <v>Harris | Houston | 77090 - Cypress Station, Ella Crossing, Westador</v>
      </c>
      <c r="M108" s="102">
        <f t="shared" si="3"/>
        <v>40</v>
      </c>
      <c r="N108" s="102"/>
      <c r="O108" s="102"/>
      <c r="P108" s="102"/>
    </row>
    <row r="109">
      <c r="A109" s="107">
        <v>108.0</v>
      </c>
      <c r="B109" s="107" t="s">
        <v>237</v>
      </c>
      <c r="C109" s="109">
        <v>1.0</v>
      </c>
      <c r="D109" s="107" t="s">
        <v>36</v>
      </c>
      <c r="E109" s="107" t="s">
        <v>252</v>
      </c>
      <c r="F109" s="107" t="s">
        <v>37</v>
      </c>
      <c r="G109" s="107" t="s">
        <v>4898</v>
      </c>
      <c r="H109" s="107" t="s">
        <v>5175</v>
      </c>
      <c r="I109" s="107" t="s">
        <v>5176</v>
      </c>
      <c r="J109" s="107" t="s">
        <v>5177</v>
      </c>
      <c r="K109" s="107" t="str">
        <f t="shared" si="1"/>
        <v>Harris | Houston | 77091</v>
      </c>
      <c r="L109" s="111" t="str">
        <f t="shared" si="2"/>
        <v>Harris | Houston | 77091 - Acres Home, Garden Oaks North, Northside / Northline</v>
      </c>
      <c r="M109" s="107">
        <f t="shared" si="3"/>
        <v>52</v>
      </c>
      <c r="N109" s="107"/>
      <c r="O109" s="107"/>
      <c r="P109" s="107"/>
    </row>
    <row r="110">
      <c r="A110" s="102">
        <v>109.0</v>
      </c>
      <c r="B110" s="102" t="s">
        <v>1265</v>
      </c>
      <c r="C110" s="102"/>
      <c r="D110" s="102" t="s">
        <v>36</v>
      </c>
      <c r="E110" s="102" t="s">
        <v>252</v>
      </c>
      <c r="F110" s="102" t="s">
        <v>37</v>
      </c>
      <c r="G110" s="102" t="s">
        <v>4898</v>
      </c>
      <c r="H110" s="102" t="s">
        <v>5178</v>
      </c>
      <c r="I110" s="102" t="s">
        <v>5179</v>
      </c>
      <c r="J110" s="102" t="s">
        <v>5180</v>
      </c>
      <c r="K110" s="102" t="str">
        <f t="shared" si="1"/>
        <v>Harris | Houston | 77092</v>
      </c>
      <c r="L110" s="106" t="str">
        <f t="shared" si="2"/>
        <v>Harris | Houston | 77092 - Central Northwest, Fairbanks / Northwest Crossing, Lazybrook / Timbergrove, Oak Forest West, Westside</v>
      </c>
      <c r="M110" s="102">
        <f t="shared" si="3"/>
        <v>101</v>
      </c>
      <c r="N110" s="102"/>
      <c r="O110" s="102"/>
      <c r="P110" s="102"/>
    </row>
    <row r="111">
      <c r="A111" s="107">
        <v>110.0</v>
      </c>
      <c r="B111" s="107" t="s">
        <v>1737</v>
      </c>
      <c r="C111" s="109">
        <v>1.0</v>
      </c>
      <c r="D111" s="107" t="s">
        <v>36</v>
      </c>
      <c r="E111" s="107" t="s">
        <v>252</v>
      </c>
      <c r="F111" s="107" t="s">
        <v>37</v>
      </c>
      <c r="G111" s="107" t="s">
        <v>4898</v>
      </c>
      <c r="H111" s="107" t="s">
        <v>5181</v>
      </c>
      <c r="I111" s="107" t="s">
        <v>5182</v>
      </c>
      <c r="J111" s="107" t="s">
        <v>5183</v>
      </c>
      <c r="K111" s="107" t="str">
        <f t="shared" si="1"/>
        <v>Harris | Houston | 77093</v>
      </c>
      <c r="L111" s="111" t="str">
        <f t="shared" si="2"/>
        <v>Harris | Houston | 77093 - Eastex, Jensen, Northeast Houston</v>
      </c>
      <c r="M111" s="107">
        <f t="shared" si="3"/>
        <v>33</v>
      </c>
      <c r="N111" s="107"/>
      <c r="O111" s="107"/>
      <c r="P111" s="107"/>
    </row>
    <row r="112">
      <c r="A112" s="102">
        <v>111.0</v>
      </c>
      <c r="B112" s="102" t="s">
        <v>5184</v>
      </c>
      <c r="C112" s="102"/>
      <c r="D112" s="102" t="s">
        <v>36</v>
      </c>
      <c r="E112" s="102" t="s">
        <v>252</v>
      </c>
      <c r="F112" s="102" t="s">
        <v>37</v>
      </c>
      <c r="G112" s="102" t="s">
        <v>4898</v>
      </c>
      <c r="H112" s="102" t="s">
        <v>5185</v>
      </c>
      <c r="I112" s="102" t="s">
        <v>5186</v>
      </c>
      <c r="J112" s="102" t="s">
        <v>5187</v>
      </c>
      <c r="K112" s="102" t="str">
        <f t="shared" si="1"/>
        <v>Harris | Houston | 77094</v>
      </c>
      <c r="L112" s="106" t="str">
        <f t="shared" si="2"/>
        <v>Harris | Houston | 77094 - Energy Corridor, Fleetwood</v>
      </c>
      <c r="M112" s="102">
        <f t="shared" si="3"/>
        <v>26</v>
      </c>
      <c r="N112" s="102"/>
      <c r="O112" s="102"/>
      <c r="P112" s="102"/>
    </row>
    <row r="113">
      <c r="A113" s="107">
        <v>112.0</v>
      </c>
      <c r="B113" s="107" t="s">
        <v>5188</v>
      </c>
      <c r="C113" s="107"/>
      <c r="D113" s="107" t="s">
        <v>36</v>
      </c>
      <c r="E113" s="107" t="s">
        <v>252</v>
      </c>
      <c r="F113" s="107" t="s">
        <v>37</v>
      </c>
      <c r="G113" s="107" t="s">
        <v>4898</v>
      </c>
      <c r="H113" s="107" t="s">
        <v>5189</v>
      </c>
      <c r="I113" s="107" t="s">
        <v>5190</v>
      </c>
      <c r="J113" s="107" t="s">
        <v>4001</v>
      </c>
      <c r="K113" s="107" t="str">
        <f t="shared" si="1"/>
        <v>Harris | Houston | 77095</v>
      </c>
      <c r="L113" s="111" t="str">
        <f t="shared" si="2"/>
        <v>Harris | Houston | 77095 - Copperfield</v>
      </c>
      <c r="M113" s="107">
        <f t="shared" si="3"/>
        <v>11</v>
      </c>
      <c r="N113" s="107"/>
      <c r="O113" s="107"/>
      <c r="P113" s="107"/>
    </row>
    <row r="114">
      <c r="A114" s="102">
        <v>113.0</v>
      </c>
      <c r="B114" s="102" t="s">
        <v>54</v>
      </c>
      <c r="C114" s="102"/>
      <c r="D114" s="102" t="s">
        <v>36</v>
      </c>
      <c r="E114" s="102" t="s">
        <v>252</v>
      </c>
      <c r="F114" s="102" t="s">
        <v>37</v>
      </c>
      <c r="G114" s="102" t="s">
        <v>4898</v>
      </c>
      <c r="H114" s="102" t="s">
        <v>5191</v>
      </c>
      <c r="I114" s="102" t="s">
        <v>5192</v>
      </c>
      <c r="J114" s="102" t="s">
        <v>5193</v>
      </c>
      <c r="K114" s="102" t="str">
        <f t="shared" si="1"/>
        <v>Harris | Houston | 77096</v>
      </c>
      <c r="L114" s="106" t="str">
        <f t="shared" si="2"/>
        <v>Harris | Houston | 77096 - Brays Oaks, Meyerland, Westbury, Willow Meadows</v>
      </c>
      <c r="M114" s="102">
        <f t="shared" si="3"/>
        <v>47</v>
      </c>
      <c r="N114" s="102"/>
      <c r="O114" s="102"/>
      <c r="P114" s="102"/>
    </row>
    <row r="115">
      <c r="A115" s="107">
        <v>114.0</v>
      </c>
      <c r="B115" s="107" t="s">
        <v>383</v>
      </c>
      <c r="C115" s="107"/>
      <c r="D115" s="107" t="s">
        <v>36</v>
      </c>
      <c r="E115" s="107" t="s">
        <v>252</v>
      </c>
      <c r="F115" s="107" t="s">
        <v>37</v>
      </c>
      <c r="G115" s="107" t="s">
        <v>4898</v>
      </c>
      <c r="H115" s="107" t="s">
        <v>5194</v>
      </c>
      <c r="I115" s="107" t="s">
        <v>5195</v>
      </c>
      <c r="J115" s="107" t="s">
        <v>5196</v>
      </c>
      <c r="K115" s="107" t="str">
        <f t="shared" si="1"/>
        <v>Harris | Houston | 77098</v>
      </c>
      <c r="L115" s="111" t="str">
        <f t="shared" si="2"/>
        <v>Harris | Houston | 77098 - Greenway / Upper Kirby Area, River Oaks, Upper Kirby</v>
      </c>
      <c r="M115" s="107">
        <f t="shared" si="3"/>
        <v>52</v>
      </c>
      <c r="N115" s="107"/>
      <c r="O115" s="107"/>
      <c r="P115" s="107"/>
    </row>
    <row r="116">
      <c r="A116" s="102">
        <v>115.0</v>
      </c>
      <c r="B116" s="102" t="s">
        <v>2138</v>
      </c>
      <c r="C116" s="102"/>
      <c r="D116" s="102" t="s">
        <v>36</v>
      </c>
      <c r="E116" s="102" t="s">
        <v>252</v>
      </c>
      <c r="F116" s="102" t="s">
        <v>37</v>
      </c>
      <c r="G116" s="102" t="s">
        <v>4898</v>
      </c>
      <c r="H116" s="102" t="s">
        <v>5197</v>
      </c>
      <c r="I116" s="102" t="s">
        <v>5198</v>
      </c>
      <c r="J116" s="102" t="s">
        <v>345</v>
      </c>
      <c r="K116" s="102" t="str">
        <f t="shared" si="1"/>
        <v>Harris | Houston | 77099</v>
      </c>
      <c r="L116" s="106" t="str">
        <f t="shared" si="2"/>
        <v>Harris | Houston | 77099 - Alief</v>
      </c>
      <c r="M116" s="102">
        <f t="shared" si="3"/>
        <v>5</v>
      </c>
      <c r="N116" s="102"/>
      <c r="O116" s="102"/>
      <c r="P116" s="102"/>
    </row>
    <row r="117">
      <c r="A117" s="107">
        <v>116.0</v>
      </c>
      <c r="B117" s="107" t="s">
        <v>1289</v>
      </c>
      <c r="C117" s="107"/>
      <c r="D117" s="109" t="s">
        <v>36</v>
      </c>
      <c r="E117" s="109" t="s">
        <v>252</v>
      </c>
      <c r="F117" s="109" t="s">
        <v>37</v>
      </c>
      <c r="G117" s="109" t="s">
        <v>4844</v>
      </c>
      <c r="H117" s="109" t="s">
        <v>5199</v>
      </c>
      <c r="I117" s="110" t="s">
        <v>5200</v>
      </c>
      <c r="J117" s="107" t="s">
        <v>3484</v>
      </c>
      <c r="K117" s="107" t="str">
        <f t="shared" si="1"/>
        <v>Harris | Houston | 77210</v>
      </c>
      <c r="L117" s="111" t="str">
        <f t="shared" si="2"/>
        <v>Harris | Houston | 77210 - P.O. Boxes</v>
      </c>
      <c r="M117" s="107">
        <f t="shared" si="3"/>
        <v>10</v>
      </c>
      <c r="N117" s="107"/>
      <c r="O117" s="107"/>
      <c r="P117" s="107"/>
    </row>
    <row r="118">
      <c r="A118" s="102">
        <v>117.0</v>
      </c>
      <c r="B118" s="102" t="s">
        <v>4723</v>
      </c>
      <c r="C118" s="102"/>
      <c r="D118" s="104" t="s">
        <v>36</v>
      </c>
      <c r="E118" s="104" t="s">
        <v>252</v>
      </c>
      <c r="F118" s="104" t="s">
        <v>37</v>
      </c>
      <c r="G118" s="104" t="s">
        <v>4844</v>
      </c>
      <c r="H118" s="104" t="s">
        <v>5199</v>
      </c>
      <c r="I118" s="112" t="s">
        <v>5201</v>
      </c>
      <c r="J118" s="102" t="s">
        <v>3484</v>
      </c>
      <c r="K118" s="102" t="str">
        <f t="shared" si="1"/>
        <v>Harris | Houston | 77231</v>
      </c>
      <c r="L118" s="106" t="str">
        <f t="shared" si="2"/>
        <v>Harris | Houston | 77231 - P.O. Boxes</v>
      </c>
      <c r="M118" s="102">
        <f t="shared" si="3"/>
        <v>10</v>
      </c>
      <c r="N118" s="102"/>
      <c r="O118" s="102"/>
      <c r="P118" s="102"/>
    </row>
    <row r="119">
      <c r="A119" s="107">
        <v>118.0</v>
      </c>
      <c r="B119" s="107" t="s">
        <v>1459</v>
      </c>
      <c r="C119" s="107"/>
      <c r="D119" s="107" t="s">
        <v>36</v>
      </c>
      <c r="E119" s="107" t="s">
        <v>252</v>
      </c>
      <c r="F119" s="107" t="s">
        <v>37</v>
      </c>
      <c r="G119" s="107" t="s">
        <v>4898</v>
      </c>
      <c r="H119" s="107"/>
      <c r="I119" s="107" t="s">
        <v>5202</v>
      </c>
      <c r="J119" s="107" t="s">
        <v>3484</v>
      </c>
      <c r="K119" s="107" t="str">
        <f t="shared" si="1"/>
        <v>Harris | Houston | 77242</v>
      </c>
      <c r="L119" s="111" t="str">
        <f t="shared" si="2"/>
        <v>Harris | Houston | 77242 - P.O. Boxes</v>
      </c>
      <c r="M119" s="107">
        <f t="shared" si="3"/>
        <v>10</v>
      </c>
      <c r="N119" s="107"/>
      <c r="O119" s="107"/>
      <c r="P119" s="107"/>
    </row>
    <row r="120">
      <c r="A120" s="102">
        <v>119.0</v>
      </c>
      <c r="B120" s="102" t="s">
        <v>5203</v>
      </c>
      <c r="C120" s="102"/>
      <c r="D120" s="102" t="s">
        <v>36</v>
      </c>
      <c r="E120" s="102" t="s">
        <v>252</v>
      </c>
      <c r="F120" s="102" t="s">
        <v>37</v>
      </c>
      <c r="G120" s="102" t="s">
        <v>4898</v>
      </c>
      <c r="H120" s="102"/>
      <c r="I120" s="102" t="s">
        <v>5204</v>
      </c>
      <c r="J120" s="102" t="s">
        <v>3484</v>
      </c>
      <c r="K120" s="102" t="str">
        <f t="shared" si="1"/>
        <v>Harris | Houston | 77257</v>
      </c>
      <c r="L120" s="106" t="str">
        <f t="shared" si="2"/>
        <v>Harris | Houston | 77257 - P.O. Boxes</v>
      </c>
      <c r="M120" s="102">
        <f t="shared" si="3"/>
        <v>10</v>
      </c>
      <c r="N120" s="102"/>
      <c r="O120" s="102"/>
      <c r="P120" s="102"/>
    </row>
    <row r="121">
      <c r="A121" s="107">
        <v>120.0</v>
      </c>
      <c r="B121" s="107" t="s">
        <v>5205</v>
      </c>
      <c r="C121" s="107"/>
      <c r="D121" s="107" t="s">
        <v>36</v>
      </c>
      <c r="E121" s="107" t="s">
        <v>252</v>
      </c>
      <c r="F121" s="107" t="s">
        <v>37</v>
      </c>
      <c r="G121" s="107" t="s">
        <v>4898</v>
      </c>
      <c r="H121" s="107"/>
      <c r="I121" s="107" t="s">
        <v>5206</v>
      </c>
      <c r="J121" s="107" t="s">
        <v>3484</v>
      </c>
      <c r="K121" s="107" t="str">
        <f t="shared" si="1"/>
        <v>Harris | Houston | 77277</v>
      </c>
      <c r="L121" s="111" t="str">
        <f t="shared" si="2"/>
        <v>Harris | Houston | 77277 - P.O. Boxes</v>
      </c>
      <c r="M121" s="107">
        <f t="shared" si="3"/>
        <v>10</v>
      </c>
      <c r="N121" s="107"/>
      <c r="O121" s="107"/>
      <c r="P121" s="107"/>
    </row>
    <row r="122">
      <c r="A122" s="102">
        <v>121.0</v>
      </c>
      <c r="B122" s="102" t="s">
        <v>5207</v>
      </c>
      <c r="C122" s="102"/>
      <c r="D122" s="102" t="s">
        <v>36</v>
      </c>
      <c r="E122" s="102" t="s">
        <v>252</v>
      </c>
      <c r="F122" s="102" t="s">
        <v>37</v>
      </c>
      <c r="G122" s="102" t="s">
        <v>4898</v>
      </c>
      <c r="H122" s="102"/>
      <c r="I122" s="102" t="s">
        <v>5208</v>
      </c>
      <c r="J122" s="102" t="s">
        <v>3484</v>
      </c>
      <c r="K122" s="102" t="str">
        <f t="shared" si="1"/>
        <v>Harris | Houston | 77279</v>
      </c>
      <c r="L122" s="106" t="str">
        <f t="shared" si="2"/>
        <v>Harris | Houston | 77279 - P.O. Boxes</v>
      </c>
      <c r="M122" s="102">
        <f t="shared" si="3"/>
        <v>10</v>
      </c>
      <c r="N122" s="102"/>
      <c r="O122" s="102"/>
      <c r="P122" s="102"/>
    </row>
    <row r="123">
      <c r="A123" s="107">
        <v>122.0</v>
      </c>
      <c r="B123" s="107" t="s">
        <v>1336</v>
      </c>
      <c r="C123" s="107"/>
      <c r="D123" s="107" t="s">
        <v>989</v>
      </c>
      <c r="E123" s="107" t="s">
        <v>4865</v>
      </c>
      <c r="F123" s="107" t="s">
        <v>37</v>
      </c>
      <c r="G123" s="107" t="s">
        <v>4898</v>
      </c>
      <c r="H123" s="107" t="s">
        <v>5209</v>
      </c>
      <c r="I123" s="107" t="s">
        <v>5210</v>
      </c>
      <c r="J123" s="107" t="s">
        <v>5211</v>
      </c>
      <c r="K123" s="107" t="str">
        <f t="shared" si="1"/>
        <v>Montgomery | Conroe | 77301</v>
      </c>
      <c r="L123" s="111" t="str">
        <f t="shared" si="2"/>
        <v>Montgomery | Conroe | 77301 - Conroe (Central/Downtown), Panorama Village</v>
      </c>
      <c r="M123" s="107">
        <f t="shared" si="3"/>
        <v>43</v>
      </c>
      <c r="N123" s="107"/>
      <c r="O123" s="107"/>
      <c r="P123" s="107"/>
    </row>
    <row r="124">
      <c r="A124" s="102">
        <v>123.0</v>
      </c>
      <c r="B124" s="102" t="s">
        <v>5212</v>
      </c>
      <c r="C124" s="102"/>
      <c r="D124" s="102" t="s">
        <v>989</v>
      </c>
      <c r="E124" s="102" t="s">
        <v>4865</v>
      </c>
      <c r="F124" s="102" t="s">
        <v>37</v>
      </c>
      <c r="G124" s="102" t="s">
        <v>4898</v>
      </c>
      <c r="H124" s="102" t="s">
        <v>5213</v>
      </c>
      <c r="I124" s="102" t="s">
        <v>5214</v>
      </c>
      <c r="J124" s="102" t="s">
        <v>5215</v>
      </c>
      <c r="K124" s="102" t="str">
        <f t="shared" si="1"/>
        <v>Montgomery | Conroe | 77302</v>
      </c>
      <c r="L124" s="106" t="str">
        <f t="shared" si="2"/>
        <v>Montgomery | Conroe | 77302 - Grayson Lakes, River Plantation, Woodloch</v>
      </c>
      <c r="M124" s="102">
        <f t="shared" si="3"/>
        <v>41</v>
      </c>
      <c r="N124" s="102"/>
      <c r="O124" s="102"/>
      <c r="P124" s="102"/>
    </row>
    <row r="125">
      <c r="A125" s="107">
        <v>124.0</v>
      </c>
      <c r="B125" s="107" t="s">
        <v>1361</v>
      </c>
      <c r="C125" s="107"/>
      <c r="D125" s="107" t="s">
        <v>989</v>
      </c>
      <c r="E125" s="107" t="s">
        <v>4865</v>
      </c>
      <c r="F125" s="107" t="s">
        <v>37</v>
      </c>
      <c r="G125" s="107" t="s">
        <v>4898</v>
      </c>
      <c r="H125" s="107" t="s">
        <v>5216</v>
      </c>
      <c r="I125" s="107" t="s">
        <v>5217</v>
      </c>
      <c r="J125" s="107" t="s">
        <v>5218</v>
      </c>
      <c r="K125" s="107" t="str">
        <f t="shared" si="1"/>
        <v>Montgomery | Conroe | 77303</v>
      </c>
      <c r="L125" s="111" t="str">
        <f t="shared" si="2"/>
        <v>Montgomery | Conroe | 77303 - Caney Creek, Conroe (Northeast), Cut and Shoot</v>
      </c>
      <c r="M125" s="107">
        <f t="shared" si="3"/>
        <v>46</v>
      </c>
      <c r="N125" s="107"/>
      <c r="O125" s="107"/>
      <c r="P125" s="107"/>
    </row>
    <row r="126">
      <c r="A126" s="102">
        <v>125.0</v>
      </c>
      <c r="B126" s="102" t="s">
        <v>1686</v>
      </c>
      <c r="C126" s="102"/>
      <c r="D126" s="102" t="s">
        <v>989</v>
      </c>
      <c r="E126" s="102" t="s">
        <v>4865</v>
      </c>
      <c r="F126" s="102" t="s">
        <v>37</v>
      </c>
      <c r="G126" s="102" t="s">
        <v>4898</v>
      </c>
      <c r="H126" s="102" t="s">
        <v>5219</v>
      </c>
      <c r="I126" s="102" t="s">
        <v>5220</v>
      </c>
      <c r="J126" s="102" t="s">
        <v>5221</v>
      </c>
      <c r="K126" s="102" t="str">
        <f t="shared" si="1"/>
        <v>Montgomery | Conroe | 77304</v>
      </c>
      <c r="L126" s="106" t="str">
        <f t="shared" si="2"/>
        <v>Montgomery | Conroe | 77304 - April Sound, Conroe, Walden on Lake Conroe, West Fork</v>
      </c>
      <c r="M126" s="102">
        <f t="shared" si="3"/>
        <v>53</v>
      </c>
      <c r="N126" s="102"/>
      <c r="O126" s="102"/>
      <c r="P126" s="102"/>
    </row>
    <row r="127">
      <c r="A127" s="107">
        <v>126.0</v>
      </c>
      <c r="B127" s="107" t="s">
        <v>990</v>
      </c>
      <c r="C127" s="107"/>
      <c r="D127" s="107" t="s">
        <v>989</v>
      </c>
      <c r="E127" s="107" t="s">
        <v>4865</v>
      </c>
      <c r="F127" s="107" t="s">
        <v>37</v>
      </c>
      <c r="G127" s="107" t="s">
        <v>4898</v>
      </c>
      <c r="H127" s="107" t="s">
        <v>5222</v>
      </c>
      <c r="I127" s="107" t="s">
        <v>5223</v>
      </c>
      <c r="J127" s="107" t="s">
        <v>5224</v>
      </c>
      <c r="K127" s="107" t="str">
        <f t="shared" si="1"/>
        <v>Montgomery | Conroe | 77305</v>
      </c>
      <c r="L127" s="111" t="str">
        <f t="shared" si="2"/>
        <v>Montgomery | Conroe | 77305 - Conroe, River Plantation</v>
      </c>
      <c r="M127" s="107">
        <f t="shared" si="3"/>
        <v>24</v>
      </c>
      <c r="N127" s="107"/>
      <c r="O127" s="107"/>
      <c r="P127" s="107"/>
    </row>
    <row r="128">
      <c r="A128" s="102">
        <v>127.0</v>
      </c>
      <c r="B128" s="102" t="s">
        <v>5225</v>
      </c>
      <c r="C128" s="102"/>
      <c r="D128" s="102" t="s">
        <v>989</v>
      </c>
      <c r="E128" s="102" t="s">
        <v>4865</v>
      </c>
      <c r="F128" s="102" t="s">
        <v>37</v>
      </c>
      <c r="G128" s="102" t="s">
        <v>4898</v>
      </c>
      <c r="H128" s="102" t="s">
        <v>5226</v>
      </c>
      <c r="I128" s="102" t="s">
        <v>5227</v>
      </c>
      <c r="J128" s="102" t="s">
        <v>5228</v>
      </c>
      <c r="K128" s="102" t="str">
        <f t="shared" si="1"/>
        <v>Montgomery | Conroe | 77306</v>
      </c>
      <c r="L128" s="106" t="str">
        <f t="shared" si="2"/>
        <v>Montgomery | Conroe | 77306 - Granger Pines, River Plantation</v>
      </c>
      <c r="M128" s="102">
        <f t="shared" si="3"/>
        <v>31</v>
      </c>
      <c r="N128" s="102"/>
      <c r="O128" s="102"/>
      <c r="P128" s="102"/>
    </row>
    <row r="129">
      <c r="A129" s="107">
        <v>128.0</v>
      </c>
      <c r="B129" s="107" t="s">
        <v>5229</v>
      </c>
      <c r="C129" s="107"/>
      <c r="D129" s="107" t="s">
        <v>4865</v>
      </c>
      <c r="E129" s="107" t="s">
        <v>4865</v>
      </c>
      <c r="F129" s="107" t="s">
        <v>37</v>
      </c>
      <c r="G129" s="107" t="s">
        <v>4898</v>
      </c>
      <c r="H129" s="107" t="s">
        <v>5230</v>
      </c>
      <c r="I129" s="107" t="s">
        <v>5231</v>
      </c>
      <c r="J129" s="107" t="s">
        <v>5232</v>
      </c>
      <c r="K129" s="107" t="str">
        <f t="shared" si="1"/>
        <v>Montgomery | Montgomery | 77316</v>
      </c>
      <c r="L129" s="111" t="str">
        <f t="shared" si="2"/>
        <v>Montgomery | Montgomery | 77316 - Bentwater, Montgomery, Woodforest</v>
      </c>
      <c r="M129" s="107">
        <f t="shared" si="3"/>
        <v>33</v>
      </c>
      <c r="N129" s="107"/>
      <c r="O129" s="107"/>
      <c r="P129" s="107"/>
    </row>
    <row r="130">
      <c r="A130" s="102">
        <v>129.0</v>
      </c>
      <c r="B130" s="102" t="s">
        <v>5233</v>
      </c>
      <c r="C130" s="102"/>
      <c r="D130" s="102" t="s">
        <v>4865</v>
      </c>
      <c r="E130" s="102" t="s">
        <v>4865</v>
      </c>
      <c r="F130" s="102" t="s">
        <v>37</v>
      </c>
      <c r="G130" s="102" t="s">
        <v>4898</v>
      </c>
      <c r="H130" s="102" t="s">
        <v>5234</v>
      </c>
      <c r="I130" s="102" t="s">
        <v>5235</v>
      </c>
      <c r="J130" s="102" t="s">
        <v>5236</v>
      </c>
      <c r="K130" s="102" t="str">
        <f t="shared" si="1"/>
        <v>Montgomery | Montgomery | 77318</v>
      </c>
      <c r="L130" s="106" t="str">
        <f t="shared" si="2"/>
        <v>Montgomery | Montgomery | 77318 - Seven Coves, Willis (Lake Conroe West)</v>
      </c>
      <c r="M130" s="102">
        <f t="shared" si="3"/>
        <v>38</v>
      </c>
      <c r="N130" s="102"/>
      <c r="O130" s="102"/>
      <c r="P130" s="102"/>
    </row>
    <row r="131">
      <c r="A131" s="107">
        <v>130.0</v>
      </c>
      <c r="B131" s="107" t="s">
        <v>1858</v>
      </c>
      <c r="C131" s="107"/>
      <c r="D131" s="107" t="s">
        <v>1857</v>
      </c>
      <c r="E131" s="107" t="s">
        <v>5237</v>
      </c>
      <c r="F131" s="107" t="s">
        <v>37</v>
      </c>
      <c r="G131" s="107" t="s">
        <v>4898</v>
      </c>
      <c r="H131" s="107" t="s">
        <v>5238</v>
      </c>
      <c r="I131" s="107" t="s">
        <v>5239</v>
      </c>
      <c r="J131" s="107" t="s">
        <v>5240</v>
      </c>
      <c r="K131" s="107" t="str">
        <f t="shared" si="1"/>
        <v>Walker | Huntsville | 77320</v>
      </c>
      <c r="L131" s="111" t="str">
        <f t="shared" si="2"/>
        <v>Walker | Huntsville | 77320 - Hunstville, Huntsville</v>
      </c>
      <c r="M131" s="107">
        <f t="shared" si="3"/>
        <v>22</v>
      </c>
      <c r="N131" s="107"/>
      <c r="O131" s="107"/>
      <c r="P131" s="107"/>
    </row>
    <row r="132">
      <c r="A132" s="102">
        <v>131.0</v>
      </c>
      <c r="B132" s="102" t="s">
        <v>5241</v>
      </c>
      <c r="C132" s="102"/>
      <c r="D132" s="102" t="s">
        <v>5242</v>
      </c>
      <c r="E132" s="102" t="s">
        <v>5243</v>
      </c>
      <c r="F132" s="102" t="s">
        <v>37</v>
      </c>
      <c r="G132" s="102" t="s">
        <v>4898</v>
      </c>
      <c r="H132" s="102" t="s">
        <v>5244</v>
      </c>
      <c r="I132" s="102" t="s">
        <v>5245</v>
      </c>
      <c r="J132" s="102" t="s">
        <v>5242</v>
      </c>
      <c r="K132" s="102" t="str">
        <f t="shared" si="1"/>
        <v>Liberty | Cleveland | 77327</v>
      </c>
      <c r="L132" s="106" t="str">
        <f t="shared" si="2"/>
        <v>Liberty | Cleveland | 77327 - Cleveland</v>
      </c>
      <c r="M132" s="102">
        <f t="shared" si="3"/>
        <v>9</v>
      </c>
      <c r="N132" s="102"/>
      <c r="O132" s="102"/>
      <c r="P132" s="102"/>
    </row>
    <row r="133">
      <c r="A133" s="107">
        <v>132.0</v>
      </c>
      <c r="B133" s="107" t="s">
        <v>5246</v>
      </c>
      <c r="C133" s="107"/>
      <c r="D133" s="107" t="s">
        <v>5242</v>
      </c>
      <c r="E133" s="107" t="s">
        <v>4865</v>
      </c>
      <c r="F133" s="107" t="s">
        <v>37</v>
      </c>
      <c r="G133" s="107" t="s">
        <v>4898</v>
      </c>
      <c r="H133" s="107" t="s">
        <v>5247</v>
      </c>
      <c r="I133" s="107" t="s">
        <v>5248</v>
      </c>
      <c r="J133" s="107" t="s">
        <v>5242</v>
      </c>
      <c r="K133" s="107" t="str">
        <f t="shared" si="1"/>
        <v>Montgomery | Cleveland | 77328</v>
      </c>
      <c r="L133" s="111" t="str">
        <f t="shared" si="2"/>
        <v>Montgomery | Cleveland | 77328 - Cleveland</v>
      </c>
      <c r="M133" s="107">
        <f t="shared" si="3"/>
        <v>9</v>
      </c>
      <c r="N133" s="107"/>
      <c r="O133" s="107"/>
      <c r="P133" s="107"/>
    </row>
    <row r="134">
      <c r="A134" s="102">
        <v>133.0</v>
      </c>
      <c r="B134" s="102" t="s">
        <v>5249</v>
      </c>
      <c r="C134" s="102"/>
      <c r="D134" s="102" t="s">
        <v>5250</v>
      </c>
      <c r="E134" s="102" t="s">
        <v>4865</v>
      </c>
      <c r="F134" s="102" t="s">
        <v>37</v>
      </c>
      <c r="G134" s="102" t="s">
        <v>4898</v>
      </c>
      <c r="H134" s="102" t="s">
        <v>5251</v>
      </c>
      <c r="I134" s="102" t="s">
        <v>5252</v>
      </c>
      <c r="J134" s="102" t="s">
        <v>5250</v>
      </c>
      <c r="K134" s="102" t="str">
        <f t="shared" si="1"/>
        <v>Montgomery | Dobbin | 77333</v>
      </c>
      <c r="L134" s="106" t="str">
        <f t="shared" si="2"/>
        <v>Montgomery | Dobbin | 77333 - Dobbin</v>
      </c>
      <c r="M134" s="102">
        <f t="shared" si="3"/>
        <v>6</v>
      </c>
      <c r="N134" s="102"/>
      <c r="O134" s="102"/>
      <c r="P134" s="102"/>
    </row>
    <row r="135">
      <c r="A135" s="107">
        <v>134.0</v>
      </c>
      <c r="B135" s="107" t="s">
        <v>5253</v>
      </c>
      <c r="C135" s="107"/>
      <c r="D135" s="107" t="s">
        <v>5254</v>
      </c>
      <c r="E135" s="107" t="s">
        <v>5237</v>
      </c>
      <c r="F135" s="107" t="s">
        <v>37</v>
      </c>
      <c r="G135" s="107" t="s">
        <v>4898</v>
      </c>
      <c r="H135" s="107" t="s">
        <v>5255</v>
      </c>
      <c r="I135" s="107" t="s">
        <v>5256</v>
      </c>
      <c r="J135" s="107" t="s">
        <v>5254</v>
      </c>
      <c r="K135" s="107" t="str">
        <f t="shared" si="1"/>
        <v>Walker | Dodge | 77334</v>
      </c>
      <c r="L135" s="111" t="str">
        <f t="shared" si="2"/>
        <v>Walker | Dodge | 77334 - Dodge</v>
      </c>
      <c r="M135" s="107">
        <f t="shared" si="3"/>
        <v>5</v>
      </c>
      <c r="N135" s="107"/>
      <c r="O135" s="107"/>
      <c r="P135" s="107"/>
    </row>
    <row r="136">
      <c r="A136" s="102">
        <v>135.0</v>
      </c>
      <c r="B136" s="102" t="s">
        <v>4334</v>
      </c>
      <c r="C136" s="102"/>
      <c r="D136" s="102" t="s">
        <v>4333</v>
      </c>
      <c r="E136" s="102" t="s">
        <v>252</v>
      </c>
      <c r="F136" s="102" t="s">
        <v>37</v>
      </c>
      <c r="G136" s="102" t="s">
        <v>4898</v>
      </c>
      <c r="H136" s="102" t="s">
        <v>5257</v>
      </c>
      <c r="I136" s="102" t="s">
        <v>5258</v>
      </c>
      <c r="J136" s="102" t="s">
        <v>4333</v>
      </c>
      <c r="K136" s="102" t="str">
        <f t="shared" si="1"/>
        <v>Harris | Huffman | 77336</v>
      </c>
      <c r="L136" s="106" t="str">
        <f t="shared" si="2"/>
        <v>Harris | Huffman | 77336 - Huffman</v>
      </c>
      <c r="M136" s="102">
        <f t="shared" si="3"/>
        <v>7</v>
      </c>
      <c r="N136" s="102"/>
      <c r="O136" s="102"/>
      <c r="P136" s="102"/>
    </row>
    <row r="137">
      <c r="A137" s="107">
        <v>136.0</v>
      </c>
      <c r="B137" s="107" t="s">
        <v>489</v>
      </c>
      <c r="C137" s="107"/>
      <c r="D137" s="107" t="s">
        <v>488</v>
      </c>
      <c r="E137" s="107" t="s">
        <v>252</v>
      </c>
      <c r="F137" s="107" t="s">
        <v>37</v>
      </c>
      <c r="G137" s="107" t="s">
        <v>4898</v>
      </c>
      <c r="H137" s="107" t="s">
        <v>5259</v>
      </c>
      <c r="I137" s="107" t="s">
        <v>5260</v>
      </c>
      <c r="J137" s="107" t="s">
        <v>5261</v>
      </c>
      <c r="K137" s="107" t="str">
        <f t="shared" si="1"/>
        <v>Harris | Humble | 77338</v>
      </c>
      <c r="L137" s="111" t="str">
        <f t="shared" si="2"/>
        <v>Harris | Humble | 77338 - Humble, Humble (Old Town), Northshire</v>
      </c>
      <c r="M137" s="107">
        <f t="shared" si="3"/>
        <v>37</v>
      </c>
      <c r="N137" s="107"/>
      <c r="O137" s="107"/>
      <c r="P137" s="107"/>
    </row>
    <row r="138">
      <c r="A138" s="102">
        <v>137.0</v>
      </c>
      <c r="B138" s="102" t="s">
        <v>3791</v>
      </c>
      <c r="C138" s="102"/>
      <c r="D138" s="102" t="s">
        <v>3790</v>
      </c>
      <c r="E138" s="102" t="s">
        <v>252</v>
      </c>
      <c r="F138" s="102" t="s">
        <v>37</v>
      </c>
      <c r="G138" s="102" t="s">
        <v>4898</v>
      </c>
      <c r="H138" s="102" t="s">
        <v>5262</v>
      </c>
      <c r="I138" s="102" t="s">
        <v>5263</v>
      </c>
      <c r="J138" s="102" t="s">
        <v>5264</v>
      </c>
      <c r="K138" s="102" t="str">
        <f t="shared" si="1"/>
        <v>Harris | Kingwood | 77339</v>
      </c>
      <c r="L138" s="106" t="str">
        <f t="shared" si="2"/>
        <v>Harris | Kingwood | 77339 - Kingwood (Trailwood, Elm Grove villages)</v>
      </c>
      <c r="M138" s="102">
        <f t="shared" si="3"/>
        <v>40</v>
      </c>
      <c r="N138" s="102"/>
      <c r="O138" s="102"/>
      <c r="P138" s="102"/>
    </row>
    <row r="139">
      <c r="A139" s="107">
        <v>138.0</v>
      </c>
      <c r="B139" s="107" t="s">
        <v>4393</v>
      </c>
      <c r="C139" s="107"/>
      <c r="D139" s="107" t="s">
        <v>1857</v>
      </c>
      <c r="E139" s="107" t="s">
        <v>5237</v>
      </c>
      <c r="F139" s="107" t="s">
        <v>37</v>
      </c>
      <c r="G139" s="107" t="s">
        <v>4898</v>
      </c>
      <c r="H139" s="107" t="s">
        <v>5265</v>
      </c>
      <c r="I139" s="107" t="s">
        <v>5266</v>
      </c>
      <c r="J139" s="107" t="s">
        <v>5267</v>
      </c>
      <c r="K139" s="107" t="str">
        <f t="shared" si="1"/>
        <v>Walker | Huntsville | 77340</v>
      </c>
      <c r="L139" s="111" t="str">
        <f t="shared" si="2"/>
        <v>Walker | Huntsville | 77340 - Huntsville, Phelps</v>
      </c>
      <c r="M139" s="107">
        <f t="shared" si="3"/>
        <v>18</v>
      </c>
      <c r="N139" s="107"/>
      <c r="O139" s="107"/>
      <c r="P139" s="107"/>
    </row>
    <row r="140">
      <c r="A140" s="102">
        <v>139.0</v>
      </c>
      <c r="B140" s="102" t="s">
        <v>5268</v>
      </c>
      <c r="C140" s="102"/>
      <c r="D140" s="102" t="s">
        <v>1857</v>
      </c>
      <c r="E140" s="102" t="s">
        <v>5237</v>
      </c>
      <c r="F140" s="102" t="s">
        <v>37</v>
      </c>
      <c r="G140" s="102" t="s">
        <v>4898</v>
      </c>
      <c r="H140" s="102" t="s">
        <v>5269</v>
      </c>
      <c r="I140" s="102" t="s">
        <v>5270</v>
      </c>
      <c r="J140" s="102" t="s">
        <v>1857</v>
      </c>
      <c r="K140" s="102" t="str">
        <f t="shared" si="1"/>
        <v>Walker | Huntsville | 77341</v>
      </c>
      <c r="L140" s="106" t="str">
        <f t="shared" si="2"/>
        <v>Walker | Huntsville | 77341 - Huntsville</v>
      </c>
      <c r="M140" s="102">
        <f t="shared" si="3"/>
        <v>10</v>
      </c>
      <c r="N140" s="102"/>
      <c r="O140" s="102"/>
      <c r="P140" s="102"/>
    </row>
    <row r="141">
      <c r="A141" s="107">
        <v>140.0</v>
      </c>
      <c r="B141" s="107" t="s">
        <v>5271</v>
      </c>
      <c r="C141" s="107"/>
      <c r="D141" s="107" t="s">
        <v>1857</v>
      </c>
      <c r="E141" s="107" t="s">
        <v>5237</v>
      </c>
      <c r="F141" s="107" t="s">
        <v>37</v>
      </c>
      <c r="G141" s="107" t="s">
        <v>4898</v>
      </c>
      <c r="H141" s="107" t="s">
        <v>5272</v>
      </c>
      <c r="I141" s="107" t="s">
        <v>5273</v>
      </c>
      <c r="J141" s="107" t="s">
        <v>1857</v>
      </c>
      <c r="K141" s="107" t="str">
        <f t="shared" si="1"/>
        <v>Walker | Huntsville | 77342</v>
      </c>
      <c r="L141" s="111" t="str">
        <f t="shared" si="2"/>
        <v>Walker | Huntsville | 77342 - Huntsville</v>
      </c>
      <c r="M141" s="107">
        <f t="shared" si="3"/>
        <v>10</v>
      </c>
      <c r="N141" s="107"/>
      <c r="O141" s="107"/>
      <c r="P141" s="107"/>
    </row>
    <row r="142">
      <c r="A142" s="102">
        <v>141.0</v>
      </c>
      <c r="B142" s="102" t="s">
        <v>5274</v>
      </c>
      <c r="C142" s="102"/>
      <c r="D142" s="102" t="s">
        <v>3790</v>
      </c>
      <c r="E142" s="102" t="s">
        <v>252</v>
      </c>
      <c r="F142" s="102" t="s">
        <v>37</v>
      </c>
      <c r="G142" s="102" t="s">
        <v>4898</v>
      </c>
      <c r="H142" s="102" t="s">
        <v>5275</v>
      </c>
      <c r="I142" s="102" t="s">
        <v>5276</v>
      </c>
      <c r="J142" s="102" t="s">
        <v>5277</v>
      </c>
      <c r="K142" s="102" t="str">
        <f t="shared" si="1"/>
        <v>Harris | Kingwood | 77345</v>
      </c>
      <c r="L142" s="106" t="str">
        <f t="shared" si="2"/>
        <v>Harris | Kingwood | 77345 - Kingwood (Bear Branch, Mills Branch villages)</v>
      </c>
      <c r="M142" s="102">
        <f t="shared" si="3"/>
        <v>45</v>
      </c>
      <c r="N142" s="102"/>
      <c r="O142" s="102"/>
      <c r="P142" s="102"/>
    </row>
    <row r="143">
      <c r="A143" s="107">
        <v>142.0</v>
      </c>
      <c r="B143" s="107" t="s">
        <v>5278</v>
      </c>
      <c r="C143" s="107"/>
      <c r="D143" s="107" t="s">
        <v>5279</v>
      </c>
      <c r="E143" s="107" t="s">
        <v>252</v>
      </c>
      <c r="F143" s="107" t="s">
        <v>37</v>
      </c>
      <c r="G143" s="107" t="s">
        <v>4898</v>
      </c>
      <c r="H143" s="107" t="s">
        <v>5280</v>
      </c>
      <c r="I143" s="107" t="s">
        <v>5281</v>
      </c>
      <c r="J143" s="107" t="s">
        <v>5282</v>
      </c>
      <c r="K143" s="107" t="str">
        <f t="shared" si="1"/>
        <v>Harris | Atascocita | 77346</v>
      </c>
      <c r="L143" s="111" t="str">
        <f t="shared" si="2"/>
        <v>Harris | Atascocita | 77346 - Atascocita, Eagle Springs</v>
      </c>
      <c r="M143" s="107">
        <f t="shared" si="3"/>
        <v>25</v>
      </c>
      <c r="N143" s="107"/>
      <c r="O143" s="107"/>
      <c r="P143" s="107"/>
    </row>
    <row r="144">
      <c r="A144" s="102">
        <v>143.0</v>
      </c>
      <c r="B144" s="102" t="s">
        <v>5283</v>
      </c>
      <c r="C144" s="102"/>
      <c r="D144" s="102" t="s">
        <v>488</v>
      </c>
      <c r="E144" s="102" t="s">
        <v>252</v>
      </c>
      <c r="F144" s="102" t="s">
        <v>37</v>
      </c>
      <c r="G144" s="102" t="s">
        <v>4898</v>
      </c>
      <c r="H144" s="102" t="s">
        <v>4947</v>
      </c>
      <c r="I144" s="102" t="s">
        <v>5284</v>
      </c>
      <c r="J144" s="102" t="s">
        <v>488</v>
      </c>
      <c r="K144" s="102" t="str">
        <f t="shared" si="1"/>
        <v>Harris | Humble | 77347</v>
      </c>
      <c r="L144" s="106" t="str">
        <f t="shared" si="2"/>
        <v>Harris | Humble | 77347 - Humble</v>
      </c>
      <c r="M144" s="102">
        <f t="shared" si="3"/>
        <v>6</v>
      </c>
      <c r="N144" s="102"/>
      <c r="O144" s="102"/>
      <c r="P144" s="102"/>
    </row>
    <row r="145">
      <c r="A145" s="107">
        <v>144.0</v>
      </c>
      <c r="B145" s="107" t="s">
        <v>5285</v>
      </c>
      <c r="C145" s="107"/>
      <c r="D145" s="107" t="s">
        <v>256</v>
      </c>
      <c r="E145" s="107" t="s">
        <v>4865</v>
      </c>
      <c r="F145" s="107" t="s">
        <v>37</v>
      </c>
      <c r="G145" s="107" t="s">
        <v>4898</v>
      </c>
      <c r="H145" s="107" t="s">
        <v>5286</v>
      </c>
      <c r="I145" s="107" t="s">
        <v>5287</v>
      </c>
      <c r="J145" s="107" t="s">
        <v>256</v>
      </c>
      <c r="K145" s="107" t="str">
        <f t="shared" si="1"/>
        <v>Montgomery | Magnolia | 77353</v>
      </c>
      <c r="L145" s="111" t="str">
        <f t="shared" si="2"/>
        <v>Montgomery | Magnolia | 77353 - Magnolia</v>
      </c>
      <c r="M145" s="107">
        <f t="shared" si="3"/>
        <v>8</v>
      </c>
      <c r="N145" s="107"/>
      <c r="O145" s="107"/>
      <c r="P145" s="107"/>
    </row>
    <row r="146">
      <c r="A146" s="102">
        <v>145.0</v>
      </c>
      <c r="B146" s="102" t="s">
        <v>2762</v>
      </c>
      <c r="C146" s="102"/>
      <c r="D146" s="102" t="s">
        <v>256</v>
      </c>
      <c r="E146" s="102" t="s">
        <v>4865</v>
      </c>
      <c r="F146" s="102" t="s">
        <v>37</v>
      </c>
      <c r="G146" s="102" t="s">
        <v>4898</v>
      </c>
      <c r="H146" s="102" t="s">
        <v>5288</v>
      </c>
      <c r="I146" s="102" t="s">
        <v>5289</v>
      </c>
      <c r="J146" s="102" t="s">
        <v>256</v>
      </c>
      <c r="K146" s="102" t="str">
        <f t="shared" si="1"/>
        <v>Montgomery | Magnolia | 77354</v>
      </c>
      <c r="L146" s="106" t="str">
        <f t="shared" si="2"/>
        <v>Montgomery | Magnolia | 77354 - Magnolia</v>
      </c>
      <c r="M146" s="102">
        <f t="shared" si="3"/>
        <v>8</v>
      </c>
      <c r="N146" s="102"/>
      <c r="O146" s="102"/>
      <c r="P146" s="102"/>
    </row>
    <row r="147">
      <c r="A147" s="107">
        <v>146.0</v>
      </c>
      <c r="B147" s="107" t="s">
        <v>257</v>
      </c>
      <c r="C147" s="107"/>
      <c r="D147" s="107" t="s">
        <v>256</v>
      </c>
      <c r="E147" s="107" t="s">
        <v>4865</v>
      </c>
      <c r="F147" s="107" t="s">
        <v>37</v>
      </c>
      <c r="G147" s="107" t="s">
        <v>4898</v>
      </c>
      <c r="H147" s="107" t="s">
        <v>5290</v>
      </c>
      <c r="I147" s="107" t="s">
        <v>5291</v>
      </c>
      <c r="J147" s="107" t="s">
        <v>256</v>
      </c>
      <c r="K147" s="107" t="str">
        <f t="shared" si="1"/>
        <v>Montgomery | Magnolia | 77355</v>
      </c>
      <c r="L147" s="111" t="str">
        <f t="shared" si="2"/>
        <v>Montgomery | Magnolia | 77355 - Magnolia</v>
      </c>
      <c r="M147" s="107">
        <f t="shared" si="3"/>
        <v>8</v>
      </c>
      <c r="N147" s="107"/>
      <c r="O147" s="107"/>
      <c r="P147" s="107"/>
    </row>
    <row r="148">
      <c r="A148" s="102">
        <v>147.0</v>
      </c>
      <c r="B148" s="102" t="s">
        <v>5292</v>
      </c>
      <c r="C148" s="102"/>
      <c r="D148" s="102" t="s">
        <v>4865</v>
      </c>
      <c r="E148" s="102" t="s">
        <v>4865</v>
      </c>
      <c r="F148" s="102" t="s">
        <v>37</v>
      </c>
      <c r="G148" s="102" t="s">
        <v>4898</v>
      </c>
      <c r="H148" s="102" t="s">
        <v>5293</v>
      </c>
      <c r="I148" s="102" t="s">
        <v>5294</v>
      </c>
      <c r="J148" s="102" t="s">
        <v>4865</v>
      </c>
      <c r="K148" s="102" t="str">
        <f t="shared" si="1"/>
        <v>Montgomery | Montgomery | 77356</v>
      </c>
      <c r="L148" s="106" t="str">
        <f t="shared" si="2"/>
        <v>Montgomery | Montgomery | 77356 - Montgomery</v>
      </c>
      <c r="M148" s="102">
        <f t="shared" si="3"/>
        <v>10</v>
      </c>
      <c r="N148" s="102"/>
      <c r="O148" s="102"/>
      <c r="P148" s="102"/>
    </row>
    <row r="149">
      <c r="A149" s="107">
        <v>148.0</v>
      </c>
      <c r="B149" s="107" t="s">
        <v>3087</v>
      </c>
      <c r="C149" s="107"/>
      <c r="D149" s="107" t="s">
        <v>3086</v>
      </c>
      <c r="E149" s="107" t="s">
        <v>252</v>
      </c>
      <c r="F149" s="107" t="s">
        <v>37</v>
      </c>
      <c r="G149" s="107" t="s">
        <v>4898</v>
      </c>
      <c r="H149" s="107" t="s">
        <v>5295</v>
      </c>
      <c r="I149" s="107" t="s">
        <v>5296</v>
      </c>
      <c r="J149" s="107" t="s">
        <v>3086</v>
      </c>
      <c r="K149" s="107" t="str">
        <f t="shared" si="1"/>
        <v>Harris | New Caney | 77357</v>
      </c>
      <c r="L149" s="111" t="str">
        <f t="shared" si="2"/>
        <v>Harris | New Caney | 77357 - New Caney</v>
      </c>
      <c r="M149" s="107">
        <f t="shared" si="3"/>
        <v>9</v>
      </c>
      <c r="N149" s="107"/>
      <c r="O149" s="107"/>
      <c r="P149" s="107"/>
    </row>
    <row r="150">
      <c r="A150" s="102">
        <v>149.0</v>
      </c>
      <c r="B150" s="102" t="s">
        <v>4105</v>
      </c>
      <c r="C150" s="102"/>
      <c r="D150" s="102" t="s">
        <v>4104</v>
      </c>
      <c r="E150" s="102" t="s">
        <v>5237</v>
      </c>
      <c r="F150" s="102" t="s">
        <v>37</v>
      </c>
      <c r="G150" s="102" t="s">
        <v>4898</v>
      </c>
      <c r="H150" s="102" t="s">
        <v>5297</v>
      </c>
      <c r="I150" s="102" t="s">
        <v>5298</v>
      </c>
      <c r="J150" s="102" t="s">
        <v>4104</v>
      </c>
      <c r="K150" s="102" t="str">
        <f t="shared" si="1"/>
        <v>Walker | New Waverly | 77358</v>
      </c>
      <c r="L150" s="106" t="str">
        <f t="shared" si="2"/>
        <v>Walker | New Waverly | 77358 - New Waverly</v>
      </c>
      <c r="M150" s="102">
        <f t="shared" si="3"/>
        <v>11</v>
      </c>
      <c r="N150" s="102"/>
      <c r="O150" s="102"/>
      <c r="P150" s="102"/>
    </row>
    <row r="151">
      <c r="A151" s="107">
        <v>150.0</v>
      </c>
      <c r="B151" s="107" t="s">
        <v>5299</v>
      </c>
      <c r="C151" s="107"/>
      <c r="D151" s="107" t="s">
        <v>5300</v>
      </c>
      <c r="E151" s="107" t="s">
        <v>4865</v>
      </c>
      <c r="F151" s="107" t="s">
        <v>37</v>
      </c>
      <c r="G151" s="107" t="s">
        <v>4898</v>
      </c>
      <c r="H151" s="107" t="s">
        <v>5301</v>
      </c>
      <c r="I151" s="107" t="s">
        <v>5302</v>
      </c>
      <c r="J151" s="107" t="s">
        <v>5300</v>
      </c>
      <c r="K151" s="107" t="str">
        <f t="shared" si="1"/>
        <v>Montgomery | Pinehurst | 77362</v>
      </c>
      <c r="L151" s="111" t="str">
        <f t="shared" si="2"/>
        <v>Montgomery | Pinehurst | 77362 - Pinehurst</v>
      </c>
      <c r="M151" s="107">
        <f t="shared" si="3"/>
        <v>9</v>
      </c>
      <c r="N151" s="107"/>
      <c r="O151" s="107"/>
      <c r="P151" s="107"/>
    </row>
    <row r="152">
      <c r="A152" s="102">
        <v>151.0</v>
      </c>
      <c r="B152" s="102" t="s">
        <v>4226</v>
      </c>
      <c r="C152" s="102"/>
      <c r="D152" s="102" t="s">
        <v>4225</v>
      </c>
      <c r="E152" s="102" t="s">
        <v>5303</v>
      </c>
      <c r="F152" s="102" t="s">
        <v>37</v>
      </c>
      <c r="G152" s="102" t="s">
        <v>4898</v>
      </c>
      <c r="H152" s="102" t="s">
        <v>5304</v>
      </c>
      <c r="I152" s="102" t="s">
        <v>5305</v>
      </c>
      <c r="J152" s="102" t="s">
        <v>4225</v>
      </c>
      <c r="K152" s="102" t="str">
        <f t="shared" si="1"/>
        <v>Grimes | Plantersville | 77363</v>
      </c>
      <c r="L152" s="106" t="str">
        <f t="shared" si="2"/>
        <v>Grimes | Plantersville | 77363 - Plantersville</v>
      </c>
      <c r="M152" s="102">
        <f t="shared" si="3"/>
        <v>13</v>
      </c>
      <c r="N152" s="102"/>
      <c r="O152" s="102"/>
      <c r="P152" s="102"/>
    </row>
    <row r="153">
      <c r="A153" s="107">
        <v>152.0</v>
      </c>
      <c r="B153" s="107" t="s">
        <v>4173</v>
      </c>
      <c r="C153" s="107"/>
      <c r="D153" s="107" t="s">
        <v>4172</v>
      </c>
      <c r="E153" s="107" t="s">
        <v>252</v>
      </c>
      <c r="F153" s="107" t="s">
        <v>37</v>
      </c>
      <c r="G153" s="107" t="s">
        <v>4898</v>
      </c>
      <c r="H153" s="107" t="s">
        <v>5306</v>
      </c>
      <c r="I153" s="107" t="s">
        <v>5307</v>
      </c>
      <c r="J153" s="107" t="s">
        <v>5308</v>
      </c>
      <c r="K153" s="107" t="str">
        <f t="shared" si="1"/>
        <v>Harris | Porter | 77365</v>
      </c>
      <c r="L153" s="111" t="str">
        <f t="shared" si="2"/>
        <v>Harris | Porter | 77365 - Kingwood, Porter</v>
      </c>
      <c r="M153" s="107">
        <f t="shared" si="3"/>
        <v>16</v>
      </c>
      <c r="N153" s="107"/>
      <c r="O153" s="107"/>
      <c r="P153" s="107"/>
    </row>
    <row r="154">
      <c r="A154" s="102">
        <v>153.0</v>
      </c>
      <c r="B154" s="102" t="s">
        <v>5309</v>
      </c>
      <c r="C154" s="102"/>
      <c r="D154" s="102" t="s">
        <v>5310</v>
      </c>
      <c r="E154" s="102" t="s">
        <v>5237</v>
      </c>
      <c r="F154" s="102" t="s">
        <v>37</v>
      </c>
      <c r="G154" s="102" t="s">
        <v>4898</v>
      </c>
      <c r="H154" s="102" t="s">
        <v>5311</v>
      </c>
      <c r="I154" s="102" t="s">
        <v>5312</v>
      </c>
      <c r="J154" s="102" t="s">
        <v>5310</v>
      </c>
      <c r="K154" s="102" t="str">
        <f t="shared" si="1"/>
        <v>Walker | Riverside | 77367</v>
      </c>
      <c r="L154" s="106" t="str">
        <f t="shared" si="2"/>
        <v>Walker | Riverside | 77367 - Riverside</v>
      </c>
      <c r="M154" s="102">
        <f t="shared" si="3"/>
        <v>9</v>
      </c>
      <c r="N154" s="102"/>
      <c r="O154" s="102"/>
      <c r="P154" s="102"/>
    </row>
    <row r="155">
      <c r="A155" s="107">
        <v>154.0</v>
      </c>
      <c r="B155" s="107" t="s">
        <v>5313</v>
      </c>
      <c r="C155" s="107"/>
      <c r="D155" s="107" t="s">
        <v>5314</v>
      </c>
      <c r="E155" s="107" t="s">
        <v>4865</v>
      </c>
      <c r="F155" s="107" t="s">
        <v>37</v>
      </c>
      <c r="G155" s="107" t="s">
        <v>4898</v>
      </c>
      <c r="H155" s="107" t="s">
        <v>5315</v>
      </c>
      <c r="I155" s="107" t="s">
        <v>5316</v>
      </c>
      <c r="J155" s="107" t="s">
        <v>5314</v>
      </c>
      <c r="K155" s="107" t="str">
        <f t="shared" si="1"/>
        <v>Montgomery | Splendora | 77372</v>
      </c>
      <c r="L155" s="111" t="str">
        <f t="shared" si="2"/>
        <v>Montgomery | Splendora | 77372 - Splendora</v>
      </c>
      <c r="M155" s="107">
        <f t="shared" si="3"/>
        <v>9</v>
      </c>
      <c r="N155" s="107"/>
      <c r="O155" s="107"/>
      <c r="P155" s="107"/>
    </row>
    <row r="156">
      <c r="A156" s="102">
        <v>155.0</v>
      </c>
      <c r="B156" s="102" t="s">
        <v>4060</v>
      </c>
      <c r="C156" s="102"/>
      <c r="D156" s="102" t="s">
        <v>451</v>
      </c>
      <c r="E156" s="102" t="s">
        <v>252</v>
      </c>
      <c r="F156" s="102" t="s">
        <v>37</v>
      </c>
      <c r="G156" s="102" t="s">
        <v>4898</v>
      </c>
      <c r="H156" s="102" t="s">
        <v>5317</v>
      </c>
      <c r="I156" s="102" t="s">
        <v>5318</v>
      </c>
      <c r="J156" s="102" t="s">
        <v>5319</v>
      </c>
      <c r="K156" s="102" t="str">
        <f t="shared" si="1"/>
        <v>Harris | Spring | 77373</v>
      </c>
      <c r="L156" s="106" t="str">
        <f t="shared" si="2"/>
        <v>Harris | Spring | 77373 - Old Town Spring, Spring</v>
      </c>
      <c r="M156" s="102">
        <f t="shared" si="3"/>
        <v>23</v>
      </c>
      <c r="N156" s="102"/>
      <c r="O156" s="102"/>
      <c r="P156" s="102"/>
    </row>
    <row r="157">
      <c r="A157" s="107">
        <v>156.0</v>
      </c>
      <c r="B157" s="107" t="s">
        <v>3901</v>
      </c>
      <c r="C157" s="107"/>
      <c r="D157" s="107" t="s">
        <v>3301</v>
      </c>
      <c r="E157" s="107" t="s">
        <v>252</v>
      </c>
      <c r="F157" s="107" t="s">
        <v>37</v>
      </c>
      <c r="G157" s="107" t="s">
        <v>4898</v>
      </c>
      <c r="H157" s="107" t="s">
        <v>5320</v>
      </c>
      <c r="I157" s="107" t="s">
        <v>5321</v>
      </c>
      <c r="J157" s="107" t="s">
        <v>5322</v>
      </c>
      <c r="K157" s="107" t="str">
        <f t="shared" si="1"/>
        <v>Harris | Tomball | 77375</v>
      </c>
      <c r="L157" s="111" t="str">
        <f t="shared" si="2"/>
        <v>Harris | Tomball | 77375 - Northpointe, Tomball</v>
      </c>
      <c r="M157" s="107">
        <f t="shared" si="3"/>
        <v>20</v>
      </c>
      <c r="N157" s="107"/>
      <c r="O157" s="107"/>
      <c r="P157" s="107"/>
    </row>
    <row r="158">
      <c r="A158" s="102">
        <v>157.0</v>
      </c>
      <c r="B158" s="102" t="s">
        <v>3302</v>
      </c>
      <c r="C158" s="102"/>
      <c r="D158" s="102" t="s">
        <v>3301</v>
      </c>
      <c r="E158" s="102" t="s">
        <v>252</v>
      </c>
      <c r="F158" s="102" t="s">
        <v>37</v>
      </c>
      <c r="G158" s="102" t="s">
        <v>4898</v>
      </c>
      <c r="H158" s="102" t="s">
        <v>5323</v>
      </c>
      <c r="I158" s="102" t="s">
        <v>5324</v>
      </c>
      <c r="J158" s="102" t="s">
        <v>5325</v>
      </c>
      <c r="K158" s="102" t="str">
        <f t="shared" si="1"/>
        <v>Harris | Tomball | 77377</v>
      </c>
      <c r="L158" s="106" t="str">
        <f t="shared" si="2"/>
        <v>Harris | Tomball | 77377 - Tomball, Willowcreek</v>
      </c>
      <c r="M158" s="102">
        <f t="shared" si="3"/>
        <v>20</v>
      </c>
      <c r="N158" s="102"/>
      <c r="O158" s="102"/>
      <c r="P158" s="102"/>
    </row>
    <row r="159">
      <c r="A159" s="107">
        <v>158.0</v>
      </c>
      <c r="B159" s="107" t="s">
        <v>5326</v>
      </c>
      <c r="C159" s="107"/>
      <c r="D159" s="107" t="s">
        <v>5327</v>
      </c>
      <c r="E159" s="107" t="s">
        <v>4865</v>
      </c>
      <c r="F159" s="107" t="s">
        <v>37</v>
      </c>
      <c r="G159" s="107" t="s">
        <v>4898</v>
      </c>
      <c r="H159" s="107" t="s">
        <v>5328</v>
      </c>
      <c r="I159" s="107" t="s">
        <v>5329</v>
      </c>
      <c r="J159" s="107" t="s">
        <v>5327</v>
      </c>
      <c r="K159" s="107" t="str">
        <f t="shared" si="1"/>
        <v>Montgomery | Willis | 77378</v>
      </c>
      <c r="L159" s="111" t="str">
        <f t="shared" si="2"/>
        <v>Montgomery | Willis | 77378 - Willis</v>
      </c>
      <c r="M159" s="107">
        <f t="shared" si="3"/>
        <v>6</v>
      </c>
      <c r="N159" s="107"/>
      <c r="O159" s="107"/>
      <c r="P159" s="107"/>
    </row>
    <row r="160">
      <c r="A160" s="102">
        <v>159.0</v>
      </c>
      <c r="B160" s="102" t="s">
        <v>452</v>
      </c>
      <c r="C160" s="102"/>
      <c r="D160" s="102" t="s">
        <v>451</v>
      </c>
      <c r="E160" s="102" t="s">
        <v>252</v>
      </c>
      <c r="F160" s="102" t="s">
        <v>37</v>
      </c>
      <c r="G160" s="102" t="s">
        <v>4898</v>
      </c>
      <c r="H160" s="102" t="s">
        <v>5330</v>
      </c>
      <c r="I160" s="102" t="s">
        <v>5331</v>
      </c>
      <c r="J160" s="102" t="s">
        <v>5332</v>
      </c>
      <c r="K160" s="102" t="str">
        <f t="shared" si="1"/>
        <v>Harris | Spring | 77379</v>
      </c>
      <c r="L160" s="106" t="str">
        <f t="shared" si="2"/>
        <v>Harris | Spring | 77379 - Farmette Meadows, Gleannloch Farms, Spring, Windrose</v>
      </c>
      <c r="M160" s="102">
        <f t="shared" si="3"/>
        <v>52</v>
      </c>
      <c r="N160" s="102"/>
      <c r="O160" s="102"/>
      <c r="P160" s="102"/>
    </row>
    <row r="161">
      <c r="A161" s="107">
        <v>160.0</v>
      </c>
      <c r="B161" s="107" t="s">
        <v>5333</v>
      </c>
      <c r="C161" s="107"/>
      <c r="D161" s="107" t="s">
        <v>3922</v>
      </c>
      <c r="E161" s="107" t="s">
        <v>4865</v>
      </c>
      <c r="F161" s="107" t="s">
        <v>37</v>
      </c>
      <c r="G161" s="107" t="s">
        <v>4898</v>
      </c>
      <c r="H161" s="107" t="s">
        <v>5334</v>
      </c>
      <c r="I161" s="107" t="s">
        <v>5335</v>
      </c>
      <c r="J161" s="107" t="s">
        <v>5336</v>
      </c>
      <c r="K161" s="107" t="str">
        <f t="shared" si="1"/>
        <v>Montgomery | The Woodlands | 77380</v>
      </c>
      <c r="L161" s="111" t="str">
        <f t="shared" si="2"/>
        <v>Montgomery | The Woodlands | 77380 - The Woodlands (Grogan's Mill, Panther Creek)</v>
      </c>
      <c r="M161" s="107">
        <f t="shared" si="3"/>
        <v>44</v>
      </c>
      <c r="N161" s="107"/>
      <c r="O161" s="107"/>
      <c r="P161" s="107"/>
    </row>
    <row r="162">
      <c r="A162" s="102">
        <v>161.0</v>
      </c>
      <c r="B162" s="102" t="s">
        <v>2692</v>
      </c>
      <c r="C162" s="102"/>
      <c r="D162" s="102" t="s">
        <v>3922</v>
      </c>
      <c r="E162" s="102" t="s">
        <v>4865</v>
      </c>
      <c r="F162" s="102" t="s">
        <v>37</v>
      </c>
      <c r="G162" s="102" t="s">
        <v>4898</v>
      </c>
      <c r="H162" s="102" t="s">
        <v>5337</v>
      </c>
      <c r="I162" s="102" t="s">
        <v>5338</v>
      </c>
      <c r="J162" s="102" t="s">
        <v>2699</v>
      </c>
      <c r="K162" s="102" t="str">
        <f t="shared" si="1"/>
        <v>Montgomery | The Woodlands | 77381</v>
      </c>
      <c r="L162" s="106" t="str">
        <f t="shared" si="2"/>
        <v>Montgomery | The Woodlands | 77381 - The Woodlands (Cochran's Crossing, Indian Springs)</v>
      </c>
      <c r="M162" s="102">
        <f t="shared" si="3"/>
        <v>50</v>
      </c>
      <c r="N162" s="102"/>
      <c r="O162" s="102"/>
      <c r="P162" s="102"/>
    </row>
    <row r="163">
      <c r="A163" s="107">
        <v>162.0</v>
      </c>
      <c r="B163" s="107" t="s">
        <v>3909</v>
      </c>
      <c r="C163" s="107"/>
      <c r="D163" s="107" t="s">
        <v>3922</v>
      </c>
      <c r="E163" s="107" t="s">
        <v>4865</v>
      </c>
      <c r="F163" s="107" t="s">
        <v>37</v>
      </c>
      <c r="G163" s="107" t="s">
        <v>4898</v>
      </c>
      <c r="H163" s="107" t="s">
        <v>5339</v>
      </c>
      <c r="I163" s="107" t="s">
        <v>5340</v>
      </c>
      <c r="J163" s="107" t="s">
        <v>5341</v>
      </c>
      <c r="K163" s="107" t="str">
        <f t="shared" si="1"/>
        <v>Montgomery | The Woodlands | 77382</v>
      </c>
      <c r="L163" s="111" t="str">
        <f t="shared" si="2"/>
        <v>Montgomery | The Woodlands | 77382 - The Woodlands (Alden Bridge, Sterling Ridge)</v>
      </c>
      <c r="M163" s="107">
        <f t="shared" si="3"/>
        <v>44</v>
      </c>
      <c r="N163" s="107"/>
      <c r="O163" s="107"/>
      <c r="P163" s="107"/>
    </row>
    <row r="164">
      <c r="A164" s="102">
        <v>163.0</v>
      </c>
      <c r="B164" s="102" t="s">
        <v>5342</v>
      </c>
      <c r="C164" s="102"/>
      <c r="D164" s="102" t="s">
        <v>451</v>
      </c>
      <c r="E164" s="102" t="s">
        <v>252</v>
      </c>
      <c r="F164" s="102" t="s">
        <v>37</v>
      </c>
      <c r="G164" s="102" t="s">
        <v>4898</v>
      </c>
      <c r="H164" s="102" t="s">
        <v>4947</v>
      </c>
      <c r="I164" s="102" t="s">
        <v>5343</v>
      </c>
      <c r="J164" s="102" t="s">
        <v>451</v>
      </c>
      <c r="K164" s="102" t="str">
        <f t="shared" si="1"/>
        <v>Harris | Spring | 77383</v>
      </c>
      <c r="L164" s="106" t="str">
        <f t="shared" si="2"/>
        <v>Harris | Spring | 77383 - Spring</v>
      </c>
      <c r="M164" s="102">
        <f t="shared" si="3"/>
        <v>6</v>
      </c>
      <c r="N164" s="102"/>
      <c r="O164" s="102"/>
      <c r="P164" s="102"/>
    </row>
    <row r="165">
      <c r="A165" s="107">
        <v>164.0</v>
      </c>
      <c r="B165" s="107" t="s">
        <v>5344</v>
      </c>
      <c r="C165" s="107"/>
      <c r="D165" s="107" t="s">
        <v>989</v>
      </c>
      <c r="E165" s="107" t="s">
        <v>4865</v>
      </c>
      <c r="F165" s="107" t="s">
        <v>37</v>
      </c>
      <c r="G165" s="107" t="s">
        <v>4898</v>
      </c>
      <c r="H165" s="107" t="s">
        <v>5345</v>
      </c>
      <c r="I165" s="107" t="s">
        <v>5346</v>
      </c>
      <c r="J165" s="107" t="s">
        <v>989</v>
      </c>
      <c r="K165" s="107" t="str">
        <f t="shared" si="1"/>
        <v>Montgomery | Conroe | 77384</v>
      </c>
      <c r="L165" s="111" t="str">
        <f t="shared" si="2"/>
        <v>Montgomery | Conroe | 77384 - Conroe</v>
      </c>
      <c r="M165" s="107">
        <f t="shared" si="3"/>
        <v>6</v>
      </c>
      <c r="N165" s="107"/>
      <c r="O165" s="107"/>
      <c r="P165" s="107"/>
    </row>
    <row r="166">
      <c r="A166" s="102">
        <v>165.0</v>
      </c>
      <c r="B166" s="102" t="s">
        <v>5347</v>
      </c>
      <c r="C166" s="102"/>
      <c r="D166" s="102" t="s">
        <v>451</v>
      </c>
      <c r="E166" s="102" t="s">
        <v>4865</v>
      </c>
      <c r="F166" s="102" t="s">
        <v>37</v>
      </c>
      <c r="G166" s="102" t="s">
        <v>4898</v>
      </c>
      <c r="H166" s="102" t="s">
        <v>5348</v>
      </c>
      <c r="I166" s="102" t="s">
        <v>5349</v>
      </c>
      <c r="J166" s="102" t="s">
        <v>451</v>
      </c>
      <c r="K166" s="102" t="str">
        <f t="shared" si="1"/>
        <v>Montgomery | Spring | 77385</v>
      </c>
      <c r="L166" s="106" t="str">
        <f t="shared" si="2"/>
        <v>Montgomery | Spring | 77385 - Spring</v>
      </c>
      <c r="M166" s="102">
        <f t="shared" si="3"/>
        <v>6</v>
      </c>
      <c r="N166" s="102"/>
      <c r="O166" s="102"/>
      <c r="P166" s="102"/>
    </row>
    <row r="167">
      <c r="A167" s="107">
        <v>166.0</v>
      </c>
      <c r="B167" s="107" t="s">
        <v>2727</v>
      </c>
      <c r="C167" s="107"/>
      <c r="D167" s="107" t="s">
        <v>451</v>
      </c>
      <c r="E167" s="107" t="s">
        <v>4865</v>
      </c>
      <c r="F167" s="107" t="s">
        <v>37</v>
      </c>
      <c r="G167" s="107" t="s">
        <v>4898</v>
      </c>
      <c r="H167" s="107" t="s">
        <v>5350</v>
      </c>
      <c r="I167" s="107" t="s">
        <v>5351</v>
      </c>
      <c r="J167" s="107" t="s">
        <v>5352</v>
      </c>
      <c r="K167" s="107" t="str">
        <f t="shared" si="1"/>
        <v>Montgomery | Spring | 77386</v>
      </c>
      <c r="L167" s="111" t="str">
        <f t="shared" si="2"/>
        <v>Montgomery | Spring | 77386 - Benders Landing, Harmony, Spring</v>
      </c>
      <c r="M167" s="107">
        <f t="shared" si="3"/>
        <v>32</v>
      </c>
      <c r="N167" s="107"/>
      <c r="O167" s="107"/>
      <c r="P167" s="107"/>
    </row>
    <row r="168">
      <c r="A168" s="102">
        <v>167.0</v>
      </c>
      <c r="B168" s="102" t="s">
        <v>5353</v>
      </c>
      <c r="C168" s="102"/>
      <c r="D168" s="102" t="s">
        <v>451</v>
      </c>
      <c r="E168" s="102" t="s">
        <v>252</v>
      </c>
      <c r="F168" s="102" t="s">
        <v>37</v>
      </c>
      <c r="G168" s="102" t="s">
        <v>4898</v>
      </c>
      <c r="H168" s="102" t="s">
        <v>5354</v>
      </c>
      <c r="I168" s="102" t="s">
        <v>5355</v>
      </c>
      <c r="J168" s="102" t="s">
        <v>451</v>
      </c>
      <c r="K168" s="102" t="str">
        <f t="shared" si="1"/>
        <v>Harris | Spring | 77387</v>
      </c>
      <c r="L168" s="106" t="str">
        <f t="shared" si="2"/>
        <v>Harris | Spring | 77387 - Spring</v>
      </c>
      <c r="M168" s="102">
        <f t="shared" si="3"/>
        <v>6</v>
      </c>
      <c r="N168" s="102"/>
      <c r="O168" s="102"/>
      <c r="P168" s="102"/>
    </row>
    <row r="169">
      <c r="A169" s="107">
        <v>168.0</v>
      </c>
      <c r="B169" s="107" t="s">
        <v>810</v>
      </c>
      <c r="C169" s="107"/>
      <c r="D169" s="107" t="s">
        <v>451</v>
      </c>
      <c r="E169" s="107" t="s">
        <v>252</v>
      </c>
      <c r="F169" s="107" t="s">
        <v>37</v>
      </c>
      <c r="G169" s="107" t="s">
        <v>4898</v>
      </c>
      <c r="H169" s="107" t="s">
        <v>5356</v>
      </c>
      <c r="I169" s="107" t="s">
        <v>5357</v>
      </c>
      <c r="J169" s="107" t="s">
        <v>5358</v>
      </c>
      <c r="K169" s="107" t="str">
        <f t="shared" si="1"/>
        <v>Harris | Spring | 77388</v>
      </c>
      <c r="L169" s="111" t="str">
        <f t="shared" si="2"/>
        <v>Harris | Spring | 77388 - Cypresswood, Spring</v>
      </c>
      <c r="M169" s="107">
        <f t="shared" si="3"/>
        <v>19</v>
      </c>
      <c r="N169" s="107"/>
      <c r="O169" s="107"/>
      <c r="P169" s="107"/>
    </row>
    <row r="170">
      <c r="A170" s="102">
        <v>169.0</v>
      </c>
      <c r="B170" s="102" t="s">
        <v>3985</v>
      </c>
      <c r="C170" s="102"/>
      <c r="D170" s="102" t="s">
        <v>451</v>
      </c>
      <c r="E170" s="102" t="s">
        <v>252</v>
      </c>
      <c r="F170" s="102" t="s">
        <v>37</v>
      </c>
      <c r="G170" s="102" t="s">
        <v>4898</v>
      </c>
      <c r="H170" s="102" t="s">
        <v>5359</v>
      </c>
      <c r="I170" s="102" t="s">
        <v>5360</v>
      </c>
      <c r="J170" s="102" t="s">
        <v>5361</v>
      </c>
      <c r="K170" s="102" t="str">
        <f t="shared" si="1"/>
        <v>Harris | Spring | 77389</v>
      </c>
      <c r="L170" s="106" t="str">
        <f t="shared" si="2"/>
        <v>Harris | Spring | 77389 - Auburn Lakes, Northampton, Spring</v>
      </c>
      <c r="M170" s="102">
        <f t="shared" si="3"/>
        <v>33</v>
      </c>
      <c r="N170" s="102"/>
      <c r="O170" s="102"/>
      <c r="P170" s="102"/>
    </row>
    <row r="171">
      <c r="A171" s="107">
        <v>170.0</v>
      </c>
      <c r="B171" s="107" t="s">
        <v>5362</v>
      </c>
      <c r="C171" s="107"/>
      <c r="D171" s="107" t="s">
        <v>3922</v>
      </c>
      <c r="E171" s="107" t="s">
        <v>252</v>
      </c>
      <c r="F171" s="107" t="s">
        <v>37</v>
      </c>
      <c r="G171" s="107" t="s">
        <v>4898</v>
      </c>
      <c r="H171" s="107" t="s">
        <v>5363</v>
      </c>
      <c r="I171" s="107" t="s">
        <v>5364</v>
      </c>
      <c r="J171" s="107" t="s">
        <v>3922</v>
      </c>
      <c r="K171" s="107" t="str">
        <f t="shared" si="1"/>
        <v>Harris | The Woodlands | 77393</v>
      </c>
      <c r="L171" s="111" t="str">
        <f t="shared" si="2"/>
        <v>Harris | The Woodlands | 77393 - The Woodlands</v>
      </c>
      <c r="M171" s="107">
        <f t="shared" si="3"/>
        <v>13</v>
      </c>
      <c r="N171" s="107"/>
      <c r="O171" s="107"/>
      <c r="P171" s="107"/>
    </row>
    <row r="172">
      <c r="A172" s="102">
        <v>171.0</v>
      </c>
      <c r="B172" s="102" t="s">
        <v>5365</v>
      </c>
      <c r="C172" s="102"/>
      <c r="D172" s="102" t="s">
        <v>488</v>
      </c>
      <c r="E172" s="102" t="s">
        <v>252</v>
      </c>
      <c r="F172" s="102" t="s">
        <v>37</v>
      </c>
      <c r="G172" s="102" t="s">
        <v>4898</v>
      </c>
      <c r="H172" s="102" t="s">
        <v>5366</v>
      </c>
      <c r="I172" s="102" t="s">
        <v>5367</v>
      </c>
      <c r="J172" s="102" t="s">
        <v>488</v>
      </c>
      <c r="K172" s="102" t="str">
        <f t="shared" si="1"/>
        <v>Harris | Humble | 77396</v>
      </c>
      <c r="L172" s="106" t="str">
        <f t="shared" si="2"/>
        <v>Harris | Humble | 77396 - Humble</v>
      </c>
      <c r="M172" s="102">
        <f t="shared" si="3"/>
        <v>6</v>
      </c>
      <c r="N172" s="102"/>
      <c r="O172" s="102"/>
      <c r="P172" s="102"/>
    </row>
    <row r="173">
      <c r="A173" s="107">
        <v>172.0</v>
      </c>
      <c r="B173" s="107" t="s">
        <v>1299</v>
      </c>
      <c r="C173" s="107"/>
      <c r="D173" s="107" t="s">
        <v>1306</v>
      </c>
      <c r="E173" s="107" t="s">
        <v>252</v>
      </c>
      <c r="F173" s="107" t="s">
        <v>37</v>
      </c>
      <c r="G173" s="107" t="s">
        <v>4898</v>
      </c>
      <c r="H173" s="107" t="s">
        <v>5368</v>
      </c>
      <c r="I173" s="107" t="s">
        <v>5369</v>
      </c>
      <c r="J173" s="107" t="s">
        <v>1306</v>
      </c>
      <c r="K173" s="107" t="str">
        <f t="shared" si="1"/>
        <v>Harris | Bellaire | 77401</v>
      </c>
      <c r="L173" s="111" t="str">
        <f t="shared" si="2"/>
        <v>Harris | Bellaire | 77401 - Bellaire</v>
      </c>
      <c r="M173" s="107">
        <f t="shared" si="3"/>
        <v>8</v>
      </c>
      <c r="N173" s="107"/>
      <c r="O173" s="107"/>
      <c r="P173" s="107"/>
    </row>
    <row r="174">
      <c r="A174" s="102">
        <v>173.0</v>
      </c>
      <c r="B174" s="102" t="s">
        <v>1816</v>
      </c>
      <c r="C174" s="102"/>
      <c r="D174" s="102" t="s">
        <v>166</v>
      </c>
      <c r="E174" s="102" t="s">
        <v>5050</v>
      </c>
      <c r="F174" s="102" t="s">
        <v>37</v>
      </c>
      <c r="G174" s="102" t="s">
        <v>4898</v>
      </c>
      <c r="H174" s="102" t="s">
        <v>5370</v>
      </c>
      <c r="I174" s="102" t="s">
        <v>5371</v>
      </c>
      <c r="J174" s="102" t="s">
        <v>5372</v>
      </c>
      <c r="K174" s="102" t="str">
        <f t="shared" si="1"/>
        <v>Fort Bend | Richmond | 77406</v>
      </c>
      <c r="L174" s="106" t="str">
        <f t="shared" si="2"/>
        <v>Fort Bend | Richmond | 77406 - Pecan Grove, Richmond, Richmond Landing</v>
      </c>
      <c r="M174" s="102">
        <f t="shared" si="3"/>
        <v>39</v>
      </c>
      <c r="N174" s="102"/>
      <c r="O174" s="102"/>
      <c r="P174" s="102"/>
    </row>
    <row r="175">
      <c r="A175" s="107">
        <v>174.0</v>
      </c>
      <c r="B175" s="107" t="s">
        <v>5373</v>
      </c>
      <c r="C175" s="107"/>
      <c r="D175" s="107" t="s">
        <v>166</v>
      </c>
      <c r="E175" s="107" t="s">
        <v>5050</v>
      </c>
      <c r="F175" s="107" t="s">
        <v>37</v>
      </c>
      <c r="G175" s="107" t="s">
        <v>4898</v>
      </c>
      <c r="H175" s="107" t="s">
        <v>5374</v>
      </c>
      <c r="I175" s="107" t="s">
        <v>5375</v>
      </c>
      <c r="J175" s="107" t="s">
        <v>5376</v>
      </c>
      <c r="K175" s="107" t="str">
        <f t="shared" si="1"/>
        <v>Fort Bend | Richmond | 77407</v>
      </c>
      <c r="L175" s="111" t="str">
        <f t="shared" si="2"/>
        <v>Fort Bend | Richmond | 77407 - Aliana, Harvest Green, Richmond</v>
      </c>
      <c r="M175" s="107">
        <f t="shared" si="3"/>
        <v>31</v>
      </c>
      <c r="N175" s="107"/>
      <c r="O175" s="107"/>
      <c r="P175" s="107"/>
    </row>
    <row r="176">
      <c r="A176" s="102">
        <v>175.0</v>
      </c>
      <c r="B176" s="102" t="s">
        <v>5377</v>
      </c>
      <c r="C176" s="102"/>
      <c r="D176" s="102" t="s">
        <v>1108</v>
      </c>
      <c r="E176" s="102" t="s">
        <v>252</v>
      </c>
      <c r="F176" s="102" t="s">
        <v>37</v>
      </c>
      <c r="G176" s="102" t="s">
        <v>4898</v>
      </c>
      <c r="H176" s="102" t="s">
        <v>4947</v>
      </c>
      <c r="I176" s="102" t="s">
        <v>5378</v>
      </c>
      <c r="J176" s="102" t="s">
        <v>5379</v>
      </c>
      <c r="K176" s="102" t="str">
        <f t="shared" si="1"/>
        <v>Harris | Cypress | 77410</v>
      </c>
      <c r="L176" s="106" t="str">
        <f t="shared" si="2"/>
        <v>Harris | Cypress | 77410 - Cypress, Fairfield</v>
      </c>
      <c r="M176" s="102">
        <f t="shared" si="3"/>
        <v>18</v>
      </c>
      <c r="N176" s="102"/>
      <c r="O176" s="102"/>
      <c r="P176" s="102"/>
    </row>
    <row r="177">
      <c r="A177" s="107">
        <v>176.0</v>
      </c>
      <c r="B177" s="107" t="s">
        <v>5380</v>
      </c>
      <c r="C177" s="107"/>
      <c r="D177" s="107" t="s">
        <v>5381</v>
      </c>
      <c r="E177" s="107" t="s">
        <v>5050</v>
      </c>
      <c r="F177" s="107" t="s">
        <v>37</v>
      </c>
      <c r="G177" s="107" t="s">
        <v>4898</v>
      </c>
      <c r="H177" s="107" t="s">
        <v>5382</v>
      </c>
      <c r="I177" s="107" t="s">
        <v>5383</v>
      </c>
      <c r="J177" s="107" t="s">
        <v>5381</v>
      </c>
      <c r="K177" s="107" t="str">
        <f t="shared" si="1"/>
        <v>Fort Bend | Beasley | 77417</v>
      </c>
      <c r="L177" s="111" t="str">
        <f t="shared" si="2"/>
        <v>Fort Bend | Beasley | 77417 - Beasley</v>
      </c>
      <c r="M177" s="107">
        <f t="shared" si="3"/>
        <v>7</v>
      </c>
      <c r="N177" s="107"/>
      <c r="O177" s="107"/>
      <c r="P177" s="107"/>
    </row>
    <row r="178">
      <c r="A178" s="102">
        <v>177.0</v>
      </c>
      <c r="B178" s="102" t="s">
        <v>99</v>
      </c>
      <c r="C178" s="102"/>
      <c r="D178" s="102" t="s">
        <v>98</v>
      </c>
      <c r="E178" s="102" t="s">
        <v>442</v>
      </c>
      <c r="F178" s="102" t="s">
        <v>37</v>
      </c>
      <c r="G178" s="102" t="s">
        <v>4898</v>
      </c>
      <c r="H178" s="102" t="s">
        <v>5384</v>
      </c>
      <c r="I178" s="102" t="s">
        <v>5385</v>
      </c>
      <c r="J178" s="102" t="s">
        <v>98</v>
      </c>
      <c r="K178" s="102" t="str">
        <f t="shared" si="1"/>
        <v>Austin | Bellville | 77418</v>
      </c>
      <c r="L178" s="106" t="str">
        <f t="shared" si="2"/>
        <v>Austin | Bellville | 77418 - Bellville</v>
      </c>
      <c r="M178" s="102">
        <f t="shared" si="3"/>
        <v>9</v>
      </c>
      <c r="N178" s="102"/>
      <c r="O178" s="102"/>
      <c r="P178" s="102"/>
    </row>
    <row r="179">
      <c r="A179" s="107">
        <v>178.0</v>
      </c>
      <c r="B179" s="107" t="s">
        <v>4118</v>
      </c>
      <c r="C179" s="107"/>
      <c r="D179" s="107" t="s">
        <v>111</v>
      </c>
      <c r="E179" s="107" t="s">
        <v>4117</v>
      </c>
      <c r="F179" s="107" t="s">
        <v>37</v>
      </c>
      <c r="G179" s="107" t="s">
        <v>4898</v>
      </c>
      <c r="H179" s="107" t="s">
        <v>5386</v>
      </c>
      <c r="I179" s="107" t="s">
        <v>5387</v>
      </c>
      <c r="J179" s="107" t="s">
        <v>4117</v>
      </c>
      <c r="K179" s="107" t="str">
        <f t="shared" si="1"/>
        <v>Brazoria | Brookshire | 77422</v>
      </c>
      <c r="L179" s="111" t="str">
        <f t="shared" si="2"/>
        <v>Brazoria | Brookshire | 77422 - Brazoria</v>
      </c>
      <c r="M179" s="107">
        <f t="shared" si="3"/>
        <v>8</v>
      </c>
      <c r="N179" s="107"/>
      <c r="O179" s="107"/>
      <c r="P179" s="107"/>
    </row>
    <row r="180">
      <c r="A180" s="102">
        <v>179.0</v>
      </c>
      <c r="B180" s="102" t="s">
        <v>112</v>
      </c>
      <c r="C180" s="102"/>
      <c r="D180" s="102" t="s">
        <v>111</v>
      </c>
      <c r="E180" s="102" t="s">
        <v>4700</v>
      </c>
      <c r="F180" s="102" t="s">
        <v>37</v>
      </c>
      <c r="G180" s="102" t="s">
        <v>4898</v>
      </c>
      <c r="H180" s="102" t="s">
        <v>5388</v>
      </c>
      <c r="I180" s="102" t="s">
        <v>5389</v>
      </c>
      <c r="J180" s="102" t="s">
        <v>111</v>
      </c>
      <c r="K180" s="102" t="str">
        <f t="shared" si="1"/>
        <v>Waller | Brookshire | 77423</v>
      </c>
      <c r="L180" s="106" t="str">
        <f t="shared" si="2"/>
        <v>Waller | Brookshire | 77423 - Brookshire</v>
      </c>
      <c r="M180" s="102">
        <f t="shared" si="3"/>
        <v>10</v>
      </c>
      <c r="N180" s="102"/>
      <c r="O180" s="102"/>
      <c r="P180" s="102"/>
    </row>
    <row r="181">
      <c r="A181" s="107">
        <v>180.0</v>
      </c>
      <c r="B181" s="107" t="s">
        <v>5390</v>
      </c>
      <c r="C181" s="107"/>
      <c r="D181" s="107" t="s">
        <v>5391</v>
      </c>
      <c r="E181" s="107" t="s">
        <v>3442</v>
      </c>
      <c r="F181" s="107" t="s">
        <v>37</v>
      </c>
      <c r="G181" s="107" t="s">
        <v>4898</v>
      </c>
      <c r="H181" s="107" t="s">
        <v>5392</v>
      </c>
      <c r="I181" s="107" t="s">
        <v>5393</v>
      </c>
      <c r="J181" s="107" t="s">
        <v>5391</v>
      </c>
      <c r="K181" s="107" t="str">
        <f t="shared" si="1"/>
        <v>Washington | Chappell Hill | 77426</v>
      </c>
      <c r="L181" s="111" t="str">
        <f t="shared" si="2"/>
        <v>Washington | Chappell Hill | 77426 - Chappell Hill</v>
      </c>
      <c r="M181" s="107">
        <f t="shared" si="3"/>
        <v>13</v>
      </c>
      <c r="N181" s="107"/>
      <c r="O181" s="107"/>
      <c r="P181" s="107"/>
    </row>
    <row r="182">
      <c r="A182" s="102">
        <v>181.0</v>
      </c>
      <c r="B182" s="102" t="s">
        <v>5394</v>
      </c>
      <c r="C182" s="102"/>
      <c r="D182" s="102" t="s">
        <v>5395</v>
      </c>
      <c r="E182" s="102" t="s">
        <v>5396</v>
      </c>
      <c r="F182" s="102" t="s">
        <v>37</v>
      </c>
      <c r="G182" s="102" t="s">
        <v>4898</v>
      </c>
      <c r="H182" s="102" t="s">
        <v>5397</v>
      </c>
      <c r="I182" s="102" t="s">
        <v>5398</v>
      </c>
      <c r="J182" s="102" t="s">
        <v>5395</v>
      </c>
      <c r="K182" s="102" t="str">
        <f t="shared" si="1"/>
        <v>Matagorda | Collegeport | 77428</v>
      </c>
      <c r="L182" s="106" t="str">
        <f t="shared" si="2"/>
        <v>Matagorda | Collegeport | 77428 - Collegeport</v>
      </c>
      <c r="M182" s="102">
        <f t="shared" si="3"/>
        <v>11</v>
      </c>
      <c r="N182" s="102"/>
      <c r="O182" s="102"/>
      <c r="P182" s="102"/>
    </row>
    <row r="183">
      <c r="A183" s="107">
        <v>182.0</v>
      </c>
      <c r="B183" s="107" t="s">
        <v>1434</v>
      </c>
      <c r="C183" s="107"/>
      <c r="D183" s="107" t="s">
        <v>1108</v>
      </c>
      <c r="E183" s="107" t="s">
        <v>252</v>
      </c>
      <c r="F183" s="107" t="s">
        <v>37</v>
      </c>
      <c r="G183" s="107" t="s">
        <v>4898</v>
      </c>
      <c r="H183" s="107" t="s">
        <v>5399</v>
      </c>
      <c r="I183" s="107" t="s">
        <v>5400</v>
      </c>
      <c r="J183" s="107" t="s">
        <v>5401</v>
      </c>
      <c r="K183" s="107" t="str">
        <f t="shared" si="1"/>
        <v>Harris | Cypress | 77429</v>
      </c>
      <c r="L183" s="111" t="str">
        <f t="shared" si="2"/>
        <v>Harris | Cypress | 77429 - Coles Crossing, Cypress, Rock Creek</v>
      </c>
      <c r="M183" s="107">
        <f t="shared" si="3"/>
        <v>35</v>
      </c>
      <c r="N183" s="107"/>
      <c r="O183" s="107"/>
      <c r="P183" s="107"/>
    </row>
    <row r="184">
      <c r="A184" s="102">
        <v>183.0</v>
      </c>
      <c r="B184" s="102" t="s">
        <v>5402</v>
      </c>
      <c r="C184" s="102"/>
      <c r="D184" s="102" t="s">
        <v>5403</v>
      </c>
      <c r="E184" s="102" t="s">
        <v>5050</v>
      </c>
      <c r="F184" s="102" t="s">
        <v>37</v>
      </c>
      <c r="G184" s="102" t="s">
        <v>4898</v>
      </c>
      <c r="H184" s="102" t="s">
        <v>5404</v>
      </c>
      <c r="I184" s="102" t="s">
        <v>5405</v>
      </c>
      <c r="J184" s="102" t="s">
        <v>5403</v>
      </c>
      <c r="K184" s="102" t="str">
        <f t="shared" si="1"/>
        <v>Fort Bend | Danbury | 77430</v>
      </c>
      <c r="L184" s="106" t="str">
        <f t="shared" si="2"/>
        <v>Fort Bend | Danbury | 77430 - Danbury</v>
      </c>
      <c r="M184" s="102">
        <f t="shared" si="3"/>
        <v>7</v>
      </c>
      <c r="N184" s="102"/>
      <c r="O184" s="102"/>
      <c r="P184" s="102"/>
    </row>
    <row r="185">
      <c r="A185" s="107">
        <v>184.0</v>
      </c>
      <c r="B185" s="107" t="s">
        <v>5406</v>
      </c>
      <c r="C185" s="107"/>
      <c r="D185" s="107" t="s">
        <v>1108</v>
      </c>
      <c r="E185" s="107" t="s">
        <v>252</v>
      </c>
      <c r="F185" s="107" t="s">
        <v>37</v>
      </c>
      <c r="G185" s="107" t="s">
        <v>4898</v>
      </c>
      <c r="H185" s="107" t="s">
        <v>5407</v>
      </c>
      <c r="I185" s="107" t="s">
        <v>5408</v>
      </c>
      <c r="J185" s="107" t="s">
        <v>5409</v>
      </c>
      <c r="K185" s="107" t="str">
        <f t="shared" si="1"/>
        <v>Harris | Cypress | 77433</v>
      </c>
      <c r="L185" s="111" t="str">
        <f t="shared" si="2"/>
        <v>Harris | Cypress | 77433 - Bridgeland, Cypress, Towne Lake</v>
      </c>
      <c r="M185" s="107">
        <f t="shared" si="3"/>
        <v>31</v>
      </c>
      <c r="N185" s="107"/>
      <c r="O185" s="107"/>
      <c r="P185" s="107"/>
    </row>
    <row r="186">
      <c r="A186" s="102">
        <v>185.0</v>
      </c>
      <c r="B186" s="102" t="s">
        <v>5410</v>
      </c>
      <c r="C186" s="102"/>
      <c r="D186" s="102" t="s">
        <v>5411</v>
      </c>
      <c r="E186" s="102" t="s">
        <v>216</v>
      </c>
      <c r="F186" s="102" t="s">
        <v>37</v>
      </c>
      <c r="G186" s="102" t="s">
        <v>4898</v>
      </c>
      <c r="H186" s="102" t="s">
        <v>5412</v>
      </c>
      <c r="I186" s="102" t="s">
        <v>5413</v>
      </c>
      <c r="J186" s="102" t="s">
        <v>5411</v>
      </c>
      <c r="K186" s="102" t="str">
        <f t="shared" si="1"/>
        <v>Wharton | East Bernard | 77435</v>
      </c>
      <c r="L186" s="106" t="str">
        <f t="shared" si="2"/>
        <v>Wharton | East Bernard | 77435 - East Bernard</v>
      </c>
      <c r="M186" s="102">
        <f t="shared" si="3"/>
        <v>12</v>
      </c>
      <c r="N186" s="102"/>
      <c r="O186" s="102"/>
      <c r="P186" s="102"/>
    </row>
    <row r="187">
      <c r="A187" s="107">
        <v>186.0</v>
      </c>
      <c r="B187" s="107" t="s">
        <v>5414</v>
      </c>
      <c r="C187" s="107"/>
      <c r="D187" s="107" t="s">
        <v>5415</v>
      </c>
      <c r="E187" s="107" t="s">
        <v>5050</v>
      </c>
      <c r="F187" s="107" t="s">
        <v>37</v>
      </c>
      <c r="G187" s="107" t="s">
        <v>4898</v>
      </c>
      <c r="H187" s="107" t="s">
        <v>5416</v>
      </c>
      <c r="I187" s="107" t="s">
        <v>5417</v>
      </c>
      <c r="J187" s="107" t="s">
        <v>5418</v>
      </c>
      <c r="K187" s="107" t="str">
        <f t="shared" si="1"/>
        <v>Fort Bend | Fulshear | 77441</v>
      </c>
      <c r="L187" s="111" t="str">
        <f t="shared" si="2"/>
        <v>Fort Bend | Fulshear | 77441 - Cross Creek Ranch, Fulshear</v>
      </c>
      <c r="M187" s="107">
        <f t="shared" si="3"/>
        <v>27</v>
      </c>
      <c r="N187" s="107"/>
      <c r="O187" s="107"/>
      <c r="P187" s="107"/>
    </row>
    <row r="188">
      <c r="A188" s="102">
        <v>187.0</v>
      </c>
      <c r="B188" s="102" t="s">
        <v>5419</v>
      </c>
      <c r="C188" s="102"/>
      <c r="D188" s="102" t="s">
        <v>5420</v>
      </c>
      <c r="E188" s="102" t="s">
        <v>5050</v>
      </c>
      <c r="F188" s="102" t="s">
        <v>37</v>
      </c>
      <c r="G188" s="102" t="s">
        <v>4898</v>
      </c>
      <c r="H188" s="102" t="s">
        <v>5421</v>
      </c>
      <c r="I188" s="102" t="s">
        <v>5422</v>
      </c>
      <c r="J188" s="102" t="s">
        <v>5420</v>
      </c>
      <c r="K188" s="102" t="str">
        <f t="shared" si="1"/>
        <v>Fort Bend | Guy | 77444</v>
      </c>
      <c r="L188" s="106" t="str">
        <f t="shared" si="2"/>
        <v>Fort Bend | Guy | 77444 - Guy</v>
      </c>
      <c r="M188" s="102">
        <f t="shared" si="3"/>
        <v>3</v>
      </c>
      <c r="N188" s="102"/>
      <c r="O188" s="102"/>
      <c r="P188" s="102"/>
    </row>
    <row r="189">
      <c r="A189" s="107">
        <v>188.0</v>
      </c>
      <c r="B189" s="107" t="s">
        <v>139</v>
      </c>
      <c r="C189" s="107"/>
      <c r="D189" s="107" t="s">
        <v>138</v>
      </c>
      <c r="E189" s="107" t="s">
        <v>4700</v>
      </c>
      <c r="F189" s="107" t="s">
        <v>37</v>
      </c>
      <c r="G189" s="107" t="s">
        <v>4898</v>
      </c>
      <c r="H189" s="107" t="s">
        <v>5423</v>
      </c>
      <c r="I189" s="107" t="s">
        <v>5424</v>
      </c>
      <c r="J189" s="107" t="s">
        <v>5425</v>
      </c>
      <c r="K189" s="107" t="str">
        <f t="shared" si="1"/>
        <v>Waller | Hempstead | 77445</v>
      </c>
      <c r="L189" s="111" t="str">
        <f t="shared" si="2"/>
        <v>Waller | Hempstead | 77445 - Hempstead, Northside</v>
      </c>
      <c r="M189" s="107">
        <f t="shared" si="3"/>
        <v>20</v>
      </c>
      <c r="N189" s="107"/>
      <c r="O189" s="107"/>
      <c r="P189" s="107"/>
    </row>
    <row r="190">
      <c r="A190" s="102">
        <v>189.0</v>
      </c>
      <c r="B190" s="102" t="s">
        <v>5426</v>
      </c>
      <c r="C190" s="102"/>
      <c r="D190" s="102" t="s">
        <v>5427</v>
      </c>
      <c r="E190" s="102" t="s">
        <v>4700</v>
      </c>
      <c r="F190" s="102" t="s">
        <v>37</v>
      </c>
      <c r="G190" s="102" t="s">
        <v>4898</v>
      </c>
      <c r="H190" s="102" t="s">
        <v>5428</v>
      </c>
      <c r="I190" s="102" t="s">
        <v>5429</v>
      </c>
      <c r="J190" s="102" t="s">
        <v>5427</v>
      </c>
      <c r="K190" s="102" t="str">
        <f t="shared" si="1"/>
        <v>Waller | Lissie | 77446</v>
      </c>
      <c r="L190" s="106" t="str">
        <f t="shared" si="2"/>
        <v>Waller | Lissie | 77446 - Lissie</v>
      </c>
      <c r="M190" s="102">
        <f t="shared" si="3"/>
        <v>6</v>
      </c>
      <c r="N190" s="102"/>
      <c r="O190" s="102"/>
      <c r="P190" s="102"/>
    </row>
    <row r="191">
      <c r="A191" s="107">
        <v>190.0</v>
      </c>
      <c r="B191" s="107" t="s">
        <v>5430</v>
      </c>
      <c r="C191" s="107"/>
      <c r="D191" s="107" t="s">
        <v>5431</v>
      </c>
      <c r="E191" s="107" t="s">
        <v>252</v>
      </c>
      <c r="F191" s="107" t="s">
        <v>37</v>
      </c>
      <c r="G191" s="107" t="s">
        <v>4898</v>
      </c>
      <c r="H191" s="107" t="s">
        <v>5432</v>
      </c>
      <c r="I191" s="107" t="s">
        <v>5433</v>
      </c>
      <c r="J191" s="107" t="s">
        <v>5431</v>
      </c>
      <c r="K191" s="107" t="str">
        <f t="shared" si="1"/>
        <v>Harris | Hockley | 77447</v>
      </c>
      <c r="L191" s="111" t="str">
        <f t="shared" si="2"/>
        <v>Harris | Hockley | 77447 - Hockley</v>
      </c>
      <c r="M191" s="107">
        <f t="shared" si="3"/>
        <v>7</v>
      </c>
      <c r="N191" s="107"/>
      <c r="O191" s="107"/>
      <c r="P191" s="107"/>
    </row>
    <row r="192">
      <c r="A192" s="102">
        <v>191.0</v>
      </c>
      <c r="B192" s="102" t="s">
        <v>2122</v>
      </c>
      <c r="C192" s="102"/>
      <c r="D192" s="102" t="s">
        <v>148</v>
      </c>
      <c r="E192" s="102" t="s">
        <v>252</v>
      </c>
      <c r="F192" s="102" t="s">
        <v>37</v>
      </c>
      <c r="G192" s="102" t="s">
        <v>4898</v>
      </c>
      <c r="H192" s="102" t="s">
        <v>5434</v>
      </c>
      <c r="I192" s="102" t="s">
        <v>5435</v>
      </c>
      <c r="J192" s="102" t="s">
        <v>5436</v>
      </c>
      <c r="K192" s="102" t="str">
        <f t="shared" si="1"/>
        <v>Harris | Katy | 77449</v>
      </c>
      <c r="L192" s="106" t="str">
        <f t="shared" si="2"/>
        <v>Harris | Katy | 77449 - Katy (North), Morton Ranch, Villages Of Bear Creek</v>
      </c>
      <c r="M192" s="102">
        <f t="shared" si="3"/>
        <v>50</v>
      </c>
      <c r="N192" s="102"/>
      <c r="O192" s="102"/>
      <c r="P192" s="102"/>
    </row>
    <row r="193">
      <c r="A193" s="107">
        <v>192.0</v>
      </c>
      <c r="B193" s="107" t="s">
        <v>1640</v>
      </c>
      <c r="C193" s="107"/>
      <c r="D193" s="107" t="s">
        <v>148</v>
      </c>
      <c r="E193" s="107" t="s">
        <v>252</v>
      </c>
      <c r="F193" s="107" t="s">
        <v>37</v>
      </c>
      <c r="G193" s="107" t="s">
        <v>4898</v>
      </c>
      <c r="H193" s="107" t="s">
        <v>5437</v>
      </c>
      <c r="I193" s="107" t="s">
        <v>5438</v>
      </c>
      <c r="J193" s="107" t="s">
        <v>5439</v>
      </c>
      <c r="K193" s="107" t="str">
        <f t="shared" si="1"/>
        <v>Harris | Katy | 77450</v>
      </c>
      <c r="L193" s="111" t="str">
        <f t="shared" si="2"/>
        <v>Harris | Katy | 77450 - Cinco Ranch East, Katy (South), Nottingham Country</v>
      </c>
      <c r="M193" s="107">
        <f t="shared" si="3"/>
        <v>50</v>
      </c>
      <c r="N193" s="107"/>
      <c r="O193" s="107"/>
      <c r="P193" s="107"/>
    </row>
    <row r="194">
      <c r="A194" s="102">
        <v>193.0</v>
      </c>
      <c r="B194" s="102" t="s">
        <v>5440</v>
      </c>
      <c r="C194" s="102"/>
      <c r="D194" s="102" t="s">
        <v>5441</v>
      </c>
      <c r="E194" s="102" t="s">
        <v>5050</v>
      </c>
      <c r="F194" s="102" t="s">
        <v>37</v>
      </c>
      <c r="G194" s="102" t="s">
        <v>4898</v>
      </c>
      <c r="H194" s="102" t="s">
        <v>5442</v>
      </c>
      <c r="I194" s="102" t="s">
        <v>5443</v>
      </c>
      <c r="J194" s="102" t="s">
        <v>5441</v>
      </c>
      <c r="K194" s="102" t="str">
        <f t="shared" si="1"/>
        <v>Fort Bend | Kendleton | 77451</v>
      </c>
      <c r="L194" s="106" t="str">
        <f t="shared" si="2"/>
        <v>Fort Bend | Kendleton | 77451 - Kendleton</v>
      </c>
      <c r="M194" s="102">
        <f t="shared" si="3"/>
        <v>9</v>
      </c>
      <c r="N194" s="102"/>
      <c r="O194" s="102"/>
      <c r="P194" s="102"/>
    </row>
    <row r="195">
      <c r="A195" s="107">
        <v>194.0</v>
      </c>
      <c r="B195" s="107" t="s">
        <v>5444</v>
      </c>
      <c r="C195" s="107"/>
      <c r="D195" s="107" t="s">
        <v>5445</v>
      </c>
      <c r="E195" s="107" t="s">
        <v>442</v>
      </c>
      <c r="F195" s="107" t="s">
        <v>37</v>
      </c>
      <c r="G195" s="107" t="s">
        <v>4898</v>
      </c>
      <c r="H195" s="107" t="s">
        <v>5446</v>
      </c>
      <c r="I195" s="107" t="s">
        <v>5447</v>
      </c>
      <c r="J195" s="107" t="s">
        <v>5445</v>
      </c>
      <c r="K195" s="107" t="str">
        <f t="shared" si="1"/>
        <v>Austin | Kenney | 77452</v>
      </c>
      <c r="L195" s="111" t="str">
        <f t="shared" si="2"/>
        <v>Austin | Kenney | 77452 - Kenney</v>
      </c>
      <c r="M195" s="107">
        <f t="shared" si="3"/>
        <v>6</v>
      </c>
      <c r="N195" s="107"/>
      <c r="O195" s="107"/>
      <c r="P195" s="107"/>
    </row>
    <row r="196">
      <c r="A196" s="102">
        <v>195.0</v>
      </c>
      <c r="B196" s="102" t="s">
        <v>5448</v>
      </c>
      <c r="C196" s="102"/>
      <c r="D196" s="102" t="s">
        <v>5427</v>
      </c>
      <c r="E196" s="102" t="s">
        <v>216</v>
      </c>
      <c r="F196" s="102" t="s">
        <v>37</v>
      </c>
      <c r="G196" s="102" t="s">
        <v>4898</v>
      </c>
      <c r="H196" s="102" t="s">
        <v>5449</v>
      </c>
      <c r="I196" s="102" t="s">
        <v>5450</v>
      </c>
      <c r="J196" s="102" t="s">
        <v>5427</v>
      </c>
      <c r="K196" s="102" t="str">
        <f t="shared" si="1"/>
        <v>Wharton | Lissie | 77454</v>
      </c>
      <c r="L196" s="106" t="str">
        <f t="shared" si="2"/>
        <v>Wharton | Lissie | 77454 - Lissie</v>
      </c>
      <c r="M196" s="102">
        <f t="shared" si="3"/>
        <v>6</v>
      </c>
      <c r="N196" s="102"/>
      <c r="O196" s="102"/>
      <c r="P196" s="102"/>
    </row>
    <row r="197">
      <c r="A197" s="107">
        <v>196.0</v>
      </c>
      <c r="B197" s="107" t="s">
        <v>130</v>
      </c>
      <c r="C197" s="107"/>
      <c r="D197" s="107" t="s">
        <v>129</v>
      </c>
      <c r="E197" s="107" t="s">
        <v>5050</v>
      </c>
      <c r="F197" s="107" t="s">
        <v>37</v>
      </c>
      <c r="G197" s="107" t="s">
        <v>4898</v>
      </c>
      <c r="H197" s="107" t="s">
        <v>5451</v>
      </c>
      <c r="I197" s="107" t="s">
        <v>5452</v>
      </c>
      <c r="J197" s="107" t="s">
        <v>5453</v>
      </c>
      <c r="K197" s="107" t="str">
        <f t="shared" si="1"/>
        <v>Fort Bend | Missouri City | 77459</v>
      </c>
      <c r="L197" s="111" t="str">
        <f t="shared" si="2"/>
        <v>Fort Bend | Missouri City | 77459 - Missouri City, Plantation Park, Sienna</v>
      </c>
      <c r="M197" s="107">
        <f t="shared" si="3"/>
        <v>38</v>
      </c>
      <c r="N197" s="107"/>
      <c r="O197" s="107"/>
      <c r="P197" s="107"/>
    </row>
    <row r="198">
      <c r="A198" s="102">
        <v>197.0</v>
      </c>
      <c r="B198" s="102" t="s">
        <v>4262</v>
      </c>
      <c r="C198" s="102"/>
      <c r="D198" s="102" t="s">
        <v>4261</v>
      </c>
      <c r="E198" s="102" t="s">
        <v>5050</v>
      </c>
      <c r="F198" s="102" t="s">
        <v>37</v>
      </c>
      <c r="G198" s="102" t="s">
        <v>4898</v>
      </c>
      <c r="H198" s="102" t="s">
        <v>5454</v>
      </c>
      <c r="I198" s="102" t="s">
        <v>5455</v>
      </c>
      <c r="J198" s="102" t="s">
        <v>4261</v>
      </c>
      <c r="K198" s="102" t="str">
        <f t="shared" si="1"/>
        <v>Fort Bend | Needville | 77461</v>
      </c>
      <c r="L198" s="106" t="str">
        <f t="shared" si="2"/>
        <v>Fort Bend | Needville | 77461 - Needville</v>
      </c>
      <c r="M198" s="102">
        <f t="shared" si="3"/>
        <v>9</v>
      </c>
      <c r="N198" s="102"/>
      <c r="O198" s="102"/>
      <c r="P198" s="102"/>
    </row>
    <row r="199">
      <c r="A199" s="107">
        <v>198.0</v>
      </c>
      <c r="B199" s="107" t="s">
        <v>5456</v>
      </c>
      <c r="C199" s="107"/>
      <c r="D199" s="107" t="s">
        <v>5457</v>
      </c>
      <c r="E199" s="107" t="s">
        <v>5050</v>
      </c>
      <c r="F199" s="107" t="s">
        <v>37</v>
      </c>
      <c r="G199" s="107" t="s">
        <v>4898</v>
      </c>
      <c r="H199" s="107" t="s">
        <v>5458</v>
      </c>
      <c r="I199" s="107" t="s">
        <v>5459</v>
      </c>
      <c r="J199" s="107" t="s">
        <v>5457</v>
      </c>
      <c r="K199" s="107" t="str">
        <f t="shared" si="1"/>
        <v>Fort Bend | Orchard | 77464</v>
      </c>
      <c r="L199" s="111" t="str">
        <f t="shared" si="2"/>
        <v>Fort Bend | Orchard | 77464 - Orchard</v>
      </c>
      <c r="M199" s="107">
        <f t="shared" si="3"/>
        <v>7</v>
      </c>
      <c r="N199" s="107"/>
      <c r="O199" s="107"/>
      <c r="P199" s="107"/>
    </row>
    <row r="200">
      <c r="A200" s="102">
        <v>199.0</v>
      </c>
      <c r="B200" s="102" t="s">
        <v>5460</v>
      </c>
      <c r="C200" s="102"/>
      <c r="D200" s="102" t="s">
        <v>5461</v>
      </c>
      <c r="E200" s="102" t="s">
        <v>4700</v>
      </c>
      <c r="F200" s="102" t="s">
        <v>37</v>
      </c>
      <c r="G200" s="102" t="s">
        <v>4898</v>
      </c>
      <c r="H200" s="102" t="s">
        <v>5462</v>
      </c>
      <c r="I200" s="102" t="s">
        <v>5463</v>
      </c>
      <c r="J200" s="102" t="s">
        <v>5461</v>
      </c>
      <c r="K200" s="102" t="str">
        <f t="shared" si="1"/>
        <v>Waller | Pierce | 77466</v>
      </c>
      <c r="L200" s="106" t="str">
        <f t="shared" si="2"/>
        <v>Waller | Pierce | 77466 - Pierce</v>
      </c>
      <c r="M200" s="102">
        <f t="shared" si="3"/>
        <v>6</v>
      </c>
      <c r="N200" s="102"/>
      <c r="O200" s="102"/>
      <c r="P200" s="102"/>
    </row>
    <row r="201">
      <c r="A201" s="107">
        <v>200.0</v>
      </c>
      <c r="B201" s="107" t="s">
        <v>167</v>
      </c>
      <c r="C201" s="107"/>
      <c r="D201" s="107" t="s">
        <v>166</v>
      </c>
      <c r="E201" s="107" t="s">
        <v>5050</v>
      </c>
      <c r="F201" s="107" t="s">
        <v>37</v>
      </c>
      <c r="G201" s="107" t="s">
        <v>4898</v>
      </c>
      <c r="H201" s="107" t="s">
        <v>5464</v>
      </c>
      <c r="I201" s="107" t="s">
        <v>5465</v>
      </c>
      <c r="J201" s="107" t="s">
        <v>5466</v>
      </c>
      <c r="K201" s="107" t="str">
        <f t="shared" si="1"/>
        <v>Fort Bend | Richmond | 77469</v>
      </c>
      <c r="L201" s="111" t="str">
        <f t="shared" si="2"/>
        <v>Fort Bend | Richmond | 77469 - Greatwood, Richmond</v>
      </c>
      <c r="M201" s="107">
        <f t="shared" si="3"/>
        <v>19</v>
      </c>
      <c r="N201" s="107"/>
      <c r="O201" s="107"/>
      <c r="P201" s="107"/>
    </row>
    <row r="202">
      <c r="A202" s="102">
        <v>201.0</v>
      </c>
      <c r="B202" s="102" t="s">
        <v>176</v>
      </c>
      <c r="C202" s="102"/>
      <c r="D202" s="102" t="s">
        <v>175</v>
      </c>
      <c r="E202" s="102" t="s">
        <v>5050</v>
      </c>
      <c r="F202" s="102" t="s">
        <v>37</v>
      </c>
      <c r="G202" s="102" t="s">
        <v>4898</v>
      </c>
      <c r="H202" s="102" t="s">
        <v>5467</v>
      </c>
      <c r="I202" s="102" t="s">
        <v>5468</v>
      </c>
      <c r="J202" s="102" t="s">
        <v>5469</v>
      </c>
      <c r="K202" s="102" t="str">
        <f t="shared" si="1"/>
        <v>Fort Bend | Rosenberg | 77471</v>
      </c>
      <c r="L202" s="106" t="str">
        <f t="shared" si="2"/>
        <v>Fort Bend | Rosenberg | 77471 - Allendale Manor, Rosenberg, Timberlane Addition</v>
      </c>
      <c r="M202" s="102">
        <f t="shared" si="3"/>
        <v>47</v>
      </c>
      <c r="N202" s="102"/>
      <c r="O202" s="102"/>
      <c r="P202" s="102"/>
    </row>
    <row r="203">
      <c r="A203" s="107">
        <v>202.0</v>
      </c>
      <c r="B203" s="107" t="s">
        <v>185</v>
      </c>
      <c r="C203" s="107"/>
      <c r="D203" s="107" t="s">
        <v>184</v>
      </c>
      <c r="E203" s="107" t="s">
        <v>442</v>
      </c>
      <c r="F203" s="107" t="s">
        <v>37</v>
      </c>
      <c r="G203" s="107" t="s">
        <v>4898</v>
      </c>
      <c r="H203" s="107" t="s">
        <v>5470</v>
      </c>
      <c r="I203" s="107" t="s">
        <v>5471</v>
      </c>
      <c r="J203" s="107" t="s">
        <v>5472</v>
      </c>
      <c r="K203" s="107" t="str">
        <f t="shared" si="1"/>
        <v>Austin | Sealy | 77474</v>
      </c>
      <c r="L203" s="111" t="str">
        <f t="shared" si="2"/>
        <v>Austin | Sealy | 77474 - Brazos Country, San Felipe, Sealy</v>
      </c>
      <c r="M203" s="107">
        <f t="shared" si="3"/>
        <v>33</v>
      </c>
      <c r="N203" s="107"/>
      <c r="O203" s="107"/>
      <c r="P203" s="107"/>
    </row>
    <row r="204">
      <c r="A204" s="102">
        <v>203.0</v>
      </c>
      <c r="B204" s="102" t="s">
        <v>5473</v>
      </c>
      <c r="C204" s="102"/>
      <c r="D204" s="102" t="s">
        <v>184</v>
      </c>
      <c r="E204" s="102" t="s">
        <v>5050</v>
      </c>
      <c r="F204" s="102" t="s">
        <v>37</v>
      </c>
      <c r="G204" s="102" t="s">
        <v>4898</v>
      </c>
      <c r="H204" s="102" t="s">
        <v>5474</v>
      </c>
      <c r="I204" s="102" t="s">
        <v>5475</v>
      </c>
      <c r="J204" s="102" t="s">
        <v>184</v>
      </c>
      <c r="K204" s="102" t="str">
        <f t="shared" si="1"/>
        <v>Fort Bend | Sealy | 77476</v>
      </c>
      <c r="L204" s="106" t="str">
        <f t="shared" si="2"/>
        <v>Fort Bend | Sealy | 77476 - Sealy</v>
      </c>
      <c r="M204" s="102">
        <f t="shared" si="3"/>
        <v>5</v>
      </c>
      <c r="N204" s="102"/>
      <c r="O204" s="102"/>
      <c r="P204" s="102"/>
    </row>
    <row r="205">
      <c r="A205" s="107">
        <v>204.0</v>
      </c>
      <c r="B205" s="107" t="s">
        <v>201</v>
      </c>
      <c r="C205" s="107"/>
      <c r="D205" s="107" t="s">
        <v>200</v>
      </c>
      <c r="E205" s="107" t="s">
        <v>5050</v>
      </c>
      <c r="F205" s="107" t="s">
        <v>37</v>
      </c>
      <c r="G205" s="107" t="s">
        <v>4898</v>
      </c>
      <c r="H205" s="107" t="s">
        <v>5476</v>
      </c>
      <c r="I205" s="107" t="s">
        <v>5477</v>
      </c>
      <c r="J205" s="107" t="s">
        <v>5478</v>
      </c>
      <c r="K205" s="107" t="str">
        <f t="shared" si="1"/>
        <v>Fort Bend | Stafford | 77477</v>
      </c>
      <c r="L205" s="111" t="str">
        <f t="shared" si="2"/>
        <v>Fort Bend | Stafford | 77477 - Clark Plaza One, Corporate Bus Park, Greenbriar Southwest, Stafford, The Fountains</v>
      </c>
      <c r="M205" s="107">
        <f t="shared" si="3"/>
        <v>82</v>
      </c>
      <c r="N205" s="107"/>
      <c r="O205" s="107"/>
      <c r="P205" s="107"/>
    </row>
    <row r="206">
      <c r="A206" s="102">
        <v>205.0</v>
      </c>
      <c r="B206" s="102" t="s">
        <v>4370</v>
      </c>
      <c r="C206" s="102"/>
      <c r="D206" s="102" t="s">
        <v>4358</v>
      </c>
      <c r="E206" s="102" t="s">
        <v>5050</v>
      </c>
      <c r="F206" s="102" t="s">
        <v>37</v>
      </c>
      <c r="G206" s="102" t="s">
        <v>4898</v>
      </c>
      <c r="H206" s="102" t="s">
        <v>5479</v>
      </c>
      <c r="I206" s="102" t="s">
        <v>5480</v>
      </c>
      <c r="J206" s="102" t="s">
        <v>5481</v>
      </c>
      <c r="K206" s="102" t="str">
        <f t="shared" si="1"/>
        <v>Fort Bend | Sugar Land | 77478</v>
      </c>
      <c r="L206" s="106" t="str">
        <f t="shared" si="2"/>
        <v>Fort Bend | Sugar Land | 77478 - First Colony, Sugar Land, Westside</v>
      </c>
      <c r="M206" s="102">
        <f t="shared" si="3"/>
        <v>34</v>
      </c>
      <c r="N206" s="102"/>
      <c r="O206" s="102"/>
      <c r="P206" s="102"/>
    </row>
    <row r="207">
      <c r="A207" s="107">
        <v>206.0</v>
      </c>
      <c r="B207" s="107" t="s">
        <v>5482</v>
      </c>
      <c r="C207" s="107"/>
      <c r="D207" s="107" t="s">
        <v>4358</v>
      </c>
      <c r="E207" s="107" t="s">
        <v>5050</v>
      </c>
      <c r="F207" s="107" t="s">
        <v>37</v>
      </c>
      <c r="G207" s="107" t="s">
        <v>4898</v>
      </c>
      <c r="H207" s="107" t="s">
        <v>5483</v>
      </c>
      <c r="I207" s="107" t="s">
        <v>5484</v>
      </c>
      <c r="J207" s="107" t="s">
        <v>5485</v>
      </c>
      <c r="K207" s="107" t="str">
        <f t="shared" si="1"/>
        <v>Fort Bend | Sugar Land | 77479</v>
      </c>
      <c r="L207" s="111" t="str">
        <f t="shared" si="2"/>
        <v>Fort Bend | Sugar Land | 77479 - Riverstone, Sugar Land, Telfair</v>
      </c>
      <c r="M207" s="107">
        <f t="shared" si="3"/>
        <v>31</v>
      </c>
      <c r="N207" s="107"/>
      <c r="O207" s="107"/>
      <c r="P207" s="107"/>
    </row>
    <row r="208">
      <c r="A208" s="102">
        <v>207.0</v>
      </c>
      <c r="B208" s="102" t="s">
        <v>3407</v>
      </c>
      <c r="C208" s="102"/>
      <c r="D208" s="102" t="s">
        <v>3406</v>
      </c>
      <c r="E208" s="102" t="s">
        <v>4117</v>
      </c>
      <c r="F208" s="102" t="s">
        <v>37</v>
      </c>
      <c r="G208" s="102" t="s">
        <v>4898</v>
      </c>
      <c r="H208" s="102" t="s">
        <v>5486</v>
      </c>
      <c r="I208" s="102" t="s">
        <v>5487</v>
      </c>
      <c r="J208" s="102" t="s">
        <v>3406</v>
      </c>
      <c r="K208" s="102" t="str">
        <f t="shared" si="1"/>
        <v>Brazoria | Sweeny | 77480</v>
      </c>
      <c r="L208" s="106" t="str">
        <f t="shared" si="2"/>
        <v>Brazoria | Sweeny | 77480 - Sweeny</v>
      </c>
      <c r="M208" s="102">
        <f t="shared" si="3"/>
        <v>6</v>
      </c>
      <c r="N208" s="102"/>
      <c r="O208" s="102"/>
      <c r="P208" s="102"/>
    </row>
    <row r="209">
      <c r="A209" s="107">
        <v>208.0</v>
      </c>
      <c r="B209" s="107" t="s">
        <v>5488</v>
      </c>
      <c r="C209" s="107"/>
      <c r="D209" s="107" t="s">
        <v>4861</v>
      </c>
      <c r="E209" s="107" t="s">
        <v>5050</v>
      </c>
      <c r="F209" s="107" t="s">
        <v>37</v>
      </c>
      <c r="G209" s="107" t="s">
        <v>4898</v>
      </c>
      <c r="H209" s="107" t="s">
        <v>5489</v>
      </c>
      <c r="I209" s="107" t="s">
        <v>5490</v>
      </c>
      <c r="J209" s="107" t="s">
        <v>4861</v>
      </c>
      <c r="K209" s="107" t="str">
        <f t="shared" si="1"/>
        <v>Fort Bend | Thompsons | 77481</v>
      </c>
      <c r="L209" s="111" t="str">
        <f t="shared" si="2"/>
        <v>Fort Bend | Thompsons | 77481 - Thompsons</v>
      </c>
      <c r="M209" s="107">
        <f t="shared" si="3"/>
        <v>9</v>
      </c>
      <c r="N209" s="107"/>
      <c r="O209" s="107"/>
      <c r="P209" s="107"/>
    </row>
    <row r="210">
      <c r="A210" s="102">
        <v>209.0</v>
      </c>
      <c r="B210" s="102" t="s">
        <v>5491</v>
      </c>
      <c r="C210" s="102"/>
      <c r="D210" s="102" t="s">
        <v>5492</v>
      </c>
      <c r="E210" s="102" t="s">
        <v>5396</v>
      </c>
      <c r="F210" s="102" t="s">
        <v>37</v>
      </c>
      <c r="G210" s="102" t="s">
        <v>4898</v>
      </c>
      <c r="H210" s="102" t="s">
        <v>5493</v>
      </c>
      <c r="I210" s="102" t="s">
        <v>5494</v>
      </c>
      <c r="J210" s="102" t="s">
        <v>5492</v>
      </c>
      <c r="K210" s="102" t="str">
        <f t="shared" si="1"/>
        <v>Matagorda | Wadsworth | 77483</v>
      </c>
      <c r="L210" s="106" t="str">
        <f t="shared" si="2"/>
        <v>Matagorda | Wadsworth | 77483 - Wadsworth</v>
      </c>
      <c r="M210" s="102">
        <f t="shared" si="3"/>
        <v>9</v>
      </c>
      <c r="N210" s="102"/>
      <c r="O210" s="102"/>
      <c r="P210" s="102"/>
    </row>
    <row r="211">
      <c r="A211" s="107">
        <v>210.0</v>
      </c>
      <c r="B211" s="107" t="s">
        <v>4701</v>
      </c>
      <c r="C211" s="107"/>
      <c r="D211" s="107" t="s">
        <v>4700</v>
      </c>
      <c r="E211" s="107" t="s">
        <v>4700</v>
      </c>
      <c r="F211" s="107" t="s">
        <v>37</v>
      </c>
      <c r="G211" s="107" t="s">
        <v>4898</v>
      </c>
      <c r="H211" s="107" t="s">
        <v>5495</v>
      </c>
      <c r="I211" s="107" t="s">
        <v>5496</v>
      </c>
      <c r="J211" s="107" t="s">
        <v>4700</v>
      </c>
      <c r="K211" s="107" t="str">
        <f t="shared" si="1"/>
        <v>Waller | Waller | 77484</v>
      </c>
      <c r="L211" s="111" t="str">
        <f t="shared" si="2"/>
        <v>Waller | Waller | 77484 - Waller</v>
      </c>
      <c r="M211" s="107">
        <f t="shared" si="3"/>
        <v>6</v>
      </c>
      <c r="N211" s="107"/>
      <c r="O211" s="107"/>
      <c r="P211" s="107"/>
    </row>
    <row r="212">
      <c r="A212" s="102">
        <v>211.0</v>
      </c>
      <c r="B212" s="102" t="s">
        <v>5497</v>
      </c>
      <c r="C212" s="102"/>
      <c r="D212" s="102" t="s">
        <v>5498</v>
      </c>
      <c r="E212" s="102" t="s">
        <v>5050</v>
      </c>
      <c r="F212" s="102" t="s">
        <v>37</v>
      </c>
      <c r="G212" s="102" t="s">
        <v>4898</v>
      </c>
      <c r="H212" s="102" t="s">
        <v>5499</v>
      </c>
      <c r="I212" s="102" t="s">
        <v>5500</v>
      </c>
      <c r="J212" s="102" t="s">
        <v>5501</v>
      </c>
      <c r="K212" s="102" t="str">
        <f t="shared" si="1"/>
        <v>Fort Bend | Wallis, Orchard, Simonton | 77485</v>
      </c>
      <c r="L212" s="106" t="str">
        <f t="shared" si="2"/>
        <v>Fort Bend | Wallis, Orchard, Simonton | 77485 - Orchard, Simonton, Wallis</v>
      </c>
      <c r="M212" s="102">
        <f t="shared" si="3"/>
        <v>25</v>
      </c>
      <c r="N212" s="102"/>
      <c r="O212" s="102"/>
      <c r="P212" s="102"/>
    </row>
    <row r="213">
      <c r="A213" s="107">
        <v>212.0</v>
      </c>
      <c r="B213" s="107" t="s">
        <v>5502</v>
      </c>
      <c r="C213" s="107"/>
      <c r="D213" s="107" t="s">
        <v>5503</v>
      </c>
      <c r="E213" s="107" t="s">
        <v>4117</v>
      </c>
      <c r="F213" s="107" t="s">
        <v>37</v>
      </c>
      <c r="G213" s="107" t="s">
        <v>4898</v>
      </c>
      <c r="H213" s="107" t="s">
        <v>5504</v>
      </c>
      <c r="I213" s="107" t="s">
        <v>5505</v>
      </c>
      <c r="J213" s="107" t="s">
        <v>5503</v>
      </c>
      <c r="K213" s="107" t="str">
        <f t="shared" si="1"/>
        <v>Brazoria | West Columbia | 77486</v>
      </c>
      <c r="L213" s="111" t="str">
        <f t="shared" si="2"/>
        <v>Brazoria | West Columbia | 77486 - West Columbia</v>
      </c>
      <c r="M213" s="107">
        <f t="shared" si="3"/>
        <v>13</v>
      </c>
      <c r="N213" s="107"/>
      <c r="O213" s="107"/>
      <c r="P213" s="107"/>
    </row>
    <row r="214">
      <c r="A214" s="102">
        <v>213.0</v>
      </c>
      <c r="B214" s="102" t="s">
        <v>5506</v>
      </c>
      <c r="C214" s="102"/>
      <c r="D214" s="102" t="s">
        <v>4358</v>
      </c>
      <c r="E214" s="102" t="s">
        <v>5050</v>
      </c>
      <c r="F214" s="102" t="s">
        <v>37</v>
      </c>
      <c r="G214" s="102" t="s">
        <v>4898</v>
      </c>
      <c r="H214" s="102" t="s">
        <v>5507</v>
      </c>
      <c r="I214" s="102" t="s">
        <v>5508</v>
      </c>
      <c r="J214" s="102" t="s">
        <v>4358</v>
      </c>
      <c r="K214" s="102" t="str">
        <f t="shared" si="1"/>
        <v>Fort Bend | Sugar Land | 77487</v>
      </c>
      <c r="L214" s="106" t="str">
        <f t="shared" si="2"/>
        <v>Fort Bend | Sugar Land | 77487 - Sugar Land</v>
      </c>
      <c r="M214" s="102">
        <f t="shared" si="3"/>
        <v>10</v>
      </c>
      <c r="N214" s="102"/>
      <c r="O214" s="102"/>
      <c r="P214" s="102"/>
    </row>
    <row r="215">
      <c r="A215" s="107">
        <v>214.0</v>
      </c>
      <c r="B215" s="107" t="s">
        <v>213</v>
      </c>
      <c r="C215" s="107"/>
      <c r="D215" s="107" t="s">
        <v>216</v>
      </c>
      <c r="E215" s="107" t="s">
        <v>216</v>
      </c>
      <c r="F215" s="107" t="s">
        <v>37</v>
      </c>
      <c r="G215" s="107" t="s">
        <v>4898</v>
      </c>
      <c r="H215" s="107" t="s">
        <v>5509</v>
      </c>
      <c r="I215" s="107" t="s">
        <v>5510</v>
      </c>
      <c r="J215" s="107" t="s">
        <v>216</v>
      </c>
      <c r="K215" s="107" t="str">
        <f t="shared" si="1"/>
        <v>Wharton | Wharton | 77488</v>
      </c>
      <c r="L215" s="111" t="str">
        <f t="shared" si="2"/>
        <v>Wharton | Wharton | 77488 - Wharton</v>
      </c>
      <c r="M215" s="107">
        <f t="shared" si="3"/>
        <v>7</v>
      </c>
      <c r="N215" s="107"/>
      <c r="O215" s="107"/>
      <c r="P215" s="107"/>
    </row>
    <row r="216">
      <c r="A216" s="102">
        <v>215.0</v>
      </c>
      <c r="B216" s="102" t="s">
        <v>158</v>
      </c>
      <c r="C216" s="102"/>
      <c r="D216" s="102" t="s">
        <v>129</v>
      </c>
      <c r="E216" s="102" t="s">
        <v>5050</v>
      </c>
      <c r="F216" s="102" t="s">
        <v>37</v>
      </c>
      <c r="G216" s="102" t="s">
        <v>4898</v>
      </c>
      <c r="H216" s="102" t="s">
        <v>5511</v>
      </c>
      <c r="I216" s="102" t="s">
        <v>5512</v>
      </c>
      <c r="J216" s="102" t="s">
        <v>5513</v>
      </c>
      <c r="K216" s="102" t="str">
        <f t="shared" si="1"/>
        <v>Fort Bend | Missouri City | 77489</v>
      </c>
      <c r="L216" s="106" t="str">
        <f t="shared" si="2"/>
        <v>Fort Bend | Missouri City | 77489 - Missouri City, Olde Missouri City Market Place, Quail Green South, Quail Valley, Sta-mo Annex</v>
      </c>
      <c r="M216" s="102">
        <f t="shared" si="3"/>
        <v>93</v>
      </c>
      <c r="N216" s="102"/>
      <c r="O216" s="102"/>
      <c r="P216" s="102"/>
    </row>
    <row r="217">
      <c r="A217" s="107">
        <v>216.0</v>
      </c>
      <c r="B217" s="107" t="s">
        <v>5514</v>
      </c>
      <c r="C217" s="107"/>
      <c r="D217" s="107" t="s">
        <v>4700</v>
      </c>
      <c r="E217" s="107" t="s">
        <v>4700</v>
      </c>
      <c r="F217" s="107" t="s">
        <v>37</v>
      </c>
      <c r="G217" s="107" t="s">
        <v>4898</v>
      </c>
      <c r="H217" s="107" t="s">
        <v>4947</v>
      </c>
      <c r="I217" s="107" t="s">
        <v>5515</v>
      </c>
      <c r="J217" s="107" t="s">
        <v>4700</v>
      </c>
      <c r="K217" s="107" t="str">
        <f t="shared" si="1"/>
        <v>Waller | Waller | 77492</v>
      </c>
      <c r="L217" s="111" t="str">
        <f t="shared" si="2"/>
        <v>Waller | Waller | 77492 - Waller</v>
      </c>
      <c r="M217" s="107">
        <f t="shared" si="3"/>
        <v>6</v>
      </c>
      <c r="N217" s="107"/>
      <c r="O217" s="107"/>
      <c r="P217" s="107"/>
    </row>
    <row r="218">
      <c r="A218" s="102">
        <v>217.0</v>
      </c>
      <c r="B218" s="102" t="s">
        <v>1091</v>
      </c>
      <c r="C218" s="102"/>
      <c r="D218" s="102" t="s">
        <v>148</v>
      </c>
      <c r="E218" s="102" t="s">
        <v>252</v>
      </c>
      <c r="F218" s="102" t="s">
        <v>37</v>
      </c>
      <c r="G218" s="102" t="s">
        <v>4898</v>
      </c>
      <c r="H218" s="102" t="s">
        <v>5516</v>
      </c>
      <c r="I218" s="102" t="s">
        <v>5517</v>
      </c>
      <c r="J218" s="102" t="s">
        <v>5518</v>
      </c>
      <c r="K218" s="102" t="str">
        <f t="shared" si="1"/>
        <v>Harris | Katy | 77493</v>
      </c>
      <c r="L218" s="106" t="str">
        <f t="shared" si="2"/>
        <v>Harris | Katy | 77493 - Cane Island, Katy (Old Town)</v>
      </c>
      <c r="M218" s="102">
        <f t="shared" si="3"/>
        <v>28</v>
      </c>
      <c r="N218" s="102"/>
      <c r="O218" s="102"/>
      <c r="P218" s="102"/>
    </row>
    <row r="219">
      <c r="A219" s="107">
        <v>218.0</v>
      </c>
      <c r="B219" s="107" t="s">
        <v>149</v>
      </c>
      <c r="C219" s="107"/>
      <c r="D219" s="107" t="s">
        <v>148</v>
      </c>
      <c r="E219" s="107" t="s">
        <v>5050</v>
      </c>
      <c r="F219" s="107" t="s">
        <v>37</v>
      </c>
      <c r="G219" s="107" t="s">
        <v>4898</v>
      </c>
      <c r="H219" s="107" t="s">
        <v>5519</v>
      </c>
      <c r="I219" s="107" t="s">
        <v>5520</v>
      </c>
      <c r="J219" s="107" t="s">
        <v>5521</v>
      </c>
      <c r="K219" s="107" t="str">
        <f t="shared" si="1"/>
        <v>Fort Bend | Katy | 77494</v>
      </c>
      <c r="L219" s="111" t="str">
        <f t="shared" si="2"/>
        <v>Fort Bend | Katy | 77494 - Cinco Ranch West, Firethorne, Katy, Seven Meadows</v>
      </c>
      <c r="M219" s="107">
        <f t="shared" si="3"/>
        <v>49</v>
      </c>
      <c r="N219" s="107"/>
      <c r="O219" s="107"/>
      <c r="P219" s="107"/>
    </row>
    <row r="220">
      <c r="A220" s="102">
        <v>219.0</v>
      </c>
      <c r="B220" s="102" t="s">
        <v>5522</v>
      </c>
      <c r="C220" s="102"/>
      <c r="D220" s="102" t="s">
        <v>4358</v>
      </c>
      <c r="E220" s="102" t="s">
        <v>5050</v>
      </c>
      <c r="F220" s="102" t="s">
        <v>37</v>
      </c>
      <c r="G220" s="102" t="s">
        <v>4898</v>
      </c>
      <c r="H220" s="102" t="s">
        <v>5523</v>
      </c>
      <c r="I220" s="102" t="s">
        <v>5524</v>
      </c>
      <c r="J220" s="102" t="s">
        <v>4358</v>
      </c>
      <c r="K220" s="102" t="str">
        <f t="shared" si="1"/>
        <v>Fort Bend | Sugar Land | 77496</v>
      </c>
      <c r="L220" s="106" t="str">
        <f t="shared" si="2"/>
        <v>Fort Bend | Sugar Land | 77496 - Sugar Land</v>
      </c>
      <c r="M220" s="102">
        <f t="shared" si="3"/>
        <v>10</v>
      </c>
      <c r="N220" s="102"/>
      <c r="O220" s="102"/>
      <c r="P220" s="102"/>
    </row>
    <row r="221">
      <c r="A221" s="107">
        <v>220.0</v>
      </c>
      <c r="B221" s="107" t="s">
        <v>4359</v>
      </c>
      <c r="C221" s="107"/>
      <c r="D221" s="107" t="s">
        <v>4358</v>
      </c>
      <c r="E221" s="107" t="s">
        <v>5050</v>
      </c>
      <c r="F221" s="107" t="s">
        <v>37</v>
      </c>
      <c r="G221" s="107" t="s">
        <v>4898</v>
      </c>
      <c r="H221" s="107" t="s">
        <v>5525</v>
      </c>
      <c r="I221" s="107" t="s">
        <v>5526</v>
      </c>
      <c r="J221" s="107" t="s">
        <v>5527</v>
      </c>
      <c r="K221" s="107" t="str">
        <f t="shared" si="1"/>
        <v>Fort Bend | Sugar Land | 77498</v>
      </c>
      <c r="L221" s="111" t="str">
        <f t="shared" si="2"/>
        <v>Fort Bend | Sugar Land | 77498 - Old Town Sugar Land, Sugar Land</v>
      </c>
      <c r="M221" s="107">
        <f t="shared" si="3"/>
        <v>31</v>
      </c>
      <c r="N221" s="107"/>
      <c r="O221" s="107"/>
      <c r="P221" s="107"/>
    </row>
    <row r="222">
      <c r="A222" s="102">
        <v>221.0</v>
      </c>
      <c r="B222" s="102" t="s">
        <v>5528</v>
      </c>
      <c r="C222" s="102"/>
      <c r="D222" s="102" t="s">
        <v>729</v>
      </c>
      <c r="E222" s="102" t="s">
        <v>252</v>
      </c>
      <c r="F222" s="102" t="s">
        <v>37</v>
      </c>
      <c r="G222" s="102" t="s">
        <v>4898</v>
      </c>
      <c r="H222" s="102" t="s">
        <v>4947</v>
      </c>
      <c r="I222" s="102" t="s">
        <v>5529</v>
      </c>
      <c r="J222" s="102" t="s">
        <v>729</v>
      </c>
      <c r="K222" s="102" t="str">
        <f t="shared" si="1"/>
        <v>Harris | Pasadena | 77501</v>
      </c>
      <c r="L222" s="106" t="str">
        <f t="shared" si="2"/>
        <v>Harris | Pasadena | 77501 - Pasadena</v>
      </c>
      <c r="M222" s="102">
        <f t="shared" si="3"/>
        <v>8</v>
      </c>
      <c r="N222" s="102"/>
      <c r="O222" s="102"/>
      <c r="P222" s="102"/>
    </row>
    <row r="223">
      <c r="A223" s="107">
        <v>222.0</v>
      </c>
      <c r="B223" s="107" t="s">
        <v>3429</v>
      </c>
      <c r="C223" s="107"/>
      <c r="D223" s="107" t="s">
        <v>729</v>
      </c>
      <c r="E223" s="107" t="s">
        <v>252</v>
      </c>
      <c r="F223" s="107" t="s">
        <v>37</v>
      </c>
      <c r="G223" s="107" t="s">
        <v>4898</v>
      </c>
      <c r="H223" s="107" t="s">
        <v>5530</v>
      </c>
      <c r="I223" s="107" t="s">
        <v>5531</v>
      </c>
      <c r="J223" s="107" t="s">
        <v>5532</v>
      </c>
      <c r="K223" s="107" t="str">
        <f t="shared" si="1"/>
        <v>Harris | Pasadena | 77502</v>
      </c>
      <c r="L223" s="111" t="str">
        <f t="shared" si="2"/>
        <v>Harris | Pasadena | 77502 - Pasadena (Southmore), Queens Knoll</v>
      </c>
      <c r="M223" s="107">
        <f t="shared" si="3"/>
        <v>34</v>
      </c>
      <c r="N223" s="107"/>
      <c r="O223" s="107"/>
      <c r="P223" s="107"/>
    </row>
    <row r="224">
      <c r="A224" s="102">
        <v>223.0</v>
      </c>
      <c r="B224" s="102" t="s">
        <v>898</v>
      </c>
      <c r="C224" s="102"/>
      <c r="D224" s="102" t="s">
        <v>729</v>
      </c>
      <c r="E224" s="102" t="s">
        <v>252</v>
      </c>
      <c r="F224" s="102" t="s">
        <v>37</v>
      </c>
      <c r="G224" s="102" t="s">
        <v>4898</v>
      </c>
      <c r="H224" s="102" t="s">
        <v>5533</v>
      </c>
      <c r="I224" s="102" t="s">
        <v>5534</v>
      </c>
      <c r="J224" s="102" t="s">
        <v>729</v>
      </c>
      <c r="K224" s="102" t="str">
        <f t="shared" si="1"/>
        <v>Harris | Pasadena | 77503</v>
      </c>
      <c r="L224" s="106" t="str">
        <f t="shared" si="2"/>
        <v>Harris | Pasadena | 77503 - Pasadena</v>
      </c>
      <c r="M224" s="102">
        <f t="shared" si="3"/>
        <v>8</v>
      </c>
      <c r="N224" s="102"/>
      <c r="O224" s="102"/>
      <c r="P224" s="102"/>
    </row>
    <row r="225">
      <c r="A225" s="107">
        <v>224.0</v>
      </c>
      <c r="B225" s="107" t="s">
        <v>723</v>
      </c>
      <c r="C225" s="107"/>
      <c r="D225" s="107" t="s">
        <v>729</v>
      </c>
      <c r="E225" s="107" t="s">
        <v>252</v>
      </c>
      <c r="F225" s="107" t="s">
        <v>37</v>
      </c>
      <c r="G225" s="107" t="s">
        <v>4898</v>
      </c>
      <c r="H225" s="107" t="s">
        <v>5535</v>
      </c>
      <c r="I225" s="107" t="s">
        <v>5536</v>
      </c>
      <c r="J225" s="107" t="s">
        <v>5537</v>
      </c>
      <c r="K225" s="107" t="str">
        <f t="shared" si="1"/>
        <v>Harris | Pasadena | 77504</v>
      </c>
      <c r="L225" s="111" t="str">
        <f t="shared" si="2"/>
        <v>Harris | Pasadena | 77504 - Highland Farms, Pasadena</v>
      </c>
      <c r="M225" s="107">
        <f t="shared" si="3"/>
        <v>24</v>
      </c>
      <c r="N225" s="107"/>
      <c r="O225" s="107"/>
      <c r="P225" s="107"/>
    </row>
    <row r="226">
      <c r="A226" s="102">
        <v>225.0</v>
      </c>
      <c r="B226" s="102" t="s">
        <v>3129</v>
      </c>
      <c r="C226" s="102"/>
      <c r="D226" s="102" t="s">
        <v>729</v>
      </c>
      <c r="E226" s="102" t="s">
        <v>252</v>
      </c>
      <c r="F226" s="102" t="s">
        <v>37</v>
      </c>
      <c r="G226" s="102" t="s">
        <v>4898</v>
      </c>
      <c r="H226" s="102" t="s">
        <v>5538</v>
      </c>
      <c r="I226" s="102" t="s">
        <v>5539</v>
      </c>
      <c r="J226" s="102" t="s">
        <v>729</v>
      </c>
      <c r="K226" s="102" t="str">
        <f t="shared" si="1"/>
        <v>Harris | Pasadena | 77505</v>
      </c>
      <c r="L226" s="106" t="str">
        <f t="shared" si="2"/>
        <v>Harris | Pasadena | 77505 - Pasadena</v>
      </c>
      <c r="M226" s="102">
        <f t="shared" si="3"/>
        <v>8</v>
      </c>
      <c r="N226" s="102"/>
      <c r="O226" s="102"/>
      <c r="P226" s="102"/>
    </row>
    <row r="227">
      <c r="A227" s="107">
        <v>226.0</v>
      </c>
      <c r="B227" s="107" t="s">
        <v>2238</v>
      </c>
      <c r="C227" s="107"/>
      <c r="D227" s="107" t="s">
        <v>729</v>
      </c>
      <c r="E227" s="107" t="s">
        <v>252</v>
      </c>
      <c r="F227" s="107" t="s">
        <v>37</v>
      </c>
      <c r="G227" s="107" t="s">
        <v>4898</v>
      </c>
      <c r="H227" s="107" t="s">
        <v>5540</v>
      </c>
      <c r="I227" s="107" t="s">
        <v>5541</v>
      </c>
      <c r="J227" s="107" t="s">
        <v>729</v>
      </c>
      <c r="K227" s="107" t="str">
        <f t="shared" si="1"/>
        <v>Harris | Pasadena | 77506</v>
      </c>
      <c r="L227" s="111" t="str">
        <f t="shared" si="2"/>
        <v>Harris | Pasadena | 77506 - Pasadena</v>
      </c>
      <c r="M227" s="107">
        <f t="shared" si="3"/>
        <v>8</v>
      </c>
      <c r="N227" s="107"/>
      <c r="O227" s="107"/>
      <c r="P227" s="107"/>
    </row>
    <row r="228">
      <c r="A228" s="102">
        <v>227.0</v>
      </c>
      <c r="B228" s="102" t="s">
        <v>5542</v>
      </c>
      <c r="C228" s="102"/>
      <c r="D228" s="102" t="s">
        <v>729</v>
      </c>
      <c r="E228" s="102" t="s">
        <v>252</v>
      </c>
      <c r="F228" s="102" t="s">
        <v>37</v>
      </c>
      <c r="G228" s="102" t="s">
        <v>4898</v>
      </c>
      <c r="H228" s="102" t="s">
        <v>5543</v>
      </c>
      <c r="I228" s="102" t="s">
        <v>5544</v>
      </c>
      <c r="J228" s="102" t="s">
        <v>729</v>
      </c>
      <c r="K228" s="102" t="str">
        <f t="shared" si="1"/>
        <v>Harris | Pasadena | 77507</v>
      </c>
      <c r="L228" s="106" t="str">
        <f t="shared" si="2"/>
        <v>Harris | Pasadena | 77507 - Pasadena</v>
      </c>
      <c r="M228" s="102">
        <f t="shared" si="3"/>
        <v>8</v>
      </c>
      <c r="N228" s="102"/>
      <c r="O228" s="102"/>
      <c r="P228" s="102"/>
    </row>
    <row r="229">
      <c r="A229" s="107">
        <v>228.0</v>
      </c>
      <c r="B229" s="107" t="s">
        <v>5545</v>
      </c>
      <c r="C229" s="107"/>
      <c r="D229" s="107" t="s">
        <v>729</v>
      </c>
      <c r="E229" s="107" t="s">
        <v>252</v>
      </c>
      <c r="F229" s="107" t="s">
        <v>37</v>
      </c>
      <c r="G229" s="107" t="s">
        <v>4898</v>
      </c>
      <c r="H229" s="107" t="s">
        <v>5546</v>
      </c>
      <c r="I229" s="107" t="s">
        <v>5547</v>
      </c>
      <c r="J229" s="107" t="s">
        <v>729</v>
      </c>
      <c r="K229" s="107" t="str">
        <f t="shared" si="1"/>
        <v>Harris | Pasadena | 77508</v>
      </c>
      <c r="L229" s="111" t="str">
        <f t="shared" si="2"/>
        <v>Harris | Pasadena | 77508 - Pasadena</v>
      </c>
      <c r="M229" s="107">
        <f t="shared" si="3"/>
        <v>8</v>
      </c>
      <c r="N229" s="107"/>
      <c r="O229" s="107"/>
      <c r="P229" s="107"/>
    </row>
    <row r="230">
      <c r="A230" s="102">
        <v>229.0</v>
      </c>
      <c r="B230" s="102" t="s">
        <v>5548</v>
      </c>
      <c r="C230" s="102"/>
      <c r="D230" s="102" t="s">
        <v>5549</v>
      </c>
      <c r="E230" s="102" t="s">
        <v>1175</v>
      </c>
      <c r="F230" s="102" t="s">
        <v>37</v>
      </c>
      <c r="G230" s="102" t="s">
        <v>4898</v>
      </c>
      <c r="H230" s="102" t="s">
        <v>5550</v>
      </c>
      <c r="I230" s="102" t="s">
        <v>5551</v>
      </c>
      <c r="J230" s="102" t="s">
        <v>5549</v>
      </c>
      <c r="K230" s="102" t="str">
        <f t="shared" si="1"/>
        <v>Galveston | Santa Fe | 77510</v>
      </c>
      <c r="L230" s="106" t="str">
        <f t="shared" si="2"/>
        <v>Galveston | Santa Fe | 77510 - Santa Fe</v>
      </c>
      <c r="M230" s="102">
        <f t="shared" si="3"/>
        <v>8</v>
      </c>
      <c r="N230" s="102"/>
      <c r="O230" s="102"/>
      <c r="P230" s="102"/>
    </row>
    <row r="231">
      <c r="A231" s="107">
        <v>230.0</v>
      </c>
      <c r="B231" s="107" t="s">
        <v>4083</v>
      </c>
      <c r="C231" s="107"/>
      <c r="D231" s="107" t="s">
        <v>4086</v>
      </c>
      <c r="E231" s="107" t="s">
        <v>4117</v>
      </c>
      <c r="F231" s="107" t="s">
        <v>37</v>
      </c>
      <c r="G231" s="107" t="s">
        <v>4898</v>
      </c>
      <c r="H231" s="107" t="s">
        <v>5552</v>
      </c>
      <c r="I231" s="107" t="s">
        <v>5553</v>
      </c>
      <c r="J231" s="107" t="s">
        <v>4086</v>
      </c>
      <c r="K231" s="107" t="str">
        <f t="shared" si="1"/>
        <v>Brazoria | Alvin | 77511</v>
      </c>
      <c r="L231" s="111" t="str">
        <f t="shared" si="2"/>
        <v>Brazoria | Alvin | 77511 - Alvin</v>
      </c>
      <c r="M231" s="107">
        <f t="shared" si="3"/>
        <v>5</v>
      </c>
      <c r="N231" s="107"/>
      <c r="O231" s="107"/>
      <c r="P231" s="107"/>
    </row>
    <row r="232">
      <c r="A232" s="102">
        <v>231.0</v>
      </c>
      <c r="B232" s="102" t="s">
        <v>5554</v>
      </c>
      <c r="C232" s="102"/>
      <c r="D232" s="102" t="s">
        <v>5555</v>
      </c>
      <c r="E232" s="102" t="s">
        <v>4117</v>
      </c>
      <c r="F232" s="102" t="s">
        <v>37</v>
      </c>
      <c r="G232" s="102" t="s">
        <v>4898</v>
      </c>
      <c r="H232" s="102" t="s">
        <v>5556</v>
      </c>
      <c r="I232" s="102" t="s">
        <v>5557</v>
      </c>
      <c r="J232" s="102" t="s">
        <v>5555</v>
      </c>
      <c r="K232" s="102" t="str">
        <f t="shared" si="1"/>
        <v>Brazoria | Angleton | 77515</v>
      </c>
      <c r="L232" s="106" t="str">
        <f t="shared" si="2"/>
        <v>Brazoria | Angleton | 77515 - Angleton</v>
      </c>
      <c r="M232" s="102">
        <f t="shared" si="3"/>
        <v>8</v>
      </c>
      <c r="N232" s="102"/>
      <c r="O232" s="102"/>
      <c r="P232" s="102"/>
    </row>
    <row r="233">
      <c r="A233" s="107">
        <v>232.0</v>
      </c>
      <c r="B233" s="107" t="s">
        <v>5558</v>
      </c>
      <c r="C233" s="107"/>
      <c r="D233" s="107" t="s">
        <v>5555</v>
      </c>
      <c r="E233" s="107" t="s">
        <v>4117</v>
      </c>
      <c r="F233" s="107" t="s">
        <v>37</v>
      </c>
      <c r="G233" s="107" t="s">
        <v>4898</v>
      </c>
      <c r="H233" s="107" t="s">
        <v>5559</v>
      </c>
      <c r="I233" s="107" t="s">
        <v>5560</v>
      </c>
      <c r="J233" s="107" t="s">
        <v>5555</v>
      </c>
      <c r="K233" s="107" t="str">
        <f t="shared" si="1"/>
        <v>Brazoria | Angleton | 77516</v>
      </c>
      <c r="L233" s="111" t="str">
        <f t="shared" si="2"/>
        <v>Brazoria | Angleton | 77516 - Angleton</v>
      </c>
      <c r="M233" s="107">
        <f t="shared" si="3"/>
        <v>8</v>
      </c>
      <c r="N233" s="107"/>
      <c r="O233" s="107"/>
      <c r="P233" s="107"/>
    </row>
    <row r="234">
      <c r="A234" s="102">
        <v>233.0</v>
      </c>
      <c r="B234" s="102" t="s">
        <v>5561</v>
      </c>
      <c r="C234" s="102"/>
      <c r="D234" s="102" t="s">
        <v>5549</v>
      </c>
      <c r="E234" s="102" t="s">
        <v>1175</v>
      </c>
      <c r="F234" s="102" t="s">
        <v>37</v>
      </c>
      <c r="G234" s="102" t="s">
        <v>4898</v>
      </c>
      <c r="H234" s="102" t="s">
        <v>5562</v>
      </c>
      <c r="I234" s="102" t="s">
        <v>5563</v>
      </c>
      <c r="J234" s="102" t="s">
        <v>5564</v>
      </c>
      <c r="K234" s="102" t="str">
        <f t="shared" si="1"/>
        <v>Galveston | Santa Fe | 77517</v>
      </c>
      <c r="L234" s="106" t="str">
        <f t="shared" si="2"/>
        <v>Galveston | Santa Fe | 77517 - Arcadia</v>
      </c>
      <c r="M234" s="102">
        <f t="shared" si="3"/>
        <v>7</v>
      </c>
      <c r="N234" s="102"/>
      <c r="O234" s="102"/>
      <c r="P234" s="102"/>
    </row>
    <row r="235">
      <c r="A235" s="107">
        <v>234.0</v>
      </c>
      <c r="B235" s="107" t="s">
        <v>5565</v>
      </c>
      <c r="C235" s="107"/>
      <c r="D235" s="107" t="s">
        <v>5566</v>
      </c>
      <c r="E235" s="107" t="s">
        <v>1175</v>
      </c>
      <c r="F235" s="107" t="s">
        <v>37</v>
      </c>
      <c r="G235" s="107" t="s">
        <v>4898</v>
      </c>
      <c r="H235" s="107" t="s">
        <v>5567</v>
      </c>
      <c r="I235" s="107" t="s">
        <v>5568</v>
      </c>
      <c r="J235" s="107" t="s">
        <v>5566</v>
      </c>
      <c r="K235" s="107" t="str">
        <f t="shared" si="1"/>
        <v>Galveston | Bacliff | 77518</v>
      </c>
      <c r="L235" s="111" t="str">
        <f t="shared" si="2"/>
        <v>Galveston | Bacliff | 77518 - Bacliff</v>
      </c>
      <c r="M235" s="107">
        <f t="shared" si="3"/>
        <v>7</v>
      </c>
      <c r="N235" s="107"/>
      <c r="O235" s="107"/>
      <c r="P235" s="107"/>
    </row>
    <row r="236">
      <c r="A236" s="102">
        <v>235.0</v>
      </c>
      <c r="B236" s="102" t="s">
        <v>775</v>
      </c>
      <c r="C236" s="102"/>
      <c r="D236" s="102" t="s">
        <v>774</v>
      </c>
      <c r="E236" s="102" t="s">
        <v>252</v>
      </c>
      <c r="F236" s="102" t="s">
        <v>37</v>
      </c>
      <c r="G236" s="102" t="s">
        <v>4898</v>
      </c>
      <c r="H236" s="102" t="s">
        <v>5569</v>
      </c>
      <c r="I236" s="102" t="s">
        <v>5570</v>
      </c>
      <c r="J236" s="102" t="s">
        <v>5571</v>
      </c>
      <c r="K236" s="102" t="str">
        <f t="shared" si="1"/>
        <v>Harris | Baytown | 77520</v>
      </c>
      <c r="L236" s="106" t="str">
        <f t="shared" si="2"/>
        <v>Harris | Baytown | 77520 - Amelia Airhart, Baytown, East Baytown</v>
      </c>
      <c r="M236" s="102">
        <f t="shared" si="3"/>
        <v>37</v>
      </c>
      <c r="N236" s="102"/>
      <c r="O236" s="102"/>
      <c r="P236" s="102"/>
    </row>
    <row r="237">
      <c r="A237" s="107">
        <v>236.0</v>
      </c>
      <c r="B237" s="107" t="s">
        <v>2789</v>
      </c>
      <c r="C237" s="107"/>
      <c r="D237" s="107" t="s">
        <v>774</v>
      </c>
      <c r="E237" s="107" t="s">
        <v>252</v>
      </c>
      <c r="F237" s="107" t="s">
        <v>37</v>
      </c>
      <c r="G237" s="107" t="s">
        <v>4898</v>
      </c>
      <c r="H237" s="107" t="s">
        <v>5572</v>
      </c>
      <c r="I237" s="107" t="s">
        <v>5573</v>
      </c>
      <c r="J237" s="107" t="s">
        <v>5574</v>
      </c>
      <c r="K237" s="107" t="str">
        <f t="shared" si="1"/>
        <v>Harris | Baytown | 77521</v>
      </c>
      <c r="L237" s="111" t="str">
        <f t="shared" si="2"/>
        <v>Harris | Baytown | 77521 - Baytown, Baytown (North), Highland Farms</v>
      </c>
      <c r="M237" s="107">
        <f t="shared" si="3"/>
        <v>40</v>
      </c>
      <c r="N237" s="107"/>
      <c r="O237" s="107"/>
      <c r="P237" s="107"/>
    </row>
    <row r="238">
      <c r="A238" s="102">
        <v>237.0</v>
      </c>
      <c r="B238" s="102" t="s">
        <v>3867</v>
      </c>
      <c r="C238" s="102"/>
      <c r="D238" s="102" t="s">
        <v>3866</v>
      </c>
      <c r="E238" s="102" t="s">
        <v>252</v>
      </c>
      <c r="F238" s="102" t="s">
        <v>37</v>
      </c>
      <c r="G238" s="102" t="s">
        <v>4898</v>
      </c>
      <c r="H238" s="102" t="s">
        <v>5575</v>
      </c>
      <c r="I238" s="102" t="s">
        <v>5576</v>
      </c>
      <c r="J238" s="102" t="s">
        <v>3866</v>
      </c>
      <c r="K238" s="102" t="str">
        <f t="shared" si="1"/>
        <v>Harris | Channelview | 77530</v>
      </c>
      <c r="L238" s="106" t="str">
        <f t="shared" si="2"/>
        <v>Harris | Channelview | 77530 - Channelview</v>
      </c>
      <c r="M238" s="102">
        <f t="shared" si="3"/>
        <v>11</v>
      </c>
      <c r="N238" s="102"/>
      <c r="O238" s="102"/>
      <c r="P238" s="102"/>
    </row>
    <row r="239">
      <c r="A239" s="107">
        <v>238.0</v>
      </c>
      <c r="B239" s="107" t="s">
        <v>5577</v>
      </c>
      <c r="C239" s="107"/>
      <c r="D239" s="107" t="s">
        <v>5578</v>
      </c>
      <c r="E239" s="107" t="s">
        <v>4117</v>
      </c>
      <c r="F239" s="107" t="s">
        <v>37</v>
      </c>
      <c r="G239" s="107" t="s">
        <v>4898</v>
      </c>
      <c r="H239" s="107" t="s">
        <v>5579</v>
      </c>
      <c r="I239" s="107" t="s">
        <v>5580</v>
      </c>
      <c r="J239" s="107" t="s">
        <v>5578</v>
      </c>
      <c r="K239" s="107" t="str">
        <f t="shared" si="1"/>
        <v>Brazoria | Clute | 77531</v>
      </c>
      <c r="L239" s="111" t="str">
        <f t="shared" si="2"/>
        <v>Brazoria | Clute | 77531 - Clute</v>
      </c>
      <c r="M239" s="107">
        <f t="shared" si="3"/>
        <v>5</v>
      </c>
      <c r="N239" s="107"/>
      <c r="O239" s="107"/>
      <c r="P239" s="107"/>
    </row>
    <row r="240">
      <c r="A240" s="102">
        <v>239.0</v>
      </c>
      <c r="B240" s="102" t="s">
        <v>1275</v>
      </c>
      <c r="C240" s="102"/>
      <c r="D240" s="102" t="s">
        <v>1274</v>
      </c>
      <c r="E240" s="102" t="s">
        <v>252</v>
      </c>
      <c r="F240" s="102" t="s">
        <v>37</v>
      </c>
      <c r="G240" s="102" t="s">
        <v>4898</v>
      </c>
      <c r="H240" s="102" t="s">
        <v>5581</v>
      </c>
      <c r="I240" s="102" t="s">
        <v>5582</v>
      </c>
      <c r="J240" s="102" t="s">
        <v>5583</v>
      </c>
      <c r="K240" s="102" t="str">
        <f t="shared" si="1"/>
        <v>Harris | Crosby | 77532</v>
      </c>
      <c r="L240" s="106" t="str">
        <f t="shared" si="2"/>
        <v>Harris | Crosby | 77532 - Burris, Crosby</v>
      </c>
      <c r="M240" s="102">
        <f t="shared" si="3"/>
        <v>14</v>
      </c>
      <c r="N240" s="102"/>
      <c r="O240" s="102"/>
      <c r="P240" s="102"/>
    </row>
    <row r="241">
      <c r="A241" s="107">
        <v>240.0</v>
      </c>
      <c r="B241" s="107" t="s">
        <v>5584</v>
      </c>
      <c r="C241" s="107"/>
      <c r="D241" s="107" t="s">
        <v>5585</v>
      </c>
      <c r="E241" s="107" t="s">
        <v>5243</v>
      </c>
      <c r="F241" s="107" t="s">
        <v>37</v>
      </c>
      <c r="G241" s="107" t="s">
        <v>4898</v>
      </c>
      <c r="H241" s="107" t="s">
        <v>5586</v>
      </c>
      <c r="I241" s="107" t="s">
        <v>5587</v>
      </c>
      <c r="J241" s="107" t="s">
        <v>5585</v>
      </c>
      <c r="K241" s="107" t="str">
        <f t="shared" si="1"/>
        <v>Liberty | Devers | 77533</v>
      </c>
      <c r="L241" s="111" t="str">
        <f t="shared" si="2"/>
        <v>Liberty | Devers | 77533 - Devers</v>
      </c>
      <c r="M241" s="107">
        <f t="shared" si="3"/>
        <v>6</v>
      </c>
      <c r="N241" s="107"/>
      <c r="O241" s="107"/>
      <c r="P241" s="107"/>
    </row>
    <row r="242">
      <c r="A242" s="102">
        <v>241.0</v>
      </c>
      <c r="B242" s="102" t="s">
        <v>5588</v>
      </c>
      <c r="C242" s="102"/>
      <c r="D242" s="102" t="s">
        <v>5589</v>
      </c>
      <c r="E242" s="102" t="s">
        <v>4117</v>
      </c>
      <c r="F242" s="102" t="s">
        <v>37</v>
      </c>
      <c r="G242" s="102" t="s">
        <v>4898</v>
      </c>
      <c r="H242" s="102" t="s">
        <v>5590</v>
      </c>
      <c r="I242" s="102" t="s">
        <v>5591</v>
      </c>
      <c r="J242" s="102" t="s">
        <v>5589</v>
      </c>
      <c r="K242" s="102" t="str">
        <f t="shared" si="1"/>
        <v>Brazoria | Damon | 77534</v>
      </c>
      <c r="L242" s="106" t="str">
        <f t="shared" si="2"/>
        <v>Brazoria | Damon | 77534 - Damon</v>
      </c>
      <c r="M242" s="102">
        <f t="shared" si="3"/>
        <v>5</v>
      </c>
      <c r="N242" s="102"/>
      <c r="O242" s="102"/>
      <c r="P242" s="102"/>
    </row>
    <row r="243">
      <c r="A243" s="107">
        <v>242.0</v>
      </c>
      <c r="B243" s="107" t="s">
        <v>4131</v>
      </c>
      <c r="C243" s="107"/>
      <c r="D243" s="107" t="s">
        <v>4134</v>
      </c>
      <c r="E243" s="107" t="s">
        <v>252</v>
      </c>
      <c r="F243" s="107" t="s">
        <v>37</v>
      </c>
      <c r="G243" s="107" t="s">
        <v>4898</v>
      </c>
      <c r="H243" s="107" t="s">
        <v>5592</v>
      </c>
      <c r="I243" s="107" t="s">
        <v>5593</v>
      </c>
      <c r="J243" s="107" t="s">
        <v>4134</v>
      </c>
      <c r="K243" s="107" t="str">
        <f t="shared" si="1"/>
        <v>Harris | Dayton | 77535</v>
      </c>
      <c r="L243" s="111" t="str">
        <f t="shared" si="2"/>
        <v>Harris | Dayton | 77535 - Dayton</v>
      </c>
      <c r="M243" s="107">
        <f t="shared" si="3"/>
        <v>6</v>
      </c>
      <c r="N243" s="107"/>
      <c r="O243" s="107"/>
      <c r="P243" s="107"/>
    </row>
    <row r="244">
      <c r="A244" s="102">
        <v>243.0</v>
      </c>
      <c r="B244" s="102" t="s">
        <v>1464</v>
      </c>
      <c r="C244" s="102"/>
      <c r="D244" s="102" t="s">
        <v>1467</v>
      </c>
      <c r="E244" s="102" t="s">
        <v>252</v>
      </c>
      <c r="F244" s="102" t="s">
        <v>37</v>
      </c>
      <c r="G244" s="102" t="s">
        <v>4898</v>
      </c>
      <c r="H244" s="102" t="s">
        <v>5594</v>
      </c>
      <c r="I244" s="102" t="s">
        <v>5595</v>
      </c>
      <c r="J244" s="102" t="s">
        <v>5596</v>
      </c>
      <c r="K244" s="102" t="str">
        <f t="shared" si="1"/>
        <v>Harris | Deer Park | 77536</v>
      </c>
      <c r="L244" s="106" t="str">
        <f t="shared" si="2"/>
        <v>Harris | Deer Park | 77536 - Deer Park, Deer Park Gardens</v>
      </c>
      <c r="M244" s="102">
        <f t="shared" si="3"/>
        <v>28</v>
      </c>
      <c r="N244" s="102"/>
      <c r="O244" s="102"/>
      <c r="P244" s="102"/>
    </row>
    <row r="245">
      <c r="A245" s="107">
        <v>244.0</v>
      </c>
      <c r="B245" s="107" t="s">
        <v>1187</v>
      </c>
      <c r="C245" s="107"/>
      <c r="D245" s="107" t="s">
        <v>1186</v>
      </c>
      <c r="E245" s="107" t="s">
        <v>4117</v>
      </c>
      <c r="F245" s="107" t="s">
        <v>37</v>
      </c>
      <c r="G245" s="107" t="s">
        <v>4898</v>
      </c>
      <c r="H245" s="107" t="s">
        <v>5597</v>
      </c>
      <c r="I245" s="107" t="s">
        <v>5598</v>
      </c>
      <c r="J245" s="107" t="s">
        <v>1186</v>
      </c>
      <c r="K245" s="107" t="str">
        <f t="shared" si="1"/>
        <v>Brazoria | Dickinson | 77539</v>
      </c>
      <c r="L245" s="111" t="str">
        <f t="shared" si="2"/>
        <v>Brazoria | Dickinson | 77539 - Dickinson</v>
      </c>
      <c r="M245" s="107">
        <f t="shared" si="3"/>
        <v>9</v>
      </c>
      <c r="N245" s="107"/>
      <c r="O245" s="107"/>
      <c r="P245" s="107"/>
    </row>
    <row r="246">
      <c r="A246" s="102">
        <v>245.0</v>
      </c>
      <c r="B246" s="102" t="s">
        <v>5599</v>
      </c>
      <c r="C246" s="102"/>
      <c r="D246" s="102" t="s">
        <v>5600</v>
      </c>
      <c r="E246" s="102" t="s">
        <v>4117</v>
      </c>
      <c r="F246" s="102" t="s">
        <v>37</v>
      </c>
      <c r="G246" s="102" t="s">
        <v>4898</v>
      </c>
      <c r="H246" s="102" t="s">
        <v>5601</v>
      </c>
      <c r="I246" s="102" t="s">
        <v>5602</v>
      </c>
      <c r="J246" s="102" t="s">
        <v>5600</v>
      </c>
      <c r="K246" s="102" t="str">
        <f t="shared" si="1"/>
        <v>Brazoria | Freeport | 77541</v>
      </c>
      <c r="L246" s="106" t="str">
        <f t="shared" si="2"/>
        <v>Brazoria | Freeport | 77541 - Freeport</v>
      </c>
      <c r="M246" s="102">
        <f t="shared" si="3"/>
        <v>8</v>
      </c>
      <c r="N246" s="102"/>
      <c r="O246" s="102"/>
      <c r="P246" s="102"/>
    </row>
    <row r="247">
      <c r="A247" s="107">
        <v>246.0</v>
      </c>
      <c r="B247" s="107" t="s">
        <v>5603</v>
      </c>
      <c r="C247" s="107"/>
      <c r="D247" s="107" t="s">
        <v>5604</v>
      </c>
      <c r="E247" s="107" t="s">
        <v>5050</v>
      </c>
      <c r="F247" s="107" t="s">
        <v>37</v>
      </c>
      <c r="G247" s="107" t="s">
        <v>4898</v>
      </c>
      <c r="H247" s="107" t="s">
        <v>5605</v>
      </c>
      <c r="I247" s="107" t="s">
        <v>5606</v>
      </c>
      <c r="J247" s="107" t="s">
        <v>5604</v>
      </c>
      <c r="K247" s="107" t="str">
        <f t="shared" si="1"/>
        <v>Fort Bend | Fresno | 77545</v>
      </c>
      <c r="L247" s="111" t="str">
        <f t="shared" si="2"/>
        <v>Fort Bend | Fresno | 77545 - Fresno</v>
      </c>
      <c r="M247" s="107">
        <f t="shared" si="3"/>
        <v>6</v>
      </c>
      <c r="N247" s="107"/>
      <c r="O247" s="107"/>
      <c r="P247" s="107"/>
    </row>
    <row r="248">
      <c r="A248" s="102">
        <v>247.0</v>
      </c>
      <c r="B248" s="102" t="s">
        <v>3014</v>
      </c>
      <c r="C248" s="102"/>
      <c r="D248" s="102" t="s">
        <v>3013</v>
      </c>
      <c r="E248" s="102" t="s">
        <v>252</v>
      </c>
      <c r="F248" s="102" t="s">
        <v>37</v>
      </c>
      <c r="G248" s="102" t="s">
        <v>4898</v>
      </c>
      <c r="H248" s="102" t="s">
        <v>5607</v>
      </c>
      <c r="I248" s="102" t="s">
        <v>5608</v>
      </c>
      <c r="J248" s="102" t="s">
        <v>3013</v>
      </c>
      <c r="K248" s="102" t="str">
        <f t="shared" si="1"/>
        <v>Harris | Friendswood | 77546</v>
      </c>
      <c r="L248" s="106" t="str">
        <f t="shared" si="2"/>
        <v>Harris | Friendswood | 77546 - Friendswood</v>
      </c>
      <c r="M248" s="102">
        <f t="shared" si="3"/>
        <v>11</v>
      </c>
      <c r="N248" s="102"/>
      <c r="O248" s="102"/>
      <c r="P248" s="102"/>
    </row>
    <row r="249">
      <c r="A249" s="107">
        <v>248.0</v>
      </c>
      <c r="B249" s="107" t="s">
        <v>1211</v>
      </c>
      <c r="C249" s="109">
        <v>1.0</v>
      </c>
      <c r="D249" s="107" t="s">
        <v>1210</v>
      </c>
      <c r="E249" s="107" t="s">
        <v>252</v>
      </c>
      <c r="F249" s="107" t="s">
        <v>37</v>
      </c>
      <c r="G249" s="107" t="s">
        <v>4898</v>
      </c>
      <c r="H249" s="107" t="s">
        <v>5609</v>
      </c>
      <c r="I249" s="107" t="s">
        <v>5610</v>
      </c>
      <c r="J249" s="107" t="s">
        <v>5611</v>
      </c>
      <c r="K249" s="107" t="str">
        <f t="shared" si="1"/>
        <v>Harris | Galena Park | 77547</v>
      </c>
      <c r="L249" s="111" t="str">
        <f t="shared" si="2"/>
        <v>Harris | Galena Park | 77547 - Galena Park, Northeast Houston</v>
      </c>
      <c r="M249" s="107">
        <f t="shared" si="3"/>
        <v>30</v>
      </c>
      <c r="N249" s="107"/>
      <c r="O249" s="107"/>
      <c r="P249" s="107"/>
    </row>
    <row r="250">
      <c r="A250" s="102">
        <v>249.0</v>
      </c>
      <c r="B250" s="102" t="s">
        <v>5612</v>
      </c>
      <c r="C250" s="102"/>
      <c r="D250" s="102" t="s">
        <v>3013</v>
      </c>
      <c r="E250" s="102" t="s">
        <v>1175</v>
      </c>
      <c r="F250" s="102" t="s">
        <v>37</v>
      </c>
      <c r="G250" s="102" t="s">
        <v>4898</v>
      </c>
      <c r="H250" s="102" t="s">
        <v>5613</v>
      </c>
      <c r="I250" s="102" t="s">
        <v>5614</v>
      </c>
      <c r="J250" s="102" t="s">
        <v>3013</v>
      </c>
      <c r="K250" s="102" t="str">
        <f t="shared" si="1"/>
        <v>Galveston | Friendswood | 77549</v>
      </c>
      <c r="L250" s="106" t="str">
        <f t="shared" si="2"/>
        <v>Galveston | Friendswood | 77549 - Friendswood</v>
      </c>
      <c r="M250" s="102">
        <f t="shared" si="3"/>
        <v>11</v>
      </c>
      <c r="N250" s="102"/>
      <c r="O250" s="102"/>
      <c r="P250" s="102"/>
    </row>
    <row r="251">
      <c r="A251" s="107">
        <v>250.0</v>
      </c>
      <c r="B251" s="107" t="s">
        <v>1176</v>
      </c>
      <c r="C251" s="107"/>
      <c r="D251" s="107" t="s">
        <v>1175</v>
      </c>
      <c r="E251" s="107" t="s">
        <v>1175</v>
      </c>
      <c r="F251" s="107" t="s">
        <v>37</v>
      </c>
      <c r="G251" s="107" t="s">
        <v>4898</v>
      </c>
      <c r="H251" s="107" t="s">
        <v>5615</v>
      </c>
      <c r="I251" s="107" t="s">
        <v>5616</v>
      </c>
      <c r="J251" s="107" t="s">
        <v>1175</v>
      </c>
      <c r="K251" s="107" t="str">
        <f t="shared" si="1"/>
        <v>Galveston | Galveston | 77550</v>
      </c>
      <c r="L251" s="111" t="str">
        <f t="shared" si="2"/>
        <v>Galveston | Galveston | 77550 - Galveston</v>
      </c>
      <c r="M251" s="107">
        <f t="shared" si="3"/>
        <v>9</v>
      </c>
      <c r="N251" s="107"/>
      <c r="O251" s="107"/>
      <c r="P251" s="107"/>
    </row>
    <row r="252">
      <c r="A252" s="102">
        <v>251.0</v>
      </c>
      <c r="B252" s="102" t="s">
        <v>1312</v>
      </c>
      <c r="C252" s="102"/>
      <c r="D252" s="102" t="s">
        <v>1175</v>
      </c>
      <c r="E252" s="102" t="s">
        <v>1175</v>
      </c>
      <c r="F252" s="102" t="s">
        <v>37</v>
      </c>
      <c r="G252" s="102" t="s">
        <v>4898</v>
      </c>
      <c r="H252" s="102" t="s">
        <v>5617</v>
      </c>
      <c r="I252" s="102" t="s">
        <v>5618</v>
      </c>
      <c r="J252" s="102" t="s">
        <v>1175</v>
      </c>
      <c r="K252" s="102" t="str">
        <f t="shared" si="1"/>
        <v>Galveston | Galveston | 77551</v>
      </c>
      <c r="L252" s="106" t="str">
        <f t="shared" si="2"/>
        <v>Galveston | Galveston | 77551 - Galveston</v>
      </c>
      <c r="M252" s="102">
        <f t="shared" si="3"/>
        <v>9</v>
      </c>
      <c r="N252" s="102"/>
      <c r="O252" s="102"/>
      <c r="P252" s="102"/>
    </row>
    <row r="253">
      <c r="A253" s="107">
        <v>252.0</v>
      </c>
      <c r="B253" s="107" t="s">
        <v>5619</v>
      </c>
      <c r="C253" s="107"/>
      <c r="D253" s="107" t="s">
        <v>1175</v>
      </c>
      <c r="E253" s="107" t="s">
        <v>1175</v>
      </c>
      <c r="F253" s="107" t="s">
        <v>37</v>
      </c>
      <c r="G253" s="107" t="s">
        <v>4898</v>
      </c>
      <c r="H253" s="107" t="s">
        <v>5620</v>
      </c>
      <c r="I253" s="107" t="s">
        <v>5621</v>
      </c>
      <c r="J253" s="107" t="s">
        <v>1175</v>
      </c>
      <c r="K253" s="107" t="str">
        <f t="shared" si="1"/>
        <v>Galveston | Galveston | 77552</v>
      </c>
      <c r="L253" s="111" t="str">
        <f t="shared" si="2"/>
        <v>Galveston | Galveston | 77552 - Galveston</v>
      </c>
      <c r="M253" s="107">
        <f t="shared" si="3"/>
        <v>9</v>
      </c>
      <c r="N253" s="107"/>
      <c r="O253" s="107"/>
      <c r="P253" s="107"/>
    </row>
    <row r="254">
      <c r="A254" s="102">
        <v>253.0</v>
      </c>
      <c r="B254" s="102" t="s">
        <v>5622</v>
      </c>
      <c r="C254" s="102"/>
      <c r="D254" s="102" t="s">
        <v>1175</v>
      </c>
      <c r="E254" s="102" t="s">
        <v>1175</v>
      </c>
      <c r="F254" s="102" t="s">
        <v>37</v>
      </c>
      <c r="G254" s="102" t="s">
        <v>4898</v>
      </c>
      <c r="H254" s="102" t="s">
        <v>5623</v>
      </c>
      <c r="I254" s="102" t="s">
        <v>5624</v>
      </c>
      <c r="J254" s="102" t="s">
        <v>1175</v>
      </c>
      <c r="K254" s="102" t="str">
        <f t="shared" si="1"/>
        <v>Galveston | Galveston | 77553</v>
      </c>
      <c r="L254" s="106" t="str">
        <f t="shared" si="2"/>
        <v>Galveston | Galveston | 77553 - Galveston</v>
      </c>
      <c r="M254" s="102">
        <f t="shared" si="3"/>
        <v>9</v>
      </c>
      <c r="N254" s="102"/>
      <c r="O254" s="102"/>
      <c r="P254" s="102"/>
    </row>
    <row r="255">
      <c r="A255" s="107">
        <v>254.0</v>
      </c>
      <c r="B255" s="107" t="s">
        <v>5625</v>
      </c>
      <c r="C255" s="107"/>
      <c r="D255" s="107" t="s">
        <v>1175</v>
      </c>
      <c r="E255" s="107" t="s">
        <v>1175</v>
      </c>
      <c r="F255" s="107" t="s">
        <v>37</v>
      </c>
      <c r="G255" s="107" t="s">
        <v>4898</v>
      </c>
      <c r="H255" s="107" t="s">
        <v>5626</v>
      </c>
      <c r="I255" s="107" t="s">
        <v>5627</v>
      </c>
      <c r="J255" s="107" t="s">
        <v>1175</v>
      </c>
      <c r="K255" s="107" t="str">
        <f t="shared" si="1"/>
        <v>Galveston | Galveston | 77554</v>
      </c>
      <c r="L255" s="111" t="str">
        <f t="shared" si="2"/>
        <v>Galveston | Galveston | 77554 - Galveston</v>
      </c>
      <c r="M255" s="107">
        <f t="shared" si="3"/>
        <v>9</v>
      </c>
      <c r="N255" s="107"/>
      <c r="O255" s="107"/>
      <c r="P255" s="107"/>
    </row>
    <row r="256">
      <c r="A256" s="102">
        <v>255.0</v>
      </c>
      <c r="B256" s="102" t="s">
        <v>5628</v>
      </c>
      <c r="C256" s="102"/>
      <c r="D256" s="102" t="s">
        <v>1175</v>
      </c>
      <c r="E256" s="102" t="s">
        <v>1175</v>
      </c>
      <c r="F256" s="102" t="s">
        <v>37</v>
      </c>
      <c r="G256" s="102" t="s">
        <v>4898</v>
      </c>
      <c r="H256" s="102" t="s">
        <v>5613</v>
      </c>
      <c r="I256" s="102" t="s">
        <v>5629</v>
      </c>
      <c r="J256" s="102" t="s">
        <v>1175</v>
      </c>
      <c r="K256" s="102" t="str">
        <f t="shared" si="1"/>
        <v>Galveston | Galveston | 77555</v>
      </c>
      <c r="L256" s="106" t="str">
        <f t="shared" si="2"/>
        <v>Galveston | Galveston | 77555 - Galveston</v>
      </c>
      <c r="M256" s="102">
        <f t="shared" si="3"/>
        <v>9</v>
      </c>
      <c r="N256" s="102"/>
      <c r="O256" s="102"/>
      <c r="P256" s="102"/>
    </row>
    <row r="257">
      <c r="A257" s="107">
        <v>256.0</v>
      </c>
      <c r="B257" s="107" t="s">
        <v>1729</v>
      </c>
      <c r="C257" s="107"/>
      <c r="D257" s="107" t="s">
        <v>1732</v>
      </c>
      <c r="E257" s="107" t="s">
        <v>252</v>
      </c>
      <c r="F257" s="107" t="s">
        <v>37</v>
      </c>
      <c r="G257" s="107" t="s">
        <v>4898</v>
      </c>
      <c r="H257" s="107" t="s">
        <v>5630</v>
      </c>
      <c r="I257" s="107" t="s">
        <v>5631</v>
      </c>
      <c r="J257" s="107" t="s">
        <v>1732</v>
      </c>
      <c r="K257" s="107" t="str">
        <f t="shared" si="1"/>
        <v>Harris | Highlands | 77562</v>
      </c>
      <c r="L257" s="111" t="str">
        <f t="shared" si="2"/>
        <v>Harris | Highlands | 77562 - Highlands</v>
      </c>
      <c r="M257" s="107">
        <f t="shared" si="3"/>
        <v>9</v>
      </c>
      <c r="N257" s="107"/>
      <c r="O257" s="107"/>
      <c r="P257" s="107"/>
    </row>
    <row r="258">
      <c r="A258" s="102">
        <v>257.0</v>
      </c>
      <c r="B258" s="102" t="s">
        <v>5632</v>
      </c>
      <c r="C258" s="102"/>
      <c r="D258" s="102" t="s">
        <v>5633</v>
      </c>
      <c r="E258" s="102" t="s">
        <v>1175</v>
      </c>
      <c r="F258" s="102" t="s">
        <v>37</v>
      </c>
      <c r="G258" s="102" t="s">
        <v>4898</v>
      </c>
      <c r="H258" s="102" t="s">
        <v>5634</v>
      </c>
      <c r="I258" s="102" t="s">
        <v>5635</v>
      </c>
      <c r="J258" s="102" t="s">
        <v>5633</v>
      </c>
      <c r="K258" s="102" t="str">
        <f t="shared" si="1"/>
        <v>Galveston | Hitchcock | 77563</v>
      </c>
      <c r="L258" s="106" t="str">
        <f t="shared" si="2"/>
        <v>Galveston | Hitchcock | 77563 - Hitchcock</v>
      </c>
      <c r="M258" s="102">
        <f t="shared" si="3"/>
        <v>9</v>
      </c>
      <c r="N258" s="102"/>
      <c r="O258" s="102"/>
      <c r="P258" s="102"/>
    </row>
    <row r="259">
      <c r="A259" s="107">
        <v>258.0</v>
      </c>
      <c r="B259" s="107" t="s">
        <v>5636</v>
      </c>
      <c r="C259" s="107"/>
      <c r="D259" s="107" t="s">
        <v>5637</v>
      </c>
      <c r="E259" s="107" t="s">
        <v>1175</v>
      </c>
      <c r="F259" s="107" t="s">
        <v>37</v>
      </c>
      <c r="G259" s="107" t="s">
        <v>4898</v>
      </c>
      <c r="H259" s="107" t="s">
        <v>5638</v>
      </c>
      <c r="I259" s="107" t="s">
        <v>5639</v>
      </c>
      <c r="J259" s="107" t="s">
        <v>5637</v>
      </c>
      <c r="K259" s="107" t="str">
        <f t="shared" si="1"/>
        <v>Galveston | Kemah | 77565</v>
      </c>
      <c r="L259" s="111" t="str">
        <f t="shared" si="2"/>
        <v>Galveston | Kemah | 77565 - Kemah</v>
      </c>
      <c r="M259" s="107">
        <f t="shared" si="3"/>
        <v>5</v>
      </c>
      <c r="N259" s="107"/>
      <c r="O259" s="107"/>
      <c r="P259" s="107"/>
    </row>
    <row r="260">
      <c r="A260" s="102">
        <v>259.0</v>
      </c>
      <c r="B260" s="102" t="s">
        <v>4280</v>
      </c>
      <c r="C260" s="102"/>
      <c r="D260" s="102" t="s">
        <v>4279</v>
      </c>
      <c r="E260" s="102" t="s">
        <v>4117</v>
      </c>
      <c r="F260" s="102" t="s">
        <v>37</v>
      </c>
      <c r="G260" s="102" t="s">
        <v>4898</v>
      </c>
      <c r="H260" s="102" t="s">
        <v>5640</v>
      </c>
      <c r="I260" s="102" t="s">
        <v>5641</v>
      </c>
      <c r="J260" s="102" t="s">
        <v>4279</v>
      </c>
      <c r="K260" s="102" t="str">
        <f t="shared" si="1"/>
        <v>Brazoria | Lake Jackson | 77566</v>
      </c>
      <c r="L260" s="106" t="str">
        <f t="shared" si="2"/>
        <v>Brazoria | Lake Jackson | 77566 - Lake Jackson</v>
      </c>
      <c r="M260" s="102">
        <f t="shared" si="3"/>
        <v>12</v>
      </c>
      <c r="N260" s="102"/>
      <c r="O260" s="102"/>
      <c r="P260" s="102"/>
    </row>
    <row r="261">
      <c r="A261" s="107">
        <v>260.0</v>
      </c>
      <c r="B261" s="107" t="s">
        <v>3517</v>
      </c>
      <c r="C261" s="107"/>
      <c r="D261" s="107" t="s">
        <v>3520</v>
      </c>
      <c r="E261" s="107" t="s">
        <v>1175</v>
      </c>
      <c r="F261" s="107" t="s">
        <v>37</v>
      </c>
      <c r="G261" s="107" t="s">
        <v>4898</v>
      </c>
      <c r="H261" s="107" t="s">
        <v>5642</v>
      </c>
      <c r="I261" s="107" t="s">
        <v>5643</v>
      </c>
      <c r="J261" s="107" t="s">
        <v>3520</v>
      </c>
      <c r="K261" s="107" t="str">
        <f t="shared" si="1"/>
        <v>Galveston | La Marque | 77568</v>
      </c>
      <c r="L261" s="111" t="str">
        <f t="shared" si="2"/>
        <v>Galveston | La Marque | 77568 - La Marque</v>
      </c>
      <c r="M261" s="107">
        <f t="shared" si="3"/>
        <v>9</v>
      </c>
      <c r="N261" s="107"/>
      <c r="O261" s="107"/>
      <c r="P261" s="107"/>
    </row>
    <row r="262">
      <c r="A262" s="102">
        <v>261.0</v>
      </c>
      <c r="B262" s="102" t="s">
        <v>4212</v>
      </c>
      <c r="C262" s="102"/>
      <c r="D262" s="102" t="s">
        <v>4215</v>
      </c>
      <c r="E262" s="102" t="s">
        <v>252</v>
      </c>
      <c r="F262" s="102" t="s">
        <v>37</v>
      </c>
      <c r="G262" s="102" t="s">
        <v>4898</v>
      </c>
      <c r="H262" s="102" t="s">
        <v>5644</v>
      </c>
      <c r="I262" s="102" t="s">
        <v>5645</v>
      </c>
      <c r="J262" s="102" t="s">
        <v>5646</v>
      </c>
      <c r="K262" s="102" t="str">
        <f t="shared" si="1"/>
        <v>Harris | La Porte | 77571</v>
      </c>
      <c r="L262" s="106" t="str">
        <f t="shared" si="2"/>
        <v>Harris | La Porte | 77571 - Beach Park, La Porte</v>
      </c>
      <c r="M262" s="102">
        <f t="shared" si="3"/>
        <v>20</v>
      </c>
      <c r="N262" s="102"/>
      <c r="O262" s="102"/>
      <c r="P262" s="102"/>
    </row>
    <row r="263">
      <c r="A263" s="107">
        <v>262.0</v>
      </c>
      <c r="B263" s="107" t="s">
        <v>395</v>
      </c>
      <c r="C263" s="107"/>
      <c r="D263" s="107" t="s">
        <v>394</v>
      </c>
      <c r="E263" s="107" t="s">
        <v>1175</v>
      </c>
      <c r="F263" s="107" t="s">
        <v>37</v>
      </c>
      <c r="G263" s="107" t="s">
        <v>4898</v>
      </c>
      <c r="H263" s="107" t="s">
        <v>5647</v>
      </c>
      <c r="I263" s="107" t="s">
        <v>5648</v>
      </c>
      <c r="J263" s="107" t="s">
        <v>5649</v>
      </c>
      <c r="K263" s="107" t="str">
        <f t="shared" si="1"/>
        <v>Galveston | League City | 77573</v>
      </c>
      <c r="L263" s="111" t="str">
        <f t="shared" si="2"/>
        <v>Galveston | League City | 77573 - League City, South Shore Harbour, Victory Lakes</v>
      </c>
      <c r="M263" s="107">
        <f t="shared" si="3"/>
        <v>47</v>
      </c>
      <c r="N263" s="107"/>
      <c r="O263" s="107"/>
      <c r="P263" s="107"/>
    </row>
    <row r="264">
      <c r="A264" s="102">
        <v>263.0</v>
      </c>
      <c r="B264" s="102" t="s">
        <v>5650</v>
      </c>
      <c r="C264" s="102"/>
      <c r="D264" s="102" t="s">
        <v>5243</v>
      </c>
      <c r="E264" s="102" t="s">
        <v>5243</v>
      </c>
      <c r="F264" s="102" t="s">
        <v>37</v>
      </c>
      <c r="G264" s="102" t="s">
        <v>4898</v>
      </c>
      <c r="H264" s="102" t="s">
        <v>5651</v>
      </c>
      <c r="I264" s="102" t="s">
        <v>5652</v>
      </c>
      <c r="J264" s="102" t="s">
        <v>5243</v>
      </c>
      <c r="K264" s="102" t="str">
        <f t="shared" si="1"/>
        <v>Liberty | Liberty | 77575</v>
      </c>
      <c r="L264" s="106" t="str">
        <f t="shared" si="2"/>
        <v>Liberty | Liberty | 77575 - Liberty</v>
      </c>
      <c r="M264" s="102">
        <f t="shared" si="3"/>
        <v>7</v>
      </c>
      <c r="N264" s="102"/>
      <c r="O264" s="102"/>
      <c r="P264" s="102"/>
    </row>
    <row r="265">
      <c r="A265" s="107">
        <v>264.0</v>
      </c>
      <c r="B265" s="107" t="s">
        <v>5653</v>
      </c>
      <c r="C265" s="107"/>
      <c r="D265" s="107" t="s">
        <v>3653</v>
      </c>
      <c r="E265" s="107" t="s">
        <v>4117</v>
      </c>
      <c r="F265" s="107" t="s">
        <v>37</v>
      </c>
      <c r="G265" s="107" t="s">
        <v>4898</v>
      </c>
      <c r="H265" s="107" t="s">
        <v>5654</v>
      </c>
      <c r="I265" s="107" t="s">
        <v>5655</v>
      </c>
      <c r="J265" s="107" t="s">
        <v>3653</v>
      </c>
      <c r="K265" s="107" t="str">
        <f t="shared" si="1"/>
        <v>Brazoria | Manvel | 77578</v>
      </c>
      <c r="L265" s="111" t="str">
        <f t="shared" si="2"/>
        <v>Brazoria | Manvel | 77578 - Manvel</v>
      </c>
      <c r="M265" s="107">
        <f t="shared" si="3"/>
        <v>6</v>
      </c>
      <c r="N265" s="107"/>
      <c r="O265" s="107"/>
      <c r="P265" s="107"/>
    </row>
    <row r="266">
      <c r="A266" s="102">
        <v>265.0</v>
      </c>
      <c r="B266" s="102" t="s">
        <v>4042</v>
      </c>
      <c r="C266" s="102"/>
      <c r="D266" s="102" t="s">
        <v>1150</v>
      </c>
      <c r="E266" s="102" t="s">
        <v>252</v>
      </c>
      <c r="F266" s="102" t="s">
        <v>37</v>
      </c>
      <c r="G266" s="102" t="s">
        <v>4898</v>
      </c>
      <c r="H266" s="102" t="s">
        <v>5656</v>
      </c>
      <c r="I266" s="102" t="s">
        <v>5657</v>
      </c>
      <c r="J266" s="102" t="s">
        <v>1150</v>
      </c>
      <c r="K266" s="102" t="str">
        <f t="shared" si="1"/>
        <v>Harris | Pearland | 77581</v>
      </c>
      <c r="L266" s="106" t="str">
        <f t="shared" si="2"/>
        <v>Harris | Pearland | 77581 - Pearland</v>
      </c>
      <c r="M266" s="102">
        <f t="shared" si="3"/>
        <v>8</v>
      </c>
      <c r="N266" s="102"/>
      <c r="O266" s="102"/>
      <c r="P266" s="102"/>
    </row>
    <row r="267">
      <c r="A267" s="107">
        <v>266.0</v>
      </c>
      <c r="B267" s="107" t="s">
        <v>3645</v>
      </c>
      <c r="C267" s="107"/>
      <c r="D267" s="107" t="s">
        <v>3644</v>
      </c>
      <c r="E267" s="107" t="s">
        <v>5050</v>
      </c>
      <c r="F267" s="107" t="s">
        <v>37</v>
      </c>
      <c r="G267" s="107" t="s">
        <v>4898</v>
      </c>
      <c r="H267" s="107" t="s">
        <v>5658</v>
      </c>
      <c r="I267" s="107" t="s">
        <v>5659</v>
      </c>
      <c r="J267" s="107" t="s">
        <v>5660</v>
      </c>
      <c r="K267" s="107" t="str">
        <f t="shared" si="1"/>
        <v>Fort Bend | Rosharon | 77583</v>
      </c>
      <c r="L267" s="111" t="str">
        <f t="shared" si="2"/>
        <v>Fort Bend | Rosharon | 77583 - Manvel, Rosharon</v>
      </c>
      <c r="M267" s="107">
        <f t="shared" si="3"/>
        <v>16</v>
      </c>
      <c r="N267" s="107"/>
      <c r="O267" s="107"/>
      <c r="P267" s="107"/>
    </row>
    <row r="268">
      <c r="A268" s="102">
        <v>267.0</v>
      </c>
      <c r="B268" s="102" t="s">
        <v>1151</v>
      </c>
      <c r="C268" s="102"/>
      <c r="D268" s="102" t="s">
        <v>1150</v>
      </c>
      <c r="E268" s="102" t="s">
        <v>5050</v>
      </c>
      <c r="F268" s="102" t="s">
        <v>37</v>
      </c>
      <c r="G268" s="102" t="s">
        <v>4898</v>
      </c>
      <c r="H268" s="102" t="s">
        <v>5661</v>
      </c>
      <c r="I268" s="102" t="s">
        <v>5662</v>
      </c>
      <c r="J268" s="102" t="s">
        <v>5663</v>
      </c>
      <c r="K268" s="102" t="str">
        <f t="shared" si="1"/>
        <v>Fort Bend | Pearland | 77584</v>
      </c>
      <c r="L268" s="106" t="str">
        <f t="shared" si="2"/>
        <v>Fort Bend | Pearland | 77584 - Pearland, Pearland (West), Shadow Creek Ranch, Silverlake</v>
      </c>
      <c r="M268" s="102">
        <f t="shared" si="3"/>
        <v>57</v>
      </c>
      <c r="N268" s="102"/>
      <c r="O268" s="102"/>
      <c r="P268" s="102"/>
    </row>
    <row r="269">
      <c r="A269" s="107">
        <v>268.0</v>
      </c>
      <c r="B269" s="107" t="s">
        <v>5664</v>
      </c>
      <c r="C269" s="107"/>
      <c r="D269" s="107" t="s">
        <v>5665</v>
      </c>
      <c r="E269" s="107" t="s">
        <v>252</v>
      </c>
      <c r="F269" s="107" t="s">
        <v>37</v>
      </c>
      <c r="G269" s="107" t="s">
        <v>4898</v>
      </c>
      <c r="H269" s="107" t="s">
        <v>5666</v>
      </c>
      <c r="I269" s="107" t="s">
        <v>5667</v>
      </c>
      <c r="J269" s="107" t="s">
        <v>5668</v>
      </c>
      <c r="K269" s="107" t="str">
        <f t="shared" si="1"/>
        <v>Harris | Seabrook | 77586</v>
      </c>
      <c r="L269" s="111" t="str">
        <f t="shared" si="2"/>
        <v>Harris | Seabrook | 77586 - El Lago, Seabrook</v>
      </c>
      <c r="M269" s="107">
        <f t="shared" si="3"/>
        <v>17</v>
      </c>
      <c r="N269" s="107"/>
      <c r="O269" s="107"/>
      <c r="P269" s="107"/>
    </row>
    <row r="270">
      <c r="A270" s="102">
        <v>269.0</v>
      </c>
      <c r="B270" s="102" t="s">
        <v>3812</v>
      </c>
      <c r="C270" s="102"/>
      <c r="D270" s="102" t="s">
        <v>3811</v>
      </c>
      <c r="E270" s="102" t="s">
        <v>252</v>
      </c>
      <c r="F270" s="102" t="s">
        <v>37</v>
      </c>
      <c r="G270" s="102" t="s">
        <v>4898</v>
      </c>
      <c r="H270" s="102" t="s">
        <v>5669</v>
      </c>
      <c r="I270" s="102" t="s">
        <v>5670</v>
      </c>
      <c r="J270" s="102" t="s">
        <v>3811</v>
      </c>
      <c r="K270" s="102" t="str">
        <f t="shared" si="1"/>
        <v>Harris | South Houston | 77587</v>
      </c>
      <c r="L270" s="106" t="str">
        <f t="shared" si="2"/>
        <v>Harris | South Houston | 77587 - South Houston</v>
      </c>
      <c r="M270" s="102">
        <f t="shared" si="3"/>
        <v>13</v>
      </c>
      <c r="N270" s="102"/>
      <c r="O270" s="102"/>
      <c r="P270" s="102"/>
    </row>
    <row r="271">
      <c r="A271" s="107">
        <v>270.0</v>
      </c>
      <c r="B271" s="107" t="s">
        <v>1220</v>
      </c>
      <c r="C271" s="107"/>
      <c r="D271" s="107" t="s">
        <v>1219</v>
      </c>
      <c r="E271" s="107" t="s">
        <v>1175</v>
      </c>
      <c r="F271" s="107" t="s">
        <v>37</v>
      </c>
      <c r="G271" s="107" t="s">
        <v>4898</v>
      </c>
      <c r="H271" s="107" t="s">
        <v>5671</v>
      </c>
      <c r="I271" s="107" t="s">
        <v>5672</v>
      </c>
      <c r="J271" s="107" t="s">
        <v>1219</v>
      </c>
      <c r="K271" s="107" t="str">
        <f t="shared" si="1"/>
        <v>Galveston | Texas City | 77590</v>
      </c>
      <c r="L271" s="111" t="str">
        <f t="shared" si="2"/>
        <v>Galveston | Texas City | 77590 - Texas City</v>
      </c>
      <c r="M271" s="107">
        <f t="shared" si="3"/>
        <v>10</v>
      </c>
      <c r="N271" s="107"/>
      <c r="O271" s="107"/>
      <c r="P271" s="107"/>
    </row>
    <row r="272">
      <c r="A272" s="102">
        <v>271.0</v>
      </c>
      <c r="B272" s="102" t="s">
        <v>1322</v>
      </c>
      <c r="C272" s="102"/>
      <c r="D272" s="102" t="s">
        <v>1219</v>
      </c>
      <c r="E272" s="102" t="s">
        <v>1175</v>
      </c>
      <c r="F272" s="102" t="s">
        <v>37</v>
      </c>
      <c r="G272" s="102" t="s">
        <v>4898</v>
      </c>
      <c r="H272" s="102" t="s">
        <v>5673</v>
      </c>
      <c r="I272" s="102" t="s">
        <v>5674</v>
      </c>
      <c r="J272" s="102" t="s">
        <v>1219</v>
      </c>
      <c r="K272" s="102" t="str">
        <f t="shared" si="1"/>
        <v>Galveston | Texas City | 77591</v>
      </c>
      <c r="L272" s="106" t="str">
        <f t="shared" si="2"/>
        <v>Galveston | Texas City | 77591 - Texas City</v>
      </c>
      <c r="M272" s="102">
        <f t="shared" si="3"/>
        <v>10</v>
      </c>
      <c r="N272" s="102"/>
      <c r="O272" s="102"/>
      <c r="P272" s="102"/>
    </row>
    <row r="273">
      <c r="A273" s="107">
        <v>272.0</v>
      </c>
      <c r="B273" s="107" t="s">
        <v>786</v>
      </c>
      <c r="C273" s="107"/>
      <c r="D273" s="107" t="s">
        <v>785</v>
      </c>
      <c r="E273" s="107" t="s">
        <v>252</v>
      </c>
      <c r="F273" s="107" t="s">
        <v>37</v>
      </c>
      <c r="G273" s="107" t="s">
        <v>4898</v>
      </c>
      <c r="H273" s="107" t="s">
        <v>5675</v>
      </c>
      <c r="I273" s="107" t="s">
        <v>5676</v>
      </c>
      <c r="J273" s="107" t="s">
        <v>5677</v>
      </c>
      <c r="K273" s="107" t="str">
        <f t="shared" si="1"/>
        <v>Harris | Webster | 77598</v>
      </c>
      <c r="L273" s="111" t="str">
        <f t="shared" si="2"/>
        <v>Harris | Webster | 77598 - Clear Lake, Webster</v>
      </c>
      <c r="M273" s="107">
        <f t="shared" si="3"/>
        <v>19</v>
      </c>
      <c r="N273" s="107"/>
      <c r="O273" s="107"/>
      <c r="P273" s="107"/>
    </row>
    <row r="274">
      <c r="A274" s="102">
        <v>273.0</v>
      </c>
      <c r="B274" s="102" t="s">
        <v>1759</v>
      </c>
      <c r="C274" s="102"/>
      <c r="D274" s="102" t="s">
        <v>1758</v>
      </c>
      <c r="E274" s="102" t="s">
        <v>3442</v>
      </c>
      <c r="F274" s="102" t="s">
        <v>37</v>
      </c>
      <c r="G274" s="102" t="s">
        <v>4844</v>
      </c>
      <c r="H274" s="102" t="s">
        <v>5678</v>
      </c>
      <c r="I274" s="102" t="s">
        <v>5679</v>
      </c>
      <c r="J274" s="102" t="s">
        <v>1758</v>
      </c>
      <c r="K274" s="102" t="str">
        <f t="shared" si="1"/>
        <v>Washington | Brenham | 77833</v>
      </c>
      <c r="L274" s="106" t="str">
        <f t="shared" si="2"/>
        <v>Washington | Brenham | 77833 - Brenham</v>
      </c>
      <c r="M274" s="102">
        <f t="shared" si="3"/>
        <v>7</v>
      </c>
      <c r="N274" s="102"/>
      <c r="O274" s="102"/>
      <c r="P274" s="102"/>
    </row>
    <row r="275">
      <c r="A275" s="107">
        <v>274.0</v>
      </c>
      <c r="B275" s="107" t="s">
        <v>5680</v>
      </c>
      <c r="C275" s="107"/>
      <c r="D275" s="107" t="s">
        <v>5681</v>
      </c>
      <c r="E275" s="107" t="s">
        <v>3442</v>
      </c>
      <c r="F275" s="107" t="s">
        <v>37</v>
      </c>
      <c r="G275" s="107" t="s">
        <v>4844</v>
      </c>
      <c r="H275" s="107" t="s">
        <v>5678</v>
      </c>
      <c r="I275" s="107" t="s">
        <v>5682</v>
      </c>
      <c r="J275" s="107" t="s">
        <v>5681</v>
      </c>
      <c r="K275" s="107" t="str">
        <f t="shared" si="1"/>
        <v>Washington | Burton | 77835</v>
      </c>
      <c r="L275" s="111" t="str">
        <f t="shared" si="2"/>
        <v>Washington | Burton | 77835 - Burton</v>
      </c>
      <c r="M275" s="107">
        <f t="shared" si="3"/>
        <v>6</v>
      </c>
      <c r="N275" s="107"/>
      <c r="O275" s="107"/>
      <c r="P275" s="107"/>
    </row>
    <row r="276">
      <c r="A276" s="102">
        <v>275.0</v>
      </c>
      <c r="B276" s="102" t="s">
        <v>5683</v>
      </c>
      <c r="C276" s="102"/>
      <c r="D276" s="102" t="s">
        <v>5684</v>
      </c>
      <c r="E276" s="102" t="s">
        <v>3442</v>
      </c>
      <c r="F276" s="102" t="s">
        <v>37</v>
      </c>
      <c r="G276" s="102" t="s">
        <v>4844</v>
      </c>
      <c r="H276" s="102" t="s">
        <v>5685</v>
      </c>
      <c r="I276" s="102" t="s">
        <v>5686</v>
      </c>
      <c r="J276" s="102" t="s">
        <v>5684</v>
      </c>
      <c r="K276" s="102" t="str">
        <f t="shared" si="1"/>
        <v>Washington | Navasota | 77868</v>
      </c>
      <c r="L276" s="106" t="str">
        <f t="shared" si="2"/>
        <v>Washington | Navasota | 77868 - Navasota</v>
      </c>
      <c r="M276" s="102">
        <f t="shared" si="3"/>
        <v>8</v>
      </c>
      <c r="N276" s="102"/>
      <c r="O276" s="102"/>
      <c r="P276" s="102"/>
    </row>
    <row r="277">
      <c r="A277" s="107">
        <v>276.0</v>
      </c>
      <c r="B277" s="107" t="s">
        <v>5687</v>
      </c>
      <c r="C277" s="107"/>
      <c r="D277" s="107" t="s">
        <v>3442</v>
      </c>
      <c r="E277" s="107" t="s">
        <v>3442</v>
      </c>
      <c r="F277" s="107" t="s">
        <v>37</v>
      </c>
      <c r="G277" s="107" t="s">
        <v>4844</v>
      </c>
      <c r="H277" s="107" t="s">
        <v>5688</v>
      </c>
      <c r="I277" s="107" t="s">
        <v>5689</v>
      </c>
      <c r="J277" s="107" t="s">
        <v>3442</v>
      </c>
      <c r="K277" s="107" t="str">
        <f t="shared" si="1"/>
        <v>Washington | Washington | 77880</v>
      </c>
      <c r="L277" s="111" t="str">
        <f t="shared" si="2"/>
        <v>Washington | Washington | 77880 - Washington</v>
      </c>
      <c r="M277" s="107">
        <f t="shared" si="3"/>
        <v>10</v>
      </c>
      <c r="N277" s="107"/>
      <c r="O277" s="107"/>
      <c r="P277" s="107"/>
    </row>
    <row r="278">
      <c r="A278" s="102">
        <v>277.0</v>
      </c>
      <c r="B278" s="102" t="s">
        <v>415</v>
      </c>
      <c r="C278" s="102"/>
      <c r="D278" s="102" t="s">
        <v>414</v>
      </c>
      <c r="E278" s="102" t="s">
        <v>5690</v>
      </c>
      <c r="F278" s="102" t="s">
        <v>37</v>
      </c>
      <c r="G278" s="102" t="s">
        <v>4844</v>
      </c>
      <c r="H278" s="102" t="s">
        <v>5691</v>
      </c>
      <c r="I278" s="102" t="s">
        <v>5692</v>
      </c>
      <c r="J278" s="102" t="s">
        <v>414</v>
      </c>
      <c r="K278" s="102" t="str">
        <f t="shared" si="1"/>
        <v>Williamson | Georgetown | 78628</v>
      </c>
      <c r="L278" s="106" t="str">
        <f t="shared" si="2"/>
        <v>Williamson | Georgetown | 78628 - Georgetown</v>
      </c>
      <c r="M278" s="102">
        <f t="shared" si="3"/>
        <v>10</v>
      </c>
      <c r="N278" s="102"/>
      <c r="O278" s="102"/>
      <c r="P278" s="102"/>
    </row>
    <row r="279">
      <c r="A279" s="107">
        <v>278.0</v>
      </c>
      <c r="B279" s="107" t="s">
        <v>443</v>
      </c>
      <c r="C279" s="107"/>
      <c r="D279" s="107" t="s">
        <v>442</v>
      </c>
      <c r="E279" s="107" t="s">
        <v>5693</v>
      </c>
      <c r="F279" s="107" t="s">
        <v>37</v>
      </c>
      <c r="G279" s="107" t="s">
        <v>4844</v>
      </c>
      <c r="H279" s="107" t="s">
        <v>5694</v>
      </c>
      <c r="I279" s="107" t="s">
        <v>5695</v>
      </c>
      <c r="J279" s="107" t="s">
        <v>448</v>
      </c>
      <c r="K279" s="107" t="str">
        <f t="shared" si="1"/>
        <v>Travis | Austin | 78701</v>
      </c>
      <c r="L279" s="111" t="str">
        <f t="shared" si="2"/>
        <v>Travis | Austin | 78701 - Downtown Austin</v>
      </c>
      <c r="M279" s="107">
        <f t="shared" si="3"/>
        <v>15</v>
      </c>
      <c r="N279" s="107"/>
      <c r="O279" s="107"/>
      <c r="P279" s="107"/>
    </row>
    <row r="280">
      <c r="A280" s="102">
        <v>279.0</v>
      </c>
      <c r="B280" s="102" t="s">
        <v>4530</v>
      </c>
      <c r="C280" s="102"/>
      <c r="D280" s="102" t="s">
        <v>442</v>
      </c>
      <c r="E280" s="102" t="s">
        <v>5693</v>
      </c>
      <c r="F280" s="102" t="s">
        <v>37</v>
      </c>
      <c r="G280" s="102" t="s">
        <v>4844</v>
      </c>
      <c r="H280" s="102" t="s">
        <v>5696</v>
      </c>
      <c r="I280" s="102" t="s">
        <v>5697</v>
      </c>
      <c r="J280" s="102" t="s">
        <v>2844</v>
      </c>
      <c r="K280" s="102" t="str">
        <f t="shared" si="1"/>
        <v>Travis | Austin | 78751</v>
      </c>
      <c r="L280" s="106" t="str">
        <f t="shared" si="2"/>
        <v>Travis | Austin | 78751 - Hyde Park</v>
      </c>
      <c r="M280" s="102">
        <f t="shared" si="3"/>
        <v>9</v>
      </c>
      <c r="N280" s="102"/>
      <c r="O280" s="102"/>
      <c r="P280" s="102"/>
    </row>
    <row r="281">
      <c r="A281" s="107">
        <v>280.0</v>
      </c>
      <c r="B281" s="107" t="s">
        <v>5698</v>
      </c>
      <c r="C281" s="107"/>
      <c r="D281" s="107" t="s">
        <v>5699</v>
      </c>
      <c r="E281" s="107" t="s">
        <v>3442</v>
      </c>
      <c r="F281" s="107" t="s">
        <v>37</v>
      </c>
      <c r="G281" s="107" t="s">
        <v>4844</v>
      </c>
      <c r="H281" s="107" t="s">
        <v>5700</v>
      </c>
      <c r="I281" s="107" t="s">
        <v>5701</v>
      </c>
      <c r="J281" s="107" t="s">
        <v>5699</v>
      </c>
      <c r="K281" s="107" t="str">
        <f t="shared" si="1"/>
        <v>Washington | Carmine | 78932</v>
      </c>
      <c r="L281" s="111" t="str">
        <f t="shared" si="2"/>
        <v>Washington | Carmine | 78932 - Carmine</v>
      </c>
      <c r="M281" s="107">
        <f t="shared" si="3"/>
        <v>7</v>
      </c>
      <c r="N281" s="107"/>
      <c r="O281" s="107"/>
      <c r="P281" s="107"/>
    </row>
    <row r="282">
      <c r="A282" s="102">
        <v>281.0</v>
      </c>
      <c r="B282" s="102" t="s">
        <v>5702</v>
      </c>
      <c r="C282" s="102"/>
      <c r="D282" s="102" t="s">
        <v>5703</v>
      </c>
      <c r="E282" s="102" t="s">
        <v>3442</v>
      </c>
      <c r="F282" s="102" t="s">
        <v>37</v>
      </c>
      <c r="G282" s="102" t="s">
        <v>4844</v>
      </c>
      <c r="H282" s="102" t="s">
        <v>5704</v>
      </c>
      <c r="I282" s="102" t="s">
        <v>5705</v>
      </c>
      <c r="J282" s="102" t="s">
        <v>5703</v>
      </c>
      <c r="K282" s="102" t="str">
        <f t="shared" si="1"/>
        <v>Washington | Ledbetter | 78946</v>
      </c>
      <c r="L282" s="106" t="str">
        <f t="shared" si="2"/>
        <v>Washington | Ledbetter | 78946 - Ledbetter</v>
      </c>
      <c r="M282" s="102">
        <f t="shared" si="3"/>
        <v>9</v>
      </c>
      <c r="N282" s="102"/>
      <c r="O282" s="102"/>
      <c r="P282" s="102"/>
    </row>
    <row r="283">
      <c r="A283" s="107">
        <v>282.0</v>
      </c>
      <c r="B283" s="108" t="s">
        <v>86</v>
      </c>
      <c r="C283" s="107"/>
      <c r="D283" s="109" t="s">
        <v>84</v>
      </c>
      <c r="E283" s="109" t="s">
        <v>5706</v>
      </c>
      <c r="F283" s="109" t="s">
        <v>85</v>
      </c>
      <c r="G283" s="109" t="s">
        <v>4844</v>
      </c>
      <c r="H283" s="109" t="s">
        <v>5707</v>
      </c>
      <c r="I283" s="116" t="str">
        <f>"https://www.unitedstateszipcodes.org/"&amp;B283&amp;"/"</f>
        <v>https://www.unitedstateszipcodes.org/84119/</v>
      </c>
      <c r="J283" s="109" t="s">
        <v>84</v>
      </c>
      <c r="K283" s="107" t="str">
        <f t="shared" si="1"/>
        <v>Salt Lake | West Valley City | 84119</v>
      </c>
      <c r="L283" s="111" t="str">
        <f t="shared" si="2"/>
        <v>Salt Lake | West Valley City | 84119 - West Valley City</v>
      </c>
      <c r="M283" s="107">
        <f t="shared" si="3"/>
        <v>16</v>
      </c>
      <c r="N283" s="107"/>
      <c r="O283" s="107"/>
      <c r="P283" s="107"/>
    </row>
    <row r="284">
      <c r="A284" s="102">
        <v>283.0</v>
      </c>
      <c r="B284" s="103" t="s">
        <v>1504</v>
      </c>
      <c r="C284" s="102"/>
      <c r="D284" s="104" t="s">
        <v>1502</v>
      </c>
      <c r="E284" s="104" t="s">
        <v>5708</v>
      </c>
      <c r="F284" s="104" t="s">
        <v>1503</v>
      </c>
      <c r="G284" s="104" t="s">
        <v>4844</v>
      </c>
      <c r="H284" s="104" t="s">
        <v>5709</v>
      </c>
      <c r="I284" s="114" t="s">
        <v>5710</v>
      </c>
      <c r="J284" s="104" t="s">
        <v>5711</v>
      </c>
      <c r="K284" s="102" t="str">
        <f t="shared" si="1"/>
        <v>Clark | Vancouver | 98660</v>
      </c>
      <c r="L284" s="106" t="str">
        <f t="shared" si="2"/>
        <v>Clark | Vancouver | 98660 - Felida</v>
      </c>
      <c r="M284" s="102">
        <f t="shared" si="3"/>
        <v>6</v>
      </c>
      <c r="N284" s="102"/>
      <c r="O284" s="102"/>
      <c r="P284" s="102"/>
    </row>
    <row r="285">
      <c r="A285" s="107">
        <v>284.0</v>
      </c>
      <c r="B285" s="107" t="s">
        <v>50</v>
      </c>
      <c r="C285" s="107"/>
      <c r="D285" s="107" t="s">
        <v>5712</v>
      </c>
      <c r="E285" s="107" t="s">
        <v>5712</v>
      </c>
      <c r="F285" s="107" t="s">
        <v>37</v>
      </c>
      <c r="G285" s="107" t="s">
        <v>4844</v>
      </c>
      <c r="H285" s="107" t="s">
        <v>5713</v>
      </c>
      <c r="I285" s="107" t="s">
        <v>5714</v>
      </c>
      <c r="J285" s="107" t="s">
        <v>5715</v>
      </c>
      <c r="K285" s="107" t="str">
        <f t="shared" si="1"/>
        <v>Greater Houston | Greater Houston | 99999</v>
      </c>
      <c r="L285" s="111" t="str">
        <f t="shared" si="2"/>
        <v>Greater Houston | Greater Houston | 99999 - Not Restricted by Zip Code</v>
      </c>
      <c r="M285" s="107">
        <f t="shared" si="3"/>
        <v>26</v>
      </c>
      <c r="N285" s="107"/>
      <c r="O285" s="107"/>
      <c r="P285" s="107"/>
    </row>
  </sheetData>
  <autoFilter ref="$A$1:$P$285"/>
  <hyperlinks>
    <hyperlink r:id="rId1" ref="I3"/>
    <hyperlink r:id="rId2" ref="I4"/>
    <hyperlink r:id="rId3" ref="I5"/>
    <hyperlink r:id="rId4" ref="I8"/>
    <hyperlink r:id="rId5" ref="I9"/>
    <hyperlink r:id="rId6" ref="I10"/>
    <hyperlink r:id="rId7" ref="I11"/>
    <hyperlink r:id="rId8" ref="I12"/>
    <hyperlink r:id="rId9" ref="I13"/>
    <hyperlink r:id="rId10" ref="I14"/>
    <hyperlink r:id="rId11" ref="I15"/>
    <hyperlink r:id="rId12" ref="I17"/>
    <hyperlink r:id="rId13" ref="I18"/>
    <hyperlink r:id="rId14" ref="I20"/>
    <hyperlink r:id="rId15" ref="I117"/>
    <hyperlink r:id="rId16" ref="I118"/>
    <hyperlink r:id="rId17" ref="I284"/>
  </hyperlinks>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25"/>
    <col customWidth="1" min="3" max="3" width="8.5"/>
    <col customWidth="1" min="4" max="4" width="25.0"/>
    <col customWidth="1" min="5" max="5" width="31.63"/>
  </cols>
  <sheetData>
    <row r="1">
      <c r="A1" s="117" t="s">
        <v>0</v>
      </c>
      <c r="B1" s="118" t="s">
        <v>5716</v>
      </c>
      <c r="C1" s="118" t="s">
        <v>12</v>
      </c>
      <c r="D1" s="118" t="s">
        <v>13</v>
      </c>
      <c r="E1" s="118" t="s">
        <v>5717</v>
      </c>
    </row>
    <row r="2">
      <c r="A2" s="119">
        <v>1.0</v>
      </c>
      <c r="B2" s="120">
        <v>1.0</v>
      </c>
      <c r="C2" s="119">
        <v>11.0</v>
      </c>
      <c r="D2" s="121" t="s">
        <v>322</v>
      </c>
      <c r="E2" s="120" t="s">
        <v>5718</v>
      </c>
    </row>
    <row r="3">
      <c r="A3" s="119">
        <v>2.0</v>
      </c>
      <c r="B3" s="120">
        <v>1.0</v>
      </c>
      <c r="C3" s="119">
        <v>12.0</v>
      </c>
      <c r="D3" s="121" t="s">
        <v>330</v>
      </c>
      <c r="E3" s="120" t="s">
        <v>5719</v>
      </c>
    </row>
    <row r="4">
      <c r="A4" s="119">
        <v>3.0</v>
      </c>
      <c r="B4" s="120">
        <v>1.0</v>
      </c>
      <c r="C4" s="119">
        <v>13.0</v>
      </c>
      <c r="D4" s="121" t="s">
        <v>240</v>
      </c>
      <c r="E4" s="120" t="s">
        <v>5720</v>
      </c>
    </row>
    <row r="5">
      <c r="A5" s="119">
        <v>4.0</v>
      </c>
      <c r="B5" s="120">
        <v>1.0</v>
      </c>
      <c r="C5" s="119">
        <v>14.0</v>
      </c>
      <c r="D5" s="121" t="s">
        <v>391</v>
      </c>
      <c r="E5" s="120" t="s">
        <v>5721</v>
      </c>
    </row>
    <row r="6">
      <c r="A6" s="119">
        <v>5.0</v>
      </c>
      <c r="B6" s="120">
        <v>2.0</v>
      </c>
      <c r="C6" s="119">
        <v>21.0</v>
      </c>
      <c r="D6" s="120" t="s">
        <v>777</v>
      </c>
      <c r="E6" s="120" t="s">
        <v>5722</v>
      </c>
    </row>
    <row r="7">
      <c r="A7" s="119">
        <v>6.0</v>
      </c>
      <c r="B7" s="120">
        <v>2.0</v>
      </c>
      <c r="C7" s="119">
        <v>22.0</v>
      </c>
      <c r="D7" s="120" t="s">
        <v>1178</v>
      </c>
      <c r="E7" s="120" t="s">
        <v>5723</v>
      </c>
    </row>
    <row r="8">
      <c r="A8" s="119">
        <v>7.0</v>
      </c>
      <c r="B8" s="120">
        <v>2.0</v>
      </c>
      <c r="C8" s="119">
        <v>23.0</v>
      </c>
      <c r="D8" s="120" t="s">
        <v>2999</v>
      </c>
      <c r="E8" s="120" t="s">
        <v>5724</v>
      </c>
    </row>
    <row r="9">
      <c r="A9" s="119">
        <v>8.0</v>
      </c>
      <c r="B9" s="120">
        <v>2.0</v>
      </c>
      <c r="C9" s="119">
        <v>24.0</v>
      </c>
      <c r="D9" s="120" t="s">
        <v>405</v>
      </c>
      <c r="E9" s="120" t="s">
        <v>5725</v>
      </c>
    </row>
    <row r="10">
      <c r="A10" s="119">
        <v>9.0</v>
      </c>
      <c r="B10" s="120">
        <v>3.0</v>
      </c>
      <c r="C10" s="119">
        <v>31.0</v>
      </c>
      <c r="D10" s="120" t="s">
        <v>90</v>
      </c>
      <c r="E10" s="120" t="s">
        <v>5726</v>
      </c>
    </row>
    <row r="11">
      <c r="A11" s="119">
        <v>10.0</v>
      </c>
      <c r="B11" s="120">
        <v>3.0</v>
      </c>
      <c r="C11" s="119">
        <v>32.0</v>
      </c>
      <c r="D11" s="120" t="s">
        <v>208</v>
      </c>
      <c r="E11" s="120" t="s">
        <v>5727</v>
      </c>
    </row>
    <row r="12">
      <c r="A12" s="119">
        <v>11.0</v>
      </c>
      <c r="B12" s="120">
        <v>3.0</v>
      </c>
      <c r="C12" s="119">
        <v>33.0</v>
      </c>
      <c r="D12" s="120" t="s">
        <v>333</v>
      </c>
      <c r="E12" s="120" t="s">
        <v>5728</v>
      </c>
    </row>
    <row r="13">
      <c r="A13" s="119">
        <v>12.0</v>
      </c>
      <c r="B13" s="120">
        <v>3.0</v>
      </c>
      <c r="C13" s="119">
        <v>34.0</v>
      </c>
      <c r="D13" s="120" t="s">
        <v>260</v>
      </c>
      <c r="E13" s="120" t="s">
        <v>5729</v>
      </c>
    </row>
    <row r="14">
      <c r="A14" s="119">
        <v>13.0</v>
      </c>
      <c r="B14" s="120">
        <v>3.0</v>
      </c>
      <c r="C14" s="119">
        <v>35.0</v>
      </c>
      <c r="D14" s="120" t="s">
        <v>731</v>
      </c>
      <c r="E14" s="120" t="s">
        <v>5730</v>
      </c>
    </row>
    <row r="15">
      <c r="A15" s="119">
        <v>14.0</v>
      </c>
      <c r="B15" s="120">
        <v>3.0</v>
      </c>
      <c r="C15" s="119">
        <v>36.0</v>
      </c>
      <c r="D15" s="120" t="s">
        <v>227</v>
      </c>
      <c r="E15" s="120" t="s">
        <v>5731</v>
      </c>
    </row>
    <row r="16">
      <c r="A16" s="119">
        <v>15.0</v>
      </c>
      <c r="B16" s="120">
        <v>3.0</v>
      </c>
      <c r="C16" s="119">
        <v>37.0</v>
      </c>
      <c r="D16" s="120" t="s">
        <v>309</v>
      </c>
      <c r="E16" s="120" t="s">
        <v>5732</v>
      </c>
    </row>
    <row r="17">
      <c r="A17" s="119">
        <v>16.0</v>
      </c>
      <c r="B17" s="120">
        <v>4.0</v>
      </c>
      <c r="C17" s="119">
        <v>41.0</v>
      </c>
      <c r="D17" s="120" t="s">
        <v>788</v>
      </c>
      <c r="E17" s="120" t="s">
        <v>5733</v>
      </c>
    </row>
    <row r="18">
      <c r="A18" s="119">
        <v>17.0</v>
      </c>
      <c r="B18" s="120">
        <v>4.0</v>
      </c>
      <c r="C18" s="119">
        <v>42.0</v>
      </c>
      <c r="D18" s="120" t="s">
        <v>273</v>
      </c>
      <c r="E18" s="120" t="s">
        <v>5734</v>
      </c>
    </row>
    <row r="19">
      <c r="A19" s="119">
        <v>18.0</v>
      </c>
      <c r="B19" s="120">
        <v>4.0</v>
      </c>
      <c r="C19" s="119">
        <v>43.0</v>
      </c>
      <c r="D19" s="120" t="s">
        <v>68</v>
      </c>
      <c r="E19" s="120" t="s">
        <v>5735</v>
      </c>
    </row>
    <row r="20">
      <c r="A20" s="119">
        <v>19.0</v>
      </c>
      <c r="B20" s="120">
        <v>4.0</v>
      </c>
      <c r="C20" s="119">
        <v>44.0</v>
      </c>
      <c r="D20" s="120" t="s">
        <v>102</v>
      </c>
      <c r="E20" s="120" t="s">
        <v>5736</v>
      </c>
    </row>
    <row r="21">
      <c r="A21" s="119">
        <v>20.0</v>
      </c>
      <c r="B21" s="120">
        <v>5.0</v>
      </c>
      <c r="C21" s="119">
        <v>51.0</v>
      </c>
      <c r="D21" s="120" t="s">
        <v>468</v>
      </c>
      <c r="E21" s="120" t="s">
        <v>5737</v>
      </c>
    </row>
    <row r="22">
      <c r="A22" s="119">
        <v>21.0</v>
      </c>
      <c r="B22" s="120">
        <v>5.0</v>
      </c>
      <c r="C22" s="119">
        <v>52.0</v>
      </c>
      <c r="D22" s="121" t="s">
        <v>336</v>
      </c>
      <c r="E22" s="120" t="s">
        <v>5738</v>
      </c>
    </row>
    <row r="23">
      <c r="A23" s="119">
        <v>22.0</v>
      </c>
      <c r="B23" s="120">
        <v>5.0</v>
      </c>
      <c r="C23" s="119">
        <v>53.0</v>
      </c>
      <c r="D23" s="120" t="s">
        <v>1109</v>
      </c>
      <c r="E23" s="120" t="s">
        <v>5739</v>
      </c>
    </row>
    <row r="24">
      <c r="A24" s="119">
        <v>23.0</v>
      </c>
      <c r="B24" s="120">
        <v>5.0</v>
      </c>
      <c r="C24" s="119">
        <v>54.0</v>
      </c>
      <c r="D24" s="121" t="s">
        <v>291</v>
      </c>
      <c r="E24" s="120" t="s">
        <v>5740</v>
      </c>
    </row>
    <row r="25">
      <c r="A25" s="119">
        <v>24.0</v>
      </c>
      <c r="B25" s="120">
        <v>5.0</v>
      </c>
      <c r="C25" s="119">
        <v>55.0</v>
      </c>
      <c r="D25" s="120" t="s">
        <v>436</v>
      </c>
      <c r="E25" s="120" t="s">
        <v>5741</v>
      </c>
    </row>
    <row r="26">
      <c r="A26" s="119">
        <v>30.0</v>
      </c>
      <c r="B26" s="120">
        <v>5.0</v>
      </c>
      <c r="C26" s="119">
        <v>56.0</v>
      </c>
      <c r="D26" s="120" t="s">
        <v>56</v>
      </c>
      <c r="E26" s="120" t="s">
        <v>5742</v>
      </c>
    </row>
    <row r="27">
      <c r="A27" s="119">
        <v>25.0</v>
      </c>
      <c r="B27" s="120">
        <v>6.0</v>
      </c>
      <c r="C27" s="119">
        <v>61.0</v>
      </c>
      <c r="D27" s="121" t="s">
        <v>842</v>
      </c>
      <c r="E27" s="120" t="s">
        <v>5743</v>
      </c>
    </row>
    <row r="28">
      <c r="A28" s="119">
        <v>26.0</v>
      </c>
      <c r="B28" s="120">
        <v>6.0</v>
      </c>
      <c r="C28" s="119">
        <v>62.0</v>
      </c>
      <c r="D28" s="121" t="s">
        <v>1112</v>
      </c>
      <c r="E28" s="120" t="s">
        <v>5744</v>
      </c>
    </row>
    <row r="29">
      <c r="A29" s="119">
        <v>27.0</v>
      </c>
      <c r="B29" s="120">
        <v>6.0</v>
      </c>
      <c r="C29" s="119">
        <v>63.0</v>
      </c>
      <c r="D29" s="121" t="s">
        <v>765</v>
      </c>
      <c r="E29" s="120" t="s">
        <v>5745</v>
      </c>
    </row>
    <row r="30">
      <c r="A30" s="119">
        <v>28.0</v>
      </c>
      <c r="B30" s="120">
        <v>6.0</v>
      </c>
      <c r="C30" s="119">
        <v>64.0</v>
      </c>
      <c r="D30" s="120" t="s">
        <v>817</v>
      </c>
      <c r="E30" s="120" t="s">
        <v>5746</v>
      </c>
    </row>
    <row r="31">
      <c r="A31" s="119">
        <v>29.0</v>
      </c>
      <c r="B31" s="120">
        <v>6.0</v>
      </c>
      <c r="C31" s="119">
        <v>65.0</v>
      </c>
      <c r="D31" s="120" t="s">
        <v>41</v>
      </c>
      <c r="E31" s="120" t="s">
        <v>5747</v>
      </c>
    </row>
  </sheetData>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3" width="57.5"/>
    <col customWidth="1" min="4" max="4" width="10.75"/>
    <col customWidth="1" min="5" max="9" width="28.25"/>
  </cols>
  <sheetData>
    <row r="1">
      <c r="A1" s="122" t="s">
        <v>0</v>
      </c>
      <c r="B1" s="122" t="s">
        <v>3</v>
      </c>
      <c r="C1" s="123" t="s">
        <v>28</v>
      </c>
      <c r="D1" s="123" t="s">
        <v>5748</v>
      </c>
      <c r="E1" s="123" t="s">
        <v>5749</v>
      </c>
      <c r="F1" s="123" t="s">
        <v>5750</v>
      </c>
      <c r="G1" s="123" t="s">
        <v>5751</v>
      </c>
      <c r="H1" s="123" t="s">
        <v>5752</v>
      </c>
      <c r="I1" s="123"/>
    </row>
    <row r="2">
      <c r="A2" s="124">
        <v>0.0</v>
      </c>
      <c r="B2" s="124" t="s">
        <v>33</v>
      </c>
      <c r="C2" s="124" t="s">
        <v>33</v>
      </c>
      <c r="D2" s="124"/>
      <c r="E2" s="124" t="str">
        <f>IFERROR(__xludf.DUMMYFUNCTION("IF(
   ISNUMBER(FIND(""'"", B2)),
   IFERROR(""["" &amp; REGEXREPLACE(JOIN("", "", QUERY(Data!$A$2:$K512, ""SELECT K WHERE B = """"""&amp;B2&amp;"""""""")), ""(\d+)"", """"""$1"""""") &amp; ""]"", """"),
   IFERROR(""["" &amp; REGEXREPLACE(JOIN("", "", QUERY(Data!$A$2:$K512,"&amp;" ""SELECT K WHERE B = '""&amp;B2&amp;""'"")), ""(\d+)"", """"""$1"""""") &amp; ""]"", """")
)"),"[""65""]")</f>
        <v>["65"]</v>
      </c>
      <c r="F2" s="124"/>
      <c r="G2" s="124"/>
      <c r="H2" s="124"/>
      <c r="I2" s="124">
        <f>IFERROR(__xludf.DUMMYFUNCTION("max(filter(A2:A512,A2:A512&lt;8000))"),1514.0)</f>
        <v>1514</v>
      </c>
    </row>
    <row r="3">
      <c r="A3" s="125">
        <v>1002.0</v>
      </c>
      <c r="B3" s="125" t="s">
        <v>51</v>
      </c>
      <c r="C3" s="124" t="s">
        <v>51</v>
      </c>
      <c r="D3" s="124"/>
      <c r="E3" s="124" t="str">
        <f>IFERROR(__xludf.DUMMYFUNCTION("IF(
   ISNUMBER(FIND(""'"", B3)),
   IFERROR(""["" &amp; REGEXREPLACE(JOIN("", "", QUERY(Data!$A$2:$K512, ""SELECT K WHERE B = """"""&amp;B3&amp;"""""""")), ""(\d+)"", """"""$1"""""") &amp; ""]"", """"),
   IFERROR(""["" &amp; REGEXREPLACE(JOIN("", "", QUERY(Data!$A$2:$K512,"&amp;" ""SELECT K WHERE B = '""&amp;B3&amp;""'"")), ""(\d+)"", """"""$1"""""") &amp; ""]"", """")
)"),"[""56""]")</f>
        <v>["56"]</v>
      </c>
      <c r="F3" s="124"/>
      <c r="G3" s="124"/>
      <c r="H3" s="124"/>
      <c r="I3" s="124"/>
    </row>
    <row r="4">
      <c r="A4" s="125">
        <v>1477.0</v>
      </c>
      <c r="B4" s="126" t="s">
        <v>82</v>
      </c>
      <c r="C4" s="126" t="s">
        <v>82</v>
      </c>
      <c r="D4" s="124"/>
      <c r="E4" s="124" t="str">
        <f>IFERROR(__xludf.DUMMYFUNCTION("IF(
   ISNUMBER(FIND(""'"", B4)),
   IFERROR(""["" &amp; REGEXREPLACE(JOIN("", "", QUERY(Data!$A$2:$K512, ""SELECT K WHERE B = """"""&amp;B4&amp;"""""""")), ""(\d+)"", """"""$1"""""") &amp; ""]"", """"),
   IFERROR(""["" &amp; REGEXREPLACE(JOIN("", "", QUERY(Data!$A$2:$K512,"&amp;" ""SELECT K WHERE B = '""&amp;B4&amp;""'"")), ""(\d+)"", """"""$1"""""") &amp; ""]"", """")
)"),"[""31""]")</f>
        <v>["31"]</v>
      </c>
      <c r="F4" s="124"/>
      <c r="G4" s="124"/>
      <c r="H4" s="124"/>
      <c r="I4" s="124"/>
    </row>
    <row r="5">
      <c r="A5" s="126">
        <v>1325.0</v>
      </c>
      <c r="B5" s="126" t="s">
        <v>96</v>
      </c>
      <c r="C5" s="124" t="s">
        <v>5753</v>
      </c>
      <c r="D5" s="124"/>
      <c r="E5" s="124" t="str">
        <f>IFERROR(__xludf.DUMMYFUNCTION("IF(
   ISNUMBER(FIND(""'"", B5)),
   IFERROR(""["" &amp; REGEXREPLACE(JOIN("", "", QUERY(Data!$A$2:$K512, ""SELECT K WHERE B = """"""&amp;B5&amp;"""""""")), ""(\d+)"", """"""$1"""""") &amp; ""]"", """"),
   IFERROR(""["" &amp; REGEXREPLACE(JOIN("", "", QUERY(Data!$A$2:$K512,"&amp;" ""SELECT K WHERE B = '""&amp;B5&amp;""'"")), ""(\d+)"", """"""$1"""""") &amp; ""]"", """")
)"),"[""44""]")</f>
        <v>["44"]</v>
      </c>
      <c r="F5" s="124"/>
      <c r="G5" s="124"/>
      <c r="H5" s="124"/>
      <c r="I5" s="124"/>
    </row>
    <row r="6">
      <c r="A6" s="126">
        <v>1322.0</v>
      </c>
      <c r="B6" s="126" t="s">
        <v>109</v>
      </c>
      <c r="C6" s="124" t="s">
        <v>5753</v>
      </c>
      <c r="D6" s="124"/>
      <c r="E6" s="124" t="str">
        <f>IFERROR(__xludf.DUMMYFUNCTION("IF(
   ISNUMBER(FIND(""'"", B6)),
   IFERROR(""["" &amp; REGEXREPLACE(JOIN("", "", QUERY(Data!$A$2:$K512, ""SELECT K WHERE B = """"""&amp;B6&amp;"""""""")), ""(\d+)"", """"""$1"""""") &amp; ""]"", """"),
   IFERROR(""["" &amp; REGEXREPLACE(JOIN("", "", QUERY(Data!$A$2:$K512,"&amp;" ""SELECT K WHERE B = '""&amp;B6&amp;""'"")), ""(\d+)"", """"""$1"""""") &amp; ""]"", """")
)"),"[""31""]")</f>
        <v>["31"]</v>
      </c>
      <c r="F6" s="124"/>
      <c r="G6" s="124"/>
      <c r="H6" s="124"/>
      <c r="I6" s="124"/>
    </row>
    <row r="7">
      <c r="A7" s="126">
        <v>1324.0</v>
      </c>
      <c r="B7" s="126" t="s">
        <v>119</v>
      </c>
      <c r="C7" s="124" t="s">
        <v>5753</v>
      </c>
      <c r="D7" s="124"/>
      <c r="E7" s="124" t="str">
        <f>IFERROR(__xludf.DUMMYFUNCTION("IF(
   ISNUMBER(FIND(""'"", B7)),
   IFERROR(""["" &amp; REGEXREPLACE(JOIN("", "", QUERY(Data!$A$2:$K512, ""SELECT K WHERE B = """"""&amp;B7&amp;"""""""")), ""(\d+)"", """"""$1"""""") &amp; ""]"", """"),
   IFERROR(""["" &amp; REGEXREPLACE(JOIN("", "", QUERY(Data!$A$2:$K512,"&amp;" ""SELECT K WHERE B = '""&amp;B7&amp;""'"")), ""(\d+)"", """"""$1"""""") &amp; ""]"", """")
)"),"[""44""]")</f>
        <v>["44"]</v>
      </c>
      <c r="F7" s="124"/>
      <c r="G7" s="124"/>
      <c r="H7" s="124"/>
      <c r="I7" s="124"/>
    </row>
    <row r="8">
      <c r="A8" s="126">
        <v>1326.0</v>
      </c>
      <c r="B8" s="126" t="s">
        <v>127</v>
      </c>
      <c r="C8" s="124" t="s">
        <v>5753</v>
      </c>
      <c r="D8" s="124"/>
      <c r="E8" s="124" t="str">
        <f>IFERROR(__xludf.DUMMYFUNCTION("IF(
   ISNUMBER(FIND(""'"", B8)),
   IFERROR(""["" &amp; REGEXREPLACE(JOIN("", "", QUERY(Data!$A$2:$K512, ""SELECT K WHERE B = """"""&amp;B8&amp;"""""""")), ""(\d+)"", """"""$1"""""") &amp; ""]"", """"),
   IFERROR(""["" &amp; REGEXREPLACE(JOIN("", "", QUERY(Data!$A$2:$K512,"&amp;" ""SELECT K WHERE B = '""&amp;B8&amp;""'"")), ""(\d+)"", """"""$1"""""") &amp; ""]"", """")
)"),"[""31""]")</f>
        <v>["31"]</v>
      </c>
      <c r="F8" s="124"/>
      <c r="G8" s="124"/>
      <c r="H8" s="124"/>
      <c r="I8" s="124"/>
    </row>
    <row r="9">
      <c r="A9" s="126">
        <v>1327.0</v>
      </c>
      <c r="B9" s="126" t="s">
        <v>136</v>
      </c>
      <c r="C9" s="124" t="s">
        <v>5753</v>
      </c>
      <c r="D9" s="124"/>
      <c r="E9" s="124" t="str">
        <f>IFERROR(__xludf.DUMMYFUNCTION("IF(
   ISNUMBER(FIND(""'"", B9)),
   IFERROR(""["" &amp; REGEXREPLACE(JOIN("", "", QUERY(Data!$A$2:$K512, ""SELECT K WHERE B = """"""&amp;B9&amp;"""""""")), ""(\d+)"", """"""$1"""""") &amp; ""]"", """"),
   IFERROR(""["" &amp; REGEXREPLACE(JOIN("", "", QUERY(Data!$A$2:$K512,"&amp;" ""SELECT K WHERE B = '""&amp;B9&amp;""'"")), ""(\d+)"", """"""$1"""""") &amp; ""]"", """")
)"),"[""44""]")</f>
        <v>["44"]</v>
      </c>
      <c r="F9" s="124"/>
      <c r="G9" s="124"/>
      <c r="H9" s="124"/>
      <c r="I9" s="124"/>
    </row>
    <row r="10">
      <c r="A10" s="126">
        <v>1328.0</v>
      </c>
      <c r="B10" s="126" t="s">
        <v>145</v>
      </c>
      <c r="C10" s="124" t="s">
        <v>5753</v>
      </c>
      <c r="D10" s="124"/>
      <c r="E10" s="124" t="str">
        <f>IFERROR(__xludf.DUMMYFUNCTION("IF(
   ISNUMBER(FIND(""'"", B10)),
   IFERROR(""["" &amp; REGEXREPLACE(JOIN("", "", QUERY(Data!$A$2:$K512, ""SELECT K WHERE B = """"""&amp;B10&amp;"""""""")), ""(\d+)"", """"""$1"""""") &amp; ""]"", """"),
   IFERROR(""["" &amp; REGEXREPLACE(JOIN("", "", QUERY(Data!$A$2:$K51"&amp;"2, ""SELECT K WHERE B = '""&amp;B10&amp;""'"")), ""(\d+)"", """"""$1"""""") &amp; ""]"", """")
)"),"[""44""]")</f>
        <v>["44"]</v>
      </c>
      <c r="F10" s="124"/>
      <c r="G10" s="124"/>
      <c r="H10" s="124"/>
      <c r="I10" s="124"/>
    </row>
    <row r="11">
      <c r="A11" s="126">
        <v>1329.0</v>
      </c>
      <c r="B11" s="126" t="s">
        <v>155</v>
      </c>
      <c r="C11" s="124" t="s">
        <v>5753</v>
      </c>
      <c r="D11" s="124"/>
      <c r="E11" s="124" t="str">
        <f>IFERROR(__xludf.DUMMYFUNCTION("IF(
   ISNUMBER(FIND(""'"", B11)),
   IFERROR(""["" &amp; REGEXREPLACE(JOIN("", "", QUERY(Data!$A$2:$K512, ""SELECT K WHERE B = """"""&amp;B11&amp;"""""""")), ""(\d+)"", """"""$1"""""") &amp; ""]"", """"),
   IFERROR(""["" &amp; REGEXREPLACE(JOIN("", "", QUERY(Data!$A$2:$K51"&amp;"2, ""SELECT K WHERE B = '""&amp;B11&amp;""'"")), ""(\d+)"", """"""$1"""""") &amp; ""]"", """")
)"),"[""31""]")</f>
        <v>["31"]</v>
      </c>
      <c r="F11" s="124"/>
      <c r="G11" s="124"/>
      <c r="H11" s="124"/>
      <c r="I11" s="124"/>
    </row>
    <row r="12">
      <c r="A12" s="126">
        <v>1330.0</v>
      </c>
      <c r="B12" s="126" t="s">
        <v>164</v>
      </c>
      <c r="C12" s="124" t="s">
        <v>5753</v>
      </c>
      <c r="D12" s="124"/>
      <c r="E12" s="124" t="str">
        <f>IFERROR(__xludf.DUMMYFUNCTION("IF(
   ISNUMBER(FIND(""'"", B12)),
   IFERROR(""["" &amp; REGEXREPLACE(JOIN("", "", QUERY(Data!$A$2:$K512, ""SELECT K WHERE B = """"""&amp;B12&amp;"""""""")), ""(\d+)"", """"""$1"""""") &amp; ""]"", """"),
   IFERROR(""["" &amp; REGEXREPLACE(JOIN("", "", QUERY(Data!$A$2:$K51"&amp;"2, ""SELECT K WHERE B = '""&amp;B12&amp;""'"")), ""(\d+)"", """"""$1"""""") &amp; ""]"", """")
)"),"[""31""]")</f>
        <v>["31"]</v>
      </c>
      <c r="F12" s="124"/>
      <c r="G12" s="124"/>
      <c r="H12" s="124"/>
      <c r="I12" s="124"/>
    </row>
    <row r="13">
      <c r="A13" s="126">
        <v>1331.0</v>
      </c>
      <c r="B13" s="126" t="s">
        <v>172</v>
      </c>
      <c r="C13" s="124" t="s">
        <v>5753</v>
      </c>
      <c r="D13" s="124"/>
      <c r="E13" s="124" t="str">
        <f>IFERROR(__xludf.DUMMYFUNCTION("IF(
   ISNUMBER(FIND(""'"", B13)),
   IFERROR(""["" &amp; REGEXREPLACE(JOIN("", "", QUERY(Data!$A$2:$K512, ""SELECT K WHERE B = """"""&amp;B13&amp;"""""""")), ""(\d+)"", """"""$1"""""") &amp; ""]"", """"),
   IFERROR(""["" &amp; REGEXREPLACE(JOIN("", "", QUERY(Data!$A$2:$K51"&amp;"2, ""SELECT K WHERE B = '""&amp;B13&amp;""'"")), ""(\d+)"", """"""$1"""""") &amp; ""]"", """")
)"),"[""44""]")</f>
        <v>["44"]</v>
      </c>
      <c r="F13" s="124"/>
      <c r="G13" s="124"/>
      <c r="H13" s="124"/>
      <c r="I13" s="124"/>
    </row>
    <row r="14">
      <c r="A14" s="126">
        <v>1332.0</v>
      </c>
      <c r="B14" s="126" t="s">
        <v>182</v>
      </c>
      <c r="C14" s="124" t="s">
        <v>5753</v>
      </c>
      <c r="D14" s="124"/>
      <c r="E14" s="124" t="str">
        <f>IFERROR(__xludf.DUMMYFUNCTION("IF(
   ISNUMBER(FIND(""'"", B14)),
   IFERROR(""["" &amp; REGEXREPLACE(JOIN("", "", QUERY(Data!$A$2:$K512, ""SELECT K WHERE B = """"""&amp;B14&amp;"""""""")), ""(\d+)"", """"""$1"""""") &amp; ""]"", """"),
   IFERROR(""["" &amp; REGEXREPLACE(JOIN("", "", QUERY(Data!$A$2:$K51"&amp;"2, ""SELECT K WHERE B = '""&amp;B14&amp;""'"")), ""(\d+)"", """"""$1"""""") &amp; ""]"", """")
)"),"[""44""]")</f>
        <v>["44"]</v>
      </c>
      <c r="F14" s="127"/>
      <c r="G14" s="124"/>
      <c r="H14" s="124"/>
      <c r="I14" s="124"/>
    </row>
    <row r="15">
      <c r="A15" s="126">
        <v>1335.0</v>
      </c>
      <c r="B15" s="126" t="s">
        <v>191</v>
      </c>
      <c r="C15" s="124" t="s">
        <v>5753</v>
      </c>
      <c r="D15" s="124"/>
      <c r="E15" s="124" t="str">
        <f>IFERROR(__xludf.DUMMYFUNCTION("IF(
   ISNUMBER(FIND(""'"", B15)),
   IFERROR(""["" &amp; REGEXREPLACE(JOIN("", "", QUERY(Data!$A$2:$K512, ""SELECT K WHERE B = """"""&amp;B15&amp;"""""""")), ""(\d+)"", """"""$1"""""") &amp; ""]"", """"),
   IFERROR(""["" &amp; REGEXREPLACE(JOIN("", "", QUERY(Data!$A$2:$K51"&amp;"2, ""SELECT K WHERE B = '""&amp;B15&amp;""'"")), ""(\d+)"", """"""$1"""""") &amp; ""]"", """")
)"),"[""31""]")</f>
        <v>["31"]</v>
      </c>
      <c r="F15" s="127"/>
      <c r="G15" s="124"/>
      <c r="H15" s="124"/>
      <c r="I15" s="124"/>
    </row>
    <row r="16">
      <c r="A16" s="126">
        <v>1323.0</v>
      </c>
      <c r="B16" s="126" t="s">
        <v>197</v>
      </c>
      <c r="C16" s="124" t="s">
        <v>5753</v>
      </c>
      <c r="D16" s="124"/>
      <c r="E16" s="124" t="str">
        <f>IFERROR(__xludf.DUMMYFUNCTION("IF(
   ISNUMBER(FIND(""'"", B16)),
   IFERROR(""["" &amp; REGEXREPLACE(JOIN("", "", QUERY(Data!$A$2:$K512, ""SELECT K WHERE B = """"""&amp;B16&amp;"""""""")), ""(\d+)"", """"""$1"""""") &amp; ""]"", """"),
   IFERROR(""["" &amp; REGEXREPLACE(JOIN("", "", QUERY(Data!$A$2:$K51"&amp;"2, ""SELECT K WHERE B = '""&amp;B16&amp;""'"")), ""(\d+)"", """"""$1"""""") &amp; ""]"", """")
)"),"[""31"", ""32""]")</f>
        <v>["31", "32"]</v>
      </c>
      <c r="F16" s="127"/>
      <c r="G16" s="124"/>
      <c r="H16" s="124"/>
      <c r="I16" s="124"/>
    </row>
    <row r="17">
      <c r="A17" s="126">
        <v>1333.0</v>
      </c>
      <c r="B17" s="126" t="s">
        <v>210</v>
      </c>
      <c r="C17" s="124" t="s">
        <v>5753</v>
      </c>
      <c r="D17" s="124"/>
      <c r="E17" s="124" t="str">
        <f>IFERROR(__xludf.DUMMYFUNCTION("IF(
   ISNUMBER(FIND(""'"", B17)),
   IFERROR(""["" &amp; REGEXREPLACE(JOIN("", "", QUERY(Data!$A$2:$K512, ""SELECT K WHERE B = """"""&amp;B17&amp;"""""""")), ""(\d+)"", """"""$1"""""") &amp; ""]"", """"),
   IFERROR(""["" &amp; REGEXREPLACE(JOIN("", "", QUERY(Data!$A$2:$K51"&amp;"2, ""SELECT K WHERE B = '""&amp;B17&amp;""'"")), ""(\d+)"", """"""$1"""""") &amp; ""]"", """")
)"),"[""44""]")</f>
        <v>["44"]</v>
      </c>
      <c r="F17" s="127"/>
      <c r="G17" s="124"/>
      <c r="H17" s="124"/>
      <c r="I17" s="124"/>
    </row>
    <row r="18">
      <c r="A18" s="126">
        <v>1334.0</v>
      </c>
      <c r="B18" s="126" t="s">
        <v>214</v>
      </c>
      <c r="C18" s="124" t="s">
        <v>5753</v>
      </c>
      <c r="D18" s="124"/>
      <c r="E18" s="124" t="str">
        <f>IFERROR(__xludf.DUMMYFUNCTION("IF(
   ISNUMBER(FIND(""'"", B18)),
   IFERROR(""["" &amp; REGEXREPLACE(JOIN("", "", QUERY(Data!$A$2:$K512, ""SELECT K WHERE B = """"""&amp;B18&amp;"""""""")), ""(\d+)"", """"""$1"""""") &amp; ""]"", """"),
   IFERROR(""["" &amp; REGEXREPLACE(JOIN("", "", QUERY(Data!$A$2:$K51"&amp;"2, ""SELECT K WHERE B = '""&amp;B18&amp;""'"")), ""(\d+)"", """"""$1"""""") &amp; ""]"", """")
)"),"[""44""]")</f>
        <v>["44"]</v>
      </c>
      <c r="G18" s="124"/>
      <c r="H18" s="124"/>
      <c r="I18" s="124"/>
    </row>
    <row r="19">
      <c r="A19" s="125">
        <v>1471.0</v>
      </c>
      <c r="B19" s="126" t="s">
        <v>220</v>
      </c>
      <c r="C19" s="126" t="s">
        <v>220</v>
      </c>
      <c r="D19" s="124"/>
      <c r="E19" s="124" t="str">
        <f>IFERROR(__xludf.DUMMYFUNCTION("IF(
   ISNUMBER(FIND(""'"", B19)),
   IFERROR(""["" &amp; REGEXREPLACE(JOIN("", "", QUERY(Data!$A$2:$K512, ""SELECT K WHERE B = """"""&amp;B19&amp;"""""""")), ""(\d+)"", """"""$1"""""") &amp; ""]"", """"),
   IFERROR(""["" &amp; REGEXREPLACE(JOIN("", "", QUERY(Data!$A$2:$K51"&amp;"2, ""SELECT K WHERE B = '""&amp;B19&amp;""'"")), ""(\d+)"", """"""$1"""""") &amp; ""]"", """")
)"),"[""36""]")</f>
        <v>["36"]</v>
      </c>
      <c r="G19" s="124"/>
      <c r="H19" s="124"/>
      <c r="I19" s="124"/>
    </row>
    <row r="20">
      <c r="A20" s="126">
        <v>8888.0</v>
      </c>
      <c r="B20" s="126" t="s">
        <v>5754</v>
      </c>
      <c r="C20" s="124" t="s">
        <v>5754</v>
      </c>
      <c r="D20" s="124"/>
      <c r="E20" s="124" t="str">
        <f>IFERROR(__xludf.DUMMYFUNCTION("IF(
   ISNUMBER(FIND(""'"", B20)),
   IFERROR(""["" &amp; REGEXREPLACE(JOIN("", "", QUERY(Data!$A$2:$K512, ""SELECT K WHERE B = """"""&amp;B20&amp;"""""""")), ""(\d+)"", """"""$1"""""") &amp; ""]"", """"),
   IFERROR(""["" &amp; REGEXREPLACE(JOIN("", "", QUERY(Data!$A$2:$K51"&amp;"2, ""SELECT K WHERE B = '""&amp;B20&amp;""'"")), ""(\d+)"", """"""$1"""""") &amp; ""]"", """")
)"),"")</f>
        <v/>
      </c>
      <c r="G20" s="124"/>
      <c r="H20" s="124"/>
      <c r="I20" s="124"/>
    </row>
    <row r="21">
      <c r="A21" s="125">
        <v>1003.0</v>
      </c>
      <c r="B21" s="124" t="s">
        <v>254</v>
      </c>
      <c r="C21" s="124" t="s">
        <v>254</v>
      </c>
      <c r="D21" s="124"/>
      <c r="E21" s="124" t="str">
        <f>IFERROR(__xludf.DUMMYFUNCTION("IF(
   ISNUMBER(FIND(""'"", B21)),
   IFERROR(""["" &amp; REGEXREPLACE(JOIN("", "", QUERY(Data!$A$2:$K512, ""SELECT K WHERE B = """"""&amp;B21&amp;"""""""")), ""(\d+)"", """"""$1"""""") &amp; ""]"", """"),
   IFERROR(""["" &amp; REGEXREPLACE(JOIN("", "", QUERY(Data!$A$2:$K51"&amp;"2, ""SELECT K WHERE B = '""&amp;B21&amp;""'"")), ""(\d+)"", """"""$1"""""") &amp; ""]"", """")
)"),"[""34""]")</f>
        <v>["34"]</v>
      </c>
      <c r="G21" s="124"/>
      <c r="H21" s="124"/>
      <c r="I21" s="124"/>
    </row>
    <row r="22">
      <c r="A22" s="125">
        <v>1004.0</v>
      </c>
      <c r="B22" s="126" t="s">
        <v>267</v>
      </c>
      <c r="C22" s="124" t="s">
        <v>267</v>
      </c>
      <c r="D22" s="124"/>
      <c r="E22" s="124" t="str">
        <f>IFERROR(__xludf.DUMMYFUNCTION("IF(
   ISNUMBER(FIND(""'"", B22)),
   IFERROR(""["" &amp; REGEXREPLACE(JOIN("", "", QUERY(Data!$A$2:$K512, ""SELECT K WHERE B = """"""&amp;B22&amp;"""""""")), ""(\d+)"", """"""$1"""""") &amp; ""]"", """"),
   IFERROR(""["" &amp; REGEXREPLACE(JOIN("", "", QUERY(Data!$A$2:$K51"&amp;"2, ""SELECT K WHERE B = '""&amp;B22&amp;""'"")), ""(\d+)"", """"""$1"""""") &amp; ""]"", """")
)"),"[""42"", ""42"", ""42"", ""54"", ""54"", ""54""]")</f>
        <v>["42", "42", "42", "54", "54", "54"]</v>
      </c>
      <c r="G22" s="124"/>
      <c r="H22" s="124"/>
      <c r="I22" s="124"/>
    </row>
    <row r="23">
      <c r="A23" s="126">
        <v>1460.0</v>
      </c>
      <c r="B23" s="126" t="s">
        <v>305</v>
      </c>
      <c r="C23" s="126" t="s">
        <v>305</v>
      </c>
      <c r="D23" s="124"/>
      <c r="E23" s="124" t="str">
        <f>IFERROR(__xludf.DUMMYFUNCTION("IF(
   ISNUMBER(FIND(""'"", B23)),
   IFERROR(""["" &amp; REGEXREPLACE(JOIN("", "", QUERY(Data!$A$2:$K512, ""SELECT K WHERE B = """"""&amp;B23&amp;"""""""")), ""(\d+)"", """"""$1"""""") &amp; ""]"", """"),
   IFERROR(""["" &amp; REGEXREPLACE(JOIN("", "", QUERY(Data!$A$2:$K51"&amp;"2, ""SELECT K WHERE B = '""&amp;B23&amp;""'"")), ""(\d+)"", """"""$1"""""") &amp; ""]"", """")
)"),"[""37""]")</f>
        <v>["37"]</v>
      </c>
      <c r="G23" s="124"/>
      <c r="H23" s="124"/>
      <c r="I23" s="124"/>
    </row>
    <row r="24">
      <c r="A24" s="125">
        <v>1005.0</v>
      </c>
      <c r="B24" s="128" t="s">
        <v>316</v>
      </c>
      <c r="C24" s="129" t="s">
        <v>316</v>
      </c>
      <c r="D24" s="124">
        <v>1064000.0</v>
      </c>
      <c r="E24" s="124" t="str">
        <f>IFERROR(__xludf.DUMMYFUNCTION("IF(
   ISNUMBER(FIND(""'"", B24)),
   IFERROR(""["" &amp; REGEXREPLACE(JOIN("", "", QUERY(Data!$A$2:$K512, ""SELECT K WHERE B = """"""&amp;B24&amp;"""""""")), ""(\d+)"", """"""$1"""""") &amp; ""]"", """"),
   IFERROR(""["" &amp; REGEXREPLACE(JOIN("", "", QUERY(Data!$A$2:$K51"&amp;"2, ""SELECT K WHERE B = '""&amp;B24&amp;""'"")), ""(\d+)"", """"""$1"""""") &amp; ""]"", """")
)"),"[""11"", ""12"", ""33"", ""52""]")</f>
        <v>["11", "12", "33", "52"]</v>
      </c>
      <c r="G24" s="124"/>
      <c r="H24" s="124"/>
      <c r="I24" s="124"/>
    </row>
    <row r="25">
      <c r="A25" s="125">
        <v>1273.0</v>
      </c>
      <c r="B25" s="126" t="s">
        <v>360</v>
      </c>
      <c r="C25" s="124" t="s">
        <v>360</v>
      </c>
      <c r="D25" s="124"/>
      <c r="E25" s="124" t="str">
        <f>IFERROR(__xludf.DUMMYFUNCTION("IF(
   ISNUMBER(FIND(""'"", B25)),
   IFERROR(""["" &amp; REGEXREPLACE(JOIN("", "", QUERY(Data!$A$2:$K512, ""SELECT K WHERE B = """"""&amp;B25&amp;"""""""")), ""(\d+)"", """"""$1"""""") &amp; ""]"", """"),
   IFERROR(""["" &amp; REGEXREPLACE(JOIN("", "", QUERY(Data!$A$2:$K51"&amp;"2, ""SELECT K WHERE B = '""&amp;B25&amp;""'"")), ""(\d+)"", """"""$1"""""") &amp; ""]"", """")
)"),"[""36""]")</f>
        <v>["36"]</v>
      </c>
      <c r="G25" s="124"/>
      <c r="H25" s="124"/>
      <c r="I25" s="124"/>
    </row>
    <row r="26">
      <c r="A26" s="125">
        <v>1472.0</v>
      </c>
      <c r="B26" s="126" t="s">
        <v>370</v>
      </c>
      <c r="C26" s="126" t="s">
        <v>370</v>
      </c>
      <c r="D26" s="124"/>
      <c r="E26" s="124" t="str">
        <f>IFERROR(__xludf.DUMMYFUNCTION("IF(
   ISNUMBER(FIND(""'"", B26)),
   IFERROR(""["" &amp; REGEXREPLACE(JOIN("", "", QUERY(Data!$A$2:$K512, ""SELECT K WHERE B = """"""&amp;B26&amp;"""""""")), ""(\d+)"", """"""$1"""""") &amp; ""]"", """"),
   IFERROR(""["" &amp; REGEXREPLACE(JOIN("", "", QUERY(Data!$A$2:$K51"&amp;"2, ""SELECT K WHERE B = '""&amp;B26&amp;""'"")), ""(\d+)"", """"""$1"""""") &amp; ""]"", """")
)"),"[""36""]")</f>
        <v>["36"]</v>
      </c>
      <c r="G26" s="124"/>
      <c r="H26" s="124"/>
      <c r="I26" s="124"/>
    </row>
    <row r="27">
      <c r="A27" s="125">
        <v>1007.0</v>
      </c>
      <c r="B27" s="125" t="s">
        <v>381</v>
      </c>
      <c r="C27" s="124" t="s">
        <v>381</v>
      </c>
      <c r="D27" s="124"/>
      <c r="E27" s="124" t="str">
        <f>IFERROR(__xludf.DUMMYFUNCTION("IF(
   ISNUMBER(FIND(""'"", B27)),
   IFERROR(""["" &amp; REGEXREPLACE(JOIN("", "", QUERY(Data!$A$2:$K512, ""SELECT K WHERE B = """"""&amp;B27&amp;"""""""")), ""(\d+)"", """"""$1"""""") &amp; ""]"", """"),
   IFERROR(""["" &amp; REGEXREPLACE(JOIN("", "", QUERY(Data!$A$2:$K51"&amp;"2, ""SELECT K WHERE B = '""&amp;B27&amp;""'"")), ""(\d+)"", """"""$1"""""") &amp; ""]"", """")
)"),"[""12"", ""13"", ""14""]")</f>
        <v>["12", "13", "14"]</v>
      </c>
      <c r="G27" s="124"/>
      <c r="H27" s="124"/>
      <c r="I27" s="124"/>
    </row>
    <row r="28">
      <c r="A28" s="125">
        <v>1008.0</v>
      </c>
      <c r="B28" s="126" t="s">
        <v>392</v>
      </c>
      <c r="C28" s="124" t="s">
        <v>392</v>
      </c>
      <c r="D28" s="124"/>
      <c r="E28" s="124" t="str">
        <f>IFERROR(__xludf.DUMMYFUNCTION("IF(
   ISNUMBER(FIND(""'"", B28)),
   IFERROR(""["" &amp; REGEXREPLACE(JOIN("", "", QUERY(Data!$A$2:$K512, ""SELECT K WHERE B = """"""&amp;B28&amp;"""""""")), ""(\d+)"", """"""$1"""""") &amp; ""]"", """"),
   IFERROR(""["" &amp; REGEXREPLACE(JOIN("", "", QUERY(Data!$A$2:$K51"&amp;"2, ""SELECT K WHERE B = '""&amp;B28&amp;""'"")), ""(\d+)"", """"""$1"""""") &amp; ""]"", """")
)"),"[""65""]")</f>
        <v>["65"]</v>
      </c>
      <c r="G28" s="124"/>
      <c r="H28" s="124"/>
      <c r="I28" s="124"/>
    </row>
    <row r="29">
      <c r="A29" s="125">
        <v>1009.0</v>
      </c>
      <c r="B29" s="126" t="s">
        <v>401</v>
      </c>
      <c r="C29" s="124" t="s">
        <v>401</v>
      </c>
      <c r="D29" s="124"/>
      <c r="E29" s="124" t="str">
        <f>IFERROR(__xludf.DUMMYFUNCTION("IF(
   ISNUMBER(FIND(""'"", B29)),
   IFERROR(""["" &amp; REGEXREPLACE(JOIN("", "", QUERY(Data!$A$2:$K512, ""SELECT K WHERE B = """"""&amp;B29&amp;"""""""")), ""(\d+)"", """"""$1"""""") &amp; ""]"", """"),
   IFERROR(""["" &amp; REGEXREPLACE(JOIN("", "", QUERY(Data!$A$2:$K51"&amp;"2, ""SELECT K WHERE B = '""&amp;B29&amp;""'"")), ""(\d+)"", """"""$1"""""") &amp; ""]"", """")
)"),"[""24""]")</f>
        <v>["24"]</v>
      </c>
      <c r="G29" s="124"/>
      <c r="H29" s="124"/>
      <c r="I29" s="124"/>
    </row>
    <row r="30">
      <c r="A30" s="125">
        <v>1010.0</v>
      </c>
      <c r="B30" s="126" t="s">
        <v>412</v>
      </c>
      <c r="C30" s="124" t="s">
        <v>412</v>
      </c>
      <c r="D30" s="124"/>
      <c r="E30" s="124" t="str">
        <f>IFERROR(__xludf.DUMMYFUNCTION("IF(
   ISNUMBER(FIND(""'"", B30)),
   IFERROR(""["" &amp; REGEXREPLACE(JOIN("", "", QUERY(Data!$A$2:$K512, ""SELECT K WHERE B = """"""&amp;B30&amp;"""""""")), ""(\d+)"", """"""$1"""""") &amp; ""]"", """"),
   IFERROR(""["" &amp; REGEXREPLACE(JOIN("", "", QUERY(Data!$A$2:$K51"&amp;"2, ""SELECT K WHERE B = '""&amp;B30&amp;""'"")), ""(\d+)"", """"""$1"""""") &amp; ""]"", """")
)"),"[""24""]")</f>
        <v>["24"]</v>
      </c>
      <c r="G30" s="124"/>
      <c r="H30" s="124"/>
      <c r="I30" s="124"/>
    </row>
    <row r="31">
      <c r="A31" s="125">
        <v>1011.0</v>
      </c>
      <c r="B31" s="126" t="s">
        <v>439</v>
      </c>
      <c r="C31" s="124" t="s">
        <v>439</v>
      </c>
      <c r="D31" s="124"/>
      <c r="E31" s="124" t="str">
        <f>IFERROR(__xludf.DUMMYFUNCTION("IF(
   ISNUMBER(FIND(""'"", B31)),
   IFERROR(""["" &amp; REGEXREPLACE(JOIN("", "", QUERY(Data!$A$2:$K512, ""SELECT K WHERE B = """"""&amp;B31&amp;"""""""")), ""(\d+)"", """"""$1"""""") &amp; ""]"", """"),
   IFERROR(""["" &amp; REGEXREPLACE(JOIN("", "", QUERY(Data!$A$2:$K51"&amp;"2, ""SELECT K WHERE B = '""&amp;B31&amp;""'"")), ""(\d+)"", """"""$1"""""") &amp; ""]"", """")
)"),"[""55""]")</f>
        <v>["55"]</v>
      </c>
      <c r="F31" s="124"/>
      <c r="G31" s="124"/>
      <c r="H31" s="124"/>
      <c r="I31" s="124"/>
    </row>
    <row r="32">
      <c r="A32" s="125">
        <v>1012.0</v>
      </c>
      <c r="B32" s="125" t="s">
        <v>449</v>
      </c>
      <c r="C32" s="124" t="s">
        <v>449</v>
      </c>
      <c r="D32" s="124"/>
      <c r="E32" s="124" t="str">
        <f>IFERROR(__xludf.DUMMYFUNCTION("IF(
   ISNUMBER(FIND(""'"", B32)),
   IFERROR(""["" &amp; REGEXREPLACE(JOIN("", "", QUERY(Data!$A$2:$K512, ""SELECT K WHERE B = """"""&amp;B32&amp;"""""""")), ""(\d+)"", """"""$1"""""") &amp; ""]"", """"),
   IFERROR(""["" &amp; REGEXREPLACE(JOIN("", "", QUERY(Data!$A$2:$K51"&amp;"2, ""SELECT K WHERE B = '""&amp;B32&amp;""'"")), ""(\d+)"", """"""$1"""""") &amp; ""]"", """")
)"),"[""31""]")</f>
        <v>["31"]</v>
      </c>
      <c r="F32" s="124"/>
      <c r="G32" s="124"/>
      <c r="H32" s="124"/>
      <c r="I32" s="124"/>
    </row>
    <row r="33">
      <c r="A33" s="126">
        <v>1395.0</v>
      </c>
      <c r="B33" s="126" t="s">
        <v>63</v>
      </c>
      <c r="C33" s="124" t="s">
        <v>458</v>
      </c>
      <c r="D33" s="124"/>
      <c r="E33" s="124" t="str">
        <f>IFERROR(__xludf.DUMMYFUNCTION("IF(
   ISNUMBER(FIND(""'"", B33)),
   IFERROR(""["" &amp; REGEXREPLACE(JOIN("", "", QUERY(Data!$A$2:$K512, ""SELECT K WHERE B = """"""&amp;B33&amp;"""""""")), ""(\d+)"", """"""$1"""""") &amp; ""]"", """"),
   IFERROR(""["" &amp; REGEXREPLACE(JOIN("", "", QUERY(Data!$A$2:$K51"&amp;"2, ""SELECT K WHERE B = '""&amp;B33&amp;""'"")), ""(\d+)"", """"""$1"""""") &amp; ""]"", """")
)"),"[""43""]")</f>
        <v>["43"]</v>
      </c>
      <c r="F33" s="124"/>
      <c r="G33" s="124"/>
      <c r="H33" s="124"/>
      <c r="I33" s="124"/>
    </row>
    <row r="34">
      <c r="A34" s="126">
        <v>1394.0</v>
      </c>
      <c r="B34" s="126" t="s">
        <v>75</v>
      </c>
      <c r="C34" s="124" t="s">
        <v>458</v>
      </c>
      <c r="D34" s="124"/>
      <c r="E34" s="124" t="str">
        <f>IFERROR(__xludf.DUMMYFUNCTION("IF(
   ISNUMBER(FIND(""'"", B34)),
   IFERROR(""["" &amp; REGEXREPLACE(JOIN("", "", QUERY(Data!$A$2:$K512, ""SELECT K WHERE B = """"""&amp;B34&amp;"""""""")), ""(\d+)"", """"""$1"""""") &amp; ""]"", """"),
   IFERROR(""["" &amp; REGEXREPLACE(JOIN("", "", QUERY(Data!$A$2:$K51"&amp;"2, ""SELECT K WHERE B = '""&amp;B34&amp;""'"")), ""(\d+)"", """"""$1"""""") &amp; ""]"", """")
)"),"[""43""]")</f>
        <v>["43"]</v>
      </c>
      <c r="F34" s="124"/>
      <c r="G34" s="124"/>
      <c r="H34" s="124"/>
      <c r="I34" s="124"/>
    </row>
    <row r="35">
      <c r="A35" s="125">
        <v>1013.0</v>
      </c>
      <c r="B35" s="126" t="s">
        <v>458</v>
      </c>
      <c r="C35" s="124" t="s">
        <v>458</v>
      </c>
      <c r="D35" s="124"/>
      <c r="E35" s="124" t="str">
        <f>IFERROR(__xludf.DUMMYFUNCTION("IF(
   ISNUMBER(FIND(""'"", B35)),
   IFERROR(""["" &amp; REGEXREPLACE(JOIN("", "", QUERY(Data!$A$2:$K512, ""SELECT K WHERE B = """"""&amp;B35&amp;"""""""")), ""(\d+)"", """"""$1"""""") &amp; ""]"", """"),
   IFERROR(""["" &amp; REGEXREPLACE(JOIN("", "", QUERY(Data!$A$2:$K51"&amp;"2, ""SELECT K WHERE B = '""&amp;B35&amp;""'"")), ""(\d+)"", """"""$1"""""") &amp; ""]"", """")
)"),"[""34"", ""44"", ""51""]")</f>
        <v>["34", "44", "51"]</v>
      </c>
      <c r="F35" s="124"/>
      <c r="G35" s="124"/>
      <c r="H35" s="124"/>
      <c r="I35" s="124"/>
    </row>
    <row r="36">
      <c r="A36" s="125">
        <v>1014.0</v>
      </c>
      <c r="B36" s="125" t="s">
        <v>474</v>
      </c>
      <c r="C36" s="124" t="s">
        <v>5755</v>
      </c>
      <c r="D36" s="124"/>
      <c r="E36" s="124" t="str">
        <f>IFERROR(__xludf.DUMMYFUNCTION("IF(
   ISNUMBER(FIND(""'"", B36)),
   IFERROR(""["" &amp; REGEXREPLACE(JOIN("", "", QUERY(Data!$A$2:$K512, ""SELECT K WHERE B = """"""&amp;B36&amp;"""""""")), ""(\d+)"", """"""$1"""""") &amp; ""]"", """"),
   IFERROR(""["" &amp; REGEXREPLACE(JOIN("", "", QUERY(Data!$A$2:$K51"&amp;"2, ""SELECT K WHERE B = '""&amp;B36&amp;""'"")), ""(\d+)"", """"""$1"""""") &amp; ""]"", """")
)"),"[""31"", ""33""]")</f>
        <v>["31", "33"]</v>
      </c>
      <c r="F36" s="124"/>
      <c r="G36" s="124"/>
      <c r="H36" s="124"/>
      <c r="I36" s="124"/>
    </row>
    <row r="37">
      <c r="A37" s="125">
        <v>1015.0</v>
      </c>
      <c r="B37" s="125" t="s">
        <v>485</v>
      </c>
      <c r="C37" s="124" t="s">
        <v>5755</v>
      </c>
      <c r="D37" s="124"/>
      <c r="E37" s="124" t="str">
        <f>IFERROR(__xludf.DUMMYFUNCTION("IF(
   ISNUMBER(FIND(""'"", B37)),
   IFERROR(""["" &amp; REGEXREPLACE(JOIN("", "", QUERY(Data!$A$2:$K512, ""SELECT K WHERE B = """"""&amp;B37&amp;"""""""")), ""(\d+)"", """"""$1"""""") &amp; ""]"", """"),
   IFERROR(""["" &amp; REGEXREPLACE(JOIN("", "", QUERY(Data!$A$2:$K51"&amp;"2, ""SELECT K WHERE B = '""&amp;B37&amp;""'"")), ""(\d+)"", """"""$1"""""") &amp; ""]"", """")
)"),"[""31""]")</f>
        <v>["31"]</v>
      </c>
      <c r="F37" s="124"/>
      <c r="G37" s="124"/>
      <c r="H37" s="124"/>
      <c r="I37" s="124"/>
    </row>
    <row r="38">
      <c r="A38" s="125">
        <v>1016.0</v>
      </c>
      <c r="B38" s="125" t="s">
        <v>494</v>
      </c>
      <c r="C38" s="124" t="s">
        <v>5755</v>
      </c>
      <c r="D38" s="124"/>
      <c r="E38" s="124" t="str">
        <f>IFERROR(__xludf.DUMMYFUNCTION("IF(
   ISNUMBER(FIND(""'"", B38)),
   IFERROR(""["" &amp; REGEXREPLACE(JOIN("", "", QUERY(Data!$A$2:$K512, ""SELECT K WHERE B = """"""&amp;B38&amp;"""""""")), ""(\d+)"", """"""$1"""""") &amp; ""]"", """"),
   IFERROR(""["" &amp; REGEXREPLACE(JOIN("", "", QUERY(Data!$A$2:$K51"&amp;"2, ""SELECT K WHERE B = '""&amp;B38&amp;""'"")), ""(\d+)"", """"""$1"""""") &amp; ""]"", """")
)"),"[""31""]")</f>
        <v>["31"]</v>
      </c>
      <c r="F38" s="124"/>
      <c r="G38" s="124"/>
      <c r="H38" s="124"/>
      <c r="I38" s="124"/>
    </row>
    <row r="39">
      <c r="A39" s="125">
        <v>1017.0</v>
      </c>
      <c r="B39" s="125" t="s">
        <v>505</v>
      </c>
      <c r="C39" s="124" t="s">
        <v>5755</v>
      </c>
      <c r="D39" s="124"/>
      <c r="E39" s="124" t="str">
        <f>IFERROR(__xludf.DUMMYFUNCTION("IF(
   ISNUMBER(FIND(""'"", B39)),
   IFERROR(""["" &amp; REGEXREPLACE(JOIN("", "", QUERY(Data!$A$2:$K512, ""SELECT K WHERE B = """"""&amp;B39&amp;"""""""")), ""(\d+)"", """"""$1"""""") &amp; ""]"", """"),
   IFERROR(""["" &amp; REGEXREPLACE(JOIN("", "", QUERY(Data!$A$2:$K51"&amp;"2, ""SELECT K WHERE B = '""&amp;B39&amp;""'"")), ""(\d+)"", """"""$1"""""") &amp; ""]"", """")
)"),"[""31"", ""32"", ""33""]")</f>
        <v>["31", "32", "33"]</v>
      </c>
      <c r="F39" s="124"/>
      <c r="G39" s="124"/>
      <c r="H39" s="124"/>
      <c r="I39" s="124"/>
    </row>
    <row r="40">
      <c r="A40" s="125">
        <v>1018.0</v>
      </c>
      <c r="B40" s="125" t="s">
        <v>512</v>
      </c>
      <c r="C40" s="124" t="s">
        <v>5755</v>
      </c>
      <c r="D40" s="124"/>
      <c r="E40" s="124" t="str">
        <f>IFERROR(__xludf.DUMMYFUNCTION("IF(
   ISNUMBER(FIND(""'"", B40)),
   IFERROR(""["" &amp; REGEXREPLACE(JOIN("", "", QUERY(Data!$A$2:$K512, ""SELECT K WHERE B = """"""&amp;B40&amp;"""""""")), ""(\d+)"", """"""$1"""""") &amp; ""]"", """"),
   IFERROR(""["" &amp; REGEXREPLACE(JOIN("", "", QUERY(Data!$A$2:$K51"&amp;"2, ""SELECT K WHERE B = '""&amp;B40&amp;""'"")), ""(\d+)"", """"""$1"""""") &amp; ""]"", """")
)"),"[""31""]")</f>
        <v>["31"]</v>
      </c>
      <c r="F40" s="124"/>
      <c r="G40" s="124"/>
      <c r="H40" s="124"/>
      <c r="I40" s="124"/>
    </row>
    <row r="41">
      <c r="A41" s="125">
        <v>1019.0</v>
      </c>
      <c r="B41" s="125" t="s">
        <v>522</v>
      </c>
      <c r="C41" s="124" t="s">
        <v>5755</v>
      </c>
      <c r="D41" s="124"/>
      <c r="E41" s="124" t="str">
        <f>IFERROR(__xludf.DUMMYFUNCTION("IF(
   ISNUMBER(FIND(""'"", B41)),
   IFERROR(""["" &amp; REGEXREPLACE(JOIN("", "", QUERY(Data!$A$2:$K512, ""SELECT K WHERE B = """"""&amp;B41&amp;"""""""")), ""(\d+)"", """"""$1"""""") &amp; ""]"", """"),
   IFERROR(""["" &amp; REGEXREPLACE(JOIN("", "", QUERY(Data!$A$2:$K51"&amp;"2, ""SELECT K WHERE B = '""&amp;B41&amp;""'"")), ""(\d+)"", """"""$1"""""") &amp; ""]"", """")
)"),"[""31"", ""32"", ""33""]")</f>
        <v>["31", "32", "33"]</v>
      </c>
      <c r="F41" s="124"/>
      <c r="G41" s="124"/>
      <c r="H41" s="124"/>
      <c r="I41" s="124"/>
    </row>
    <row r="42">
      <c r="A42" s="125">
        <v>1020.0</v>
      </c>
      <c r="B42" s="125" t="s">
        <v>531</v>
      </c>
      <c r="C42" s="124" t="s">
        <v>5755</v>
      </c>
      <c r="D42" s="124"/>
      <c r="E42" s="124" t="str">
        <f>IFERROR(__xludf.DUMMYFUNCTION("IF(
   ISNUMBER(FIND(""'"", B42)),
   IFERROR(""["" &amp; REGEXREPLACE(JOIN("", "", QUERY(Data!$A$2:$K512, ""SELECT K WHERE B = """"""&amp;B42&amp;"""""""")), ""(\d+)"", """"""$1"""""") &amp; ""]"", """"),
   IFERROR(""["" &amp; REGEXREPLACE(JOIN("", "", QUERY(Data!$A$2:$K51"&amp;"2, ""SELECT K WHERE B = '""&amp;B42&amp;""'"")), ""(\d+)"", """"""$1"""""") &amp; ""]"", """")
)"),"[""31"", ""33""]")</f>
        <v>["31", "33"]</v>
      </c>
      <c r="F42" s="124"/>
      <c r="G42" s="124"/>
      <c r="H42" s="124"/>
      <c r="I42" s="124"/>
    </row>
    <row r="43">
      <c r="A43" s="125">
        <v>1021.0</v>
      </c>
      <c r="B43" s="125" t="s">
        <v>539</v>
      </c>
      <c r="C43" s="125" t="s">
        <v>539</v>
      </c>
      <c r="D43" s="124">
        <v>2.696964E7</v>
      </c>
      <c r="E43" s="124" t="str">
        <f>IFERROR(__xludf.DUMMYFUNCTION("IF(
   ISNUMBER(FIND(""'"", B43)),
   IFERROR(""["" &amp; REGEXREPLACE(JOIN("", "", QUERY(Data!$A$2:$K512, ""SELECT K WHERE B = """"""&amp;B43&amp;"""""""")), ""(\d+)"", """"""$1"""""") &amp; ""]"", """"),
   IFERROR(""["" &amp; REGEXREPLACE(JOIN("", "", QUERY(Data!$A$2:$K51"&amp;"2, ""SELECT K WHERE B = '""&amp;B43&amp;""'"")), ""(\d+)"", """"""$1"""""") &amp; ""]"", """")
)"),"[""12"", ""65""]")</f>
        <v>["12", "65"]</v>
      </c>
      <c r="F43" s="124"/>
      <c r="G43" s="124"/>
      <c r="H43" s="124"/>
      <c r="I43" s="124"/>
    </row>
    <row r="44">
      <c r="A44" s="126">
        <v>1379.0</v>
      </c>
      <c r="B44" s="126" t="s">
        <v>555</v>
      </c>
      <c r="C44" s="125" t="s">
        <v>539</v>
      </c>
      <c r="D44" s="124">
        <v>2.696964E7</v>
      </c>
      <c r="E44" s="124" t="str">
        <f>IFERROR(__xludf.DUMMYFUNCTION("IF(
   ISNUMBER(FIND(""'"", B44)),
   IFERROR(""["" &amp; REGEXREPLACE(JOIN("", "", QUERY(Data!$A$2:$K512, ""SELECT K WHERE B = """"""&amp;B44&amp;"""""""")), ""(\d+)"", """"""$1"""""") &amp; ""]"", """"),
   IFERROR(""["" &amp; REGEXREPLACE(JOIN("", "", QUERY(Data!$A$2:$K51"&amp;"2, ""SELECT K WHERE B = '""&amp;B44&amp;""'"")), ""(\d+)"", """"""$1"""""") &amp; ""]"", """")
)"),"[""43""]")</f>
        <v>["43"]</v>
      </c>
      <c r="F44" s="124"/>
      <c r="G44" s="124"/>
      <c r="H44" s="124"/>
      <c r="I44" s="124"/>
    </row>
    <row r="45">
      <c r="A45" s="126">
        <v>1381.0</v>
      </c>
      <c r="B45" s="126" t="s">
        <v>565</v>
      </c>
      <c r="C45" s="125" t="s">
        <v>539</v>
      </c>
      <c r="D45" s="124">
        <v>2.696964E7</v>
      </c>
      <c r="E45" s="124" t="str">
        <f>IFERROR(__xludf.DUMMYFUNCTION("IF(
   ISNUMBER(FIND(""'"", B45)),
   IFERROR(""["" &amp; REGEXREPLACE(JOIN("", "", QUERY(Data!$A$2:$K512, ""SELECT K WHERE B = """"""&amp;B45&amp;"""""""")), ""(\d+)"", """"""$1"""""") &amp; ""]"", """"),
   IFERROR(""["" &amp; REGEXREPLACE(JOIN("", "", QUERY(Data!$A$2:$K51"&amp;"2, ""SELECT K WHERE B = '""&amp;B45&amp;""'"")), ""(\d+)"", """"""$1"""""") &amp; ""]"", """")
)"),"[""43""]")</f>
        <v>["43"]</v>
      </c>
      <c r="F45" s="124"/>
      <c r="G45" s="124"/>
      <c r="H45" s="124"/>
      <c r="I45" s="124"/>
    </row>
    <row r="46">
      <c r="A46" s="126">
        <v>1380.0</v>
      </c>
      <c r="B46" s="126" t="s">
        <v>573</v>
      </c>
      <c r="C46" s="125" t="s">
        <v>539</v>
      </c>
      <c r="D46" s="124">
        <v>2.696964E7</v>
      </c>
      <c r="E46" s="124" t="str">
        <f>IFERROR(__xludf.DUMMYFUNCTION("IF(
   ISNUMBER(FIND(""'"", B46)),
   IFERROR(""["" &amp; REGEXREPLACE(JOIN("", "", QUERY(Data!$A$2:$K512, ""SELECT K WHERE B = """"""&amp;B46&amp;"""""""")), ""(\d+)"", """"""$1"""""") &amp; ""]"", """"),
   IFERROR(""["" &amp; REGEXREPLACE(JOIN("", "", QUERY(Data!$A$2:$K51"&amp;"2, ""SELECT K WHERE B = '""&amp;B46&amp;""'"")), ""(\d+)"", """"""$1"""""") &amp; ""]"", """")
)"),"[""43""]")</f>
        <v>["43"]</v>
      </c>
      <c r="F46" s="124"/>
      <c r="G46" s="124"/>
      <c r="H46" s="124"/>
      <c r="I46" s="124"/>
    </row>
    <row r="47">
      <c r="A47" s="126">
        <v>1359.0</v>
      </c>
      <c r="B47" s="126" t="s">
        <v>578</v>
      </c>
      <c r="C47" s="125" t="s">
        <v>539</v>
      </c>
      <c r="D47" s="124">
        <v>2.696964E7</v>
      </c>
      <c r="E47" s="124" t="str">
        <f>IFERROR(__xludf.DUMMYFUNCTION("IF(
   ISNUMBER(FIND(""'"", B47)),
   IFERROR(""["" &amp; REGEXREPLACE(JOIN("", "", QUERY(Data!$A$2:$K512, ""SELECT K WHERE B = """"""&amp;B47&amp;"""""""")), ""(\d+)"", """"""$1"""""") &amp; ""]"", """"),
   IFERROR(""["" &amp; REGEXREPLACE(JOIN("", "", QUERY(Data!$A$2:$K51"&amp;"2, ""SELECT K WHERE B = '""&amp;B47&amp;""'"")), ""(\d+)"", """"""$1"""""") &amp; ""]"", """")
)"),"[""13"", ""65"", ""65""]")</f>
        <v>["13", "65", "65"]</v>
      </c>
      <c r="F47" s="124"/>
      <c r="G47" s="124"/>
      <c r="H47" s="124"/>
      <c r="I47" s="124"/>
    </row>
    <row r="48">
      <c r="A48" s="126">
        <v>1456.0</v>
      </c>
      <c r="B48" s="126" t="s">
        <v>596</v>
      </c>
      <c r="C48" s="124" t="s">
        <v>539</v>
      </c>
      <c r="D48" s="124">
        <v>2.696964E7</v>
      </c>
      <c r="E48" s="124" t="str">
        <f>IFERROR(__xludf.DUMMYFUNCTION("IF(
   ISNUMBER(FIND(""'"", B48)),
   IFERROR(""["" &amp; REGEXREPLACE(JOIN("", "", QUERY(Data!$A$2:$K512, ""SELECT K WHERE B = """"""&amp;B48&amp;"""""""")), ""(\d+)"", """"""$1"""""") &amp; ""]"", """"),
   IFERROR(""["" &amp; REGEXREPLACE(JOIN("", "", QUERY(Data!$A$2:$K51"&amp;"2, ""SELECT K WHERE B = '""&amp;B48&amp;""'"")), ""(\d+)"", """"""$1"""""") &amp; ""]"", """")
)"),"[""55""]")</f>
        <v>["55"]</v>
      </c>
      <c r="F48" s="124"/>
      <c r="G48" s="124"/>
      <c r="H48" s="124"/>
      <c r="I48" s="124"/>
    </row>
    <row r="49">
      <c r="A49" s="126">
        <v>1360.0</v>
      </c>
      <c r="B49" s="126" t="s">
        <v>608</v>
      </c>
      <c r="C49" s="125" t="s">
        <v>539</v>
      </c>
      <c r="D49" s="124">
        <v>2.696964E7</v>
      </c>
      <c r="E49" s="124" t="str">
        <f>IFERROR(__xludf.DUMMYFUNCTION("IF(
   ISNUMBER(FIND(""'"", B49)),
   IFERROR(""["" &amp; REGEXREPLACE(JOIN("", "", QUERY(Data!$A$2:$K512, ""SELECT K WHERE B = """"""&amp;B49&amp;"""""""")), ""(\d+)"", """"""$1"""""") &amp; ""]"", """"),
   IFERROR(""["" &amp; REGEXREPLACE(JOIN("", "", QUERY(Data!$A$2:$K51"&amp;"2, ""SELECT K WHERE B = '""&amp;B49&amp;""'"")), ""(\d+)"", """"""$1"""""") &amp; ""]"", """")
)"),"[""13"", ""52"", ""55"", ""65""]")</f>
        <v>["13", "52", "55", "65"]</v>
      </c>
      <c r="F49" s="124"/>
      <c r="G49" s="124"/>
      <c r="H49" s="124"/>
      <c r="I49" s="124"/>
    </row>
    <row r="50">
      <c r="A50" s="126">
        <v>1363.0</v>
      </c>
      <c r="B50" s="126" t="s">
        <v>625</v>
      </c>
      <c r="C50" s="125" t="s">
        <v>539</v>
      </c>
      <c r="D50" s="124">
        <v>2.696964E7</v>
      </c>
      <c r="E50" s="124" t="str">
        <f>IFERROR(__xludf.DUMMYFUNCTION("IF(
   ISNUMBER(FIND(""'"", B50)),
   IFERROR(""["" &amp; REGEXREPLACE(JOIN("", "", QUERY(Data!$A$2:$K512, ""SELECT K WHERE B = """"""&amp;B50&amp;"""""""")), ""(\d+)"", """"""$1"""""") &amp; ""]"", """"),
   IFERROR(""["" &amp; REGEXREPLACE(JOIN("", "", QUERY(Data!$A$2:$K51"&amp;"2, ""SELECT K WHERE B = '""&amp;B50&amp;""'"")), ""(\d+)"", """"""$1"""""") &amp; ""]"", """")
)"),"[""44""]")</f>
        <v>["44"]</v>
      </c>
      <c r="F50" s="124"/>
      <c r="G50" s="124"/>
      <c r="H50" s="124"/>
      <c r="I50" s="124"/>
    </row>
    <row r="51">
      <c r="A51" s="126">
        <v>1364.0</v>
      </c>
      <c r="B51" s="126" t="s">
        <v>635</v>
      </c>
      <c r="C51" s="125" t="s">
        <v>539</v>
      </c>
      <c r="D51" s="124">
        <v>2.696964E7</v>
      </c>
      <c r="E51" s="124" t="str">
        <f>IFERROR(__xludf.DUMMYFUNCTION("IF(
   ISNUMBER(FIND(""'"", B51)),
   IFERROR(""["" &amp; REGEXREPLACE(JOIN("", "", QUERY(Data!$A$2:$K512, ""SELECT K WHERE B = """"""&amp;B51&amp;"""""""")), ""(\d+)"", """"""$1"""""") &amp; ""]"", """"),
   IFERROR(""["" &amp; REGEXREPLACE(JOIN("", "", QUERY(Data!$A$2:$K51"&amp;"2, ""SELECT K WHERE B = '""&amp;B51&amp;""'"")), ""(\d+)"", """"""$1"""""") &amp; ""]"", """")
)"),"[""44""]")</f>
        <v>["44"]</v>
      </c>
      <c r="F51" s="124"/>
      <c r="G51" s="124"/>
      <c r="H51" s="124"/>
      <c r="I51" s="124"/>
    </row>
    <row r="52">
      <c r="A52" s="126">
        <v>1365.0</v>
      </c>
      <c r="B52" s="126" t="s">
        <v>640</v>
      </c>
      <c r="C52" s="125" t="s">
        <v>539</v>
      </c>
      <c r="D52" s="124">
        <v>2.696964E7</v>
      </c>
      <c r="E52" s="124" t="str">
        <f>IFERROR(__xludf.DUMMYFUNCTION("IF(
   ISNUMBER(FIND(""'"", B52)),
   IFERROR(""["" &amp; REGEXREPLACE(JOIN("", "", QUERY(Data!$A$2:$K512, ""SELECT K WHERE B = """"""&amp;B52&amp;"""""""")), ""(\d+)"", """"""$1"""""") &amp; ""]"", """"),
   IFERROR(""["" &amp; REGEXREPLACE(JOIN("", "", QUERY(Data!$A$2:$K51"&amp;"2, ""SELECT K WHERE B = '""&amp;B52&amp;""'"")), ""(\d+)"", """"""$1"""""") &amp; ""]"", """")
)"),"[""44""]")</f>
        <v>["44"]</v>
      </c>
      <c r="F52" s="124"/>
      <c r="G52" s="124"/>
      <c r="H52" s="124"/>
      <c r="I52" s="124"/>
    </row>
    <row r="53">
      <c r="A53" s="126">
        <v>1367.0</v>
      </c>
      <c r="B53" s="126" t="s">
        <v>646</v>
      </c>
      <c r="C53" s="125" t="s">
        <v>539</v>
      </c>
      <c r="D53" s="124">
        <v>2.696964E7</v>
      </c>
      <c r="E53" s="124" t="str">
        <f>IFERROR(__xludf.DUMMYFUNCTION("IF(
   ISNUMBER(FIND(""'"", B53)),
   IFERROR(""["" &amp; REGEXREPLACE(JOIN("", "", QUERY(Data!$A$2:$K512, ""SELECT K WHERE B = """"""&amp;B53&amp;"""""""")), ""(\d+)"", """"""$1"""""") &amp; ""]"", """"),
   IFERROR(""["" &amp; REGEXREPLACE(JOIN("", "", QUERY(Data!$A$2:$K51"&amp;"2, ""SELECT K WHERE B = '""&amp;B53&amp;""'"")), ""(\d+)"", """"""$1"""""") &amp; ""]"", """")
)"),"[""44""]")</f>
        <v>["44"]</v>
      </c>
      <c r="F53" s="124"/>
      <c r="G53" s="124"/>
      <c r="H53" s="124"/>
      <c r="I53" s="124"/>
    </row>
    <row r="54">
      <c r="A54" s="126">
        <v>1368.0</v>
      </c>
      <c r="B54" s="126" t="s">
        <v>651</v>
      </c>
      <c r="C54" s="125" t="s">
        <v>539</v>
      </c>
      <c r="D54" s="124">
        <v>2.696964E7</v>
      </c>
      <c r="E54" s="124" t="str">
        <f>IFERROR(__xludf.DUMMYFUNCTION("IF(
   ISNUMBER(FIND(""'"", B54)),
   IFERROR(""["" &amp; REGEXREPLACE(JOIN("", "", QUERY(Data!$A$2:$K512, ""SELECT K WHERE B = """"""&amp;B54&amp;"""""""")), ""(\d+)"", """"""$1"""""") &amp; ""]"", """"),
   IFERROR(""["" &amp; REGEXREPLACE(JOIN("", "", QUERY(Data!$A$2:$K51"&amp;"2, ""SELECT K WHERE B = '""&amp;B54&amp;""'"")), ""(\d+)"", """"""$1"""""") &amp; ""]"", """")
)"),"[""44""]")</f>
        <v>["44"]</v>
      </c>
      <c r="F54" s="124"/>
      <c r="G54" s="124"/>
      <c r="H54" s="124"/>
      <c r="I54" s="124"/>
    </row>
    <row r="55">
      <c r="A55" s="126">
        <v>1369.0</v>
      </c>
      <c r="B55" s="126" t="s">
        <v>656</v>
      </c>
      <c r="C55" s="125" t="s">
        <v>539</v>
      </c>
      <c r="D55" s="124">
        <v>2.696964E7</v>
      </c>
      <c r="E55" s="124" t="str">
        <f>IFERROR(__xludf.DUMMYFUNCTION("IF(
   ISNUMBER(FIND(""'"", B55)),
   IFERROR(""["" &amp; REGEXREPLACE(JOIN("", "", QUERY(Data!$A$2:$K512, ""SELECT K WHERE B = """"""&amp;B55&amp;"""""""")), ""(\d+)"", """"""$1"""""") &amp; ""]"", """"),
   IFERROR(""["" &amp; REGEXREPLACE(JOIN("", "", QUERY(Data!$A$2:$K51"&amp;"2, ""SELECT K WHERE B = '""&amp;B55&amp;""'"")), ""(\d+)"", """"""$1"""""") &amp; ""]"", """")
)"),"[""44""]")</f>
        <v>["44"]</v>
      </c>
      <c r="F55" s="124"/>
      <c r="G55" s="124"/>
      <c r="H55" s="124"/>
      <c r="I55" s="124"/>
    </row>
    <row r="56">
      <c r="A56" s="126">
        <v>1370.0</v>
      </c>
      <c r="B56" s="126" t="s">
        <v>663</v>
      </c>
      <c r="C56" s="125" t="s">
        <v>539</v>
      </c>
      <c r="D56" s="124">
        <v>2.696964E7</v>
      </c>
      <c r="E56" s="124" t="str">
        <f>IFERROR(__xludf.DUMMYFUNCTION("IF(
   ISNUMBER(FIND(""'"", B56)),
   IFERROR(""["" &amp; REGEXREPLACE(JOIN("", "", QUERY(Data!$A$2:$K512, ""SELECT K WHERE B = """"""&amp;B56&amp;"""""""")), ""(\d+)"", """"""$1"""""") &amp; ""]"", """"),
   IFERROR(""["" &amp; REGEXREPLACE(JOIN("", "", QUERY(Data!$A$2:$K51"&amp;"2, ""SELECT K WHERE B = '""&amp;B56&amp;""'"")), ""(\d+)"", """"""$1"""""") &amp; ""]"", """")
)"),"[""44""]")</f>
        <v>["44"]</v>
      </c>
      <c r="F56" s="124"/>
      <c r="G56" s="124"/>
      <c r="H56" s="124"/>
      <c r="I56" s="124"/>
    </row>
    <row r="57">
      <c r="A57" s="126">
        <v>1371.0</v>
      </c>
      <c r="B57" s="126" t="s">
        <v>668</v>
      </c>
      <c r="C57" s="125" t="s">
        <v>539</v>
      </c>
      <c r="D57" s="124">
        <v>2.696964E7</v>
      </c>
      <c r="E57" s="124" t="str">
        <f>IFERROR(__xludf.DUMMYFUNCTION("IF(
   ISNUMBER(FIND(""'"", B57)),
   IFERROR(""["" &amp; REGEXREPLACE(JOIN("", "", QUERY(Data!$A$2:$K512, ""SELECT K WHERE B = """"""&amp;B57&amp;"""""""")), ""(\d+)"", """"""$1"""""") &amp; ""]"", """"),
   IFERROR(""["" &amp; REGEXREPLACE(JOIN("", "", QUERY(Data!$A$2:$K51"&amp;"2, ""SELECT K WHERE B = '""&amp;B57&amp;""'"")), ""(\d+)"", """"""$1"""""") &amp; ""]"", """")
)"),"[""44""]")</f>
        <v>["44"]</v>
      </c>
      <c r="F57" s="124"/>
      <c r="G57" s="124"/>
      <c r="H57" s="124"/>
      <c r="I57" s="124"/>
    </row>
    <row r="58">
      <c r="A58" s="126">
        <v>1372.0</v>
      </c>
      <c r="B58" s="126" t="s">
        <v>674</v>
      </c>
      <c r="C58" s="125" t="s">
        <v>539</v>
      </c>
      <c r="D58" s="124">
        <v>2.696964E7</v>
      </c>
      <c r="E58" s="124" t="str">
        <f>IFERROR(__xludf.DUMMYFUNCTION("IF(
   ISNUMBER(FIND(""'"", B58)),
   IFERROR(""["" &amp; REGEXREPLACE(JOIN("", "", QUERY(Data!$A$2:$K512, ""SELECT K WHERE B = """"""&amp;B58&amp;"""""""")), ""(\d+)"", """"""$1"""""") &amp; ""]"", """"),
   IFERROR(""["" &amp; REGEXREPLACE(JOIN("", "", QUERY(Data!$A$2:$K51"&amp;"2, ""SELECT K WHERE B = '""&amp;B58&amp;""'"")), ""(\d+)"", """"""$1"""""") &amp; ""]"", """")
)"),"[""44""]")</f>
        <v>["44"]</v>
      </c>
      <c r="F58" s="124"/>
      <c r="G58" s="124"/>
      <c r="H58" s="124"/>
      <c r="I58" s="124"/>
    </row>
    <row r="59">
      <c r="A59" s="126">
        <v>1373.0</v>
      </c>
      <c r="B59" s="126" t="s">
        <v>681</v>
      </c>
      <c r="C59" s="125" t="s">
        <v>539</v>
      </c>
      <c r="D59" s="124">
        <v>2.696964E7</v>
      </c>
      <c r="E59" s="124" t="str">
        <f>IFERROR(__xludf.DUMMYFUNCTION("IF(
   ISNUMBER(FIND(""'"", B59)),
   IFERROR(""["" &amp; REGEXREPLACE(JOIN("", "", QUERY(Data!$A$2:$K512, ""SELECT K WHERE B = """"""&amp;B59&amp;"""""""")), ""(\d+)"", """"""$1"""""") &amp; ""]"", """"),
   IFERROR(""["" &amp; REGEXREPLACE(JOIN("", "", QUERY(Data!$A$2:$K51"&amp;"2, ""SELECT K WHERE B = '""&amp;B59&amp;""'"")), ""(\d+)"", """"""$1"""""") &amp; ""]"", """")
)"),"[""44""]")</f>
        <v>["44"]</v>
      </c>
      <c r="F59" s="124"/>
      <c r="G59" s="124"/>
      <c r="H59" s="124"/>
      <c r="I59" s="124"/>
    </row>
    <row r="60">
      <c r="A60" s="126">
        <v>1374.0</v>
      </c>
      <c r="B60" s="126" t="s">
        <v>686</v>
      </c>
      <c r="C60" s="125" t="s">
        <v>539</v>
      </c>
      <c r="D60" s="124">
        <v>2.696964E7</v>
      </c>
      <c r="E60" s="124" t="str">
        <f>IFERROR(__xludf.DUMMYFUNCTION("IF(
   ISNUMBER(FIND(""'"", B60)),
   IFERROR(""["" &amp; REGEXREPLACE(JOIN("", "", QUERY(Data!$A$2:$K512, ""SELECT K WHERE B = """"""&amp;B60&amp;"""""""")), ""(\d+)"", """"""$1"""""") &amp; ""]"", """"),
   IFERROR(""["" &amp; REGEXREPLACE(JOIN("", "", QUERY(Data!$A$2:$K51"&amp;"2, ""SELECT K WHERE B = '""&amp;B60&amp;""'"")), ""(\d+)"", """"""$1"""""") &amp; ""]"", """")
)"),"[""44""]")</f>
        <v>["44"]</v>
      </c>
      <c r="F60" s="124"/>
      <c r="G60" s="124"/>
      <c r="H60" s="124"/>
      <c r="I60" s="124"/>
    </row>
    <row r="61">
      <c r="A61" s="126">
        <v>1366.0</v>
      </c>
      <c r="B61" s="126" t="s">
        <v>691</v>
      </c>
      <c r="C61" s="125" t="s">
        <v>539</v>
      </c>
      <c r="D61" s="124">
        <v>2.696964E7</v>
      </c>
      <c r="E61" s="124" t="str">
        <f>IFERROR(__xludf.DUMMYFUNCTION("IF(
   ISNUMBER(FIND(""'"", B61)),
   IFERROR(""["" &amp; REGEXREPLACE(JOIN("", "", QUERY(Data!$A$2:$K512, ""SELECT K WHERE B = """"""&amp;B61&amp;"""""""")), ""(\d+)"", """"""$1"""""") &amp; ""]"", """"),
   IFERROR(""["" &amp; REGEXREPLACE(JOIN("", "", QUERY(Data!$A$2:$K51"&amp;"2, ""SELECT K WHERE B = '""&amp;B61&amp;""'"")), ""(\d+)"", """"""$1"""""") &amp; ""]"", """")
)"),"[""44""]")</f>
        <v>["44"]</v>
      </c>
      <c r="F61" s="124"/>
      <c r="G61" s="124"/>
      <c r="H61" s="124"/>
      <c r="I61" s="124"/>
    </row>
    <row r="62">
      <c r="A62" s="126">
        <v>1375.0</v>
      </c>
      <c r="B62" s="126" t="s">
        <v>698</v>
      </c>
      <c r="C62" s="125" t="s">
        <v>539</v>
      </c>
      <c r="D62" s="124">
        <v>2.696964E7</v>
      </c>
      <c r="E62" s="124" t="str">
        <f>IFERROR(__xludf.DUMMYFUNCTION("IF(
   ISNUMBER(FIND(""'"", B62)),
   IFERROR(""["" &amp; REGEXREPLACE(JOIN("", "", QUERY(Data!$A$2:$K512, ""SELECT K WHERE B = """"""&amp;B62&amp;"""""""")), ""(\d+)"", """"""$1"""""") &amp; ""]"", """"),
   IFERROR(""["" &amp; REGEXREPLACE(JOIN("", "", QUERY(Data!$A$2:$K51"&amp;"2, ""SELECT K WHERE B = '""&amp;B62&amp;""'"")), ""(\d+)"", """"""$1"""""") &amp; ""]"", """")
)"),"[""44""]")</f>
        <v>["44"]</v>
      </c>
      <c r="F62" s="124"/>
      <c r="G62" s="124"/>
      <c r="H62" s="124"/>
      <c r="I62" s="124"/>
    </row>
    <row r="63">
      <c r="A63" s="126">
        <v>1376.0</v>
      </c>
      <c r="B63" s="126" t="s">
        <v>704</v>
      </c>
      <c r="C63" s="125" t="s">
        <v>539</v>
      </c>
      <c r="D63" s="124">
        <v>2.696964E7</v>
      </c>
      <c r="E63" s="124" t="str">
        <f>IFERROR(__xludf.DUMMYFUNCTION("IF(
   ISNUMBER(FIND(""'"", B63)),
   IFERROR(""["" &amp; REGEXREPLACE(JOIN("", "", QUERY(Data!$A$2:$K512, ""SELECT K WHERE B = """"""&amp;B63&amp;"""""""")), ""(\d+)"", """"""$1"""""") &amp; ""]"", """"),
   IFERROR(""["" &amp; REGEXREPLACE(JOIN("", "", QUERY(Data!$A$2:$K51"&amp;"2, ""SELECT K WHERE B = '""&amp;B63&amp;""'"")), ""(\d+)"", """"""$1"""""") &amp; ""]"", """")
)"),"[""44""]")</f>
        <v>["44"]</v>
      </c>
      <c r="F63" s="124"/>
      <c r="G63" s="124"/>
      <c r="H63" s="124"/>
      <c r="I63" s="124"/>
    </row>
    <row r="64">
      <c r="A64" s="126">
        <v>1377.0</v>
      </c>
      <c r="B64" s="126" t="s">
        <v>709</v>
      </c>
      <c r="C64" s="125" t="s">
        <v>539</v>
      </c>
      <c r="D64" s="124">
        <v>2.696964E7</v>
      </c>
      <c r="E64" s="124" t="str">
        <f>IFERROR(__xludf.DUMMYFUNCTION("IF(
   ISNUMBER(FIND(""'"", B64)),
   IFERROR(""["" &amp; REGEXREPLACE(JOIN("", "", QUERY(Data!$A$2:$K512, ""SELECT K WHERE B = """"""&amp;B64&amp;"""""""")), ""(\d+)"", """"""$1"""""") &amp; ""]"", """"),
   IFERROR(""["" &amp; REGEXREPLACE(JOIN("", "", QUERY(Data!$A$2:$K51"&amp;"2, ""SELECT K WHERE B = '""&amp;B64&amp;""'"")), ""(\d+)"", """"""$1"""""") &amp; ""]"", """")
)"),"[""44""]")</f>
        <v>["44"]</v>
      </c>
      <c r="F64" s="124"/>
      <c r="G64" s="124"/>
      <c r="H64" s="124"/>
      <c r="I64" s="124"/>
    </row>
    <row r="65">
      <c r="A65" s="126">
        <v>1378.0</v>
      </c>
      <c r="B65" s="126" t="s">
        <v>716</v>
      </c>
      <c r="C65" s="125" t="s">
        <v>539</v>
      </c>
      <c r="D65" s="124">
        <v>2.696964E7</v>
      </c>
      <c r="E65" s="124" t="str">
        <f>IFERROR(__xludf.DUMMYFUNCTION("IF(
   ISNUMBER(FIND(""'"", B65)),
   IFERROR(""["" &amp; REGEXREPLACE(JOIN("", "", QUERY(Data!$A$2:$K512, ""SELECT K WHERE B = """"""&amp;B65&amp;"""""""")), ""(\d+)"", """"""$1"""""") &amp; ""]"", """"),
   IFERROR(""["" &amp; REGEXREPLACE(JOIN("", "", QUERY(Data!$A$2:$K51"&amp;"2, ""SELECT K WHERE B = '""&amp;B65&amp;""'"")), ""(\d+)"", """"""$1"""""") &amp; ""]"", """")
)"),"[""44""]")</f>
        <v>["44"]</v>
      </c>
      <c r="F65" s="124"/>
      <c r="G65" s="124"/>
      <c r="H65" s="124"/>
      <c r="I65" s="124"/>
    </row>
    <row r="66">
      <c r="A66" s="126">
        <v>1361.0</v>
      </c>
      <c r="B66" s="126" t="s">
        <v>721</v>
      </c>
      <c r="C66" s="125" t="s">
        <v>539</v>
      </c>
      <c r="D66" s="124">
        <v>2.696964E7</v>
      </c>
      <c r="E66" s="124" t="str">
        <f>IFERROR(__xludf.DUMMYFUNCTION("IF(
   ISNUMBER(FIND(""'"", B66)),
   IFERROR(""["" &amp; REGEXREPLACE(JOIN("", "", QUERY(Data!$A$2:$K512, ""SELECT K WHERE B = """"""&amp;B66&amp;"""""""")), ""(\d+)"", """"""$1"""""") &amp; ""]"", """"),
   IFERROR(""["" &amp; REGEXREPLACE(JOIN("", "", QUERY(Data!$A$2:$K51"&amp;"2, ""SELECT K WHERE B = '""&amp;B66&amp;""'"")), ""(\d+)"", """"""$1"""""") &amp; ""]"", """")
)"),"[""13"", ""35"", ""35"", ""65"", ""65""]")</f>
        <v>["13", "35", "35", "65", "65"]</v>
      </c>
      <c r="F66" s="124"/>
      <c r="G66" s="124"/>
      <c r="H66" s="124"/>
      <c r="I66" s="124"/>
    </row>
    <row r="67">
      <c r="A67" s="126">
        <v>1362.0</v>
      </c>
      <c r="B67" s="126" t="s">
        <v>739</v>
      </c>
      <c r="C67" s="125" t="s">
        <v>539</v>
      </c>
      <c r="D67" s="124">
        <v>2.696964E7</v>
      </c>
      <c r="E67" s="124" t="str">
        <f>IFERROR(__xludf.DUMMYFUNCTION("IF(
   ISNUMBER(FIND(""'"", B67)),
   IFERROR(""["" &amp; REGEXREPLACE(JOIN("", "", QUERY(Data!$A$2:$K512, ""SELECT K WHERE B = """"""&amp;B67&amp;"""""""")), ""(\d+)"", """"""$1"""""") &amp; ""]"", """"),
   IFERROR(""["" &amp; REGEXREPLACE(JOIN("", "", QUERY(Data!$A$2:$K51"&amp;"2, ""SELECT K WHERE B = '""&amp;B67&amp;""'"")), ""(\d+)"", """"""$1"""""") &amp; ""]"", """")
)"),"[""13"", ""55"", ""65"", ""65""]")</f>
        <v>["13", "55", "65", "65"]</v>
      </c>
      <c r="F67" s="124"/>
      <c r="G67" s="124"/>
      <c r="H67" s="124"/>
      <c r="I67" s="124"/>
    </row>
    <row r="68">
      <c r="A68" s="125">
        <v>1022.0</v>
      </c>
      <c r="B68" s="125" t="s">
        <v>747</v>
      </c>
      <c r="C68" s="124" t="s">
        <v>747</v>
      </c>
      <c r="D68" s="124"/>
      <c r="E68" s="124" t="str">
        <f>IFERROR(__xludf.DUMMYFUNCTION("IF(
   ISNUMBER(FIND(""'"", B68)),
   IFERROR(""["" &amp; REGEXREPLACE(JOIN("", "", QUERY(Data!$A$2:$K512, ""SELECT K WHERE B = """"""&amp;B68&amp;"""""""")), ""(\d+)"", """"""$1"""""") &amp; ""]"", """"),
   IFERROR(""["" &amp; REGEXREPLACE(JOIN("", "", QUERY(Data!$A$2:$K51"&amp;"2, ""SELECT K WHERE B = '""&amp;B68&amp;""'"")), ""(\d+)"", """"""$1"""""") &amp; ""]"", """")
)"),"[""13"", ""14""]")</f>
        <v>["13", "14"]</v>
      </c>
      <c r="F68" s="124"/>
      <c r="G68" s="124"/>
      <c r="H68" s="124"/>
      <c r="I68" s="124"/>
    </row>
    <row r="69">
      <c r="A69" s="125">
        <v>1399.0</v>
      </c>
      <c r="B69" s="126" t="s">
        <v>760</v>
      </c>
      <c r="C69" s="126" t="s">
        <v>760</v>
      </c>
      <c r="D69" s="124"/>
      <c r="E69" s="124" t="str">
        <f>IFERROR(__xludf.DUMMYFUNCTION("IF(
   ISNUMBER(FIND(""'"", B69)),
   IFERROR(""["" &amp; REGEXREPLACE(JOIN("", "", QUERY(Data!$A$2:$K512, ""SELECT K WHERE B = """"""&amp;B69&amp;"""""""")), ""(\d+)"", """"""$1"""""") &amp; ""]"", """"),
   IFERROR(""["" &amp; REGEXREPLACE(JOIN("", "", QUERY(Data!$A$2:$K51"&amp;"2, ""SELECT K WHERE B = '""&amp;B69&amp;""'"")), ""(\d+)"", """"""$1"""""") &amp; ""]"", """")
)"),"[""63""]")</f>
        <v>["63"]</v>
      </c>
      <c r="F69" s="124"/>
      <c r="G69" s="124"/>
      <c r="H69" s="124"/>
      <c r="I69" s="124"/>
    </row>
    <row r="70">
      <c r="A70" s="126">
        <v>1411.0</v>
      </c>
      <c r="B70" s="126" t="s">
        <v>772</v>
      </c>
      <c r="C70" s="126" t="s">
        <v>772</v>
      </c>
      <c r="D70" s="124"/>
      <c r="E70" s="124" t="str">
        <f>IFERROR(__xludf.DUMMYFUNCTION("IF(
   ISNUMBER(FIND(""'"", B70)),
   IFERROR(""["" &amp; REGEXREPLACE(JOIN("", "", QUERY(Data!$A$2:$K512, ""SELECT K WHERE B = """"""&amp;B70&amp;"""""""")), ""(\d+)"", """"""$1"""""") &amp; ""]"", """"),
   IFERROR(""["" &amp; REGEXREPLACE(JOIN("", "", QUERY(Data!$A$2:$K51"&amp;"2, ""SELECT K WHERE B = '""&amp;B70&amp;""'"")), ""(\d+)"", """"""$1"""""") &amp; ""]"", """")
)"),"[""21""]")</f>
        <v>["21"]</v>
      </c>
      <c r="F70" s="124"/>
      <c r="G70" s="124"/>
      <c r="H70" s="124"/>
      <c r="I70" s="124"/>
    </row>
    <row r="71">
      <c r="A71" s="125">
        <v>1023.0</v>
      </c>
      <c r="B71" s="126" t="s">
        <v>783</v>
      </c>
      <c r="C71" s="124" t="s">
        <v>783</v>
      </c>
      <c r="D71" s="124"/>
      <c r="E71" s="124" t="str">
        <f>IFERROR(__xludf.DUMMYFUNCTION("IF(
   ISNUMBER(FIND(""'"", B71)),
   IFERROR(""["" &amp; REGEXREPLACE(JOIN("", "", QUERY(Data!$A$2:$K512, ""SELECT K WHERE B = """"""&amp;B71&amp;"""""""")), ""(\d+)"", """"""$1"""""") &amp; ""]"", """"),
   IFERROR(""["" &amp; REGEXREPLACE(JOIN("", "", QUERY(Data!$A$2:$K51"&amp;"2, ""SELECT K WHERE B = '""&amp;B71&amp;""'"")), ""(\d+)"", """"""$1"""""") &amp; ""]"", """")
)"),"[""41""]")</f>
        <v>["41"]</v>
      </c>
      <c r="F71" s="124"/>
      <c r="G71" s="124"/>
      <c r="H71" s="124"/>
      <c r="I71" s="124"/>
    </row>
    <row r="72">
      <c r="A72" s="125">
        <v>1024.0</v>
      </c>
      <c r="B72" s="125" t="s">
        <v>792</v>
      </c>
      <c r="C72" s="124" t="s">
        <v>792</v>
      </c>
      <c r="D72" s="124"/>
      <c r="E72" s="124" t="str">
        <f>IFERROR(__xludf.DUMMYFUNCTION("IF(
   ISNUMBER(FIND(""'"", B72)),
   IFERROR(""["" &amp; REGEXREPLACE(JOIN("", "", QUERY(Data!$A$2:$K512, ""SELECT K WHERE B = """"""&amp;B72&amp;"""""""")), ""(\d+)"", """"""$1"""""") &amp; ""]"", """"),
   IFERROR(""["" &amp; REGEXREPLACE(JOIN("", "", QUERY(Data!$A$2:$K51"&amp;"2, ""SELECT K WHERE B = '""&amp;B72&amp;""'"")), ""(\d+)"", """"""$1"""""") &amp; ""]"", """")
)"),"[""31""]")</f>
        <v>["31"]</v>
      </c>
      <c r="F72" s="124"/>
      <c r="G72" s="124"/>
      <c r="H72" s="124"/>
      <c r="I72" s="124"/>
    </row>
    <row r="73">
      <c r="A73" s="126">
        <v>1448.0</v>
      </c>
      <c r="B73" s="126" t="s">
        <v>807</v>
      </c>
      <c r="C73" s="126" t="s">
        <v>807</v>
      </c>
      <c r="D73" s="124"/>
      <c r="E73" s="124" t="str">
        <f>IFERROR(__xludf.DUMMYFUNCTION("IF(
   ISNUMBER(FIND(""'"", B73)),
   IFERROR(""["" &amp; REGEXREPLACE(JOIN("", "", QUERY(Data!$A$2:$K512, ""SELECT K WHERE B = """"""&amp;B73&amp;"""""""")), ""(\d+)"", """"""$1"""""") &amp; ""]"", """"),
   IFERROR(""["" &amp; REGEXREPLACE(JOIN("", "", QUERY(Data!$A$2:$K51"&amp;"2, ""SELECT K WHERE B = '""&amp;B73&amp;""'"")), ""(\d+)"", """"""$1"""""") &amp; ""]"", """")
)"),"[""31"", ""64"", ""65""]")</f>
        <v>["31", "64", "65"]</v>
      </c>
      <c r="F73" s="124"/>
      <c r="G73" s="124"/>
      <c r="H73" s="124"/>
      <c r="I73" s="124"/>
    </row>
    <row r="74">
      <c r="A74" s="125">
        <v>1025.0</v>
      </c>
      <c r="B74" s="126" t="s">
        <v>820</v>
      </c>
      <c r="C74" s="124" t="s">
        <v>820</v>
      </c>
      <c r="D74" s="124"/>
      <c r="E74" s="124" t="str">
        <f>IFERROR(__xludf.DUMMYFUNCTION("IF(
   ISNUMBER(FIND(""'"", B74)),
   IFERROR(""["" &amp; REGEXREPLACE(JOIN("", "", QUERY(Data!$A$2:$K512, ""SELECT K WHERE B = """"""&amp;B74&amp;"""""""")), ""(\d+)"", """"""$1"""""") &amp; ""]"", """"),
   IFERROR(""["" &amp; REGEXREPLACE(JOIN("", "", QUERY(Data!$A$2:$K51"&amp;"2, ""SELECT K WHERE B = '""&amp;B74&amp;""'"")), ""(\d+)"", """"""$1"""""") &amp; ""]"", """")
)"),"[""31"", ""32"", ""33""]")</f>
        <v>["31", "32", "33"]</v>
      </c>
      <c r="F74" s="124"/>
      <c r="G74" s="124"/>
      <c r="H74" s="124"/>
      <c r="I74" s="124"/>
    </row>
    <row r="75">
      <c r="A75" s="125">
        <v>1026.0</v>
      </c>
      <c r="B75" s="125" t="s">
        <v>833</v>
      </c>
      <c r="C75" s="124" t="s">
        <v>833</v>
      </c>
      <c r="D75" s="124"/>
      <c r="E75" s="124" t="str">
        <f>IFERROR(__xludf.DUMMYFUNCTION("IF(
   ISNUMBER(FIND(""'"", B75)),
   IFERROR(""["" &amp; REGEXREPLACE(JOIN("", "", QUERY(Data!$A$2:$K512, ""SELECT K WHERE B = """"""&amp;B75&amp;"""""""")), ""(\d+)"", """"""$1"""""") &amp; ""]"", """"),
   IFERROR(""["" &amp; REGEXREPLACE(JOIN("", "", QUERY(Data!$A$2:$K51"&amp;"2, ""SELECT K WHERE B = '""&amp;B75&amp;""'"")), ""(\d+)"", """"""$1"""""") &amp; ""]"", """")
)"),"[""13"", ""61""]")</f>
        <v>["13", "61"]</v>
      </c>
      <c r="F75" s="124"/>
      <c r="G75" s="124"/>
      <c r="H75" s="124"/>
      <c r="I75" s="124"/>
    </row>
    <row r="76">
      <c r="A76" s="126">
        <v>1316.0</v>
      </c>
      <c r="B76" s="126" t="s">
        <v>844</v>
      </c>
      <c r="C76" s="124" t="s">
        <v>5756</v>
      </c>
      <c r="D76" s="124"/>
      <c r="E76" s="124" t="str">
        <f>IFERROR(__xludf.DUMMYFUNCTION("IF(
   ISNUMBER(FIND(""'"", B76)),
   IFERROR(""["" &amp; REGEXREPLACE(JOIN("", "", QUERY(Data!$A$2:$K512, ""SELECT K WHERE B = """"""&amp;B76&amp;"""""""")), ""(\d+)"", """"""$1"""""") &amp; ""]"", """"),
   IFERROR(""["" &amp; REGEXREPLACE(JOIN("", "", QUERY(Data!$A$2:$K51"&amp;"2, ""SELECT K WHERE B = '""&amp;B76&amp;""'"")), ""(\d+)"", """"""$1"""""") &amp; ""]"", """")
)"),"[""44""]")</f>
        <v>["44"]</v>
      </c>
      <c r="F76" s="124"/>
      <c r="G76" s="124"/>
      <c r="H76" s="124"/>
      <c r="I76" s="124"/>
    </row>
    <row r="77">
      <c r="A77" s="126">
        <v>1317.0</v>
      </c>
      <c r="B77" s="126" t="s">
        <v>855</v>
      </c>
      <c r="C77" s="124" t="s">
        <v>5756</v>
      </c>
      <c r="D77" s="124"/>
      <c r="E77" s="124" t="str">
        <f>IFERROR(__xludf.DUMMYFUNCTION("IF(
   ISNUMBER(FIND(""'"", B77)),
   IFERROR(""["" &amp; REGEXREPLACE(JOIN("", "", QUERY(Data!$A$2:$K512, ""SELECT K WHERE B = """"""&amp;B77&amp;"""""""")), ""(\d+)"", """"""$1"""""") &amp; ""]"", """"),
   IFERROR(""["" &amp; REGEXREPLACE(JOIN("", "", QUERY(Data!$A$2:$K51"&amp;"2, ""SELECT K WHERE B = '""&amp;B77&amp;""'"")), ""(\d+)"", """"""$1"""""") &amp; ""]"", """")
)"),"[""44""]")</f>
        <v>["44"]</v>
      </c>
      <c r="F77" s="124"/>
      <c r="G77" s="124"/>
      <c r="H77" s="124"/>
      <c r="I77" s="124"/>
    </row>
    <row r="78">
      <c r="A78" s="126">
        <v>1318.0</v>
      </c>
      <c r="B78" s="126" t="s">
        <v>864</v>
      </c>
      <c r="C78" s="124" t="s">
        <v>5756</v>
      </c>
      <c r="D78" s="124"/>
      <c r="E78" s="124" t="str">
        <f>IFERROR(__xludf.DUMMYFUNCTION("IF(
   ISNUMBER(FIND(""'"", B78)),
   IFERROR(""["" &amp; REGEXREPLACE(JOIN("", "", QUERY(Data!$A$2:$K512, ""SELECT K WHERE B = """"""&amp;B78&amp;"""""""")), ""(\d+)"", """"""$1"""""") &amp; ""]"", """"),
   IFERROR(""["" &amp; REGEXREPLACE(JOIN("", "", QUERY(Data!$A$2:$K51"&amp;"2, ""SELECT K WHERE B = '""&amp;B78&amp;""'"")), ""(\d+)"", """"""$1"""""") &amp; ""]"", """")
)"),"[""44""]")</f>
        <v>["44"]</v>
      </c>
      <c r="F78" s="124"/>
      <c r="G78" s="124"/>
      <c r="H78" s="124"/>
      <c r="I78" s="124"/>
    </row>
    <row r="79">
      <c r="A79" s="126">
        <v>1319.0</v>
      </c>
      <c r="B79" s="126" t="s">
        <v>874</v>
      </c>
      <c r="C79" s="124" t="s">
        <v>5756</v>
      </c>
      <c r="D79" s="124"/>
      <c r="E79" s="124" t="str">
        <f>IFERROR(__xludf.DUMMYFUNCTION("IF(
   ISNUMBER(FIND(""'"", B79)),
   IFERROR(""["" &amp; REGEXREPLACE(JOIN("", "", QUERY(Data!$A$2:$K512, ""SELECT K WHERE B = """"""&amp;B79&amp;"""""""")), ""(\d+)"", """"""$1"""""") &amp; ""]"", """"),
   IFERROR(""["" &amp; REGEXREPLACE(JOIN("", "", QUERY(Data!$A$2:$K51"&amp;"2, ""SELECT K WHERE B = '""&amp;B79&amp;""'"")), ""(\d+)"", """"""$1"""""") &amp; ""]"", """")
)"),"[""44""]")</f>
        <v>["44"]</v>
      </c>
      <c r="F79" s="124"/>
      <c r="G79" s="124"/>
      <c r="H79" s="124"/>
      <c r="I79" s="124"/>
    </row>
    <row r="80">
      <c r="A80" s="126">
        <v>1320.0</v>
      </c>
      <c r="B80" s="126" t="s">
        <v>879</v>
      </c>
      <c r="C80" s="124" t="s">
        <v>5756</v>
      </c>
      <c r="D80" s="124"/>
      <c r="E80" s="124" t="str">
        <f>IFERROR(__xludf.DUMMYFUNCTION("IF(
   ISNUMBER(FIND(""'"", B80)),
   IFERROR(""["" &amp; REGEXREPLACE(JOIN("", "", QUERY(Data!$A$2:$K512, ""SELECT K WHERE B = """"""&amp;B80&amp;"""""""")), ""(\d+)"", """"""$1"""""") &amp; ""]"", """"),
   IFERROR(""["" &amp; REGEXREPLACE(JOIN("", "", QUERY(Data!$A$2:$K51"&amp;"2, ""SELECT K WHERE B = '""&amp;B80&amp;""'"")), ""(\d+)"", """"""$1"""""") &amp; ""]"", """")
)"),"[""44""]")</f>
        <v>["44"]</v>
      </c>
      <c r="F80" s="124"/>
      <c r="G80" s="124"/>
      <c r="H80" s="124"/>
      <c r="I80" s="124"/>
    </row>
    <row r="81">
      <c r="A81" s="126">
        <v>1321.0</v>
      </c>
      <c r="B81" s="126" t="s">
        <v>887</v>
      </c>
      <c r="C81" s="124" t="s">
        <v>5756</v>
      </c>
      <c r="D81" s="124"/>
      <c r="E81" s="124" t="str">
        <f>IFERROR(__xludf.DUMMYFUNCTION("IF(
   ISNUMBER(FIND(""'"", B81)),
   IFERROR(""["" &amp; REGEXREPLACE(JOIN("", "", QUERY(Data!$A$2:$K512, ""SELECT K WHERE B = """"""&amp;B81&amp;"""""""")), ""(\d+)"", """"""$1"""""") &amp; ""]"", """"),
   IFERROR(""["" &amp; REGEXREPLACE(JOIN("", "", QUERY(Data!$A$2:$K51"&amp;"2, ""SELECT K WHERE B = '""&amp;B81&amp;""'"")), ""(\d+)"", """"""$1"""""") &amp; ""]"", """")
)"),"[""44""]")</f>
        <v>["44"]</v>
      </c>
      <c r="F81" s="124"/>
      <c r="G81" s="124"/>
      <c r="H81" s="124"/>
      <c r="I81" s="124"/>
    </row>
    <row r="82">
      <c r="A82" s="125">
        <v>1027.0</v>
      </c>
      <c r="B82" s="126" t="s">
        <v>891</v>
      </c>
      <c r="C82" s="124" t="s">
        <v>891</v>
      </c>
      <c r="D82" s="124"/>
      <c r="E82" s="124" t="str">
        <f>IFERROR(__xludf.DUMMYFUNCTION("IF(
   ISNUMBER(FIND(""'"", B82)),
   IFERROR(""["" &amp; REGEXREPLACE(JOIN("", "", QUERY(Data!$A$2:$K512, ""SELECT K WHERE B = """"""&amp;B82&amp;"""""""")), ""(\d+)"", """"""$1"""""") &amp; ""]"", """"),
   IFERROR(""["" &amp; REGEXREPLACE(JOIN("", "", QUERY(Data!$A$2:$K51"&amp;"2, ""SELECT K WHERE B = '""&amp;B82&amp;""'"")), ""(\d+)"", """"""$1"""""") &amp; ""]"", """")
)"),"[""44""]")</f>
        <v>["44"]</v>
      </c>
      <c r="F82" s="124"/>
      <c r="G82" s="124"/>
      <c r="H82" s="124"/>
      <c r="I82" s="124"/>
    </row>
    <row r="83">
      <c r="A83" s="125">
        <v>1028.0</v>
      </c>
      <c r="B83" s="125" t="s">
        <v>899</v>
      </c>
      <c r="C83" s="124" t="s">
        <v>899</v>
      </c>
      <c r="D83" s="124"/>
      <c r="E83" s="124" t="str">
        <f>IFERROR(__xludf.DUMMYFUNCTION("IF(
   ISNUMBER(FIND(""'"", B83)),
   IFERROR(""["" &amp; REGEXREPLACE(JOIN("", "", QUERY(Data!$A$2:$K512, ""SELECT K WHERE B = """"""&amp;B83&amp;"""""""")), ""(\d+)"", """"""$1"""""") &amp; ""]"", """"),
   IFERROR(""["" &amp; REGEXREPLACE(JOIN("", "", QUERY(Data!$A$2:$K51"&amp;"2, ""SELECT K WHERE B = '""&amp;B83&amp;""'"")), ""(\d+)"", """"""$1"""""") &amp; ""]"", """")
)"),"[""13""]")</f>
        <v>["13"]</v>
      </c>
      <c r="F83" s="124"/>
      <c r="G83" s="124"/>
      <c r="H83" s="124"/>
      <c r="I83" s="124"/>
    </row>
    <row r="84">
      <c r="A84" s="126">
        <v>1445.0</v>
      </c>
      <c r="B84" s="126" t="s">
        <v>917</v>
      </c>
      <c r="C84" s="126" t="s">
        <v>917</v>
      </c>
      <c r="D84" s="124"/>
      <c r="E84" s="124" t="str">
        <f>IFERROR(__xludf.DUMMYFUNCTION("IF(
   ISNUMBER(FIND(""'"", B84)),
   IFERROR(""["" &amp; REGEXREPLACE(JOIN("", "", QUERY(Data!$A$2:$K512, ""SELECT K WHERE B = """"""&amp;B84&amp;"""""""")), ""(\d+)"", """"""$1"""""") &amp; ""]"", """"),
   IFERROR(""["" &amp; REGEXREPLACE(JOIN("", "", QUERY(Data!$A$2:$K51"&amp;"2, ""SELECT K WHERE B = '""&amp;B84&amp;""'"")), ""(\d+)"", """"""$1"""""") &amp; ""]"", """")
)"),"[""65""]")</f>
        <v>["65"]</v>
      </c>
      <c r="F84" s="124"/>
      <c r="G84" s="124"/>
      <c r="H84" s="124"/>
      <c r="I84" s="124"/>
    </row>
    <row r="85">
      <c r="A85" s="125">
        <v>1030.0</v>
      </c>
      <c r="B85" s="126" t="s">
        <v>928</v>
      </c>
      <c r="C85" s="124" t="s">
        <v>928</v>
      </c>
      <c r="D85" s="124"/>
      <c r="E85" s="124" t="str">
        <f>IFERROR(__xludf.DUMMYFUNCTION("IF(
   ISNUMBER(FIND(""'"", B85)),
   IFERROR(""["" &amp; REGEXREPLACE(JOIN("", "", QUERY(Data!$A$2:$K512, ""SELECT K WHERE B = """"""&amp;B85&amp;"""""""")), ""(\d+)"", """"""$1"""""") &amp; ""]"", """"),
   IFERROR(""["" &amp; REGEXREPLACE(JOIN("", "", QUERY(Data!$A$2:$K51"&amp;"2, ""SELECT K WHERE B = '""&amp;B85&amp;""'"")), ""(\d+)"", """"""$1"""""") &amp; ""]"", """")
)"),"[""55""]")</f>
        <v>["55"]</v>
      </c>
      <c r="F85" s="124"/>
      <c r="G85" s="124"/>
      <c r="H85" s="124"/>
      <c r="I85" s="124"/>
    </row>
    <row r="86">
      <c r="A86" s="125">
        <v>1031.0</v>
      </c>
      <c r="B86" s="125" t="s">
        <v>936</v>
      </c>
      <c r="C86" s="124" t="s">
        <v>936</v>
      </c>
      <c r="D86" s="124"/>
      <c r="E86" s="124" t="str">
        <f>IFERROR(__xludf.DUMMYFUNCTION("IF(
   ISNUMBER(FIND(""'"", B86)),
   IFERROR(""["" &amp; REGEXREPLACE(JOIN("", "", QUERY(Data!$A$2:$K512, ""SELECT K WHERE B = """"""&amp;B86&amp;"""""""")), ""(\d+)"", """"""$1"""""") &amp; ""]"", """"),
   IFERROR(""["" &amp; REGEXREPLACE(JOIN("", "", QUERY(Data!$A$2:$K51"&amp;"2, ""SELECT K WHERE B = '""&amp;B86&amp;""'"")), ""(\d+)"", """"""$1"""""") &amp; ""]"", """")
)"),"[""12"", ""13"", ""14"", ""64""]")</f>
        <v>["12", "13", "14", "64"]</v>
      </c>
      <c r="F86" s="124"/>
      <c r="G86" s="124"/>
      <c r="H86" s="124"/>
      <c r="I86" s="124"/>
    </row>
    <row r="87">
      <c r="A87" s="125">
        <v>1032.0</v>
      </c>
      <c r="B87" s="125" t="s">
        <v>949</v>
      </c>
      <c r="C87" s="125" t="s">
        <v>949</v>
      </c>
      <c r="D87" s="124"/>
      <c r="E87" s="124" t="str">
        <f>IFERROR(__xludf.DUMMYFUNCTION("IF(
   ISNUMBER(FIND(""'"", B87)),
   IFERROR(""["" &amp; REGEXREPLACE(JOIN("", "", QUERY(Data!$A$2:$K512, ""SELECT K WHERE B = """"""&amp;B87&amp;"""""""")), ""(\d+)"", """"""$1"""""") &amp; ""]"", """"),
   IFERROR(""["" &amp; REGEXREPLACE(JOIN("", "", QUERY(Data!$A$2:$K51"&amp;"2, ""SELECT K WHERE B = '""&amp;B87&amp;""'"")), ""(\d+)"", """"""$1"""""") &amp; ""]"", """")
)"),"[""13"", ""35""]")</f>
        <v>["13", "35"]</v>
      </c>
      <c r="F87" s="124"/>
      <c r="G87" s="124"/>
      <c r="H87" s="124"/>
      <c r="I87" s="124"/>
    </row>
    <row r="88">
      <c r="A88" s="125">
        <v>1033.0</v>
      </c>
      <c r="B88" s="125" t="s">
        <v>962</v>
      </c>
      <c r="C88" s="124" t="s">
        <v>962</v>
      </c>
      <c r="D88" s="124"/>
      <c r="E88" s="124" t="str">
        <f>IFERROR(__xludf.DUMMYFUNCTION("IF(
   ISNUMBER(FIND(""'"", B88)),
   IFERROR(""["" &amp; REGEXREPLACE(JOIN("", "", QUERY(Data!$A$2:$K512, ""SELECT K WHERE B = """"""&amp;B88&amp;"""""""")), ""(\d+)"", """"""$1"""""") &amp; ""]"", """"),
   IFERROR(""["" &amp; REGEXREPLACE(JOIN("", "", QUERY(Data!$A$2:$K51"&amp;"2, ""SELECT K WHERE B = '""&amp;B88&amp;""'"")), ""(\d+)"", """"""$1"""""") &amp; ""]"", """")
)"),"[""13""]")</f>
        <v>["13"]</v>
      </c>
      <c r="F88" s="124"/>
      <c r="G88" s="124"/>
      <c r="H88" s="124"/>
      <c r="I88" s="124"/>
    </row>
    <row r="89">
      <c r="A89" s="125">
        <v>1034.0</v>
      </c>
      <c r="B89" s="126" t="s">
        <v>971</v>
      </c>
      <c r="C89" s="124" t="s">
        <v>971</v>
      </c>
      <c r="D89" s="124"/>
      <c r="E89" s="124" t="str">
        <f>IFERROR(__xludf.DUMMYFUNCTION("IF(
   ISNUMBER(FIND(""'"", B89)),
   IFERROR(""["" &amp; REGEXREPLACE(JOIN("", "", QUERY(Data!$A$2:$K512, ""SELECT K WHERE B = """"""&amp;B89&amp;"""""""")), ""(\d+)"", """"""$1"""""") &amp; ""]"", """"),
   IFERROR(""["" &amp; REGEXREPLACE(JOIN("", "", QUERY(Data!$A$2:$K51"&amp;"2, ""SELECT K WHERE B = '""&amp;B89&amp;""'"")), ""(\d+)"", """"""$1"""""") &amp; ""]"", """")
)"),"[""11"", ""12"", ""37""]")</f>
        <v>["11", "12", "37"]</v>
      </c>
      <c r="F89" s="124"/>
      <c r="G89" s="124"/>
      <c r="H89" s="124"/>
      <c r="I89" s="124"/>
    </row>
    <row r="90">
      <c r="A90" s="125">
        <v>1508.0</v>
      </c>
      <c r="B90" s="126" t="s">
        <v>978</v>
      </c>
      <c r="C90" s="126" t="s">
        <v>978</v>
      </c>
      <c r="D90" s="124"/>
      <c r="E90" s="124" t="str">
        <f>IFERROR(__xludf.DUMMYFUNCTION("IF(
   ISNUMBER(FIND(""'"", B90)),
   IFERROR(""["" &amp; REGEXREPLACE(JOIN("", "", QUERY(Data!$A$2:$K512, ""SELECT K WHERE B = """"""&amp;B90&amp;"""""""")), ""(\d+)"", """"""$1"""""") &amp; ""]"", """"),
   IFERROR(""["" &amp; REGEXREPLACE(JOIN("", "", QUERY(Data!$A$2:$K51"&amp;"2, ""SELECT K WHERE B = '""&amp;B90&amp;""'"")), ""(\d+)"", """"""$1"""""") &amp; ""]"", """")
)"),"[""56"", ""56""]")</f>
        <v>["56", "56"]</v>
      </c>
      <c r="F90" s="124"/>
      <c r="G90" s="124"/>
      <c r="H90" s="124"/>
      <c r="I90" s="124"/>
    </row>
    <row r="91">
      <c r="A91" s="126">
        <v>1408.0</v>
      </c>
      <c r="B91" s="126" t="s">
        <v>987</v>
      </c>
      <c r="C91" s="126" t="s">
        <v>987</v>
      </c>
      <c r="D91" s="124"/>
      <c r="E91" s="124" t="str">
        <f>IFERROR(__xludf.DUMMYFUNCTION("IF(
   ISNUMBER(FIND(""'"", B91)),
   IFERROR(""["" &amp; REGEXREPLACE(JOIN("", "", QUERY(Data!$A$2:$K512, ""SELECT K WHERE B = """"""&amp;B91&amp;"""""""")), ""(\d+)"", """"""$1"""""") &amp; ""]"", """"),
   IFERROR(""["" &amp; REGEXREPLACE(JOIN("", "", QUERY(Data!$A$2:$K51"&amp;"2, ""SELECT K WHERE B = '""&amp;B91&amp;""'"")), ""(\d+)"", """"""$1"""""") &amp; ""]"", """")
)"),"[""21""]")</f>
        <v>["21"]</v>
      </c>
      <c r="F91" s="124"/>
      <c r="G91" s="124"/>
      <c r="H91" s="124"/>
      <c r="I91" s="124"/>
    </row>
    <row r="92">
      <c r="A92" s="125">
        <v>1473.0</v>
      </c>
      <c r="B92" s="126" t="s">
        <v>996</v>
      </c>
      <c r="C92" s="126" t="s">
        <v>996</v>
      </c>
      <c r="D92" s="124"/>
      <c r="E92" s="124" t="str">
        <f>IFERROR(__xludf.DUMMYFUNCTION("IF(
   ISNUMBER(FIND(""'"", B92)),
   IFERROR(""["" &amp; REGEXREPLACE(JOIN("", "", QUERY(Data!$A$2:$K512, ""SELECT K WHERE B = """"""&amp;B92&amp;"""""""")), ""(\d+)"", """"""$1"""""") &amp; ""]"", """"),
   IFERROR(""["" &amp; REGEXREPLACE(JOIN("", "", QUERY(Data!$A$2:$K51"&amp;"2, ""SELECT K WHERE B = '""&amp;B92&amp;""'"")), ""(\d+)"", """"""$1"""""") &amp; ""]"", """")
)"),"[""36""]")</f>
        <v>["36"]</v>
      </c>
      <c r="F92" s="124"/>
      <c r="G92" s="124"/>
      <c r="H92" s="124"/>
      <c r="I92" s="124"/>
    </row>
    <row r="93">
      <c r="A93" s="126">
        <v>1341.0</v>
      </c>
      <c r="B93" s="126" t="s">
        <v>1007</v>
      </c>
      <c r="C93" s="124" t="s">
        <v>1007</v>
      </c>
      <c r="D93" s="124"/>
      <c r="E93" s="124" t="str">
        <f>IFERROR(__xludf.DUMMYFUNCTION("IF(
   ISNUMBER(FIND(""'"", B93)),
   IFERROR(""["" &amp; REGEXREPLACE(JOIN("", "", QUERY(Data!$A$2:$K512, ""SELECT K WHERE B = """"""&amp;B93&amp;"""""""")), ""(\d+)"", """"""$1"""""") &amp; ""]"", """"),
   IFERROR(""["" &amp; REGEXREPLACE(JOIN("", "", QUERY(Data!$A$2:$K51"&amp;"2, ""SELECT K WHERE B = '""&amp;B93&amp;""'"")), ""(\d+)"", """"""$1"""""") &amp; ""]"", """")
)"),"[""31""]")</f>
        <v>["31"]</v>
      </c>
      <c r="F93" s="124"/>
      <c r="G93" s="124"/>
      <c r="H93" s="124"/>
      <c r="I93" s="124"/>
    </row>
    <row r="94">
      <c r="A94" s="126">
        <v>1342.0</v>
      </c>
      <c r="B94" s="126" t="s">
        <v>1016</v>
      </c>
      <c r="C94" s="124" t="s">
        <v>1016</v>
      </c>
      <c r="D94" s="124"/>
      <c r="E94" s="124" t="str">
        <f>IFERROR(__xludf.DUMMYFUNCTION("IF(
   ISNUMBER(FIND(""'"", B94)),
   IFERROR(""["" &amp; REGEXREPLACE(JOIN("", "", QUERY(Data!$A$2:$K512, ""SELECT K WHERE B = """"""&amp;B94&amp;"""""""")), ""(\d+)"", """"""$1"""""") &amp; ""]"", """"),
   IFERROR(""["" &amp; REGEXREPLACE(JOIN("", "", QUERY(Data!$A$2:$K51"&amp;"2, ""SELECT K WHERE B = '""&amp;B94&amp;""'"")), ""(\d+)"", """"""$1"""""") &amp; ""]"", """")
)"),"[""31""]")</f>
        <v>["31"]</v>
      </c>
      <c r="F94" s="124"/>
      <c r="G94" s="124"/>
      <c r="H94" s="124"/>
      <c r="I94" s="124"/>
    </row>
    <row r="95">
      <c r="A95" s="125">
        <v>1035.0</v>
      </c>
      <c r="B95" s="126" t="s">
        <v>1021</v>
      </c>
      <c r="C95" s="124" t="s">
        <v>1021</v>
      </c>
      <c r="D95" s="124"/>
      <c r="E95" s="124" t="str">
        <f>IFERROR(__xludf.DUMMYFUNCTION("IF(
   ISNUMBER(FIND(""'"", B95)),
   IFERROR(""["" &amp; REGEXREPLACE(JOIN("", "", QUERY(Data!$A$2:$K512, ""SELECT K WHERE B = """"""&amp;B95&amp;"""""""")), ""(\d+)"", """"""$1"""""") &amp; ""]"", """"),
   IFERROR(""["" &amp; REGEXREPLACE(JOIN("", "", QUERY(Data!$A$2:$K51"&amp;"2, ""SELECT K WHERE B = '""&amp;B95&amp;""'"")), ""(\d+)"", """"""$1"""""") &amp; ""]"", """")
)"),"[""13"", ""31""]")</f>
        <v>["13", "31"]</v>
      </c>
      <c r="F95" s="124"/>
      <c r="G95" s="124"/>
      <c r="H95" s="124"/>
      <c r="I95" s="124"/>
    </row>
    <row r="96">
      <c r="A96" s="125">
        <v>1036.0</v>
      </c>
      <c r="B96" s="125" t="s">
        <v>1034</v>
      </c>
      <c r="C96" s="124" t="s">
        <v>1034</v>
      </c>
      <c r="D96" s="124"/>
      <c r="E96" s="124" t="str">
        <f>IFERROR(__xludf.DUMMYFUNCTION("IF(
   ISNUMBER(FIND(""'"", B96)),
   IFERROR(""["" &amp; REGEXREPLACE(JOIN("", "", QUERY(Data!$A$2:$K512, ""SELECT K WHERE B = """"""&amp;B96&amp;"""""""")), ""(\d+)"", """"""$1"""""") &amp; ""]"", """"),
   IFERROR(""["" &amp; REGEXREPLACE(JOIN("", "", QUERY(Data!$A$2:$K51"&amp;"2, ""SELECT K WHERE B = '""&amp;B96&amp;""'"")), ""(\d+)"", """"""$1"""""") &amp; ""]"", """")
)"),"[""11"", ""11"", ""12"", ""13"", ""14"", ""54"", ""55"", ""56""]")</f>
        <v>["11", "11", "12", "13", "14", "54", "55", "56"]</v>
      </c>
      <c r="F96" s="124"/>
      <c r="G96" s="124"/>
      <c r="H96" s="124"/>
      <c r="I96" s="124"/>
    </row>
    <row r="97">
      <c r="A97" s="125">
        <v>1037.0</v>
      </c>
      <c r="B97" s="126" t="s">
        <v>5757</v>
      </c>
      <c r="C97" s="124" t="s">
        <v>5757</v>
      </c>
      <c r="D97" s="124"/>
      <c r="E97" s="124" t="str">
        <f>IFERROR(__xludf.DUMMYFUNCTION("IF(
   ISNUMBER(FIND(""'"", B97)),
   IFERROR(""["" &amp; REGEXREPLACE(JOIN("", "", QUERY(Data!$A$2:$K512, ""SELECT K WHERE B = """"""&amp;B97&amp;"""""""")), ""(\d+)"", """"""$1"""""") &amp; ""]"", """"),
   IFERROR(""["" &amp; REGEXREPLACE(JOIN("", "", QUERY(Data!$A$2:$K51"&amp;"2, ""SELECT K WHERE B = '""&amp;B97&amp;""'"")), ""(\d+)"", """"""$1"""""") &amp; ""]"", """")
)"),"")</f>
        <v/>
      </c>
      <c r="F97" s="124"/>
      <c r="G97" s="124"/>
      <c r="H97" s="124"/>
      <c r="I97" s="124"/>
    </row>
    <row r="98">
      <c r="A98" s="125">
        <v>1038.0</v>
      </c>
      <c r="B98" s="126" t="s">
        <v>1062</v>
      </c>
      <c r="C98" s="124" t="s">
        <v>1062</v>
      </c>
      <c r="D98" s="124"/>
      <c r="E98" s="124" t="str">
        <f>IFERROR(__xludf.DUMMYFUNCTION("IF(
   ISNUMBER(FIND(""'"", B98)),
   IFERROR(""["" &amp; REGEXREPLACE(JOIN("", "", QUERY(Data!$A$2:$K512, ""SELECT K WHERE B = """"""&amp;B98&amp;"""""""")), ""(\d+)"", """"""$1"""""") &amp; ""]"", """"),
   IFERROR(""["" &amp; REGEXREPLACE(JOIN("", "", QUERY(Data!$A$2:$K51"&amp;"2, ""SELECT K WHERE B = '""&amp;B98&amp;""'"")), ""(\d+)"", """"""$1"""""") &amp; ""]"", """")
)"),"[""55""]")</f>
        <v>["55"]</v>
      </c>
      <c r="F98" s="124"/>
      <c r="G98" s="124"/>
      <c r="H98" s="124"/>
      <c r="I98" s="124"/>
    </row>
    <row r="99">
      <c r="A99" s="125">
        <v>1503.0</v>
      </c>
      <c r="B99" s="126" t="s">
        <v>1067</v>
      </c>
      <c r="C99" s="126" t="s">
        <v>1067</v>
      </c>
      <c r="D99" s="124"/>
      <c r="E99" s="124" t="str">
        <f>IFERROR(__xludf.DUMMYFUNCTION("IF(
   ISNUMBER(FIND(""'"", B99)),
   IFERROR(""["" &amp; REGEXREPLACE(JOIN("", "", QUERY(Data!$A$2:$K512, ""SELECT K WHERE B = """"""&amp;B99&amp;"""""""")), ""(\d+)"", """"""$1"""""") &amp; ""]"", """"),
   IFERROR(""["" &amp; REGEXREPLACE(JOIN("", "", QUERY(Data!$A$2:$K51"&amp;"2, ""SELECT K WHERE B = '""&amp;B99&amp;""'"")), ""(\d+)"", """"""$1"""""") &amp; ""]"", """")
)"),"[""44""]")</f>
        <v>["44"]</v>
      </c>
      <c r="F99" s="124"/>
      <c r="G99" s="124"/>
      <c r="H99" s="124"/>
      <c r="I99" s="124"/>
    </row>
    <row r="100">
      <c r="A100" s="125">
        <v>1039.0</v>
      </c>
      <c r="B100" s="125" t="s">
        <v>1073</v>
      </c>
      <c r="C100" s="124" t="s">
        <v>1073</v>
      </c>
      <c r="D100" s="124">
        <v>520000.0</v>
      </c>
      <c r="E100" s="124" t="str">
        <f>IFERROR(__xludf.DUMMYFUNCTION("IF(
   ISNUMBER(FIND(""'"", B100)),
   IFERROR(""["" &amp; REGEXREPLACE(JOIN("", "", QUERY(Data!$A$2:$K512, ""SELECT K WHERE B = """"""&amp;B100&amp;"""""""")), ""(\d+)"", """"""$1"""""") &amp; ""]"", """"),
   IFERROR(""["" &amp; REGEXREPLACE(JOIN("", "", QUERY(Data!$A$2:$K"&amp;"512, ""SELECT K WHERE B = '""&amp;B100&amp;""'"")), ""(\d+)"", """"""$1"""""") &amp; ""]"", """")
)"),"[""12"", ""35"", ""51"", ""61""]")</f>
        <v>["12", "35", "51", "61"]</v>
      </c>
      <c r="F100" s="124"/>
      <c r="G100" s="124"/>
      <c r="H100" s="124"/>
      <c r="I100" s="124"/>
    </row>
    <row r="101">
      <c r="A101" s="125">
        <v>1040.0</v>
      </c>
      <c r="B101" s="126" t="s">
        <v>1089</v>
      </c>
      <c r="C101" s="124" t="s">
        <v>1089</v>
      </c>
      <c r="D101" s="124"/>
      <c r="E101" s="124" t="str">
        <f>IFERROR(__xludf.DUMMYFUNCTION("IF(
   ISNUMBER(FIND(""'"", B101)),
   IFERROR(""["" &amp; REGEXREPLACE(JOIN("", "", QUERY(Data!$A$2:$K512, ""SELECT K WHERE B = """"""&amp;B101&amp;"""""""")), ""(\d+)"", """"""$1"""""") &amp; ""]"", """"),
   IFERROR(""["" &amp; REGEXREPLACE(JOIN("", "", QUERY(Data!$A$2:$K"&amp;"512, ""SELECT K WHERE B = '""&amp;B101&amp;""'"")), ""(\d+)"", """"""$1"""""") &amp; ""]"", """")
)"),"[""31""]")</f>
        <v>["31"]</v>
      </c>
      <c r="F101" s="124"/>
      <c r="G101" s="124"/>
      <c r="H101" s="124"/>
      <c r="I101" s="124"/>
    </row>
    <row r="102">
      <c r="A102" s="125">
        <v>1041.0</v>
      </c>
      <c r="B102" s="125" t="s">
        <v>1098</v>
      </c>
      <c r="C102" s="124" t="s">
        <v>1098</v>
      </c>
      <c r="D102" s="124"/>
      <c r="E102" s="124" t="str">
        <f>IFERROR(__xludf.DUMMYFUNCTION("IF(
   ISNUMBER(FIND(""'"", B102)),
   IFERROR(""["" &amp; REGEXREPLACE(JOIN("", "", QUERY(Data!$A$2:$K512, ""SELECT K WHERE B = """"""&amp;B102&amp;"""""""")), ""(\d+)"", """"""$1"""""") &amp; ""]"", """"),
   IFERROR(""["" &amp; REGEXREPLACE(JOIN("", "", QUERY(Data!$A$2:$K"&amp;"512, ""SELECT K WHERE B = '""&amp;B102&amp;""'"")), ""(\d+)"", """"""$1"""""") &amp; ""]"", """")
)"),"[""11"", ""12"", ""13"", ""14"", ""53"", ""62""]")</f>
        <v>["11", "12", "13", "14", "53", "62"]</v>
      </c>
      <c r="F102" s="124"/>
      <c r="G102" s="124"/>
      <c r="H102" s="124"/>
      <c r="I102" s="124"/>
    </row>
    <row r="103">
      <c r="A103" s="125">
        <v>1042.0</v>
      </c>
      <c r="B103" s="125" t="s">
        <v>1114</v>
      </c>
      <c r="C103" s="124" t="s">
        <v>5758</v>
      </c>
      <c r="D103" s="124">
        <v>624000.0</v>
      </c>
      <c r="E103" s="124" t="str">
        <f>IFERROR(__xludf.DUMMYFUNCTION("IF(
   ISNUMBER(FIND(""'"", B103)),
   IFERROR(""["" &amp; REGEXREPLACE(JOIN("", "", QUERY(Data!$A$2:$K512, ""SELECT K WHERE B = """"""&amp;B103&amp;"""""""")), ""(\d+)"", """"""$1"""""") &amp; ""]"", """"),
   IFERROR(""["" &amp; REGEXREPLACE(JOIN("", "", QUERY(Data!$A$2:$K"&amp;"512, ""SELECT K WHERE B = '""&amp;B103&amp;""'"")), ""(\d+)"", """"""$1"""""") &amp; ""]"", """")
)"),"[""11"", ""12"", ""13"", ""14"", ""35"", ""36"", ""52"", ""52"", ""52""]")</f>
        <v>["11", "12", "13", "14", "35", "36", "52", "52", "52"]</v>
      </c>
      <c r="F103" s="124"/>
      <c r="G103" s="124"/>
      <c r="H103" s="124"/>
      <c r="I103" s="124"/>
    </row>
    <row r="104">
      <c r="A104" s="125">
        <v>1043.0</v>
      </c>
      <c r="B104" s="125" t="s">
        <v>1144</v>
      </c>
      <c r="C104" s="124" t="s">
        <v>5758</v>
      </c>
      <c r="D104" s="124">
        <v>624000.0</v>
      </c>
      <c r="E104" s="124" t="str">
        <f>IFERROR(__xludf.DUMMYFUNCTION("IF(
   ISNUMBER(FIND(""'"", B104)),
   IFERROR(""["" &amp; REGEXREPLACE(JOIN("", "", QUERY(Data!$A$2:$K512, ""SELECT K WHERE B = """"""&amp;B104&amp;"""""""")), ""(\d+)"", """"""$1"""""") &amp; ""]"", """"),
   IFERROR(""["" &amp; REGEXREPLACE(JOIN("", "", QUERY(Data!$A$2:$K"&amp;"512, ""SELECT K WHERE B = '""&amp;B104&amp;""'"")), ""(\d+)"", """"""$1"""""") &amp; ""]"", """")
)"),"[""11"", ""12"", ""13"", ""36""]")</f>
        <v>["11", "12", "13", "36"]</v>
      </c>
      <c r="F104" s="124"/>
      <c r="G104" s="124"/>
      <c r="H104" s="124"/>
      <c r="I104" s="124"/>
    </row>
    <row r="105">
      <c r="A105" s="125">
        <v>1044.0</v>
      </c>
      <c r="B105" s="125" t="s">
        <v>1148</v>
      </c>
      <c r="C105" s="124" t="s">
        <v>1148</v>
      </c>
      <c r="D105" s="124"/>
      <c r="E105" s="124" t="str">
        <f>IFERROR(__xludf.DUMMYFUNCTION("IF(
   ISNUMBER(FIND(""'"", B105)),
   IFERROR(""["" &amp; REGEXREPLACE(JOIN("", "", QUERY(Data!$A$2:$K512, ""SELECT K WHERE B = """"""&amp;B105&amp;"""""""")), ""(\d+)"", """"""$1"""""") &amp; ""]"", """"),
   IFERROR(""["" &amp; REGEXREPLACE(JOIN("", "", QUERY(Data!$A$2:$K"&amp;"512, ""SELECT K WHERE B = '""&amp;B105&amp;""'"")), ""(\d+)"", """"""$1"""""") &amp; ""]"", """")
)"),"[""13"", ""53""]")</f>
        <v>["13", "53"]</v>
      </c>
      <c r="F105" s="124"/>
      <c r="G105" s="124"/>
      <c r="H105" s="124"/>
      <c r="I105" s="124"/>
    </row>
    <row r="106">
      <c r="A106" s="125">
        <v>1045.0</v>
      </c>
      <c r="B106" s="126" t="s">
        <v>1159</v>
      </c>
      <c r="C106" s="124" t="s">
        <v>5759</v>
      </c>
      <c r="D106" s="124"/>
      <c r="E106" s="124" t="str">
        <f>IFERROR(__xludf.DUMMYFUNCTION("IF(
   ISNUMBER(FIND(""'"", B106)),
   IFERROR(""["" &amp; REGEXREPLACE(JOIN("", "", QUERY(Data!$A$2:$K512, ""SELECT K WHERE B = """"""&amp;B106&amp;"""""""")), ""(\d+)"", """"""$1"""""") &amp; ""]"", """"),
   IFERROR(""["" &amp; REGEXREPLACE(JOIN("", "", QUERY(Data!$A$2:$K"&amp;"512, ""SELECT K WHERE B = '""&amp;B106&amp;""'"")), ""(\d+)"", """"""$1"""""") &amp; ""]"", """")
)"),"[""31""]")</f>
        <v>["31"]</v>
      </c>
      <c r="F106" s="124"/>
      <c r="G106" s="124"/>
      <c r="H106" s="124"/>
      <c r="I106" s="124"/>
    </row>
    <row r="107">
      <c r="A107" s="125">
        <v>1046.0</v>
      </c>
      <c r="B107" s="126" t="s">
        <v>1163</v>
      </c>
      <c r="C107" s="124" t="s">
        <v>5759</v>
      </c>
      <c r="D107" s="124"/>
      <c r="E107" s="124" t="str">
        <f>IFERROR(__xludf.DUMMYFUNCTION("IF(
   ISNUMBER(FIND(""'"", B107)),
   IFERROR(""["" &amp; REGEXREPLACE(JOIN("", "", QUERY(Data!$A$2:$K512, ""SELECT K WHERE B = """"""&amp;B107&amp;"""""""")), ""(\d+)"", """"""$1"""""") &amp; ""]"", """"),
   IFERROR(""["" &amp; REGEXREPLACE(JOIN("", "", QUERY(Data!$A$2:$K"&amp;"512, ""SELECT K WHERE B = '""&amp;B107&amp;""'"")), ""(\d+)"", """"""$1"""""") &amp; ""]"", """")
)"),"[""51""]")</f>
        <v>["51"]</v>
      </c>
      <c r="F107" s="124"/>
      <c r="G107" s="124"/>
      <c r="H107" s="124"/>
      <c r="I107" s="124"/>
    </row>
    <row r="108">
      <c r="A108" s="125">
        <v>1047.0</v>
      </c>
      <c r="B108" s="126" t="s">
        <v>1173</v>
      </c>
      <c r="C108" s="124" t="s">
        <v>5759</v>
      </c>
      <c r="D108" s="124"/>
      <c r="E108" s="124" t="str">
        <f>IFERROR(__xludf.DUMMYFUNCTION("IF(
   ISNUMBER(FIND(""'"", B108)),
   IFERROR(""["" &amp; REGEXREPLACE(JOIN("", "", QUERY(Data!$A$2:$K512, ""SELECT K WHERE B = """"""&amp;B108&amp;"""""""")), ""(\d+)"", """"""$1"""""") &amp; ""]"", """"),
   IFERROR(""["" &amp; REGEXREPLACE(JOIN("", "", QUERY(Data!$A$2:$K"&amp;"512, ""SELECT K WHERE B = '""&amp;B108&amp;""'"")), ""(\d+)"", """"""$1"""""") &amp; ""]"", """")
)"),"[""22""]")</f>
        <v>["22"]</v>
      </c>
      <c r="F108" s="124"/>
      <c r="G108" s="124"/>
      <c r="H108" s="124"/>
      <c r="I108" s="124"/>
    </row>
    <row r="109">
      <c r="A109" s="125">
        <v>1048.0</v>
      </c>
      <c r="B109" s="126" t="s">
        <v>1183</v>
      </c>
      <c r="C109" s="124" t="s">
        <v>5759</v>
      </c>
      <c r="D109" s="124"/>
      <c r="E109" s="124" t="str">
        <f>IFERROR(__xludf.DUMMYFUNCTION("IF(
   ISNUMBER(FIND(""'"", B109)),
   IFERROR(""["" &amp; REGEXREPLACE(JOIN("", "", QUERY(Data!$A$2:$K512, ""SELECT K WHERE B = """"""&amp;B109&amp;"""""""")), ""(\d+)"", """"""$1"""""") &amp; ""]"", """"),
   IFERROR(""["" &amp; REGEXREPLACE(JOIN("", "", QUERY(Data!$A$2:$K"&amp;"512, ""SELECT K WHERE B = '""&amp;B109&amp;""'"")), ""(\d+)"", """"""$1"""""") &amp; ""]"", """")
)"),"[""31""]")</f>
        <v>["31"]</v>
      </c>
      <c r="F109" s="124"/>
      <c r="G109" s="124"/>
      <c r="H109" s="124"/>
      <c r="I109" s="124"/>
    </row>
    <row r="110">
      <c r="A110" s="125">
        <v>1049.0</v>
      </c>
      <c r="B110" s="126" t="s">
        <v>1194</v>
      </c>
      <c r="C110" s="124" t="s">
        <v>5759</v>
      </c>
      <c r="D110" s="124"/>
      <c r="E110" s="124" t="str">
        <f>IFERROR(__xludf.DUMMYFUNCTION("IF(
   ISNUMBER(FIND(""'"", B110)),
   IFERROR(""["" &amp; REGEXREPLACE(JOIN("", "", QUERY(Data!$A$2:$K512, ""SELECT K WHERE B = """"""&amp;B110&amp;"""""""")), ""(\d+)"", """"""$1"""""") &amp; ""]"", """"),
   IFERROR(""["" &amp; REGEXREPLACE(JOIN("", "", QUERY(Data!$A$2:$K"&amp;"512, ""SELECT K WHERE B = '""&amp;B110&amp;""'"")), ""(\d+)"", """"""$1"""""") &amp; ""]"", """")
)"),"[""31""]")</f>
        <v>["31"]</v>
      </c>
      <c r="F110" s="124"/>
      <c r="G110" s="124"/>
      <c r="H110" s="124"/>
      <c r="I110" s="124"/>
    </row>
    <row r="111">
      <c r="A111" s="125">
        <v>1346.0</v>
      </c>
      <c r="B111" s="126" t="s">
        <v>1203</v>
      </c>
      <c r="C111" s="124" t="s">
        <v>5759</v>
      </c>
      <c r="D111" s="124"/>
      <c r="E111" s="124" t="str">
        <f>IFERROR(__xludf.DUMMYFUNCTION("IF(
   ISNUMBER(FIND(""'"", B111)),
   IFERROR(""["" &amp; REGEXREPLACE(JOIN("", "", QUERY(Data!$A$2:$K512, ""SELECT K WHERE B = """"""&amp;B111&amp;"""""""")), ""(\d+)"", """"""$1"""""") &amp; ""]"", """"),
   IFERROR(""["" &amp; REGEXREPLACE(JOIN("", "", QUERY(Data!$A$2:$K"&amp;"512, ""SELECT K WHERE B = '""&amp;B111&amp;""'"")), ""(\d+)"", """"""$1"""""") &amp; ""]"", """")
)"),"[""31""]")</f>
        <v>["31"]</v>
      </c>
      <c r="F111" s="124"/>
      <c r="G111" s="124"/>
      <c r="H111" s="124"/>
      <c r="I111" s="124"/>
    </row>
    <row r="112">
      <c r="A112" s="125">
        <v>1347.0</v>
      </c>
      <c r="B112" s="126" t="s">
        <v>1208</v>
      </c>
      <c r="C112" s="124" t="s">
        <v>5759</v>
      </c>
      <c r="D112" s="124"/>
      <c r="E112" s="124" t="str">
        <f>IFERROR(__xludf.DUMMYFUNCTION("IF(
   ISNUMBER(FIND(""'"", B112)),
   IFERROR(""["" &amp; REGEXREPLACE(JOIN("", "", QUERY(Data!$A$2:$K512, ""SELECT K WHERE B = """"""&amp;B112&amp;"""""""")), ""(\d+)"", """"""$1"""""") &amp; ""]"", """"),
   IFERROR(""["" &amp; REGEXREPLACE(JOIN("", "", QUERY(Data!$A$2:$K"&amp;"512, ""SELECT K WHERE B = '""&amp;B112&amp;""'"")), ""(\d+)"", """"""$1"""""") &amp; ""]"", """")
)"),"[""31""]")</f>
        <v>["31"]</v>
      </c>
      <c r="F112" s="124"/>
      <c r="G112" s="124"/>
      <c r="H112" s="124"/>
      <c r="I112" s="124"/>
    </row>
    <row r="113">
      <c r="A113" s="125">
        <v>1348.0</v>
      </c>
      <c r="B113" s="126" t="s">
        <v>1217</v>
      </c>
      <c r="C113" s="124" t="s">
        <v>5759</v>
      </c>
      <c r="D113" s="124"/>
      <c r="E113" s="124" t="str">
        <f>IFERROR(__xludf.DUMMYFUNCTION("IF(
   ISNUMBER(FIND(""'"", B113)),
   IFERROR(""["" &amp; REGEXREPLACE(JOIN("", "", QUERY(Data!$A$2:$K512, ""SELECT K WHERE B = """"""&amp;B113&amp;"""""""")), ""(\d+)"", """"""$1"""""") &amp; ""]"", """"),
   IFERROR(""["" &amp; REGEXREPLACE(JOIN("", "", QUERY(Data!$A$2:$K"&amp;"512, ""SELECT K WHERE B = '""&amp;B113&amp;""'"")), ""(\d+)"", """"""$1"""""") &amp; ""]"", """")
)"),"[""31""]")</f>
        <v>["31"]</v>
      </c>
      <c r="F113" s="124"/>
      <c r="G113" s="124"/>
      <c r="H113" s="124"/>
      <c r="I113" s="124"/>
    </row>
    <row r="114">
      <c r="A114" s="125">
        <v>1349.0</v>
      </c>
      <c r="B114" s="126" t="s">
        <v>1224</v>
      </c>
      <c r="C114" s="124" t="s">
        <v>5759</v>
      </c>
      <c r="D114" s="124"/>
      <c r="E114" s="124" t="str">
        <f>IFERROR(__xludf.DUMMYFUNCTION("IF(
   ISNUMBER(FIND(""'"", B114)),
   IFERROR(""["" &amp; REGEXREPLACE(JOIN("", "", QUERY(Data!$A$2:$K512, ""SELECT K WHERE B = """"""&amp;B114&amp;"""""""")), ""(\d+)"", """"""$1"""""") &amp; ""]"", """"),
   IFERROR(""["" &amp; REGEXREPLACE(JOIN("", "", QUERY(Data!$A$2:$K"&amp;"512, ""SELECT K WHERE B = '""&amp;B114&amp;""'"")), ""(\d+)"", """"""$1"""""") &amp; ""]"", """")
)"),"[""31""]")</f>
        <v>["31"]</v>
      </c>
      <c r="F114" s="124"/>
      <c r="G114" s="124"/>
      <c r="H114" s="124"/>
      <c r="I114" s="124"/>
    </row>
    <row r="115">
      <c r="A115" s="125">
        <v>1350.0</v>
      </c>
      <c r="B115" s="126" t="s">
        <v>1229</v>
      </c>
      <c r="C115" s="124" t="s">
        <v>5759</v>
      </c>
      <c r="D115" s="124"/>
      <c r="E115" s="124" t="str">
        <f>IFERROR(__xludf.DUMMYFUNCTION("IF(
   ISNUMBER(FIND(""'"", B115)),
   IFERROR(""["" &amp; REGEXREPLACE(JOIN("", "", QUERY(Data!$A$2:$K512, ""SELECT K WHERE B = """"""&amp;B115&amp;"""""""")), ""(\d+)"", """"""$1"""""") &amp; ""]"", """"),
   IFERROR(""["" &amp; REGEXREPLACE(JOIN("", "", QUERY(Data!$A$2:$K"&amp;"512, ""SELECT K WHERE B = '""&amp;B115&amp;""'"")), ""(\d+)"", """"""$1"""""") &amp; ""]"", """")
)"),"[""31""]")</f>
        <v>["31"]</v>
      </c>
      <c r="F115" s="124"/>
      <c r="G115" s="124"/>
      <c r="H115" s="124"/>
      <c r="I115" s="124"/>
    </row>
    <row r="116">
      <c r="A116" s="125">
        <v>1351.0</v>
      </c>
      <c r="B116" s="126" t="s">
        <v>1234</v>
      </c>
      <c r="C116" s="124" t="s">
        <v>5759</v>
      </c>
      <c r="D116" s="124"/>
      <c r="E116" s="124" t="str">
        <f>IFERROR(__xludf.DUMMYFUNCTION("IF(
   ISNUMBER(FIND(""'"", B116)),
   IFERROR(""["" &amp; REGEXREPLACE(JOIN("", "", QUERY(Data!$A$2:$K512, ""SELECT K WHERE B = """"""&amp;B116&amp;"""""""")), ""(\d+)"", """"""$1"""""") &amp; ""]"", """"),
   IFERROR(""["" &amp; REGEXREPLACE(JOIN("", "", QUERY(Data!$A$2:$K"&amp;"512, ""SELECT K WHERE B = '""&amp;B116&amp;""'"")), ""(\d+)"", """"""$1"""""") &amp; ""]"", """")
)"),"[""31""]")</f>
        <v>["31"]</v>
      </c>
      <c r="F116" s="124"/>
      <c r="G116" s="124"/>
      <c r="H116" s="124"/>
      <c r="I116" s="124"/>
    </row>
    <row r="117">
      <c r="A117" s="125">
        <v>1352.0</v>
      </c>
      <c r="B117" s="126" t="s">
        <v>1241</v>
      </c>
      <c r="C117" s="124" t="s">
        <v>5759</v>
      </c>
      <c r="D117" s="124"/>
      <c r="E117" s="124" t="str">
        <f>IFERROR(__xludf.DUMMYFUNCTION("IF(
   ISNUMBER(FIND(""'"", B117)),
   IFERROR(""["" &amp; REGEXREPLACE(JOIN("", "", QUERY(Data!$A$2:$K512, ""SELECT K WHERE B = """"""&amp;B117&amp;"""""""")), ""(\d+)"", """"""$1"""""") &amp; ""]"", """"),
   IFERROR(""["" &amp; REGEXREPLACE(JOIN("", "", QUERY(Data!$A$2:$K"&amp;"512, ""SELECT K WHERE B = '""&amp;B117&amp;""'"")), ""(\d+)"", """"""$1"""""") &amp; ""]"", """")
)"),"[""31""]")</f>
        <v>["31"]</v>
      </c>
      <c r="F117" s="124"/>
      <c r="G117" s="124"/>
      <c r="H117" s="124"/>
      <c r="I117" s="124"/>
    </row>
    <row r="118">
      <c r="A118" s="125">
        <v>1353.0</v>
      </c>
      <c r="B118" s="126" t="s">
        <v>1247</v>
      </c>
      <c r="C118" s="124" t="s">
        <v>5759</v>
      </c>
      <c r="D118" s="124"/>
      <c r="E118" s="124" t="str">
        <f>IFERROR(__xludf.DUMMYFUNCTION("IF(
   ISNUMBER(FIND(""'"", B118)),
   IFERROR(""["" &amp; REGEXREPLACE(JOIN("", "", QUERY(Data!$A$2:$K512, ""SELECT K WHERE B = """"""&amp;B118&amp;"""""""")), ""(\d+)"", """"""$1"""""") &amp; ""]"", """"),
   IFERROR(""["" &amp; REGEXREPLACE(JOIN("", "", QUERY(Data!$A$2:$K"&amp;"512, ""SELECT K WHERE B = '""&amp;B118&amp;""'"")), ""(\d+)"", """"""$1"""""") &amp; ""]"", """")
)"),"[""31""]")</f>
        <v>["31"]</v>
      </c>
      <c r="F118" s="124"/>
      <c r="G118" s="124"/>
      <c r="H118" s="124"/>
      <c r="I118" s="124"/>
    </row>
    <row r="119">
      <c r="A119" s="125">
        <v>1050.0</v>
      </c>
      <c r="B119" s="126" t="s">
        <v>1253</v>
      </c>
      <c r="C119" s="124" t="s">
        <v>5759</v>
      </c>
      <c r="D119" s="124"/>
      <c r="E119" s="124" t="str">
        <f>IFERROR(__xludf.DUMMYFUNCTION("IF(
   ISNUMBER(FIND(""'"", B119)),
   IFERROR(""["" &amp; REGEXREPLACE(JOIN("", "", QUERY(Data!$A$2:$K512, ""SELECT K WHERE B = """"""&amp;B119&amp;"""""""")), ""(\d+)"", """"""$1"""""") &amp; ""]"", """"),
   IFERROR(""["" &amp; REGEXREPLACE(JOIN("", "", QUERY(Data!$A$2:$K"&amp;"512, ""SELECT K WHERE B = '""&amp;B119&amp;""'"")), ""(\d+)"", """"""$1"""""") &amp; ""]"", """")
)"),"[""31""]")</f>
        <v>["31"]</v>
      </c>
      <c r="F119" s="124"/>
      <c r="G119" s="124"/>
      <c r="H119" s="124"/>
      <c r="I119" s="124"/>
    </row>
    <row r="120">
      <c r="A120" s="125">
        <v>1051.0</v>
      </c>
      <c r="B120" s="125" t="s">
        <v>1263</v>
      </c>
      <c r="C120" s="124" t="s">
        <v>1263</v>
      </c>
      <c r="D120" s="124"/>
      <c r="E120" s="124" t="str">
        <f>IFERROR(__xludf.DUMMYFUNCTION("IF(
   ISNUMBER(FIND(""'"", B120)),
   IFERROR(""["" &amp; REGEXREPLACE(JOIN("", "", QUERY(Data!$A$2:$K512, ""SELECT K WHERE B = """"""&amp;B120&amp;"""""""")), ""(\d+)"", """"""$1"""""") &amp; ""]"", """"),
   IFERROR(""["" &amp; REGEXREPLACE(JOIN("", "", QUERY(Data!$A$2:$K"&amp;"512, ""SELECT K WHERE B = '""&amp;B120&amp;""'"")), ""(\d+)"", """"""$1"""""") &amp; ""]"", """")
)"),"[""13""]")</f>
        <v>["13"]</v>
      </c>
      <c r="F120" s="124"/>
      <c r="G120" s="124"/>
      <c r="H120" s="124"/>
      <c r="I120" s="124"/>
    </row>
    <row r="121">
      <c r="A121" s="125">
        <v>1513.0</v>
      </c>
      <c r="B121" s="126" t="s">
        <v>1272</v>
      </c>
      <c r="C121" s="126" t="s">
        <v>1272</v>
      </c>
      <c r="D121" s="124"/>
      <c r="E121" s="124" t="str">
        <f>IFERROR(__xludf.DUMMYFUNCTION("IF(
   ISNUMBER(FIND(""'"", B121)),
   IFERROR(""["" &amp; REGEXREPLACE(JOIN("", "", QUERY(Data!$A$2:$K512, ""SELECT K WHERE B = """"""&amp;B121&amp;"""""""")), ""(\d+)"", """"""$1"""""") &amp; ""]"", """"),
   IFERROR(""["" &amp; REGEXREPLACE(JOIN("", "", QUERY(Data!$A$2:$K"&amp;"512, ""SELECT K WHERE B = '""&amp;B121&amp;""'"")), ""(\d+)"", """"""$1"""""") &amp; ""]"", """")
)"),"[""11"", ""12"", ""13"", ""14"", ""53""]")</f>
        <v>["11", "12", "13", "14", "53"]</v>
      </c>
      <c r="F121" s="124"/>
      <c r="G121" s="124"/>
      <c r="H121" s="124"/>
      <c r="I121" s="124"/>
    </row>
    <row r="122">
      <c r="A122" s="125">
        <v>1492.0</v>
      </c>
      <c r="B122" s="126" t="s">
        <v>235</v>
      </c>
      <c r="C122" s="126" t="s">
        <v>253</v>
      </c>
      <c r="D122" s="124"/>
      <c r="E122" s="124" t="str">
        <f>IFERROR(__xludf.DUMMYFUNCTION("IF(
   ISNUMBER(FIND(""'"", B122)),
   IFERROR(""["" &amp; REGEXREPLACE(JOIN("", "", QUERY(Data!$A$2:$K512, ""SELECT K WHERE B = """"""&amp;B122&amp;"""""""")), ""(\d+)"", """"""$1"""""") &amp; ""]"", """"),
   IFERROR(""["" &amp; REGEXREPLACE(JOIN("", "", QUERY(Data!$A$2:$K"&amp;"512, ""SELECT K WHERE B = '""&amp;B122&amp;""'"")), ""(\d+)"", """"""$1"""""") &amp; ""]"", """")
)"),"[""13"", ""44"", ""44""]")</f>
        <v>["13", "44", "44"]</v>
      </c>
      <c r="F122" s="124"/>
      <c r="G122" s="124"/>
      <c r="H122" s="124"/>
      <c r="I122" s="124"/>
    </row>
    <row r="123">
      <c r="A123" s="125">
        <v>1493.0</v>
      </c>
      <c r="B123" s="126" t="s">
        <v>338</v>
      </c>
      <c r="C123" s="126" t="s">
        <v>253</v>
      </c>
      <c r="D123" s="124"/>
      <c r="E123" s="124" t="str">
        <f>IFERROR(__xludf.DUMMYFUNCTION("IF(
   ISNUMBER(FIND(""'"", B123)),
   IFERROR(""["" &amp; REGEXREPLACE(JOIN("", "", QUERY(Data!$A$2:$K512, ""SELECT K WHERE B = """"""&amp;B123&amp;"""""""")), ""(\d+)"", """"""$1"""""") &amp; ""]"", """"),
   IFERROR(""["" &amp; REGEXREPLACE(JOIN("", "", QUERY(Data!$A$2:$K"&amp;"512, ""SELECT K WHERE B = '""&amp;B123&amp;""'"")), ""(\d+)"", """"""$1"""""") &amp; ""]"", """")
)"),"[""44""]")</f>
        <v>["44"]</v>
      </c>
      <c r="F123" s="124"/>
      <c r="G123" s="124"/>
      <c r="H123" s="124"/>
      <c r="I123" s="124"/>
    </row>
    <row r="124">
      <c r="A124" s="125">
        <v>1052.0</v>
      </c>
      <c r="B124" s="125" t="s">
        <v>1287</v>
      </c>
      <c r="C124" s="126" t="s">
        <v>253</v>
      </c>
      <c r="D124" s="124"/>
      <c r="E124" s="124" t="str">
        <f>IFERROR(__xludf.DUMMYFUNCTION("IF(
   ISNUMBER(FIND(""'"", B124)),
   IFERROR(""["" &amp; REGEXREPLACE(JOIN("", "", QUERY(Data!$A$2:$K512, ""SELECT K WHERE B = """"""&amp;B124&amp;"""""""")), ""(\d+)"", """"""$1"""""") &amp; ""]"", """"),
   IFERROR(""["" &amp; REGEXREPLACE(JOIN("", "", QUERY(Data!$A$2:$K"&amp;"512, ""SELECT K WHERE B = '""&amp;B124&amp;""'"")), ""(\d+)"", """"""$1"""""") &amp; ""]"", """")
)"),"[""12""]")</f>
        <v>["12"]</v>
      </c>
      <c r="F124" s="124"/>
      <c r="G124" s="124"/>
      <c r="H124" s="124"/>
      <c r="I124" s="124"/>
    </row>
    <row r="125">
      <c r="A125" s="125">
        <v>1494.0</v>
      </c>
      <c r="B125" s="126" t="s">
        <v>1491</v>
      </c>
      <c r="C125" s="126" t="s">
        <v>253</v>
      </c>
      <c r="D125" s="124"/>
      <c r="E125" s="124" t="str">
        <f>IFERROR(__xludf.DUMMYFUNCTION("IF(
   ISNUMBER(FIND(""'"", B125)),
   IFERROR(""["" &amp; REGEXREPLACE(JOIN("", "", QUERY(Data!$A$2:$K512, ""SELECT K WHERE B = """"""&amp;B125&amp;"""""""")), ""(\d+)"", """"""$1"""""") &amp; ""]"", """"),
   IFERROR(""["" &amp; REGEXREPLACE(JOIN("", "", QUERY(Data!$A$2:$K"&amp;"512, ""SELECT K WHERE B = '""&amp;B125&amp;""'"")), ""(\d+)"", """"""$1"""""") &amp; ""]"", """")
)"),"[""44"", ""61""]")</f>
        <v>["44", "61"]</v>
      </c>
      <c r="F125" s="124"/>
      <c r="G125" s="124"/>
      <c r="H125" s="124"/>
      <c r="I125" s="124"/>
    </row>
    <row r="126">
      <c r="A126" s="125">
        <v>1495.0</v>
      </c>
      <c r="B126" s="126" t="s">
        <v>1718</v>
      </c>
      <c r="C126" s="126" t="s">
        <v>253</v>
      </c>
      <c r="D126" s="124"/>
      <c r="E126" s="124" t="str">
        <f>IFERROR(__xludf.DUMMYFUNCTION("IF(
   ISNUMBER(FIND(""'"", B126)),
   IFERROR(""["" &amp; REGEXREPLACE(JOIN("", "", QUERY(Data!$A$2:$K512, ""SELECT K WHERE B = """"""&amp;B126&amp;"""""""")), ""(\d+)"", """"""$1"""""") &amp; ""]"", """"),
   IFERROR(""["" &amp; REGEXREPLACE(JOIN("", "", QUERY(Data!$A$2:$K"&amp;"512, ""SELECT K WHERE B = '""&amp;B126&amp;""'"")), ""(\d+)"", """"""$1"""""") &amp; ""]"", """")
)"),"[""13"", ""44""]")</f>
        <v>["13", "44"]</v>
      </c>
      <c r="F126" s="124"/>
      <c r="G126" s="124"/>
      <c r="H126" s="124"/>
      <c r="I126" s="124"/>
    </row>
    <row r="127">
      <c r="A127" s="125">
        <v>1496.0</v>
      </c>
      <c r="B127" s="126" t="s">
        <v>2307</v>
      </c>
      <c r="C127" s="126" t="s">
        <v>253</v>
      </c>
      <c r="D127" s="124"/>
      <c r="E127" s="124" t="str">
        <f>IFERROR(__xludf.DUMMYFUNCTION("IF(
   ISNUMBER(FIND(""'"", B127)),
   IFERROR(""["" &amp; REGEXREPLACE(JOIN("", "", QUERY(Data!$A$2:$K512, ""SELECT K WHERE B = """"""&amp;B127&amp;"""""""")), ""(\d+)"", """"""$1"""""") &amp; ""]"", """"),
   IFERROR(""["" &amp; REGEXREPLACE(JOIN("", "", QUERY(Data!$A$2:$K"&amp;"512, ""SELECT K WHERE B = '""&amp;B127&amp;""'"")), ""(\d+)"", """"""$1"""""") &amp; ""]"", """")
)"),"[""35""]")</f>
        <v>["35"]</v>
      </c>
      <c r="F127" s="124"/>
      <c r="G127" s="124"/>
      <c r="H127" s="124"/>
      <c r="I127" s="124"/>
    </row>
    <row r="128">
      <c r="A128" s="125">
        <v>1490.0</v>
      </c>
      <c r="B128" s="126" t="s">
        <v>2419</v>
      </c>
      <c r="C128" s="126" t="s">
        <v>253</v>
      </c>
      <c r="D128" s="124"/>
      <c r="E128" s="124" t="str">
        <f>IFERROR(__xludf.DUMMYFUNCTION("IF(
   ISNUMBER(FIND(""'"", B128)),
   IFERROR(""["" &amp; REGEXREPLACE(JOIN("", "", QUERY(Data!$A$2:$K512, ""SELECT K WHERE B = """"""&amp;B128&amp;"""""""")), ""(\d+)"", """"""$1"""""") &amp; ""]"", """"),
   IFERROR(""["" &amp; REGEXREPLACE(JOIN("", "", QUERY(Data!$A$2:$K"&amp;"512, ""SELECT K WHERE B = '""&amp;B128&amp;""'"")), ""(\d+)"", """"""$1"""""") &amp; ""]"", """")
)"),"[""65""]")</f>
        <v>["65"]</v>
      </c>
      <c r="F128" s="124"/>
      <c r="G128" s="124"/>
      <c r="H128" s="124"/>
      <c r="I128" s="124"/>
    </row>
    <row r="129">
      <c r="A129" s="125">
        <v>1491.0</v>
      </c>
      <c r="B129" s="126" t="s">
        <v>2975</v>
      </c>
      <c r="C129" s="126" t="s">
        <v>253</v>
      </c>
      <c r="D129" s="124"/>
      <c r="E129" s="124" t="str">
        <f>IFERROR(__xludf.DUMMYFUNCTION("IF(
   ISNUMBER(FIND(""'"", B129)),
   IFERROR(""["" &amp; REGEXREPLACE(JOIN("", "", QUERY(Data!$A$2:$K512, ""SELECT K WHERE B = """"""&amp;B129&amp;"""""""")), ""(\d+)"", """"""$1"""""") &amp; ""]"", """"),
   IFERROR(""["" &amp; REGEXREPLACE(JOIN("", "", QUERY(Data!$A$2:$K"&amp;"512, ""SELECT K WHERE B = '""&amp;B129&amp;""'"")), ""(\d+)"", """"""$1"""""") &amp; ""]"", """")
)"),"[""31"", ""32"", ""35"", ""44"", ""61""]")</f>
        <v>["31", "32", "35", "44", "61"]</v>
      </c>
      <c r="F129" s="124"/>
      <c r="G129" s="124"/>
      <c r="H129" s="124"/>
      <c r="I129" s="124"/>
    </row>
    <row r="130">
      <c r="A130" s="125">
        <v>1497.0</v>
      </c>
      <c r="B130" s="126" t="s">
        <v>3325</v>
      </c>
      <c r="C130" s="126" t="s">
        <v>253</v>
      </c>
      <c r="D130" s="124"/>
      <c r="E130" s="124" t="str">
        <f>IFERROR(__xludf.DUMMYFUNCTION("IF(
   ISNUMBER(FIND(""'"", B130)),
   IFERROR(""["" &amp; REGEXREPLACE(JOIN("", "", QUERY(Data!$A$2:$K512, ""SELECT K WHERE B = """"""&amp;B130&amp;"""""""")), ""(\d+)"", """"""$1"""""") &amp; ""]"", """"),
   IFERROR(""["" &amp; REGEXREPLACE(JOIN("", "", QUERY(Data!$A$2:$K"&amp;"512, ""SELECT K WHERE B = '""&amp;B130&amp;""'"")), ""(\d+)"", """"""$1"""""") &amp; ""]"", """")
)"),"[""44"", ""61""]")</f>
        <v>["44", "61"]</v>
      </c>
      <c r="F130" s="127"/>
      <c r="G130" s="124"/>
      <c r="H130" s="124"/>
      <c r="I130" s="124"/>
    </row>
    <row r="131">
      <c r="A131" s="125">
        <v>1507.0</v>
      </c>
      <c r="B131" s="126" t="s">
        <v>3377</v>
      </c>
      <c r="C131" s="126" t="s">
        <v>253</v>
      </c>
      <c r="D131" s="124"/>
      <c r="E131" s="124" t="str">
        <f>IFERROR(__xludf.DUMMYFUNCTION("IF(
   ISNUMBER(FIND(""'"", B131)),
   IFERROR(""["" &amp; REGEXREPLACE(JOIN("", "", QUERY(Data!$A$2:$K512, ""SELECT K WHERE B = """"""&amp;B131&amp;"""""""")), ""(\d+)"", """"""$1"""""") &amp; ""]"", """"),
   IFERROR(""["" &amp; REGEXREPLACE(JOIN("", "", QUERY(Data!$A$2:$K"&amp;"512, ""SELECT K WHERE B = '""&amp;B131&amp;""'"")), ""(\d+)"", """"""$1"""""") &amp; ""]"", """")
)"),"[""56""]")</f>
        <v>["56"]</v>
      </c>
      <c r="F131" s="127"/>
      <c r="G131" s="124"/>
      <c r="H131" s="124"/>
      <c r="I131" s="124"/>
    </row>
    <row r="132">
      <c r="A132" s="125">
        <v>1498.0</v>
      </c>
      <c r="B132" s="126" t="s">
        <v>3828</v>
      </c>
      <c r="C132" s="126" t="s">
        <v>253</v>
      </c>
      <c r="D132" s="124"/>
      <c r="E132" s="124" t="str">
        <f>IFERROR(__xludf.DUMMYFUNCTION("IF(
   ISNUMBER(FIND(""'"", B132)),
   IFERROR(""["" &amp; REGEXREPLACE(JOIN("", "", QUERY(Data!$A$2:$K512, ""SELECT K WHERE B = """"""&amp;B132&amp;"""""""")), ""(\d+)"", """"""$1"""""") &amp; ""]"", """"),
   IFERROR(""["" &amp; REGEXREPLACE(JOIN("", "", QUERY(Data!$A$2:$K"&amp;"512, ""SELECT K WHERE B = '""&amp;B132&amp;""'"")), ""(\d+)"", """"""$1"""""") &amp; ""]"", """")
)"),"[""35"", ""44""]")</f>
        <v>["35", "44"]</v>
      </c>
      <c r="F132" s="127"/>
      <c r="G132" s="124"/>
      <c r="H132" s="124"/>
      <c r="I132" s="124"/>
    </row>
    <row r="133">
      <c r="A133" s="125">
        <v>1499.0</v>
      </c>
      <c r="B133" s="126" t="s">
        <v>4461</v>
      </c>
      <c r="C133" s="126" t="s">
        <v>253</v>
      </c>
      <c r="D133" s="124"/>
      <c r="E133" s="124" t="str">
        <f>IFERROR(__xludf.DUMMYFUNCTION("IF(
   ISNUMBER(FIND(""'"", B133)),
   IFERROR(""["" &amp; REGEXREPLACE(JOIN("", "", QUERY(Data!$A$2:$K512, ""SELECT K WHERE B = """"""&amp;B133&amp;"""""""")), ""(\d+)"", """"""$1"""""") &amp; ""]"", """"),
   IFERROR(""["" &amp; REGEXREPLACE(JOIN("", "", QUERY(Data!$A$2:$K"&amp;"512, ""SELECT K WHERE B = '""&amp;B133&amp;""'"")), ""(\d+)"", """"""$1"""""") &amp; ""]"", """")
)"),"[""31"", ""32"", ""35"", ""44"", ""61""]")</f>
        <v>["31", "32", "35", "44", "61"]</v>
      </c>
      <c r="F133" s="127"/>
      <c r="G133" s="124"/>
      <c r="H133" s="124"/>
      <c r="I133" s="124"/>
    </row>
    <row r="134">
      <c r="A134" s="125">
        <v>1500.0</v>
      </c>
      <c r="B134" s="126" t="s">
        <v>4630</v>
      </c>
      <c r="C134" s="126" t="s">
        <v>253</v>
      </c>
      <c r="D134" s="124"/>
      <c r="E134" s="124" t="str">
        <f>IFERROR(__xludf.DUMMYFUNCTION("IF(
   ISNUMBER(FIND(""'"", B134)),
   IFERROR(""["" &amp; REGEXREPLACE(JOIN("", "", QUERY(Data!$A$2:$K512, ""SELECT K WHERE B = """"""&amp;B134&amp;"""""""")), ""(\d+)"", """"""$1"""""") &amp; ""]"", """"),
   IFERROR(""["" &amp; REGEXREPLACE(JOIN("", "", QUERY(Data!$A$2:$K"&amp;"512, ""SELECT K WHERE B = '""&amp;B134&amp;""'"")), ""(\d+)"", """"""$1"""""") &amp; ""]"", """")
)"),"[""13""]")</f>
        <v>["13"]</v>
      </c>
      <c r="F134" s="127"/>
      <c r="G134" s="124"/>
      <c r="H134" s="124"/>
      <c r="I134" s="124"/>
    </row>
    <row r="135">
      <c r="A135" s="125">
        <v>1501.0</v>
      </c>
      <c r="B135" s="126" t="s">
        <v>4754</v>
      </c>
      <c r="C135" s="126" t="s">
        <v>253</v>
      </c>
      <c r="D135" s="124"/>
      <c r="E135" s="124" t="str">
        <f>IFERROR(__xludf.DUMMYFUNCTION("IF(
   ISNUMBER(FIND(""'"", B135)),
   IFERROR(""["" &amp; REGEXREPLACE(JOIN("", "", QUERY(Data!$A$2:$K512, ""SELECT K WHERE B = """"""&amp;B135&amp;"""""""")), ""(\d+)"", """"""$1"""""") &amp; ""]"", """"),
   IFERROR(""["" &amp; REGEXREPLACE(JOIN("", "", QUERY(Data!$A$2:$K"&amp;"512, ""SELECT K WHERE B = '""&amp;B135&amp;""'"")), ""(\d+)"", """"""$1"""""") &amp; ""]"", """")
)"),"[""44""]")</f>
        <v>["44"]</v>
      </c>
      <c r="F135" s="127"/>
      <c r="G135" s="124"/>
      <c r="H135" s="124"/>
      <c r="I135" s="124"/>
    </row>
    <row r="136">
      <c r="A136" s="125">
        <v>1053.0</v>
      </c>
      <c r="B136" s="125" t="s">
        <v>1297</v>
      </c>
      <c r="C136" s="124" t="s">
        <v>1297</v>
      </c>
      <c r="D136" s="124"/>
      <c r="E136" s="124" t="str">
        <f>IFERROR(__xludf.DUMMYFUNCTION("IF(
   ISNUMBER(FIND(""'"", B136)),
   IFERROR(""["" &amp; REGEXREPLACE(JOIN("", "", QUERY(Data!$A$2:$K512, ""SELECT K WHERE B = """"""&amp;B136&amp;"""""""")), ""(\d+)"", """"""$1"""""") &amp; ""]"", """"),
   IFERROR(""["" &amp; REGEXREPLACE(JOIN("", "", QUERY(Data!$A$2:$K"&amp;"512, ""SELECT K WHERE B = '""&amp;B136&amp;""'"")), ""(\d+)"", """"""$1"""""") &amp; ""]"", """")
)"),"[""11"", ""12"", ""53"", ""64""]")</f>
        <v>["11", "12", "53", "64"]</v>
      </c>
      <c r="F136" s="127"/>
      <c r="G136" s="124"/>
      <c r="H136" s="124"/>
      <c r="I136" s="124"/>
    </row>
    <row r="137">
      <c r="A137" s="125">
        <v>1054.0</v>
      </c>
      <c r="B137" s="126" t="s">
        <v>1310</v>
      </c>
      <c r="C137" s="124" t="s">
        <v>5760</v>
      </c>
      <c r="D137" s="124"/>
      <c r="E137" s="124" t="str">
        <f>IFERROR(__xludf.DUMMYFUNCTION("IF(
   ISNUMBER(FIND(""'"", B137)),
   IFERROR(""["" &amp; REGEXREPLACE(JOIN("", "", QUERY(Data!$A$2:$K512, ""SELECT K WHERE B = """"""&amp;B137&amp;"""""""")), ""(\d+)"", """"""$1"""""") &amp; ""]"", """"),
   IFERROR(""["" &amp; REGEXREPLACE(JOIN("", "", QUERY(Data!$A$2:$K"&amp;"512, ""SELECT K WHERE B = '""&amp;B137&amp;""'"")), ""(\d+)"", """"""$1"""""") &amp; ""]"", """")
)"),"[""31"", ""32"", ""33""]")</f>
        <v>["31", "32", "33"]</v>
      </c>
      <c r="G137" s="124"/>
      <c r="H137" s="124"/>
      <c r="I137" s="124"/>
    </row>
    <row r="138">
      <c r="A138" s="125">
        <v>1055.0</v>
      </c>
      <c r="B138" s="126" t="s">
        <v>1320</v>
      </c>
      <c r="C138" s="124" t="s">
        <v>5760</v>
      </c>
      <c r="D138" s="124"/>
      <c r="E138" s="124" t="str">
        <f>IFERROR(__xludf.DUMMYFUNCTION("IF(
   ISNUMBER(FIND(""'"", B138)),
   IFERROR(""["" &amp; REGEXREPLACE(JOIN("", "", QUERY(Data!$A$2:$K512, ""SELECT K WHERE B = """"""&amp;B138&amp;"""""""")), ""(\d+)"", """"""$1"""""") &amp; ""]"", """"),
   IFERROR(""["" &amp; REGEXREPLACE(JOIN("", "", QUERY(Data!$A$2:$K"&amp;"512, ""SELECT K WHERE B = '""&amp;B138&amp;""'"")), ""(\d+)"", """"""$1"""""") &amp; ""]"", """")
)"),"[""31"", ""32"", ""33""]")</f>
        <v>["31", "32", "33"]</v>
      </c>
      <c r="G138" s="124"/>
      <c r="H138" s="124"/>
      <c r="I138" s="124"/>
    </row>
    <row r="139">
      <c r="A139" s="125">
        <v>1056.0</v>
      </c>
      <c r="B139" s="126" t="s">
        <v>1326</v>
      </c>
      <c r="C139" s="124" t="s">
        <v>1326</v>
      </c>
      <c r="D139" s="124"/>
      <c r="E139" s="124" t="str">
        <f>IFERROR(__xludf.DUMMYFUNCTION("IF(
   ISNUMBER(FIND(""'"", B139)),
   IFERROR(""["" &amp; REGEXREPLACE(JOIN("", "", QUERY(Data!$A$2:$K512, ""SELECT K WHERE B = """"""&amp;B139&amp;"""""""")), ""(\d+)"", """"""$1"""""") &amp; ""]"", """"),
   IFERROR(""["" &amp; REGEXREPLACE(JOIN("", "", QUERY(Data!$A$2:$K"&amp;"512, ""SELECT K WHERE B = '""&amp;B139&amp;""'"")), ""(\d+)"", """"""$1"""""") &amp; ""]"", """")
)"),"[""65""]")</f>
        <v>["65"]</v>
      </c>
      <c r="G139" s="124"/>
      <c r="H139" s="124"/>
      <c r="I139" s="124"/>
    </row>
    <row r="140">
      <c r="A140" s="126">
        <v>1383.0</v>
      </c>
      <c r="B140" s="126" t="s">
        <v>1334</v>
      </c>
      <c r="C140" s="126" t="s">
        <v>1334</v>
      </c>
      <c r="D140" s="124"/>
      <c r="E140" s="124" t="str">
        <f>IFERROR(__xludf.DUMMYFUNCTION("IF(
   ISNUMBER(FIND(""'"", B140)),
   IFERROR(""["" &amp; REGEXREPLACE(JOIN("", "", QUERY(Data!$A$2:$K512, ""SELECT K WHERE B = """"""&amp;B140&amp;"""""""")), ""(\d+)"", """"""$1"""""") &amp; ""]"", """"),
   IFERROR(""["" &amp; REGEXREPLACE(JOIN("", "", QUERY(Data!$A$2:$K"&amp;"512, ""SELECT K WHERE B = '""&amp;B140&amp;""'"")), ""(\d+)"", """"""$1"""""") &amp; ""]"", """")
)"),"[""11"", ""12"", ""13"", ""14""]")</f>
        <v>["11", "12", "13", "14"]</v>
      </c>
      <c r="G140" s="124"/>
      <c r="H140" s="124"/>
      <c r="I140" s="124"/>
    </row>
    <row r="141">
      <c r="A141" s="125">
        <v>1057.0</v>
      </c>
      <c r="B141" s="125" t="s">
        <v>1350</v>
      </c>
      <c r="C141" s="124" t="s">
        <v>1350</v>
      </c>
      <c r="D141" s="124"/>
      <c r="E141" s="124" t="str">
        <f>IFERROR(__xludf.DUMMYFUNCTION("IF(
   ISNUMBER(FIND(""'"", B141)),
   IFERROR(""["" &amp; REGEXREPLACE(JOIN("", "", QUERY(Data!$A$2:$K512, ""SELECT K WHERE B = """"""&amp;B141&amp;"""""""")), ""(\d+)"", """"""$1"""""") &amp; ""]"", """"),
   IFERROR(""["" &amp; REGEXREPLACE(JOIN("", "", QUERY(Data!$A$2:$K"&amp;"512, ""SELECT K WHERE B = '""&amp;B141&amp;""'"")), ""(\d+)"", """"""$1"""""") &amp; ""]"", """")
)"),"[""11"", ""12"", ""13"", ""35"", ""44"", ""51""]")</f>
        <v>["11", "12", "13", "35", "44", "51"]</v>
      </c>
      <c r="G141" s="124"/>
      <c r="H141" s="124"/>
      <c r="I141" s="124"/>
    </row>
    <row r="142">
      <c r="A142" s="126">
        <v>1415.0</v>
      </c>
      <c r="B142" s="126" t="s">
        <v>1359</v>
      </c>
      <c r="C142" s="126" t="s">
        <v>1359</v>
      </c>
      <c r="D142" s="124"/>
      <c r="E142" s="124" t="str">
        <f>IFERROR(__xludf.DUMMYFUNCTION("IF(
   ISNUMBER(FIND(""'"", B142)),
   IFERROR(""["" &amp; REGEXREPLACE(JOIN("", "", QUERY(Data!$A$2:$K512, ""SELECT K WHERE B = """"""&amp;B142&amp;"""""""")), ""(\d+)"", """"""$1"""""") &amp; ""]"", """"),
   IFERROR(""["" &amp; REGEXREPLACE(JOIN("", "", QUERY(Data!$A$2:$K"&amp;"512, ""SELECT K WHERE B = '""&amp;B142&amp;""'"")), ""(\d+)"", """"""$1"""""") &amp; ""]"", """")
)"),"[""13"", ""22""]")</f>
        <v>["13", "22"]</v>
      </c>
      <c r="G142" s="124"/>
      <c r="H142" s="124"/>
      <c r="I142" s="124"/>
    </row>
    <row r="143">
      <c r="A143" s="126">
        <v>1441.0</v>
      </c>
      <c r="B143" s="126" t="s">
        <v>1374</v>
      </c>
      <c r="C143" s="124" t="s">
        <v>1374</v>
      </c>
      <c r="D143" s="124"/>
      <c r="E143" s="124" t="str">
        <f>IFERROR(__xludf.DUMMYFUNCTION("IF(
   ISNUMBER(FIND(""'"", B143)),
   IFERROR(""["" &amp; REGEXREPLACE(JOIN("", "", QUERY(Data!$A$2:$K512, ""SELECT K WHERE B = """"""&amp;B143&amp;"""""""")), ""(\d+)"", """"""$1"""""") &amp; ""]"", """"),
   IFERROR(""["" &amp; REGEXREPLACE(JOIN("", "", QUERY(Data!$A$2:$K"&amp;"512, ""SELECT K WHERE B = '""&amp;B143&amp;""'"")), ""(\d+)"", """"""$1"""""") &amp; ""]"", """")
)"),"[""24""]")</f>
        <v>["24"]</v>
      </c>
      <c r="F143" s="124"/>
      <c r="G143" s="124"/>
      <c r="H143" s="124"/>
      <c r="I143" s="124"/>
    </row>
    <row r="144">
      <c r="A144" s="125">
        <v>1260.0</v>
      </c>
      <c r="B144" s="126" t="s">
        <v>1386</v>
      </c>
      <c r="C144" s="124" t="s">
        <v>1386</v>
      </c>
      <c r="D144" s="124"/>
      <c r="E144" s="124" t="str">
        <f>IFERROR(__xludf.DUMMYFUNCTION("IF(
   ISNUMBER(FIND(""'"", B144)),
   IFERROR(""["" &amp; REGEXREPLACE(JOIN("", "", QUERY(Data!$A$2:$K512, ""SELECT K WHERE B = """"""&amp;B144&amp;"""""""")), ""(\d+)"", """"""$1"""""") &amp; ""]"", """"),
   IFERROR(""["" &amp; REGEXREPLACE(JOIN("", "", QUERY(Data!$A$2:$K"&amp;"512, ""SELECT K WHERE B = '""&amp;B144&amp;""'"")), ""(\d+)"", """"""$1"""""") &amp; ""]"", """")
)"),"[""24""]")</f>
        <v>["24"]</v>
      </c>
      <c r="F144" s="124"/>
      <c r="G144" s="124"/>
      <c r="H144" s="124"/>
      <c r="I144" s="124"/>
    </row>
    <row r="145">
      <c r="A145" s="125">
        <v>1058.0</v>
      </c>
      <c r="B145" s="126" t="s">
        <v>1395</v>
      </c>
      <c r="C145" s="124" t="s">
        <v>1395</v>
      </c>
      <c r="D145" s="124"/>
      <c r="E145" s="124" t="str">
        <f>IFERROR(__xludf.DUMMYFUNCTION("IF(
   ISNUMBER(FIND(""'"", B145)),
   IFERROR(""["" &amp; REGEXREPLACE(JOIN("", "", QUERY(Data!$A$2:$K512, ""SELECT K WHERE B = """"""&amp;B145&amp;"""""""")), ""(\d+)"", """"""$1"""""") &amp; ""]"", """"),
   IFERROR(""["" &amp; REGEXREPLACE(JOIN("", "", QUERY(Data!$A$2:$K"&amp;"512, ""SELECT K WHERE B = '""&amp;B145&amp;""'"")), ""(\d+)"", """"""$1"""""") &amp; ""]"", """")
)"),"[""22""]")</f>
        <v>["22"]</v>
      </c>
      <c r="F145" s="124"/>
      <c r="G145" s="124"/>
      <c r="H145" s="124"/>
      <c r="I145" s="124"/>
    </row>
    <row r="146">
      <c r="A146" s="125">
        <v>1259.0</v>
      </c>
      <c r="B146" s="126" t="s">
        <v>1403</v>
      </c>
      <c r="C146" s="124" t="s">
        <v>1403</v>
      </c>
      <c r="D146" s="124"/>
      <c r="E146" s="124" t="str">
        <f>IFERROR(__xludf.DUMMYFUNCTION("IF(
   ISNUMBER(FIND(""'"", B146)),
   IFERROR(""["" &amp; REGEXREPLACE(JOIN("", "", QUERY(Data!$A$2:$K512, ""SELECT K WHERE B = """"""&amp;B146&amp;"""""""")), ""(\d+)"", """"""$1"""""") &amp; ""]"", """"),
   IFERROR(""["" &amp; REGEXREPLACE(JOIN("", "", QUERY(Data!$A$2:$K"&amp;"512, ""SELECT K WHERE B = '""&amp;B146&amp;""'"")), ""(\d+)"", """"""$1"""""") &amp; ""]"", """")
)"),"[""24""]")</f>
        <v>["24"]</v>
      </c>
      <c r="F146" s="124"/>
      <c r="G146" s="124"/>
      <c r="H146" s="124"/>
      <c r="I146" s="124"/>
    </row>
    <row r="147">
      <c r="A147" s="125">
        <v>1059.0</v>
      </c>
      <c r="B147" s="125" t="s">
        <v>1412</v>
      </c>
      <c r="C147" s="124" t="s">
        <v>1412</v>
      </c>
      <c r="D147" s="124"/>
      <c r="E147" s="124" t="str">
        <f>IFERROR(__xludf.DUMMYFUNCTION("IF(
   ISNUMBER(FIND(""'"", B147)),
   IFERROR(""["" &amp; REGEXREPLACE(JOIN("", "", QUERY(Data!$A$2:$K512, ""SELECT K WHERE B = """"""&amp;B147&amp;"""""""")), ""(\d+)"", """"""$1"""""") &amp; ""]"", """"),
   IFERROR(""["" &amp; REGEXREPLACE(JOIN("", "", QUERY(Data!$A$2:$K"&amp;"512, ""SELECT K WHERE B = '""&amp;B147&amp;""'"")), ""(\d+)"", """"""$1"""""") &amp; ""]"", """")
)"),"[""13"", ""22"", ""24"", ""64""]")</f>
        <v>["13", "22", "24", "64"]</v>
      </c>
      <c r="F147" s="124"/>
      <c r="G147" s="124"/>
      <c r="H147" s="124"/>
      <c r="I147" s="124"/>
    </row>
    <row r="148">
      <c r="A148" s="125">
        <v>1060.0</v>
      </c>
      <c r="B148" s="125" t="s">
        <v>1432</v>
      </c>
      <c r="C148" s="124" t="s">
        <v>1432</v>
      </c>
      <c r="D148" s="124"/>
      <c r="E148" s="124" t="str">
        <f>IFERROR(__xludf.DUMMYFUNCTION("IF(
   ISNUMBER(FIND(""'"", B148)),
   IFERROR(""["" &amp; REGEXREPLACE(JOIN("", "", QUERY(Data!$A$2:$K512, ""SELECT K WHERE B = """"""&amp;B148&amp;"""""""")), ""(\d+)"", """"""$1"""""") &amp; ""]"", """"),
   IFERROR(""["" &amp; REGEXREPLACE(JOIN("", "", QUERY(Data!$A$2:$K"&amp;"512, ""SELECT K WHERE B = '""&amp;B148&amp;""'"")), ""(\d+)"", """"""$1"""""") &amp; ""]"", """")
)"),"[""11"", ""12"", ""13"", ""14"", ""51"", ""52"", ""64""]")</f>
        <v>["11", "12", "13", "14", "51", "52", "64"]</v>
      </c>
      <c r="F148" s="124"/>
      <c r="G148" s="124"/>
      <c r="H148" s="124"/>
      <c r="I148" s="124"/>
    </row>
    <row r="149">
      <c r="A149" s="125">
        <v>1264.0</v>
      </c>
      <c r="B149" s="126" t="s">
        <v>1451</v>
      </c>
      <c r="C149" s="124" t="s">
        <v>1451</v>
      </c>
      <c r="D149" s="124"/>
      <c r="E149" s="124" t="str">
        <f>IFERROR(__xludf.DUMMYFUNCTION("IF(
   ISNUMBER(FIND(""'"", B149)),
   IFERROR(""["" &amp; REGEXREPLACE(JOIN("", "", QUERY(Data!$A$2:$K512, ""SELECT K WHERE B = """"""&amp;B149&amp;"""""""")), ""(\d+)"", """"""$1"""""") &amp; ""]"", """"),
   IFERROR(""["" &amp; REGEXREPLACE(JOIN("", "", QUERY(Data!$A$2:$K"&amp;"512, ""SELECT K WHERE B = '""&amp;B149&amp;""'"")), ""(\d+)"", """"""$1"""""") &amp; ""]"", """")
)"),"[""37""]")</f>
        <v>["37"]</v>
      </c>
      <c r="F149" s="124"/>
      <c r="G149" s="124"/>
      <c r="H149" s="124"/>
      <c r="I149" s="124"/>
    </row>
    <row r="150">
      <c r="A150" s="125">
        <v>1061.0</v>
      </c>
      <c r="B150" s="126" t="s">
        <v>1457</v>
      </c>
      <c r="C150" s="124" t="s">
        <v>1457</v>
      </c>
      <c r="D150" s="124"/>
      <c r="E150" s="124" t="str">
        <f>IFERROR(__xludf.DUMMYFUNCTION("IF(
   ISNUMBER(FIND(""'"", B150)),
   IFERROR(""["" &amp; REGEXREPLACE(JOIN("", "", QUERY(Data!$A$2:$K512, ""SELECT K WHERE B = """"""&amp;B150&amp;"""""""")), ""(\d+)"", """"""$1"""""") &amp; ""]"", """"),
   IFERROR(""["" &amp; REGEXREPLACE(JOIN("", "", QUERY(Data!$A$2:$K"&amp;"512, ""SELECT K WHERE B = '""&amp;B150&amp;""'"")), ""(\d+)"", """"""$1"""""") &amp; ""]"", """")
)"),"[""42""]")</f>
        <v>["42"]</v>
      </c>
      <c r="F150" s="124"/>
      <c r="G150" s="124"/>
      <c r="H150" s="124"/>
      <c r="I150" s="124"/>
    </row>
    <row r="151">
      <c r="A151" s="125">
        <v>1062.0</v>
      </c>
      <c r="B151" s="125" t="s">
        <v>1465</v>
      </c>
      <c r="C151" s="124" t="s">
        <v>1465</v>
      </c>
      <c r="D151" s="124"/>
      <c r="E151" s="124" t="str">
        <f>IFERROR(__xludf.DUMMYFUNCTION("IF(
   ISNUMBER(FIND(""'"", B151)),
   IFERROR(""["" &amp; REGEXREPLACE(JOIN("", "", QUERY(Data!$A$2:$K512, ""SELECT K WHERE B = """"""&amp;B151&amp;"""""""")), ""(\d+)"", """"""$1"""""") &amp; ""]"", """"),
   IFERROR(""["" &amp; REGEXREPLACE(JOIN("", "", QUERY(Data!$A$2:$K"&amp;"512, ""SELECT K WHERE B = '""&amp;B151&amp;""'"")), ""(\d+)"", """"""$1"""""") &amp; ""]"", """")
)"),"[""11"", ""12"", ""13""]")</f>
        <v>["11", "12", "13"]</v>
      </c>
      <c r="F151" s="124"/>
      <c r="G151" s="124"/>
      <c r="H151" s="124"/>
      <c r="I151" s="124"/>
    </row>
    <row r="152">
      <c r="A152" s="125">
        <v>1063.0</v>
      </c>
      <c r="B152" s="125" t="s">
        <v>1479</v>
      </c>
      <c r="C152" s="124" t="s">
        <v>1479</v>
      </c>
      <c r="D152" s="124"/>
      <c r="E152" s="124" t="str">
        <f>IFERROR(__xludf.DUMMYFUNCTION("IF(
   ISNUMBER(FIND(""'"", B152)),
   IFERROR(""["" &amp; REGEXREPLACE(JOIN("", "", QUERY(Data!$A$2:$K512, ""SELECT K WHERE B = """"""&amp;B152&amp;"""""""")), ""(\d+)"", """"""$1"""""") &amp; ""]"", """"),
   IFERROR(""["" &amp; REGEXREPLACE(JOIN("", "", QUERY(Data!$A$2:$K"&amp;"512, ""SELECT K WHERE B = '""&amp;B152&amp;""'"")), ""(\d+)"", """"""$1"""""") &amp; ""]"", """")
)"),"[""11"", ""12"", ""13""]")</f>
        <v>["11", "12", "13"]</v>
      </c>
      <c r="F152" s="124"/>
      <c r="G152" s="124"/>
      <c r="H152" s="124"/>
      <c r="I152" s="124"/>
    </row>
    <row r="153">
      <c r="A153" s="125">
        <v>1465.0</v>
      </c>
      <c r="B153" s="126" t="s">
        <v>1499</v>
      </c>
      <c r="C153" s="126" t="s">
        <v>1499</v>
      </c>
      <c r="D153" s="124"/>
      <c r="E153" s="124" t="str">
        <f>IFERROR(__xludf.DUMMYFUNCTION("IF(
   ISNUMBER(FIND(""'"", B153)),
   IFERROR(""["" &amp; REGEXREPLACE(JOIN("", "", QUERY(Data!$A$2:$K512, ""SELECT K WHERE B = """"""&amp;B153&amp;"""""""")), ""(\d+)"", """"""$1"""""") &amp; ""]"", """"),
   IFERROR(""["" &amp; REGEXREPLACE(JOIN("", "", QUERY(Data!$A$2:$K"&amp;"512, ""SELECT K WHERE B = '""&amp;B153&amp;""'"")), ""(\d+)"", """"""$1"""""") &amp; ""]"", """")
)"),"[""36""]")</f>
        <v>["36"]</v>
      </c>
      <c r="F153" s="124"/>
      <c r="G153" s="124"/>
      <c r="H153" s="124"/>
      <c r="I153" s="124"/>
    </row>
    <row r="154">
      <c r="A154" s="125">
        <v>1065.0</v>
      </c>
      <c r="B154" s="125" t="s">
        <v>1510</v>
      </c>
      <c r="C154" s="124" t="s">
        <v>1510</v>
      </c>
      <c r="D154" s="124"/>
      <c r="E154" s="124" t="str">
        <f>IFERROR(__xludf.DUMMYFUNCTION("IF(
   ISNUMBER(FIND(""'"", B154)),
   IFERROR(""["" &amp; REGEXREPLACE(JOIN("", "", QUERY(Data!$A$2:$K512, ""SELECT K WHERE B = """"""&amp;B154&amp;"""""""")), ""(\d+)"", """"""$1"""""") &amp; ""]"", """"),
   IFERROR(""["" &amp; REGEXREPLACE(JOIN("", "", QUERY(Data!$A$2:$K"&amp;"512, ""SELECT K WHERE B = '""&amp;B154&amp;""'"")), ""(\d+)"", """"""$1"""""") &amp; ""]"", """")
)"),"[""14""]")</f>
        <v>["14"]</v>
      </c>
      <c r="F154" s="124"/>
      <c r="G154" s="124"/>
      <c r="H154" s="124"/>
      <c r="I154" s="124"/>
    </row>
    <row r="155">
      <c r="A155" s="126">
        <v>1312.0</v>
      </c>
      <c r="B155" s="126" t="s">
        <v>1517</v>
      </c>
      <c r="C155" s="124" t="s">
        <v>1517</v>
      </c>
      <c r="D155" s="124"/>
      <c r="E155" s="124" t="str">
        <f>IFERROR(__xludf.DUMMYFUNCTION("IF(
   ISNUMBER(FIND(""'"", B155)),
   IFERROR(""["" &amp; REGEXREPLACE(JOIN("", "", QUERY(Data!$A$2:$K512, ""SELECT K WHERE B = """"""&amp;B155&amp;"""""""")), ""(\d+)"", """"""$1"""""") &amp; ""]"", """"),
   IFERROR(""["" &amp; REGEXREPLACE(JOIN("", "", QUERY(Data!$A$2:$K"&amp;"512, ""SELECT K WHERE B = '""&amp;B155&amp;""'"")), ""(\d+)"", """"""$1"""""") &amp; ""]"", """")
)"),"[""13""]")</f>
        <v>["13"]</v>
      </c>
      <c r="F155" s="124"/>
      <c r="G155" s="124"/>
      <c r="H155" s="124"/>
      <c r="I155" s="124"/>
    </row>
    <row r="156">
      <c r="A156" s="125">
        <v>1066.0</v>
      </c>
      <c r="B156" s="125" t="s">
        <v>1527</v>
      </c>
      <c r="C156" s="124" t="s">
        <v>1527</v>
      </c>
      <c r="D156" s="124"/>
      <c r="E156" s="124" t="str">
        <f>IFERROR(__xludf.DUMMYFUNCTION("IF(
   ISNUMBER(FIND(""'"", B156)),
   IFERROR(""["" &amp; REGEXREPLACE(JOIN("", "", QUERY(Data!$A$2:$K512, ""SELECT K WHERE B = """"""&amp;B156&amp;"""""""")), ""(\d+)"", """"""$1"""""") &amp; ""]"", """"),
   IFERROR(""["" &amp; REGEXREPLACE(JOIN("", "", QUERY(Data!$A$2:$K"&amp;"512, ""SELECT K WHERE B = '""&amp;B156&amp;""'"")), ""(\d+)"", """"""$1"""""") &amp; ""]"", """")
)"),"[""11"", ""12"", ""13"", ""64""]")</f>
        <v>["11", "12", "13", "64"]</v>
      </c>
      <c r="F156" s="124"/>
      <c r="G156" s="124"/>
      <c r="H156" s="124"/>
      <c r="I156" s="124"/>
    </row>
    <row r="157">
      <c r="A157" s="125">
        <v>1067.0</v>
      </c>
      <c r="B157" s="125" t="s">
        <v>1544</v>
      </c>
      <c r="C157" s="124" t="s">
        <v>1544</v>
      </c>
      <c r="D157" s="124"/>
      <c r="E157" s="124" t="str">
        <f>IFERROR(__xludf.DUMMYFUNCTION("IF(
   ISNUMBER(FIND(""'"", B157)),
   IFERROR(""["" &amp; REGEXREPLACE(JOIN("", "", QUERY(Data!$A$2:$K512, ""SELECT K WHERE B = """"""&amp;B157&amp;"""""""")), ""(\d+)"", """"""$1"""""") &amp; ""]"", """"),
   IFERROR(""["" &amp; REGEXREPLACE(JOIN("", "", QUERY(Data!$A$2:$K"&amp;"512, ""SELECT K WHERE B = '""&amp;B157&amp;""'"")), ""(\d+)"", """"""$1"""""") &amp; ""]"", """")
)"),"[""13""]")</f>
        <v>["13"]</v>
      </c>
      <c r="F157" s="124"/>
      <c r="G157" s="124"/>
      <c r="H157" s="124"/>
      <c r="I157" s="124"/>
    </row>
    <row r="158">
      <c r="A158" s="126">
        <v>1356.0</v>
      </c>
      <c r="B158" s="126" t="s">
        <v>1552</v>
      </c>
      <c r="C158" s="126" t="s">
        <v>1552</v>
      </c>
      <c r="D158" s="124"/>
      <c r="E158" s="124" t="str">
        <f>IFERROR(__xludf.DUMMYFUNCTION("IF(
   ISNUMBER(FIND(""'"", B158)),
   IFERROR(""["" &amp; REGEXREPLACE(JOIN("", "", QUERY(Data!$A$2:$K512, ""SELECT K WHERE B = """"""&amp;B158&amp;"""""""")), ""(\d+)"", """"""$1"""""") &amp; ""]"", """"),
   IFERROR(""["" &amp; REGEXREPLACE(JOIN("", "", QUERY(Data!$A$2:$K"&amp;"512, ""SELECT K WHERE B = '""&amp;B158&amp;""'"")), ""(\d+)"", """"""$1"""""") &amp; ""]"", """")
)"),"[""11"", ""51"", ""55""]")</f>
        <v>["11", "51", "55"]</v>
      </c>
      <c r="F158" s="124"/>
      <c r="G158" s="124"/>
      <c r="H158" s="124"/>
      <c r="I158" s="124"/>
    </row>
    <row r="159">
      <c r="A159" s="125">
        <v>1068.0</v>
      </c>
      <c r="B159" s="125" t="s">
        <v>1567</v>
      </c>
      <c r="C159" s="124" t="s">
        <v>5761</v>
      </c>
      <c r="D159" s="124"/>
      <c r="E159" s="124" t="str">
        <f>IFERROR(__xludf.DUMMYFUNCTION("IF(
   ISNUMBER(FIND(""'"", B159)),
   IFERROR(""["" &amp; REGEXREPLACE(JOIN("", "", QUERY(Data!$A$2:$K512, ""SELECT K WHERE B = """"""&amp;B159&amp;"""""""")), ""(\d+)"", """"""$1"""""") &amp; ""]"", """"),
   IFERROR(""["" &amp; REGEXREPLACE(JOIN("", "", QUERY(Data!$A$2:$K"&amp;"512, ""SELECT K WHERE B = '""&amp;B159&amp;""'"")), ""(\d+)"", """"""$1"""""") &amp; ""]"", """")
)"),"[""31"", ""32"", ""33""]")</f>
        <v>["31", "32", "33"]</v>
      </c>
      <c r="F159" s="124"/>
      <c r="G159" s="124"/>
      <c r="H159" s="124"/>
      <c r="I159" s="124"/>
    </row>
    <row r="160">
      <c r="A160" s="126">
        <v>1345.0</v>
      </c>
      <c r="B160" s="125" t="s">
        <v>1577</v>
      </c>
      <c r="C160" s="124" t="s">
        <v>5761</v>
      </c>
      <c r="D160" s="124"/>
      <c r="E160" s="124" t="str">
        <f>IFERROR(__xludf.DUMMYFUNCTION("IF(
   ISNUMBER(FIND(""'"", B160)),
   IFERROR(""["" &amp; REGEXREPLACE(JOIN("", "", QUERY(Data!$A$2:$K512, ""SELECT K WHERE B = """"""&amp;B160&amp;"""""""")), ""(\d+)"", """"""$1"""""") &amp; ""]"", """"),
   IFERROR(""["" &amp; REGEXREPLACE(JOIN("", "", QUERY(Data!$A$2:$K"&amp;"512, ""SELECT K WHERE B = '""&amp;B160&amp;""'"")), ""(\d+)"", """"""$1"""""") &amp; ""]"", """")
)"),"[""31"", ""32"", ""33""]")</f>
        <v>["31", "32", "33"]</v>
      </c>
      <c r="F160" s="124"/>
      <c r="G160" s="124"/>
      <c r="H160" s="124"/>
      <c r="I160" s="124"/>
    </row>
    <row r="161">
      <c r="A161" s="126">
        <v>1344.0</v>
      </c>
      <c r="B161" s="125" t="s">
        <v>1583</v>
      </c>
      <c r="C161" s="124" t="s">
        <v>5761</v>
      </c>
      <c r="D161" s="124"/>
      <c r="E161" s="124" t="str">
        <f>IFERROR(__xludf.DUMMYFUNCTION("IF(
   ISNUMBER(FIND(""'"", B161)),
   IFERROR(""["" &amp; REGEXREPLACE(JOIN("", "", QUERY(Data!$A$2:$K512, ""SELECT K WHERE B = """"""&amp;B161&amp;"""""""")), ""(\d+)"", """"""$1"""""") &amp; ""]"", """"),
   IFERROR(""["" &amp; REGEXREPLACE(JOIN("", "", QUERY(Data!$A$2:$K"&amp;"512, ""SELECT K WHERE B = '""&amp;B161&amp;""'"")), ""(\d+)"", """"""$1"""""") &amp; ""]"", """")
)"),"[""31"", ""32"", ""33""]")</f>
        <v>["31", "32", "33"]</v>
      </c>
      <c r="F161" s="124"/>
      <c r="G161" s="124"/>
      <c r="H161" s="124"/>
      <c r="I161" s="124"/>
    </row>
    <row r="162">
      <c r="A162" s="125">
        <v>1398.0</v>
      </c>
      <c r="B162" s="126" t="s">
        <v>1590</v>
      </c>
      <c r="C162" s="126" t="s">
        <v>1590</v>
      </c>
      <c r="D162" s="124"/>
      <c r="E162" s="124" t="str">
        <f>IFERROR(__xludf.DUMMYFUNCTION("IF(
   ISNUMBER(FIND(""'"", B162)),
   IFERROR(""["" &amp; REGEXREPLACE(JOIN("", "", QUERY(Data!$A$2:$K512, ""SELECT K WHERE B = """"""&amp;B162&amp;"""""""")), ""(\d+)"", """"""$1"""""") &amp; ""]"", """"),
   IFERROR(""["" &amp; REGEXREPLACE(JOIN("", "", QUERY(Data!$A$2:$K"&amp;"512, ""SELECT K WHERE B = '""&amp;B162&amp;""'"")), ""(\d+)"", """"""$1"""""") &amp; ""]"", """")
)"),"[""63"", ""63"", ""63""]")</f>
        <v>["63", "63", "63"]</v>
      </c>
      <c r="F162" s="124"/>
      <c r="G162" s="124"/>
      <c r="H162" s="124"/>
      <c r="I162" s="124"/>
    </row>
    <row r="163">
      <c r="A163" s="125">
        <v>1069.0</v>
      </c>
      <c r="B163" s="130" t="s">
        <v>1610</v>
      </c>
      <c r="C163" s="129" t="s">
        <v>1610</v>
      </c>
      <c r="D163" s="124"/>
      <c r="E163" s="124" t="str">
        <f>IFERROR(__xludf.DUMMYFUNCTION("IF(
   ISNUMBER(FIND(""'"", B163)),
   IFERROR(""["" &amp; REGEXREPLACE(JOIN("", "", QUERY(Data!$A$2:$K512, ""SELECT K WHERE B = """"""&amp;B163&amp;"""""""")), ""(\d+)"", """"""$1"""""") &amp; ""]"", """"),
   IFERROR(""["" &amp; REGEXREPLACE(JOIN("", "", QUERY(Data!$A$2:$K"&amp;"512, ""SELECT K WHERE B = '""&amp;B163&amp;""'"")), ""(\d+)"", """"""$1"""""") &amp; ""]"", """")
)"),"[""13"", ""14""]")</f>
        <v>["13", "14"]</v>
      </c>
      <c r="F163" s="124"/>
      <c r="G163" s="124"/>
      <c r="H163" s="124"/>
      <c r="I163" s="124"/>
    </row>
    <row r="164">
      <c r="A164" s="125">
        <v>1070.0</v>
      </c>
      <c r="B164" s="125" t="s">
        <v>1621</v>
      </c>
      <c r="C164" s="124" t="s">
        <v>1621</v>
      </c>
      <c r="D164" s="124"/>
      <c r="E164" s="124" t="str">
        <f>IFERROR(__xludf.DUMMYFUNCTION("IF(
   ISNUMBER(FIND(""'"", B164)),
   IFERROR(""["" &amp; REGEXREPLACE(JOIN("", "", QUERY(Data!$A$2:$K512, ""SELECT K WHERE B = """"""&amp;B164&amp;"""""""")), ""(\d+)"", """"""$1"""""") &amp; ""]"", """"),
   IFERROR(""["" &amp; REGEXREPLACE(JOIN("", "", QUERY(Data!$A$2:$K"&amp;"512, ""SELECT K WHERE B = '""&amp;B164&amp;""'"")), ""(\d+)"", """"""$1"""""") &amp; ""]"", """")
)"),"[""11"", ""12"", ""13"", ""35""]")</f>
        <v>["11", "12", "13", "35"]</v>
      </c>
      <c r="F164" s="124"/>
      <c r="G164" s="124"/>
      <c r="H164" s="124"/>
      <c r="I164" s="124"/>
    </row>
    <row r="165">
      <c r="A165" s="125">
        <v>1072.0</v>
      </c>
      <c r="B165" s="125" t="s">
        <v>1651</v>
      </c>
      <c r="C165" s="124" t="s">
        <v>1651</v>
      </c>
      <c r="D165" s="124"/>
      <c r="E165" s="124" t="str">
        <f>IFERROR(__xludf.DUMMYFUNCTION("IF(
   ISNUMBER(FIND(""'"", B165)),
   IFERROR(""["" &amp; REGEXREPLACE(JOIN("", "", QUERY(Data!$A$2:$K512, ""SELECT K WHERE B = """"""&amp;B165&amp;"""""""")), ""(\d+)"", """"""$1"""""") &amp; ""]"", """"),
   IFERROR(""["" &amp; REGEXREPLACE(JOIN("", "", QUERY(Data!$A$2:$K"&amp;"512, ""SELECT K WHERE B = '""&amp;B165&amp;""'"")), ""(\d+)"", """"""$1"""""") &amp; ""]"", """")
)"),"[""13""]")</f>
        <v>["13"]</v>
      </c>
      <c r="F165" s="124"/>
      <c r="G165" s="124"/>
      <c r="H165" s="124"/>
      <c r="I165" s="124"/>
    </row>
    <row r="166">
      <c r="A166" s="126">
        <v>1443.0</v>
      </c>
      <c r="B166" s="126" t="s">
        <v>1662</v>
      </c>
      <c r="C166" s="124" t="s">
        <v>5762</v>
      </c>
      <c r="D166" s="124"/>
      <c r="E166" s="124" t="str">
        <f>IFERROR(__xludf.DUMMYFUNCTION("IF(
   ISNUMBER(FIND(""'"", B166)),
   IFERROR(""["" &amp; REGEXREPLACE(JOIN("", "", QUERY(Data!$A$2:$K512, ""SELECT K WHERE B = """"""&amp;B166&amp;"""""""")), ""(\d+)"", """"""$1"""""") &amp; ""]"", """"),
   IFERROR(""["" &amp; REGEXREPLACE(JOIN("", "", QUERY(Data!$A$2:$K"&amp;"512, ""SELECT K WHERE B = '""&amp;B166&amp;""'"")), ""(\d+)"", """"""$1"""""") &amp; ""]"", """")
)"),"[""11"", ""21"", ""22"", ""65""]")</f>
        <v>["11", "21", "22", "65"]</v>
      </c>
      <c r="F166" s="124"/>
      <c r="G166" s="124"/>
      <c r="H166" s="124"/>
      <c r="I166" s="124"/>
    </row>
    <row r="167">
      <c r="A167" s="126">
        <v>1444.0</v>
      </c>
      <c r="B167" s="126" t="s">
        <v>1675</v>
      </c>
      <c r="C167" s="124" t="s">
        <v>5762</v>
      </c>
      <c r="D167" s="124"/>
      <c r="E167" s="124" t="str">
        <f>IFERROR(__xludf.DUMMYFUNCTION("IF(
   ISNUMBER(FIND(""'"", B167)),
   IFERROR(""["" &amp; REGEXREPLACE(JOIN("", "", QUERY(Data!$A$2:$K512, ""SELECT K WHERE B = """"""&amp;B167&amp;"""""""")), ""(\d+)"", """"""$1"""""") &amp; ""]"", """"),
   IFERROR(""["" &amp; REGEXREPLACE(JOIN("", "", QUERY(Data!$A$2:$K"&amp;"512, ""SELECT K WHERE B = '""&amp;B167&amp;""'"")), ""(\d+)"", """"""$1"""""") &amp; ""]"", """")
)"),"[""21"", ""22""]")</f>
        <v>["21", "22"]</v>
      </c>
      <c r="F167" s="124"/>
      <c r="G167" s="124"/>
      <c r="H167" s="124"/>
      <c r="I167" s="124"/>
    </row>
    <row r="168">
      <c r="A168" s="126">
        <v>1412.0</v>
      </c>
      <c r="B168" s="126" t="s">
        <v>1684</v>
      </c>
      <c r="C168" s="126" t="s">
        <v>5762</v>
      </c>
      <c r="D168" s="124"/>
      <c r="E168" s="124" t="str">
        <f>IFERROR(__xludf.DUMMYFUNCTION("IF(
   ISNUMBER(FIND(""'"", B168)),
   IFERROR(""["" &amp; REGEXREPLACE(JOIN("", "", QUERY(Data!$A$2:$K512, ""SELECT K WHERE B = """"""&amp;B168&amp;"""""""")), ""(\d+)"", """"""$1"""""") &amp; ""]"", """"),
   IFERROR(""["" &amp; REGEXREPLACE(JOIN("", "", QUERY(Data!$A$2:$K"&amp;"512, ""SELECT K WHERE B = '""&amp;B168&amp;""'"")), ""(\d+)"", """"""$1"""""") &amp; ""]"", """")
)"),"[""21"", ""51"", ""53""]")</f>
        <v>["21", "51", "53"]</v>
      </c>
      <c r="F168" s="124"/>
      <c r="G168" s="124"/>
      <c r="H168" s="124"/>
      <c r="I168" s="124"/>
    </row>
    <row r="169">
      <c r="A169" s="126">
        <v>1442.0</v>
      </c>
      <c r="B169" s="126" t="s">
        <v>1791</v>
      </c>
      <c r="C169" s="124" t="s">
        <v>5762</v>
      </c>
      <c r="D169" s="124"/>
      <c r="E169" s="124" t="str">
        <f>IFERROR(__xludf.DUMMYFUNCTION("IF(
   ISNUMBER(FIND(""'"", B169)),
   IFERROR(""["" &amp; REGEXREPLACE(JOIN("", "", QUERY(Data!$A$2:$K512, ""SELECT K WHERE B = """"""&amp;B169&amp;"""""""")), ""(\d+)"", """"""$1"""""") &amp; ""]"", """"),
   IFERROR(""["" &amp; REGEXREPLACE(JOIN("", "", QUERY(Data!$A$2:$K"&amp;"512, ""SELECT K WHERE B = '""&amp;B169&amp;""'"")), ""(\d+)"", """"""$1"""""") &amp; ""]"", """")
)"),"[""11"", ""11"", ""13"", ""13"", ""14"", ""14"", ""22"", ""22"", ""53"", ""53""]")</f>
        <v>["11", "11", "13", "13", "14", "14", "22", "22", "53", "53"]</v>
      </c>
      <c r="F169" s="124"/>
      <c r="G169" s="124"/>
      <c r="H169" s="124"/>
      <c r="I169" s="124"/>
    </row>
    <row r="170">
      <c r="A170" s="125">
        <v>1475.0</v>
      </c>
      <c r="B170" s="126" t="s">
        <v>1694</v>
      </c>
      <c r="C170" s="126" t="s">
        <v>1694</v>
      </c>
      <c r="D170" s="124"/>
      <c r="E170" s="124" t="str">
        <f>IFERROR(__xludf.DUMMYFUNCTION("IF(
   ISNUMBER(FIND(""'"", B170)),
   IFERROR(""["" &amp; REGEXREPLACE(JOIN("", "", QUERY(Data!$A$2:$K512, ""SELECT K WHERE B = """"""&amp;B170&amp;"""""""")), ""(\d+)"", """"""$1"""""") &amp; ""]"", """"),
   IFERROR(""["" &amp; REGEXREPLACE(JOIN("", "", QUERY(Data!$A$2:$K"&amp;"512, ""SELECT K WHERE B = '""&amp;B170&amp;""'"")), ""(\d+)"", """"""$1"""""") &amp; ""]"", """")
)"),"[""36""]")</f>
        <v>["36"]</v>
      </c>
      <c r="F170" s="124"/>
      <c r="G170" s="124"/>
      <c r="H170" s="124"/>
      <c r="I170" s="124"/>
    </row>
    <row r="171">
      <c r="A171" s="125">
        <v>1073.0</v>
      </c>
      <c r="B171" s="126" t="s">
        <v>1706</v>
      </c>
      <c r="C171" s="124" t="s">
        <v>1706</v>
      </c>
      <c r="D171" s="124"/>
      <c r="E171" s="124" t="str">
        <f>IFERROR(__xludf.DUMMYFUNCTION("IF(
   ISNUMBER(FIND(""'"", B171)),
   IFERROR(""["" &amp; REGEXREPLACE(JOIN("", "", QUERY(Data!$A$2:$K512, ""SELECT K WHERE B = """"""&amp;B171&amp;"""""""")), ""(\d+)"", """"""$1"""""") &amp; ""]"", """"),
   IFERROR(""["" &amp; REGEXREPLACE(JOIN("", "", QUERY(Data!$A$2:$K"&amp;"512, ""SELECT K WHERE B = '""&amp;B171&amp;""'"")), ""(\d+)"", """"""$1"""""") &amp; ""]"", """")
)"),"[""41""]")</f>
        <v>["41"]</v>
      </c>
      <c r="F171" s="124"/>
      <c r="G171" s="124"/>
      <c r="H171" s="124"/>
      <c r="I171" s="124"/>
    </row>
    <row r="172">
      <c r="A172" s="125">
        <v>1074.0</v>
      </c>
      <c r="B172" s="126" t="s">
        <v>1712</v>
      </c>
      <c r="C172" s="124" t="s">
        <v>1712</v>
      </c>
      <c r="D172" s="124"/>
      <c r="E172" s="124" t="str">
        <f>IFERROR(__xludf.DUMMYFUNCTION("IF(
   ISNUMBER(FIND(""'"", B172)),
   IFERROR(""["" &amp; REGEXREPLACE(JOIN("", "", QUERY(Data!$A$2:$K512, ""SELECT K WHERE B = """"""&amp;B172&amp;"""""""")), ""(\d+)"", """"""$1"""""") &amp; ""]"", """"),
   IFERROR(""["" &amp; REGEXREPLACE(JOIN("", "", QUERY(Data!$A$2:$K"&amp;"512, ""SELECT K WHERE B = '""&amp;B172&amp;""'"")), ""(\d+)"", """"""$1"""""") &amp; ""]"", """")
)"),"[""55""]")</f>
        <v>["55"]</v>
      </c>
      <c r="F172" s="124"/>
      <c r="G172" s="124"/>
      <c r="H172" s="124"/>
      <c r="I172" s="124"/>
    </row>
    <row r="173">
      <c r="A173" s="125">
        <v>1075.0</v>
      </c>
      <c r="B173" s="125" t="s">
        <v>5763</v>
      </c>
      <c r="C173" s="124" t="s">
        <v>5763</v>
      </c>
      <c r="D173" s="124"/>
      <c r="E173" s="124" t="str">
        <f>IFERROR(__xludf.DUMMYFUNCTION("IF(
   ISNUMBER(FIND(""'"", B173)),
   IFERROR(""["" &amp; REGEXREPLACE(JOIN("", "", QUERY(Data!$A$2:$K512, ""SELECT K WHERE B = """"""&amp;B173&amp;"""""""")), ""(\d+)"", """"""$1"""""") &amp; ""]"", """"),
   IFERROR(""["" &amp; REGEXREPLACE(JOIN("", "", QUERY(Data!$A$2:$K"&amp;"512, ""SELECT K WHERE B = '""&amp;B173&amp;""'"")), ""(\d+)"", """"""$1"""""") &amp; ""]"", """")
)"),"")</f>
        <v/>
      </c>
      <c r="F173" s="124"/>
      <c r="G173" s="124"/>
      <c r="H173" s="124"/>
      <c r="I173" s="124"/>
    </row>
    <row r="174">
      <c r="A174" s="125">
        <v>1076.0</v>
      </c>
      <c r="B174" s="125" t="s">
        <v>1730</v>
      </c>
      <c r="C174" s="124" t="s">
        <v>1730</v>
      </c>
      <c r="D174" s="124"/>
      <c r="E174" s="124" t="str">
        <f>IFERROR(__xludf.DUMMYFUNCTION("IF(
   ISNUMBER(FIND(""'"", B174)),
   IFERROR(""["" &amp; REGEXREPLACE(JOIN("", "", QUERY(Data!$A$2:$K512, ""SELECT K WHERE B = """"""&amp;B174&amp;"""""""")), ""(\d+)"", """"""$1"""""") &amp; ""]"", """"),
   IFERROR(""["" &amp; REGEXREPLACE(JOIN("", "", QUERY(Data!$A$2:$K"&amp;"512, ""SELECT K WHERE B = '""&amp;B174&amp;""'"")), ""(\d+)"", """"""$1"""""") &amp; ""]"", """")
)"),"[""13""]")</f>
        <v>["13"]</v>
      </c>
      <c r="F174" s="124"/>
      <c r="G174" s="124"/>
      <c r="H174" s="124"/>
      <c r="I174" s="124"/>
    </row>
    <row r="175">
      <c r="A175" s="125">
        <v>1077.0</v>
      </c>
      <c r="B175" s="125" t="s">
        <v>1738</v>
      </c>
      <c r="C175" s="124" t="s">
        <v>1738</v>
      </c>
      <c r="D175" s="124"/>
      <c r="E175" s="124" t="str">
        <f>IFERROR(__xludf.DUMMYFUNCTION("IF(
   ISNUMBER(FIND(""'"", B175)),
   IFERROR(""["" &amp; REGEXREPLACE(JOIN("", "", QUERY(Data!$A$2:$K512, ""SELECT K WHERE B = """"""&amp;B175&amp;"""""""")), ""(\d+)"", """"""$1"""""") &amp; ""]"", """"),
   IFERROR(""["" &amp; REGEXREPLACE(JOIN("", "", QUERY(Data!$A$2:$K"&amp;"512, ""SELECT K WHERE B = '""&amp;B175&amp;""'"")), ""(\d+)"", """"""$1"""""") &amp; ""]"", """")
)"),"[""13""]")</f>
        <v>["13"]</v>
      </c>
      <c r="F175" s="124"/>
      <c r="G175" s="124"/>
      <c r="H175" s="124"/>
      <c r="I175" s="124"/>
    </row>
    <row r="176">
      <c r="A176" s="125">
        <v>1078.0</v>
      </c>
      <c r="B176" s="125" t="s">
        <v>1746</v>
      </c>
      <c r="C176" s="124" t="s">
        <v>1746</v>
      </c>
      <c r="D176" s="124"/>
      <c r="E176" s="124" t="str">
        <f>IFERROR(__xludf.DUMMYFUNCTION("IF(
   ISNUMBER(FIND(""'"", B176)),
   IFERROR(""["" &amp; REGEXREPLACE(JOIN("", "", QUERY(Data!$A$2:$K512, ""SELECT K WHERE B = """"""&amp;B176&amp;"""""""")), ""(\d+)"", """"""$1"""""") &amp; ""]"", """"),
   IFERROR(""["" &amp; REGEXREPLACE(JOIN("", "", QUERY(Data!$A$2:$K"&amp;"512, ""SELECT K WHERE B = '""&amp;B176&amp;""'"")), ""(\d+)"", """"""$1"""""") &amp; ""]"", """")
)"),"[""11"", ""12""]")</f>
        <v>["11", "12"]</v>
      </c>
      <c r="F176" s="124"/>
      <c r="G176" s="124"/>
      <c r="H176" s="124"/>
      <c r="I176" s="124"/>
    </row>
    <row r="177">
      <c r="A177" s="126">
        <v>1386.0</v>
      </c>
      <c r="B177" s="126" t="s">
        <v>1756</v>
      </c>
      <c r="C177" s="126" t="s">
        <v>1756</v>
      </c>
      <c r="D177" s="124"/>
      <c r="E177" s="124" t="str">
        <f>IFERROR(__xludf.DUMMYFUNCTION("IF(
   ISNUMBER(FIND(""'"", B177)),
   IFERROR(""["" &amp; REGEXREPLACE(JOIN("", "", QUERY(Data!$A$2:$K512, ""SELECT K WHERE B = """"""&amp;B177&amp;"""""""")), ""(\d+)"", """"""$1"""""") &amp; ""]"", """"),
   IFERROR(""["" &amp; REGEXREPLACE(JOIN("", "", QUERY(Data!$A$2:$K"&amp;"512, ""SELECT K WHERE B = '""&amp;B177&amp;""'"")), ""(\d+)"", """"""$1"""""") &amp; ""]"", """")
)"),"[""41"", ""41""]")</f>
        <v>["41", "41"]</v>
      </c>
      <c r="F177" s="124"/>
      <c r="G177" s="124"/>
      <c r="H177" s="124"/>
      <c r="I177" s="124"/>
    </row>
    <row r="178">
      <c r="A178" s="126">
        <v>1384.0</v>
      </c>
      <c r="B178" s="126" t="s">
        <v>1769</v>
      </c>
      <c r="C178" s="126" t="s">
        <v>1769</v>
      </c>
      <c r="D178" s="124"/>
      <c r="E178" s="124" t="str">
        <f>IFERROR(__xludf.DUMMYFUNCTION("IF(
   ISNUMBER(FIND(""'"", B178)),
   IFERROR(""["" &amp; REGEXREPLACE(JOIN("", "", QUERY(Data!$A$2:$K512, ""SELECT K WHERE B = """"""&amp;B178&amp;"""""""")), ""(\d+)"", """"""$1"""""") &amp; ""]"", """"),
   IFERROR(""["" &amp; REGEXREPLACE(JOIN("", "", QUERY(Data!$A$2:$K"&amp;"512, ""SELECT K WHERE B = '""&amp;B178&amp;""'"")), ""(\d+)"", """"""$1"""""") &amp; ""]"", """")
)"),"[""11"", ""11"", ""12"", ""12"", ""13"", ""13"", ""36"", ""36"", ""65""]")</f>
        <v>["11", "11", "12", "12", "13", "13", "36", "36", "65"]</v>
      </c>
      <c r="F178" s="124"/>
      <c r="G178" s="124"/>
      <c r="H178" s="124"/>
      <c r="I178" s="124"/>
    </row>
    <row r="179">
      <c r="A179" s="125">
        <v>1079.0</v>
      </c>
      <c r="B179" s="126" t="s">
        <v>1814</v>
      </c>
      <c r="C179" s="124" t="s">
        <v>1814</v>
      </c>
      <c r="D179" s="124"/>
      <c r="E179" s="124" t="str">
        <f>IFERROR(__xludf.DUMMYFUNCTION("IF(
   ISNUMBER(FIND(""'"", B179)),
   IFERROR(""["" &amp; REGEXREPLACE(JOIN("", "", QUERY(Data!$A$2:$K512, ""SELECT K WHERE B = """"""&amp;B179&amp;"""""""")), ""(\d+)"", """"""$1"""""") &amp; ""]"", """"),
   IFERROR(""["" &amp; REGEXREPLACE(JOIN("", "", QUERY(Data!$A$2:$K"&amp;"512, ""SELECT K WHERE B = '""&amp;B179&amp;""'"")), ""(\d+)"", """"""$1"""""") &amp; ""]"", """")
)"),"[""41""]")</f>
        <v>["41"]</v>
      </c>
      <c r="F179" s="124"/>
      <c r="G179" s="124"/>
      <c r="H179" s="124"/>
      <c r="I179" s="124"/>
    </row>
    <row r="180">
      <c r="A180" s="126">
        <v>1393.0</v>
      </c>
      <c r="B180" s="126" t="s">
        <v>1822</v>
      </c>
      <c r="C180" s="126" t="s">
        <v>1822</v>
      </c>
      <c r="D180" s="124"/>
      <c r="E180" s="124" t="str">
        <f>IFERROR(__xludf.DUMMYFUNCTION("IF(
   ISNUMBER(FIND(""'"", B180)),
   IFERROR(""["" &amp; REGEXREPLACE(JOIN("", "", QUERY(Data!$A$2:$K512, ""SELECT K WHERE B = """"""&amp;B180&amp;"""""""")), ""(\d+)"", """"""$1"""""") &amp; ""]"", """"),
   IFERROR(""["" &amp; REGEXREPLACE(JOIN("", "", QUERY(Data!$A$2:$K"&amp;"512, ""SELECT K WHERE B = '""&amp;B180&amp;""'"")), ""(\d+)"", """"""$1"""""") &amp; ""]"", """")
)"),"[""65""]")</f>
        <v>["65"]</v>
      </c>
      <c r="F180" s="124"/>
      <c r="G180" s="124"/>
      <c r="H180" s="124"/>
      <c r="I180" s="124"/>
    </row>
    <row r="181">
      <c r="A181" s="126">
        <v>1310.0</v>
      </c>
      <c r="B181" s="126" t="s">
        <v>1832</v>
      </c>
      <c r="C181" s="124" t="s">
        <v>1832</v>
      </c>
      <c r="D181" s="124"/>
      <c r="E181" s="124" t="str">
        <f>IFERROR(__xludf.DUMMYFUNCTION("IF(
   ISNUMBER(FIND(""'"", B181)),
   IFERROR(""["" &amp; REGEXREPLACE(JOIN("", "", QUERY(Data!$A$2:$K512, ""SELECT K WHERE B = """"""&amp;B181&amp;"""""""")), ""(\d+)"", """"""$1"""""") &amp; ""]"", """"),
   IFERROR(""["" &amp; REGEXREPLACE(JOIN("", "", QUERY(Data!$A$2:$K"&amp;"512, ""SELECT K WHERE B = '""&amp;B181&amp;""'"")), ""(\d+)"", """"""$1"""""") &amp; ""]"", """")
)"),"[""65""]")</f>
        <v>["65"]</v>
      </c>
      <c r="F181" s="124"/>
      <c r="G181" s="124"/>
      <c r="H181" s="124"/>
      <c r="I181" s="124"/>
    </row>
    <row r="182">
      <c r="A182" s="125">
        <v>1080.0</v>
      </c>
      <c r="B182" s="126" t="s">
        <v>1838</v>
      </c>
      <c r="C182" s="124" t="s">
        <v>1838</v>
      </c>
      <c r="D182" s="124"/>
      <c r="E182" s="124" t="str">
        <f>IFERROR(__xludf.DUMMYFUNCTION("IF(
   ISNUMBER(FIND(""'"", B182)),
   IFERROR(""["" &amp; REGEXREPLACE(JOIN("", "", QUERY(Data!$A$2:$K512, ""SELECT K WHERE B = """"""&amp;B182&amp;"""""""")), ""(\d+)"", """"""$1"""""") &amp; ""]"", """"),
   IFERROR(""["" &amp; REGEXREPLACE(JOIN("", "", QUERY(Data!$A$2:$K"&amp;"512, ""SELECT K WHERE B = '""&amp;B182&amp;""'"")), ""(\d+)"", """"""$1"""""") &amp; ""]"", """")
)"),"[""44""]")</f>
        <v>["44"]</v>
      </c>
      <c r="F182" s="124"/>
      <c r="G182" s="124"/>
      <c r="H182" s="124"/>
      <c r="I182" s="124"/>
    </row>
    <row r="183">
      <c r="A183" s="125">
        <v>1469.0</v>
      </c>
      <c r="B183" s="126" t="s">
        <v>1845</v>
      </c>
      <c r="C183" s="126" t="s">
        <v>1845</v>
      </c>
      <c r="D183" s="124"/>
      <c r="E183" s="124" t="str">
        <f>IFERROR(__xludf.DUMMYFUNCTION("IF(
   ISNUMBER(FIND(""'"", B183)),
   IFERROR(""["" &amp; REGEXREPLACE(JOIN("", "", QUERY(Data!$A$2:$K512, ""SELECT K WHERE B = """"""&amp;B183&amp;"""""""")), ""(\d+)"", """"""$1"""""") &amp; ""]"", """"),
   IFERROR(""["" &amp; REGEXREPLACE(JOIN("", "", QUERY(Data!$A$2:$K"&amp;"512, ""SELECT K WHERE B = '""&amp;B183&amp;""'"")), ""(\d+)"", """"""$1"""""") &amp; ""]"", """")
)"),"[""36""]")</f>
        <v>["36"]</v>
      </c>
      <c r="F183" s="124"/>
      <c r="G183" s="124"/>
      <c r="H183" s="124"/>
      <c r="I183" s="124"/>
    </row>
    <row r="184">
      <c r="A184" s="125">
        <v>1081.0</v>
      </c>
      <c r="B184" s="126" t="s">
        <v>1855</v>
      </c>
      <c r="C184" s="124" t="s">
        <v>1855</v>
      </c>
      <c r="D184" s="124"/>
      <c r="E184" s="124" t="str">
        <f>IFERROR(__xludf.DUMMYFUNCTION("IF(
   ISNUMBER(FIND(""'"", B184)),
   IFERROR(""["" &amp; REGEXREPLACE(JOIN("", "", QUERY(Data!$A$2:$K512, ""SELECT K WHERE B = """"""&amp;B184&amp;"""""""")), ""(\d+)"", """"""$1"""""") &amp; ""]"", """"),
   IFERROR(""["" &amp; REGEXREPLACE(JOIN("", "", QUERY(Data!$A$2:$K"&amp;"512, ""SELECT K WHERE B = '""&amp;B184&amp;""'"")), ""(\d+)"", """"""$1"""""") &amp; ""]"", """")
)"),"[""13"", ""14"", ""22"", ""24""]")</f>
        <v>["13", "14", "22", "24"]</v>
      </c>
      <c r="F184" s="124"/>
      <c r="G184" s="124"/>
      <c r="H184" s="124"/>
      <c r="I184" s="124"/>
    </row>
    <row r="185">
      <c r="A185" s="125">
        <v>1343.0</v>
      </c>
      <c r="B185" s="126" t="s">
        <v>1873</v>
      </c>
      <c r="C185" s="124" t="s">
        <v>1873</v>
      </c>
      <c r="D185" s="124"/>
      <c r="E185" s="124" t="str">
        <f>IFERROR(__xludf.DUMMYFUNCTION("IF(
   ISNUMBER(FIND(""'"", B185)),
   IFERROR(""["" &amp; REGEXREPLACE(JOIN("", "", QUERY(Data!$A$2:$K512, ""SELECT K WHERE B = """"""&amp;B185&amp;"""""""")), ""(\d+)"", """"""$1"""""") &amp; ""]"", """"),
   IFERROR(""["" &amp; REGEXREPLACE(JOIN("", "", QUERY(Data!$A$2:$K"&amp;"512, ""SELECT K WHERE B = '""&amp;B185&amp;""'"")), ""(\d+)"", """"""$1"""""") &amp; ""]"", """")
)"),"[""52""]")</f>
        <v>["52"]</v>
      </c>
      <c r="F185" s="124"/>
      <c r="G185" s="124"/>
      <c r="H185" s="124"/>
      <c r="I185" s="124"/>
    </row>
    <row r="186">
      <c r="A186" s="125">
        <v>1509.0</v>
      </c>
      <c r="B186" s="126" t="s">
        <v>1880</v>
      </c>
      <c r="C186" s="126" t="s">
        <v>1880</v>
      </c>
      <c r="D186" s="124"/>
      <c r="E186" s="124" t="str">
        <f>IFERROR(__xludf.DUMMYFUNCTION("IF(
   ISNUMBER(FIND(""'"", B186)),
   IFERROR(""["" &amp; REGEXREPLACE(JOIN("", "", QUERY(Data!$A$2:$K512, ""SELECT K WHERE B = """"""&amp;B186&amp;"""""""")), ""(\d+)"", """"""$1"""""") &amp; ""]"", """"),
   IFERROR(""["" &amp; REGEXREPLACE(JOIN("", "", QUERY(Data!$A$2:$K"&amp;"512, ""SELECT K WHERE B = '""&amp;B186&amp;""'"")), ""(\d+)"", """"""$1"""""") &amp; ""]"", """")
)"),"[""56""]")</f>
        <v>["56"]</v>
      </c>
      <c r="F186" s="124"/>
      <c r="G186" s="124"/>
      <c r="H186" s="124"/>
      <c r="I186" s="124"/>
    </row>
    <row r="187">
      <c r="A187" s="125">
        <v>1082.0</v>
      </c>
      <c r="B187" s="126" t="s">
        <v>1887</v>
      </c>
      <c r="C187" s="124" t="s">
        <v>1887</v>
      </c>
      <c r="D187" s="124"/>
      <c r="E187" s="124" t="str">
        <f>IFERROR(__xludf.DUMMYFUNCTION("IF(
   ISNUMBER(FIND(""'"", B187)),
   IFERROR(""["" &amp; REGEXREPLACE(JOIN("", "", QUERY(Data!$A$2:$K512, ""SELECT K WHERE B = """"""&amp;B187&amp;"""""""")), ""(\d+)"", """"""$1"""""") &amp; ""]"", """"),
   IFERROR(""["" &amp; REGEXREPLACE(JOIN("", "", QUERY(Data!$A$2:$K"&amp;"512, ""SELECT K WHERE B = '""&amp;B187&amp;""'"")), ""(\d+)"", """"""$1"""""") &amp; ""]"", """")
)"),"[""33""]")</f>
        <v>["33"]</v>
      </c>
      <c r="F187" s="124"/>
      <c r="G187" s="124"/>
      <c r="H187" s="124"/>
      <c r="I187" s="124"/>
    </row>
    <row r="188">
      <c r="A188" s="126">
        <v>1311.0</v>
      </c>
      <c r="B188" s="126" t="s">
        <v>1896</v>
      </c>
      <c r="C188" s="124" t="s">
        <v>1896</v>
      </c>
      <c r="D188" s="124"/>
      <c r="E188" s="124" t="str">
        <f>IFERROR(__xludf.DUMMYFUNCTION("IF(
   ISNUMBER(FIND(""'"", B188)),
   IFERROR(""["" &amp; REGEXREPLACE(JOIN("", "", QUERY(Data!$A$2:$K512, ""SELECT K WHERE B = """"""&amp;B188&amp;"""""""")), ""(\d+)"", """"""$1"""""") &amp; ""]"", """"),
   IFERROR(""["" &amp; REGEXREPLACE(JOIN("", "", QUERY(Data!$A$2:$K"&amp;"512, ""SELECT K WHERE B = '""&amp;B188&amp;""'"")), ""(\d+)"", """"""$1"""""") &amp; ""]"", """")
)"),"[""13""]")</f>
        <v>["13"]</v>
      </c>
      <c r="F188" s="124"/>
      <c r="G188" s="124"/>
      <c r="H188" s="124"/>
      <c r="I188" s="124"/>
    </row>
    <row r="189">
      <c r="A189" s="126">
        <v>8887.0</v>
      </c>
      <c r="B189" s="126" t="s">
        <v>5764</v>
      </c>
      <c r="C189" s="124" t="s">
        <v>5764</v>
      </c>
      <c r="D189" s="124"/>
      <c r="E189" s="124" t="str">
        <f>IFERROR(__xludf.DUMMYFUNCTION("IF(
   ISNUMBER(FIND(""'"", B189)),
   IFERROR(""["" &amp; REGEXREPLACE(JOIN("", "", QUERY(Data!$A$2:$K512, ""SELECT K WHERE B = """"""&amp;B189&amp;"""""""")), ""(\d+)"", """"""$1"""""") &amp; ""]"", """"),
   IFERROR(""["" &amp; REGEXREPLACE(JOIN("", "", QUERY(Data!$A$2:$K"&amp;"512, ""SELECT K WHERE B = '""&amp;B189&amp;""'"")), ""(\d+)"", """"""$1"""""") &amp; ""]"", """")
)"),"")</f>
        <v/>
      </c>
      <c r="F189" s="124"/>
      <c r="G189" s="124"/>
      <c r="H189" s="124"/>
      <c r="I189" s="124"/>
    </row>
    <row r="190">
      <c r="A190" s="125">
        <v>1083.0</v>
      </c>
      <c r="B190" s="125" t="s">
        <v>1907</v>
      </c>
      <c r="C190" s="124" t="s">
        <v>1907</v>
      </c>
      <c r="D190" s="124"/>
      <c r="E190" s="124" t="str">
        <f>IFERROR(__xludf.DUMMYFUNCTION("IF(
   ISNUMBER(FIND(""'"", B190)),
   IFERROR(""["" &amp; REGEXREPLACE(JOIN("", "", QUERY(Data!$A$2:$K512, ""SELECT K WHERE B = """"""&amp;B190&amp;"""""""")), ""(\d+)"", """"""$1"""""") &amp; ""]"", """"),
   IFERROR(""["" &amp; REGEXREPLACE(JOIN("", "", QUERY(Data!$A$2:$K"&amp;"512, ""SELECT K WHERE B = '""&amp;B190&amp;""'"")), ""(\d+)"", """"""$1"""""") &amp; ""]"", """")
)"),"[""11"", ""12"", ""13"", ""44"", ""51"", ""53""]")</f>
        <v>["11", "12", "13", "44", "51", "53"]</v>
      </c>
      <c r="F190" s="124"/>
      <c r="G190" s="124"/>
      <c r="H190" s="124"/>
      <c r="I190" s="124"/>
    </row>
    <row r="191">
      <c r="A191" s="125">
        <v>1266.0</v>
      </c>
      <c r="B191" s="126" t="s">
        <v>1924</v>
      </c>
      <c r="C191" s="124" t="s">
        <v>1924</v>
      </c>
      <c r="D191" s="124"/>
      <c r="E191" s="124" t="str">
        <f>IFERROR(__xludf.DUMMYFUNCTION("IF(
   ISNUMBER(FIND(""'"", B191)),
   IFERROR(""["" &amp; REGEXREPLACE(JOIN("", "", QUERY(Data!$A$2:$K512, ""SELECT K WHERE B = """"""&amp;B191&amp;"""""""")), ""(\d+)"", """"""$1"""""") &amp; ""]"", """"),
   IFERROR(""["" &amp; REGEXREPLACE(JOIN("", "", QUERY(Data!$A$2:$K"&amp;"512, ""SELECT K WHERE B = '""&amp;B191&amp;""'"")), ""(\d+)"", """"""$1"""""") &amp; ""]"", """")
)"),"[""37""]")</f>
        <v>["37"]</v>
      </c>
      <c r="F191" s="124"/>
      <c r="G191" s="124"/>
      <c r="H191" s="124"/>
      <c r="I191" s="124"/>
    </row>
    <row r="192">
      <c r="A192" s="125">
        <v>1084.0</v>
      </c>
      <c r="B192" s="125" t="s">
        <v>1932</v>
      </c>
      <c r="C192" s="124" t="s">
        <v>1932</v>
      </c>
      <c r="D192" s="124"/>
      <c r="E192" s="124" t="str">
        <f>IFERROR(__xludf.DUMMYFUNCTION("IF(
   ISNUMBER(FIND(""'"", B192)),
   IFERROR(""["" &amp; REGEXREPLACE(JOIN("", "", QUERY(Data!$A$2:$K512, ""SELECT K WHERE B = """"""&amp;B192&amp;"""""""")), ""(\d+)"", """"""$1"""""") &amp; ""]"", """"),
   IFERROR(""["" &amp; REGEXREPLACE(JOIN("", "", QUERY(Data!$A$2:$K"&amp;"512, ""SELECT K WHERE B = '""&amp;B192&amp;""'"")), ""(\d+)"", """"""$1"""""") &amp; ""]"", """")
)"),"[""24""]")</f>
        <v>["24"]</v>
      </c>
      <c r="F192" s="124"/>
      <c r="G192" s="124"/>
      <c r="H192" s="124"/>
      <c r="I192" s="124"/>
    </row>
    <row r="193">
      <c r="A193" s="125">
        <v>1085.0</v>
      </c>
      <c r="B193" s="126" t="s">
        <v>1980</v>
      </c>
      <c r="C193" s="124" t="s">
        <v>5765</v>
      </c>
      <c r="D193" s="124"/>
      <c r="E193" s="124" t="str">
        <f>IFERROR(__xludf.DUMMYFUNCTION("IF(
   ISNUMBER(FIND(""'"", B193)),
   IFERROR(""["" &amp; REGEXREPLACE(JOIN("", "", QUERY(Data!$A$2:$K512, ""SELECT K WHERE B = """"""&amp;B193&amp;"""""""")), ""(\d+)"", """"""$1"""""") &amp; ""]"", """"),
   IFERROR(""["" &amp; REGEXREPLACE(JOIN("", "", QUERY(Data!$A$2:$K"&amp;"512, ""SELECT K WHERE B = '""&amp;B193&amp;""'"")), ""(\d+)"", """"""$1"""""") &amp; ""]"", """")
)"),"[""61""]")</f>
        <v>["61"]</v>
      </c>
      <c r="F193" s="124"/>
      <c r="G193" s="124"/>
      <c r="H193" s="124"/>
      <c r="I193" s="124"/>
    </row>
    <row r="194">
      <c r="A194" s="125">
        <v>1086.0</v>
      </c>
      <c r="B194" s="125" t="s">
        <v>1988</v>
      </c>
      <c r="C194" s="124" t="s">
        <v>5765</v>
      </c>
      <c r="D194" s="124"/>
      <c r="E194" s="124" t="str">
        <f>IFERROR(__xludf.DUMMYFUNCTION("IF(
   ISNUMBER(FIND(""'"", B194)),
   IFERROR(""["" &amp; REGEXREPLACE(JOIN("", "", QUERY(Data!$A$2:$K512, ""SELECT K WHERE B = """"""&amp;B194&amp;"""""""")), ""(\d+)"", """"""$1"""""") &amp; ""]"", """"),
   IFERROR(""["" &amp; REGEXREPLACE(JOIN("", "", QUERY(Data!$A$2:$K"&amp;"512, ""SELECT K WHERE B = '""&amp;B194&amp;""'"")), ""(\d+)"", """"""$1"""""") &amp; ""]"", """")
)"),"[""42""]")</f>
        <v>["42"]</v>
      </c>
      <c r="F194" s="124"/>
      <c r="G194" s="124"/>
      <c r="H194" s="124"/>
      <c r="I194" s="124"/>
    </row>
    <row r="195">
      <c r="A195" s="125">
        <v>1268.0</v>
      </c>
      <c r="B195" s="126" t="s">
        <v>1996</v>
      </c>
      <c r="C195" s="124" t="s">
        <v>5765</v>
      </c>
      <c r="D195" s="124"/>
      <c r="E195" s="124" t="str">
        <f>IFERROR(__xludf.DUMMYFUNCTION("IF(
   ISNUMBER(FIND(""'"", B195)),
   IFERROR(""["" &amp; REGEXREPLACE(JOIN("", "", QUERY(Data!$A$2:$K512, ""SELECT K WHERE B = """"""&amp;B195&amp;"""""""")), ""(\d+)"", """"""$1"""""") &amp; ""]"", """"),
   IFERROR(""["" &amp; REGEXREPLACE(JOIN("", "", QUERY(Data!$A$2:$K"&amp;"512, ""SELECT K WHERE B = '""&amp;B195&amp;""'"")), ""(\d+)"", """"""$1"""""") &amp; ""]"", """")
)"),"[""65""]")</f>
        <v>["65"]</v>
      </c>
      <c r="F195" s="124"/>
      <c r="G195" s="124"/>
      <c r="H195" s="124"/>
      <c r="I195" s="124"/>
    </row>
    <row r="196">
      <c r="A196" s="125">
        <v>1269.0</v>
      </c>
      <c r="B196" s="126" t="s">
        <v>2005</v>
      </c>
      <c r="C196" s="124" t="s">
        <v>5765</v>
      </c>
      <c r="D196" s="124"/>
      <c r="E196" s="124" t="str">
        <f>IFERROR(__xludf.DUMMYFUNCTION("IF(
   ISNUMBER(FIND(""'"", B196)),
   IFERROR(""["" &amp; REGEXREPLACE(JOIN("", "", QUERY(Data!$A$2:$K512, ""SELECT K WHERE B = """"""&amp;B196&amp;"""""""")), ""(\d+)"", """"""$1"""""") &amp; ""]"", """"),
   IFERROR(""["" &amp; REGEXREPLACE(JOIN("", "", QUERY(Data!$A$2:$K"&amp;"512, ""SELECT K WHERE B = '""&amp;B196&amp;""'"")), ""(\d+)"", """"""$1"""""") &amp; ""]"", """")
)"),"[""62""]")</f>
        <v>["62"]</v>
      </c>
      <c r="F196" s="124" t="s">
        <v>5766</v>
      </c>
      <c r="G196" s="124" t="s">
        <v>5767</v>
      </c>
      <c r="H196" s="124" t="s">
        <v>5768</v>
      </c>
      <c r="I196" s="124"/>
    </row>
    <row r="197">
      <c r="A197" s="125">
        <v>1087.0</v>
      </c>
      <c r="B197" s="125" t="s">
        <v>2013</v>
      </c>
      <c r="C197" s="124" t="s">
        <v>5765</v>
      </c>
      <c r="D197" s="124"/>
      <c r="E197" s="124" t="str">
        <f>IFERROR(__xludf.DUMMYFUNCTION("IF(
   ISNUMBER(FIND(""'"", B197)),
   IFERROR(""["" &amp; REGEXREPLACE(JOIN("", "", QUERY(Data!$A$2:$K512, ""SELECT K WHERE B = """"""&amp;B197&amp;"""""""")), ""(\d+)"", """"""$1"""""") &amp; ""]"", """"),
   IFERROR(""["" &amp; REGEXREPLACE(JOIN("", "", QUERY(Data!$A$2:$K"&amp;"512, ""SELECT K WHERE B = '""&amp;B197&amp;""'"")), ""(\d+)"", """"""$1"""""") &amp; ""]"", """")
)"),"[""24""]")</f>
        <v>["24"]</v>
      </c>
      <c r="F197" s="124"/>
      <c r="G197" s="124"/>
      <c r="H197" s="124"/>
      <c r="I197" s="124"/>
    </row>
    <row r="198">
      <c r="A198" s="125">
        <v>1088.0</v>
      </c>
      <c r="B198" s="126" t="s">
        <v>2021</v>
      </c>
      <c r="C198" s="124" t="s">
        <v>5765</v>
      </c>
      <c r="D198" s="124"/>
      <c r="E198" s="124" t="str">
        <f>IFERROR(__xludf.DUMMYFUNCTION("IF(
   ISNUMBER(FIND(""'"", B198)),
   IFERROR(""["" &amp; REGEXREPLACE(JOIN("", "", QUERY(Data!$A$2:$K512, ""SELECT K WHERE B = """"""&amp;B198&amp;"""""""")), ""(\d+)"", """"""$1"""""") &amp; ""]"", """"),
   IFERROR(""["" &amp; REGEXREPLACE(JOIN("", "", QUERY(Data!$A$2:$K"&amp;"512, ""SELECT K WHERE B = '""&amp;B198&amp;""'"")), ""(\d+)"", """"""$1"""""") &amp; ""]"", """")
)"),"[""65""]")</f>
        <v>["65"]</v>
      </c>
      <c r="F198" s="124"/>
      <c r="G198" s="124"/>
      <c r="H198" s="124"/>
      <c r="I198" s="124"/>
    </row>
    <row r="199">
      <c r="A199" s="126">
        <v>1417.0</v>
      </c>
      <c r="B199" s="126" t="s">
        <v>2030</v>
      </c>
      <c r="C199" s="124" t="s">
        <v>5765</v>
      </c>
      <c r="D199" s="124"/>
      <c r="E199" s="124" t="str">
        <f>IFERROR(__xludf.DUMMYFUNCTION("IF(
   ISNUMBER(FIND(""'"", B199)),
   IFERROR(""["" &amp; REGEXREPLACE(JOIN("", "", QUERY(Data!$A$2:$K512, ""SELECT K WHERE B = """"""&amp;B199&amp;"""""""")), ""(\d+)"", """"""$1"""""") &amp; ""]"", """"),
   IFERROR(""["" &amp; REGEXREPLACE(JOIN("", "", QUERY(Data!$A$2:$K"&amp;"512, ""SELECT K WHERE B = '""&amp;B199&amp;""'"")), ""(\d+)"", """"""$1"""""") &amp; ""]"", """")
)"),"[""21""]")</f>
        <v>["21"]</v>
      </c>
      <c r="F199" s="124"/>
      <c r="G199" s="124"/>
      <c r="H199" s="124"/>
      <c r="I199" s="124"/>
    </row>
    <row r="200">
      <c r="A200" s="125">
        <v>1089.0</v>
      </c>
      <c r="B200" s="125" t="s">
        <v>2039</v>
      </c>
      <c r="C200" s="124" t="s">
        <v>5765</v>
      </c>
      <c r="D200" s="124"/>
      <c r="E200" s="124" t="str">
        <f>IFERROR(__xludf.DUMMYFUNCTION("IF(
   ISNUMBER(FIND(""'"", B200)),
   IFERROR(""["" &amp; REGEXREPLACE(JOIN("", "", QUERY(Data!$A$2:$K512, ""SELECT K WHERE B = """"""&amp;B200&amp;"""""""")), ""(\d+)"", """"""$1"""""") &amp; ""]"", """"),
   IFERROR(""["" &amp; REGEXREPLACE(JOIN("", "", QUERY(Data!$A$2:$K"&amp;"512, ""SELECT K WHERE B = '""&amp;B200&amp;""'"")), ""(\d+)"", """"""$1"""""") &amp; ""]"", """")
)"),"[""11""]")</f>
        <v>["11"]</v>
      </c>
      <c r="F200" s="124"/>
      <c r="G200" s="124"/>
      <c r="H200" s="124"/>
      <c r="I200" s="124"/>
    </row>
    <row r="201">
      <c r="A201" s="125">
        <v>1506.0</v>
      </c>
      <c r="B201" s="126" t="s">
        <v>2047</v>
      </c>
      <c r="C201" s="126" t="s">
        <v>5765</v>
      </c>
      <c r="D201" s="124"/>
      <c r="E201" s="124" t="str">
        <f>IFERROR(__xludf.DUMMYFUNCTION("IF(
   ISNUMBER(FIND(""'"", B201)),
   IFERROR(""["" &amp; REGEXREPLACE(JOIN("", "", QUERY(Data!$A$2:$K512, ""SELECT K WHERE B = """"""&amp;B201&amp;"""""""")), ""(\d+)"", """"""$1"""""") &amp; ""]"", """"),
   IFERROR(""["" &amp; REGEXREPLACE(JOIN("", "", QUERY(Data!$A$2:$K"&amp;"512, ""SELECT K WHERE B = '""&amp;B201&amp;""'"")), ""(\d+)"", """"""$1"""""") &amp; ""]"", """")
)"),"[""56""]")</f>
        <v>["56"]</v>
      </c>
      <c r="F201" s="124"/>
      <c r="G201" s="124"/>
      <c r="H201" s="124"/>
      <c r="I201" s="124"/>
    </row>
    <row r="202">
      <c r="A202" s="125">
        <v>1486.0</v>
      </c>
      <c r="B202" s="126" t="s">
        <v>420</v>
      </c>
      <c r="C202" s="131" t="s">
        <v>5769</v>
      </c>
      <c r="D202" s="131"/>
      <c r="E202" s="131" t="str">
        <f>IFERROR(__xludf.DUMMYFUNCTION("IF(
   ISNUMBER(FIND(""'"", B202)),
   IFERROR(""["" &amp; REGEXREPLACE(JOIN("", "", QUERY(Data!$A$2:$K512, ""SELECT K WHERE B = """"""&amp;B202&amp;"""""""")), ""(\d+)"", """"""$1"""""") &amp; ""]"", """"),
   IFERROR(""["" &amp; REGEXREPLACE(JOIN("", "", QUERY(Data!$A$2:$K"&amp;"512, ""SELECT K WHERE B = '""&amp;B202&amp;""'"")), ""(\d+)"", """"""$1"""""") &amp; ""]"", """")
)"),"[""31"", ""31"", ""33"", ""55""]")</f>
        <v>["31", "31", "33", "55"]</v>
      </c>
      <c r="F202" s="124"/>
      <c r="G202" s="124"/>
      <c r="H202" s="124"/>
      <c r="I202" s="124"/>
    </row>
    <row r="203">
      <c r="A203" s="125">
        <v>1483.0</v>
      </c>
      <c r="B203" s="126" t="s">
        <v>800</v>
      </c>
      <c r="C203" s="124" t="s">
        <v>5769</v>
      </c>
      <c r="D203" s="124"/>
      <c r="E203" s="124" t="str">
        <f>IFERROR(__xludf.DUMMYFUNCTION("IF(
   ISNUMBER(FIND(""'"", B203)),
   IFERROR(""["" &amp; REGEXREPLACE(JOIN("", "", QUERY(Data!$A$2:$K512, ""SELECT K WHERE B = """"""&amp;B203&amp;"""""""")), ""(\d+)"", """"""$1"""""") &amp; ""]"", """"),
   IFERROR(""["" &amp; REGEXREPLACE(JOIN("", "", QUERY(Data!$A$2:$K"&amp;"512, ""SELECT K WHERE B = '""&amp;B203&amp;""'"")), ""(\d+)"", """"""$1"""""") &amp; ""]"", """")
)"),"[""32""]")</f>
        <v>["32"]</v>
      </c>
      <c r="F203" s="124"/>
      <c r="G203" s="124"/>
      <c r="H203" s="124"/>
      <c r="I203" s="124"/>
    </row>
    <row r="204">
      <c r="A204" s="125">
        <v>1481.0</v>
      </c>
      <c r="B204" s="126" t="s">
        <v>2582</v>
      </c>
      <c r="C204" s="124" t="s">
        <v>5769</v>
      </c>
      <c r="D204" s="124"/>
      <c r="E204" s="124" t="str">
        <f>IFERROR(__xludf.DUMMYFUNCTION("IF(
   ISNUMBER(FIND(""'"", B204)),
   IFERROR(""["" &amp; REGEXREPLACE(JOIN("", "", QUERY(Data!$A$2:$K512, ""SELECT K WHERE B = """"""&amp;B204&amp;"""""""")), ""(\d+)"", """"""$1"""""") &amp; ""]"", """"),
   IFERROR(""["" &amp; REGEXREPLACE(JOIN("", "", QUERY(Data!$A$2:$K"&amp;"512, ""SELECT K WHERE B = '""&amp;B204&amp;""'"")), ""(\d+)"", """"""$1"""""") &amp; ""]"", """")
)"),"[""31"", ""32"", ""33"", ""55""]")</f>
        <v>["31", "32", "33", "55"]</v>
      </c>
      <c r="F204" s="124"/>
      <c r="G204" s="124"/>
      <c r="H204" s="124"/>
      <c r="I204" s="124"/>
    </row>
    <row r="205">
      <c r="A205" s="132">
        <v>1488.0</v>
      </c>
      <c r="B205" s="132" t="s">
        <v>3032</v>
      </c>
      <c r="C205" s="131" t="s">
        <v>5769</v>
      </c>
      <c r="D205" s="131"/>
      <c r="E205" s="131" t="str">
        <f>IFERROR(__xludf.DUMMYFUNCTION("IF(
   ISNUMBER(FIND(""'"", B205)),
   IFERROR(""["" &amp; REGEXREPLACE(JOIN("", "", QUERY(Data!$A$2:$K512, ""SELECT K WHERE B = """"""&amp;B205&amp;"""""""")), ""(\d+)"", """"""$1"""""") &amp; ""]"", """"),
   IFERROR(""["" &amp; REGEXREPLACE(JOIN("", "", QUERY(Data!$A$2:$K"&amp;"512, ""SELECT K WHERE B = '""&amp;B205&amp;""'"")), ""(\d+)"", """"""$1"""""") &amp; ""]"", """")
)"),"[""44""]")</f>
        <v>["44"]</v>
      </c>
      <c r="F205" s="124"/>
      <c r="G205" s="124"/>
      <c r="H205" s="124"/>
      <c r="I205" s="124"/>
    </row>
    <row r="206">
      <c r="A206" s="133">
        <v>1485.0</v>
      </c>
      <c r="B206" s="134" t="s">
        <v>3106</v>
      </c>
      <c r="C206" s="135" t="s">
        <v>5769</v>
      </c>
      <c r="D206" s="135"/>
      <c r="E206" s="135" t="str">
        <f>IFERROR(__xludf.DUMMYFUNCTION("IF(
   ISNUMBER(FIND(""'"", B206)),
   IFERROR(""["" &amp; REGEXREPLACE(JOIN("", "", QUERY(Data!$A$2:$K512, ""SELECT K WHERE B = """"""&amp;B206&amp;"""""""")), ""(\d+)"", """"""$1"""""") &amp; ""]"", """"),
   IFERROR(""["" &amp; REGEXREPLACE(JOIN("", "", QUERY(Data!$A$2:$K"&amp;"512, ""SELECT K WHERE B = '""&amp;B206&amp;""'"")), ""(\d+)"", """"""$1"""""") &amp; ""]"", """")
)"),"[""32"", ""32"", ""32"", ""32""]")</f>
        <v>["32", "32", "32", "32"]</v>
      </c>
      <c r="F206" s="124"/>
      <c r="G206" s="124"/>
      <c r="H206" s="124"/>
      <c r="I206" s="124"/>
    </row>
    <row r="207">
      <c r="A207" s="125">
        <v>1487.0</v>
      </c>
      <c r="B207" s="126" t="s">
        <v>3757</v>
      </c>
      <c r="C207" s="131" t="s">
        <v>5769</v>
      </c>
      <c r="D207" s="131"/>
      <c r="E207" s="131" t="str">
        <f>IFERROR(__xludf.DUMMYFUNCTION("IF(
   ISNUMBER(FIND(""'"", B207)),
   IFERROR(""["" &amp; REGEXREPLACE(JOIN("", "", QUERY(Data!$A$2:$K512, ""SELECT K WHERE B = """"""&amp;B207&amp;"""""""")), ""(\d+)"", """"""$1"""""") &amp; ""]"", """"),
   IFERROR(""["" &amp; REGEXREPLACE(JOIN("", "", QUERY(Data!$A$2:$K"&amp;"512, ""SELECT K WHERE B = '""&amp;B207&amp;""'"")), ""(\d+)"", """"""$1"""""") &amp; ""]"", """")
)"),"[""31"", ""33"", ""55""]")</f>
        <v>["31", "33", "55"]</v>
      </c>
      <c r="F207" s="124"/>
      <c r="G207" s="124"/>
      <c r="H207" s="124"/>
      <c r="I207" s="124"/>
    </row>
    <row r="208">
      <c r="A208" s="125">
        <v>1482.0</v>
      </c>
      <c r="B208" s="126" t="s">
        <v>3822</v>
      </c>
      <c r="C208" s="124" t="s">
        <v>5769</v>
      </c>
      <c r="D208" s="124"/>
      <c r="E208" s="124" t="str">
        <f>IFERROR(__xludf.DUMMYFUNCTION("IF(
   ISNUMBER(FIND(""'"", B208)),
   IFERROR(""["" &amp; REGEXREPLACE(JOIN("", "", QUERY(Data!$A$2:$K512, ""SELECT K WHERE B = """"""&amp;B208&amp;"""""""")), ""(\d+)"", """"""$1"""""") &amp; ""]"", """"),
   IFERROR(""["" &amp; REGEXREPLACE(JOIN("", "", QUERY(Data!$A$2:$K"&amp;"512, ""SELECT K WHERE B = '""&amp;B208&amp;""'"")), ""(\d+)"", """"""$1"""""") &amp; ""]"", """")
)"),"[""31"", ""32"", ""33"", ""55""]")</f>
        <v>["31", "32", "33", "55"]</v>
      </c>
      <c r="F208" s="124"/>
      <c r="G208" s="124"/>
      <c r="H208" s="124"/>
      <c r="I208" s="124"/>
    </row>
    <row r="209">
      <c r="A209" s="125">
        <v>1090.0</v>
      </c>
      <c r="B209" s="125" t="s">
        <v>2055</v>
      </c>
      <c r="C209" s="124" t="s">
        <v>2055</v>
      </c>
      <c r="D209" s="124"/>
      <c r="E209" s="124" t="str">
        <f>IFERROR(__xludf.DUMMYFUNCTION("IF(
   ISNUMBER(FIND(""'"", B209)),
   IFERROR(""["" &amp; REGEXREPLACE(JOIN("", "", QUERY(Data!$A$2:$K512, ""SELECT K WHERE B = """"""&amp;B209&amp;"""""""")), ""(\d+)"", """"""$1"""""") &amp; ""]"", """"),
   IFERROR(""["" &amp; REGEXREPLACE(JOIN("", "", QUERY(Data!$A$2:$K"&amp;"512, ""SELECT K WHERE B = '""&amp;B209&amp;""'"")), ""(\d+)"", """"""$1"""""") &amp; ""]"", """")
)"),"[""31""]")</f>
        <v>["31"]</v>
      </c>
      <c r="F209" s="124"/>
      <c r="G209" s="124"/>
      <c r="H209" s="124"/>
      <c r="I209" s="124"/>
    </row>
    <row r="210">
      <c r="A210" s="125">
        <v>1285.0</v>
      </c>
      <c r="B210" s="126" t="s">
        <v>2062</v>
      </c>
      <c r="C210" s="124" t="s">
        <v>2055</v>
      </c>
      <c r="D210" s="124"/>
      <c r="E210" s="124" t="str">
        <f>IFERROR(__xludf.DUMMYFUNCTION("IF(
   ISNUMBER(FIND(""'"", B210)),
   IFERROR(""["" &amp; REGEXREPLACE(JOIN("", "", QUERY(Data!$A$2:$K512, ""SELECT K WHERE B = """"""&amp;B210&amp;"""""""")), ""(\d+)"", """"""$1"""""") &amp; ""]"", """"),
   IFERROR(""["" &amp; REGEXREPLACE(JOIN("", "", QUERY(Data!$A$2:$K"&amp;"512, ""SELECT K WHERE B = '""&amp;B210&amp;""'"")), ""(\d+)"", """"""$1"""""") &amp; ""]"", """")
)"),"[""31""]")</f>
        <v>["31"]</v>
      </c>
      <c r="F210" s="124"/>
      <c r="G210" s="124"/>
      <c r="H210" s="124"/>
      <c r="I210" s="124"/>
    </row>
    <row r="211">
      <c r="A211" s="125">
        <v>1286.0</v>
      </c>
      <c r="B211" s="126" t="s">
        <v>2070</v>
      </c>
      <c r="C211" s="124" t="s">
        <v>2055</v>
      </c>
      <c r="D211" s="124"/>
      <c r="E211" s="124" t="str">
        <f>IFERROR(__xludf.DUMMYFUNCTION("IF(
   ISNUMBER(FIND(""'"", B211)),
   IFERROR(""["" &amp; REGEXREPLACE(JOIN("", "", QUERY(Data!$A$2:$K512, ""SELECT K WHERE B = """"""&amp;B211&amp;"""""""")), ""(\d+)"", """"""$1"""""") &amp; ""]"", """"),
   IFERROR(""["" &amp; REGEXREPLACE(JOIN("", "", QUERY(Data!$A$2:$K"&amp;"512, ""SELECT K WHERE B = '""&amp;B211&amp;""'"")), ""(\d+)"", """"""$1"""""") &amp; ""]"", """")
)"),"[""31"", ""32""]")</f>
        <v>["31", "32"]</v>
      </c>
      <c r="F211" s="124"/>
      <c r="G211" s="124"/>
      <c r="H211" s="124"/>
      <c r="I211" s="124"/>
    </row>
    <row r="212">
      <c r="A212" s="125">
        <v>1287.0</v>
      </c>
      <c r="B212" s="126" t="s">
        <v>2078</v>
      </c>
      <c r="C212" s="124" t="s">
        <v>2055</v>
      </c>
      <c r="D212" s="124"/>
      <c r="E212" s="124" t="str">
        <f>IFERROR(__xludf.DUMMYFUNCTION("IF(
   ISNUMBER(FIND(""'"", B212)),
   IFERROR(""["" &amp; REGEXREPLACE(JOIN("", "", QUERY(Data!$A$2:$K512, ""SELECT K WHERE B = """"""&amp;B212&amp;"""""""")), ""(\d+)"", """"""$1"""""") &amp; ""]"", """"),
   IFERROR(""["" &amp; REGEXREPLACE(JOIN("", "", QUERY(Data!$A$2:$K"&amp;"512, ""SELECT K WHERE B = '""&amp;B212&amp;""'"")), ""(\d+)"", """"""$1"""""") &amp; ""]"", """")
)"),"[""31""]")</f>
        <v>["31"]</v>
      </c>
      <c r="F212" s="124"/>
      <c r="G212" s="124"/>
      <c r="H212" s="124"/>
      <c r="I212" s="124"/>
    </row>
    <row r="213">
      <c r="A213" s="125">
        <v>1283.0</v>
      </c>
      <c r="B213" s="126" t="s">
        <v>2085</v>
      </c>
      <c r="C213" s="124" t="s">
        <v>2055</v>
      </c>
      <c r="D213" s="124"/>
      <c r="E213" s="124" t="str">
        <f>IFERROR(__xludf.DUMMYFUNCTION("IF(
   ISNUMBER(FIND(""'"", B213)),
   IFERROR(""["" &amp; REGEXREPLACE(JOIN("", "", QUERY(Data!$A$2:$K512, ""SELECT K WHERE B = """"""&amp;B213&amp;"""""""")), ""(\d+)"", """"""$1"""""") &amp; ""]"", """"),
   IFERROR(""["" &amp; REGEXREPLACE(JOIN("", "", QUERY(Data!$A$2:$K"&amp;"512, ""SELECT K WHERE B = '""&amp;B213&amp;""'"")), ""(\d+)"", """"""$1"""""") &amp; ""]"", """")
)"),"[""31""]")</f>
        <v>["31"]</v>
      </c>
      <c r="F213" s="124"/>
      <c r="G213" s="124"/>
      <c r="H213" s="124"/>
      <c r="I213" s="124"/>
    </row>
    <row r="214">
      <c r="A214" s="125">
        <v>1295.0</v>
      </c>
      <c r="B214" s="126" t="s">
        <v>2093</v>
      </c>
      <c r="C214" s="124" t="s">
        <v>2055</v>
      </c>
      <c r="D214" s="124"/>
      <c r="E214" s="124" t="str">
        <f>IFERROR(__xludf.DUMMYFUNCTION("IF(
   ISNUMBER(FIND(""'"", B214)),
   IFERROR(""["" &amp; REGEXREPLACE(JOIN("", "", QUERY(Data!$A$2:$K512, ""SELECT K WHERE B = """"""&amp;B214&amp;"""""""")), ""(\d+)"", """"""$1"""""") &amp; ""]"", """"),
   IFERROR(""["" &amp; REGEXREPLACE(JOIN("", "", QUERY(Data!$A$2:$K"&amp;"512, ""SELECT K WHERE B = '""&amp;B214&amp;""'"")), ""(\d+)"", """"""$1"""""") &amp; ""]"", """")
)"),"[""31""]")</f>
        <v>["31"]</v>
      </c>
      <c r="F214" s="124"/>
      <c r="G214" s="124"/>
      <c r="H214" s="124"/>
      <c r="I214" s="124"/>
    </row>
    <row r="215">
      <c r="A215" s="125">
        <v>1288.0</v>
      </c>
      <c r="B215" s="126" t="s">
        <v>2100</v>
      </c>
      <c r="C215" s="124" t="s">
        <v>2055</v>
      </c>
      <c r="D215" s="124"/>
      <c r="E215" s="124" t="str">
        <f>IFERROR(__xludf.DUMMYFUNCTION("IF(
   ISNUMBER(FIND(""'"", B215)),
   IFERROR(""["" &amp; REGEXREPLACE(JOIN("", "", QUERY(Data!$A$2:$K512, ""SELECT K WHERE B = """"""&amp;B215&amp;"""""""")), ""(\d+)"", """"""$1"""""") &amp; ""]"", """"),
   IFERROR(""["" &amp; REGEXREPLACE(JOIN("", "", QUERY(Data!$A$2:$K"&amp;"512, ""SELECT K WHERE B = '""&amp;B215&amp;""'"")), ""(\d+)"", """"""$1"""""") &amp; ""]"", """")
)"),"[""31""]")</f>
        <v>["31"]</v>
      </c>
      <c r="F215" s="124"/>
      <c r="G215" s="124"/>
      <c r="H215" s="124"/>
      <c r="I215" s="124"/>
    </row>
    <row r="216">
      <c r="A216" s="125">
        <v>1289.0</v>
      </c>
      <c r="B216" s="126" t="s">
        <v>2110</v>
      </c>
      <c r="C216" s="124" t="s">
        <v>2055</v>
      </c>
      <c r="D216" s="124"/>
      <c r="E216" s="124" t="str">
        <f>IFERROR(__xludf.DUMMYFUNCTION("IF(
   ISNUMBER(FIND(""'"", B216)),
   IFERROR(""["" &amp; REGEXREPLACE(JOIN("", "", QUERY(Data!$A$2:$K512, ""SELECT K WHERE B = """"""&amp;B216&amp;"""""""")), ""(\d+)"", """"""$1"""""") &amp; ""]"", """"),
   IFERROR(""["" &amp; REGEXREPLACE(JOIN("", "", QUERY(Data!$A$2:$K"&amp;"512, ""SELECT K WHERE B = '""&amp;B216&amp;""'"")), ""(\d+)"", """"""$1"""""") &amp; ""]"", """")
)"),"[""31"", ""33""]")</f>
        <v>["31", "33"]</v>
      </c>
      <c r="F216" s="124"/>
      <c r="G216" s="124"/>
      <c r="H216" s="124"/>
      <c r="I216" s="124"/>
    </row>
    <row r="217">
      <c r="A217" s="125">
        <v>1290.0</v>
      </c>
      <c r="B217" s="126" t="s">
        <v>2120</v>
      </c>
      <c r="C217" s="124" t="s">
        <v>2055</v>
      </c>
      <c r="D217" s="124"/>
      <c r="E217" s="124" t="str">
        <f>IFERROR(__xludf.DUMMYFUNCTION("IF(
   ISNUMBER(FIND(""'"", B217)),
   IFERROR(""["" &amp; REGEXREPLACE(JOIN("", "", QUERY(Data!$A$2:$K512, ""SELECT K WHERE B = """"""&amp;B217&amp;"""""""")), ""(\d+)"", """"""$1"""""") &amp; ""]"", """"),
   IFERROR(""["" &amp; REGEXREPLACE(JOIN("", "", QUERY(Data!$A$2:$K"&amp;"512, ""SELECT K WHERE B = '""&amp;B217&amp;""'"")), ""(\d+)"", """"""$1"""""") &amp; ""]"", """")
)"),"[""31""]")</f>
        <v>["31"]</v>
      </c>
      <c r="F217" s="124"/>
      <c r="G217" s="124"/>
      <c r="H217" s="124"/>
      <c r="I217" s="124"/>
    </row>
    <row r="218">
      <c r="A218" s="125">
        <v>1304.0</v>
      </c>
      <c r="B218" s="126" t="s">
        <v>2129</v>
      </c>
      <c r="C218" s="124" t="s">
        <v>2055</v>
      </c>
      <c r="D218" s="124"/>
      <c r="E218" s="124" t="str">
        <f>IFERROR(__xludf.DUMMYFUNCTION("IF(
   ISNUMBER(FIND(""'"", B218)),
   IFERROR(""["" &amp; REGEXREPLACE(JOIN("", "", QUERY(Data!$A$2:$K512, ""SELECT K WHERE B = """"""&amp;B218&amp;"""""""")), ""(\d+)"", """"""$1"""""") &amp; ""]"", """"),
   IFERROR(""["" &amp; REGEXREPLACE(JOIN("", "", QUERY(Data!$A$2:$K"&amp;"512, ""SELECT K WHERE B = '""&amp;B218&amp;""'"")), ""(\d+)"", """"""$1"""""") &amp; ""]"", """")
)"),"[""32""]")</f>
        <v>["32"]</v>
      </c>
      <c r="F218" s="124"/>
      <c r="G218" s="124"/>
      <c r="H218" s="124"/>
      <c r="I218" s="124"/>
    </row>
    <row r="219">
      <c r="A219" s="125">
        <v>1291.0</v>
      </c>
      <c r="B219" s="126" t="s">
        <v>2136</v>
      </c>
      <c r="C219" s="124" t="s">
        <v>2055</v>
      </c>
      <c r="D219" s="124"/>
      <c r="E219" s="124" t="str">
        <f>IFERROR(__xludf.DUMMYFUNCTION("IF(
   ISNUMBER(FIND(""'"", B219)),
   IFERROR(""["" &amp; REGEXREPLACE(JOIN("", "", QUERY(Data!$A$2:$K512, ""SELECT K WHERE B = """"""&amp;B219&amp;"""""""")), ""(\d+)"", """"""$1"""""") &amp; ""]"", """"),
   IFERROR(""["" &amp; REGEXREPLACE(JOIN("", "", QUERY(Data!$A$2:$K"&amp;"512, ""SELECT K WHERE B = '""&amp;B219&amp;""'"")), ""(\d+)"", """"""$1"""""") &amp; ""]"", """")
)"),"[""31""]")</f>
        <v>["31"]</v>
      </c>
      <c r="F219" s="124"/>
      <c r="G219" s="124"/>
      <c r="H219" s="124"/>
      <c r="I219" s="124"/>
    </row>
    <row r="220">
      <c r="A220" s="125">
        <v>1292.0</v>
      </c>
      <c r="B220" s="126" t="s">
        <v>2144</v>
      </c>
      <c r="C220" s="124" t="s">
        <v>2055</v>
      </c>
      <c r="D220" s="124"/>
      <c r="E220" s="124" t="str">
        <f>IFERROR(__xludf.DUMMYFUNCTION("IF(
   ISNUMBER(FIND(""'"", B220)),
   IFERROR(""["" &amp; REGEXREPLACE(JOIN("", "", QUERY(Data!$A$2:$K512, ""SELECT K WHERE B = """"""&amp;B220&amp;"""""""")), ""(\d+)"", """"""$1"""""") &amp; ""]"", """"),
   IFERROR(""["" &amp; REGEXREPLACE(JOIN("", "", QUERY(Data!$A$2:$K"&amp;"512, ""SELECT K WHERE B = '""&amp;B220&amp;""'"")), ""(\d+)"", """"""$1"""""") &amp; ""]"", """")
)"),"[""31"", ""32""]")</f>
        <v>["31", "32"]</v>
      </c>
      <c r="F220" s="124"/>
      <c r="G220" s="124"/>
      <c r="H220" s="124"/>
      <c r="I220" s="124"/>
    </row>
    <row r="221">
      <c r="A221" s="125">
        <v>1284.0</v>
      </c>
      <c r="B221" s="126" t="s">
        <v>2152</v>
      </c>
      <c r="C221" s="124" t="s">
        <v>2055</v>
      </c>
      <c r="D221" s="124"/>
      <c r="E221" s="124" t="str">
        <f>IFERROR(__xludf.DUMMYFUNCTION("IF(
   ISNUMBER(FIND(""'"", B221)),
   IFERROR(""["" &amp; REGEXREPLACE(JOIN("", "", QUERY(Data!$A$2:$K512, ""SELECT K WHERE B = """"""&amp;B221&amp;"""""""")), ""(\d+)"", """"""$1"""""") &amp; ""]"", """"),
   IFERROR(""["" &amp; REGEXREPLACE(JOIN("", "", QUERY(Data!$A$2:$K"&amp;"512, ""SELECT K WHERE B = '""&amp;B221&amp;""'"")), ""(\d+)"", """"""$1"""""") &amp; ""]"", """")
)"),"[""31""]")</f>
        <v>["31"]</v>
      </c>
      <c r="F221" s="124"/>
      <c r="G221" s="124"/>
      <c r="H221" s="124"/>
      <c r="I221" s="124"/>
    </row>
    <row r="222">
      <c r="A222" s="125">
        <v>1293.0</v>
      </c>
      <c r="B222" s="126" t="s">
        <v>2159</v>
      </c>
      <c r="C222" s="124" t="s">
        <v>2055</v>
      </c>
      <c r="D222" s="124"/>
      <c r="E222" s="124" t="str">
        <f>IFERROR(__xludf.DUMMYFUNCTION("IF(
   ISNUMBER(FIND(""'"", B222)),
   IFERROR(""["" &amp; REGEXREPLACE(JOIN("", "", QUERY(Data!$A$2:$K512, ""SELECT K WHERE B = """"""&amp;B222&amp;"""""""")), ""(\d+)"", """"""$1"""""") &amp; ""]"", """"),
   IFERROR(""["" &amp; REGEXREPLACE(JOIN("", "", QUERY(Data!$A$2:$K"&amp;"512, ""SELECT K WHERE B = '""&amp;B222&amp;""'"")), ""(\d+)"", """"""$1"""""") &amp; ""]"", """")
)"),"[""31""]")</f>
        <v>["31"]</v>
      </c>
      <c r="F222" s="124"/>
      <c r="G222" s="124"/>
      <c r="H222" s="124"/>
      <c r="I222" s="124"/>
    </row>
    <row r="223">
      <c r="A223" s="125">
        <v>1301.0</v>
      </c>
      <c r="B223" s="126" t="s">
        <v>2168</v>
      </c>
      <c r="C223" s="124" t="s">
        <v>2055</v>
      </c>
      <c r="D223" s="124"/>
      <c r="E223" s="124" t="str">
        <f>IFERROR(__xludf.DUMMYFUNCTION("IF(
   ISNUMBER(FIND(""'"", B223)),
   IFERROR(""["" &amp; REGEXREPLACE(JOIN("", "", QUERY(Data!$A$2:$K512, ""SELECT K WHERE B = """"""&amp;B223&amp;"""""""")), ""(\d+)"", """"""$1"""""") &amp; ""]"", """"),
   IFERROR(""["" &amp; REGEXREPLACE(JOIN("", "", QUERY(Data!$A$2:$K"&amp;"512, ""SELECT K WHERE B = '""&amp;B223&amp;""'"")), ""(\d+)"", """"""$1"""""") &amp; ""]"", """")
)"),"[""31""]")</f>
        <v>["31"]</v>
      </c>
      <c r="F223" s="124"/>
      <c r="G223" s="124"/>
      <c r="H223" s="124"/>
      <c r="I223" s="124"/>
    </row>
    <row r="224">
      <c r="A224" s="125">
        <v>1294.0</v>
      </c>
      <c r="B224" s="126" t="s">
        <v>2177</v>
      </c>
      <c r="C224" s="124" t="s">
        <v>2055</v>
      </c>
      <c r="D224" s="124"/>
      <c r="E224" s="124" t="str">
        <f>IFERROR(__xludf.DUMMYFUNCTION("IF(
   ISNUMBER(FIND(""'"", B224)),
   IFERROR(""["" &amp; REGEXREPLACE(JOIN("", "", QUERY(Data!$A$2:$K512, ""SELECT K WHERE B = """"""&amp;B224&amp;"""""""")), ""(\d+)"", """"""$1"""""") &amp; ""]"", """"),
   IFERROR(""["" &amp; REGEXREPLACE(JOIN("", "", QUERY(Data!$A$2:$K"&amp;"512, ""SELECT K WHERE B = '""&amp;B224&amp;""'"")), ""(\d+)"", """"""$1"""""") &amp; ""]"", """")
)"),"[""31""]")</f>
        <v>["31"]</v>
      </c>
      <c r="F224" s="124"/>
      <c r="G224" s="124"/>
      <c r="H224" s="124"/>
      <c r="I224" s="124"/>
    </row>
    <row r="225">
      <c r="A225" s="125">
        <v>1305.0</v>
      </c>
      <c r="B225" s="126" t="s">
        <v>2186</v>
      </c>
      <c r="C225" s="124" t="s">
        <v>2055</v>
      </c>
      <c r="D225" s="124"/>
      <c r="E225" s="124" t="str">
        <f>IFERROR(__xludf.DUMMYFUNCTION("IF(
   ISNUMBER(FIND(""'"", B225)),
   IFERROR(""["" &amp; REGEXREPLACE(JOIN("", "", QUERY(Data!$A$2:$K512, ""SELECT K WHERE B = """"""&amp;B225&amp;"""""""")), ""(\d+)"", """"""$1"""""") &amp; ""]"", """"),
   IFERROR(""["" &amp; REGEXREPLACE(JOIN("", "", QUERY(Data!$A$2:$K"&amp;"512, ""SELECT K WHERE B = '""&amp;B225&amp;""'"")), ""(\d+)"", """"""$1"""""") &amp; ""]"", """")
)"),"[""31""]")</f>
        <v>["31"]</v>
      </c>
      <c r="F225" s="124"/>
      <c r="G225" s="124"/>
      <c r="H225" s="124"/>
      <c r="I225" s="124"/>
    </row>
    <row r="226">
      <c r="A226" s="125">
        <v>1296.0</v>
      </c>
      <c r="B226" s="126" t="s">
        <v>2194</v>
      </c>
      <c r="C226" s="124" t="s">
        <v>2055</v>
      </c>
      <c r="D226" s="124"/>
      <c r="E226" s="124" t="str">
        <f>IFERROR(__xludf.DUMMYFUNCTION("IF(
   ISNUMBER(FIND(""'"", B226)),
   IFERROR(""["" &amp; REGEXREPLACE(JOIN("", "", QUERY(Data!$A$2:$K512, ""SELECT K WHERE B = """"""&amp;B226&amp;"""""""")), ""(\d+)"", """"""$1"""""") &amp; ""]"", """"),
   IFERROR(""["" &amp; REGEXREPLACE(JOIN("", "", QUERY(Data!$A$2:$K"&amp;"512, ""SELECT K WHERE B = '""&amp;B226&amp;""'"")), ""(\d+)"", """"""$1"""""") &amp; ""]"", """")
)"),"[""31"", ""33""]")</f>
        <v>["31", "33"]</v>
      </c>
      <c r="F226" s="124"/>
      <c r="G226" s="124"/>
      <c r="H226" s="124"/>
      <c r="I226" s="124"/>
    </row>
    <row r="227">
      <c r="A227" s="125">
        <v>1307.0</v>
      </c>
      <c r="B227" s="126" t="s">
        <v>2201</v>
      </c>
      <c r="C227" s="124" t="s">
        <v>2055</v>
      </c>
      <c r="D227" s="124"/>
      <c r="E227" s="124" t="str">
        <f>IFERROR(__xludf.DUMMYFUNCTION("IF(
   ISNUMBER(FIND(""'"", B227)),
   IFERROR(""["" &amp; REGEXREPLACE(JOIN("", "", QUERY(Data!$A$2:$K512, ""SELECT K WHERE B = """"""&amp;B227&amp;"""""""")), ""(\d+)"", """"""$1"""""") &amp; ""]"", """"),
   IFERROR(""["" &amp; REGEXREPLACE(JOIN("", "", QUERY(Data!$A$2:$K"&amp;"512, ""SELECT K WHERE B = '""&amp;B227&amp;""'"")), ""(\d+)"", """"""$1"""""") &amp; ""]"", """")
)"),"[""31""]")</f>
        <v>["31"]</v>
      </c>
      <c r="F227" s="124"/>
      <c r="G227" s="124"/>
      <c r="H227" s="124"/>
      <c r="I227" s="124"/>
    </row>
    <row r="228">
      <c r="A228" s="125">
        <v>1302.0</v>
      </c>
      <c r="B228" s="126" t="s">
        <v>2208</v>
      </c>
      <c r="C228" s="124" t="s">
        <v>2055</v>
      </c>
      <c r="D228" s="124"/>
      <c r="E228" s="124" t="str">
        <f>IFERROR(__xludf.DUMMYFUNCTION("IF(
   ISNUMBER(FIND(""'"", B228)),
   IFERROR(""["" &amp; REGEXREPLACE(JOIN("", "", QUERY(Data!$A$2:$K512, ""SELECT K WHERE B = """"""&amp;B228&amp;"""""""")), ""(\d+)"", """"""$1"""""") &amp; ""]"", """"),
   IFERROR(""["" &amp; REGEXREPLACE(JOIN("", "", QUERY(Data!$A$2:$K"&amp;"512, ""SELECT K WHERE B = '""&amp;B228&amp;""'"")), ""(\d+)"", """"""$1"""""") &amp; ""]"", """")
)"),"[""31""]")</f>
        <v>["31"]</v>
      </c>
      <c r="F228" s="124"/>
      <c r="G228" s="124"/>
      <c r="H228" s="124"/>
      <c r="I228" s="124"/>
    </row>
    <row r="229">
      <c r="A229" s="125">
        <v>1297.0</v>
      </c>
      <c r="B229" s="126" t="s">
        <v>2214</v>
      </c>
      <c r="C229" s="124" t="s">
        <v>2055</v>
      </c>
      <c r="D229" s="124"/>
      <c r="E229" s="124" t="str">
        <f>IFERROR(__xludf.DUMMYFUNCTION("IF(
   ISNUMBER(FIND(""'"", B229)),
   IFERROR(""["" &amp; REGEXREPLACE(JOIN("", "", QUERY(Data!$A$2:$K512, ""SELECT K WHERE B = """"""&amp;B229&amp;"""""""")), ""(\d+)"", """"""$1"""""") &amp; ""]"", """"),
   IFERROR(""["" &amp; REGEXREPLACE(JOIN("", "", QUERY(Data!$A$2:$K"&amp;"512, ""SELECT K WHERE B = '""&amp;B229&amp;""'"")), ""(\d+)"", """"""$1"""""") &amp; ""]"", """")
)"),"[""31""]")</f>
        <v>["31"]</v>
      </c>
      <c r="F229" s="124"/>
      <c r="G229" s="124"/>
      <c r="H229" s="124"/>
      <c r="I229" s="124"/>
    </row>
    <row r="230">
      <c r="A230" s="125">
        <v>1306.0</v>
      </c>
      <c r="B230" s="126" t="s">
        <v>2222</v>
      </c>
      <c r="C230" s="124" t="s">
        <v>2055</v>
      </c>
      <c r="D230" s="124"/>
      <c r="E230" s="124" t="str">
        <f>IFERROR(__xludf.DUMMYFUNCTION("IF(
   ISNUMBER(FIND(""'"", B230)),
   IFERROR(""["" &amp; REGEXREPLACE(JOIN("", "", QUERY(Data!$A$2:$K512, ""SELECT K WHERE B = """"""&amp;B230&amp;"""""""")), ""(\d+)"", """"""$1"""""") &amp; ""]"", """"),
   IFERROR(""["" &amp; REGEXREPLACE(JOIN("", "", QUERY(Data!$A$2:$K"&amp;"512, ""SELECT K WHERE B = '""&amp;B230&amp;""'"")), ""(\d+)"", """"""$1"""""") &amp; ""]"", """")
)"),"[""31""]")</f>
        <v>["31"]</v>
      </c>
      <c r="F230" s="124"/>
      <c r="G230" s="124"/>
      <c r="H230" s="124"/>
      <c r="I230" s="124"/>
    </row>
    <row r="231">
      <c r="A231" s="125">
        <v>1298.0</v>
      </c>
      <c r="B231" s="126" t="s">
        <v>2229</v>
      </c>
      <c r="C231" s="124" t="s">
        <v>2055</v>
      </c>
      <c r="D231" s="124"/>
      <c r="E231" s="124" t="str">
        <f>IFERROR(__xludf.DUMMYFUNCTION("IF(
   ISNUMBER(FIND(""'"", B231)),
   IFERROR(""["" &amp; REGEXREPLACE(JOIN("", "", QUERY(Data!$A$2:$K512, ""SELECT K WHERE B = """"""&amp;B231&amp;"""""""")), ""(\d+)"", """"""$1"""""") &amp; ""]"", """"),
   IFERROR(""["" &amp; REGEXREPLACE(JOIN("", "", QUERY(Data!$A$2:$K"&amp;"512, ""SELECT K WHERE B = '""&amp;B231&amp;""'"")), ""(\d+)"", """"""$1"""""") &amp; ""]"", """")
)"),"[""31""]")</f>
        <v>["31"]</v>
      </c>
      <c r="F231" s="124"/>
      <c r="G231" s="124"/>
      <c r="H231" s="124"/>
      <c r="I231" s="124"/>
    </row>
    <row r="232">
      <c r="A232" s="125">
        <v>1299.0</v>
      </c>
      <c r="B232" s="126" t="s">
        <v>2236</v>
      </c>
      <c r="C232" s="124" t="s">
        <v>2055</v>
      </c>
      <c r="D232" s="124"/>
      <c r="E232" s="124" t="str">
        <f>IFERROR(__xludf.DUMMYFUNCTION("IF(
   ISNUMBER(FIND(""'"", B232)),
   IFERROR(""["" &amp; REGEXREPLACE(JOIN("", "", QUERY(Data!$A$2:$K512, ""SELECT K WHERE B = """"""&amp;B232&amp;"""""""")), ""(\d+)"", """"""$1"""""") &amp; ""]"", """"),
   IFERROR(""["" &amp; REGEXREPLACE(JOIN("", "", QUERY(Data!$A$2:$K"&amp;"512, ""SELECT K WHERE B = '""&amp;B232&amp;""'"")), ""(\d+)"", """"""$1"""""") &amp; ""]"", """")
)"),"[""31"", ""32""]")</f>
        <v>["31", "32"]</v>
      </c>
      <c r="F232" s="124"/>
      <c r="G232" s="124"/>
      <c r="H232" s="124"/>
      <c r="I232" s="124"/>
    </row>
    <row r="233">
      <c r="A233" s="125">
        <v>1303.0</v>
      </c>
      <c r="B233" s="126" t="s">
        <v>2244</v>
      </c>
      <c r="C233" s="124" t="s">
        <v>2055</v>
      </c>
      <c r="D233" s="124"/>
      <c r="E233" s="124" t="str">
        <f>IFERROR(__xludf.DUMMYFUNCTION("IF(
   ISNUMBER(FIND(""'"", B233)),
   IFERROR(""["" &amp; REGEXREPLACE(JOIN("", "", QUERY(Data!$A$2:$K512, ""SELECT K WHERE B = """"""&amp;B233&amp;"""""""")), ""(\d+)"", """"""$1"""""") &amp; ""]"", """"),
   IFERROR(""["" &amp; REGEXREPLACE(JOIN("", "", QUERY(Data!$A$2:$K"&amp;"512, ""SELECT K WHERE B = '""&amp;B233&amp;""'"")), ""(\d+)"", """"""$1"""""") &amp; ""]"", """")
)"),"[""31""]")</f>
        <v>["31"]</v>
      </c>
      <c r="F233" s="124"/>
      <c r="G233" s="124"/>
      <c r="H233" s="124"/>
      <c r="I233" s="124"/>
    </row>
    <row r="234">
      <c r="A234" s="125">
        <v>1309.0</v>
      </c>
      <c r="B234" s="126" t="s">
        <v>2250</v>
      </c>
      <c r="C234" s="124" t="s">
        <v>2055</v>
      </c>
      <c r="D234" s="124"/>
      <c r="E234" s="124" t="str">
        <f>IFERROR(__xludf.DUMMYFUNCTION("IF(
   ISNUMBER(FIND(""'"", B234)),
   IFERROR(""["" &amp; REGEXREPLACE(JOIN("", "", QUERY(Data!$A$2:$K512, ""SELECT K WHERE B = """"""&amp;B234&amp;"""""""")), ""(\d+)"", """"""$1"""""") &amp; ""]"", """"),
   IFERROR(""["" &amp; REGEXREPLACE(JOIN("", "", QUERY(Data!$A$2:$K"&amp;"512, ""SELECT K WHERE B = '""&amp;B234&amp;""'"")), ""(\d+)"", """"""$1"""""") &amp; ""]"", """")
)"),"[""31""]")</f>
        <v>["31"]</v>
      </c>
      <c r="F234" s="124"/>
      <c r="G234" s="124"/>
      <c r="H234" s="124"/>
      <c r="I234" s="124"/>
    </row>
    <row r="235">
      <c r="A235" s="125">
        <v>1300.0</v>
      </c>
      <c r="B235" s="126" t="s">
        <v>2254</v>
      </c>
      <c r="C235" s="124" t="s">
        <v>2055</v>
      </c>
      <c r="D235" s="124"/>
      <c r="E235" s="124" t="str">
        <f>IFERROR(__xludf.DUMMYFUNCTION("IF(
   ISNUMBER(FIND(""'"", B235)),
   IFERROR(""["" &amp; REGEXREPLACE(JOIN("", "", QUERY(Data!$A$2:$K512, ""SELECT K WHERE B = """"""&amp;B235&amp;"""""""")), ""(\d+)"", """"""$1"""""") &amp; ""]"", """"),
   IFERROR(""["" &amp; REGEXREPLACE(JOIN("", "", QUERY(Data!$A$2:$K"&amp;"512, ""SELECT K WHERE B = '""&amp;B235&amp;""'"")), ""(\d+)"", """"""$1"""""") &amp; ""]"", """")
)"),"[""31""]")</f>
        <v>["31"]</v>
      </c>
      <c r="F235" s="124"/>
      <c r="G235" s="124"/>
      <c r="H235" s="124"/>
      <c r="I235" s="124"/>
    </row>
    <row r="236">
      <c r="A236" s="125">
        <v>1308.0</v>
      </c>
      <c r="B236" s="126" t="s">
        <v>2261</v>
      </c>
      <c r="C236" s="124" t="s">
        <v>2055</v>
      </c>
      <c r="D236" s="124"/>
      <c r="E236" s="124" t="str">
        <f>IFERROR(__xludf.DUMMYFUNCTION("IF(
   ISNUMBER(FIND(""'"", B236)),
   IFERROR(""["" &amp; REGEXREPLACE(JOIN("", "", QUERY(Data!$A$2:$K512, ""SELECT K WHERE B = """"""&amp;B236&amp;"""""""")), ""(\d+)"", """"""$1"""""") &amp; ""]"", """"),
   IFERROR(""["" &amp; REGEXREPLACE(JOIN("", "", QUERY(Data!$A$2:$K"&amp;"512, ""SELECT K WHERE B = '""&amp;B236&amp;""'"")), ""(\d+)"", """"""$1"""""") &amp; ""]"", """")
)"),"[""31""]")</f>
        <v>["31"]</v>
      </c>
      <c r="F236" s="124"/>
      <c r="G236" s="124"/>
      <c r="H236" s="124"/>
      <c r="I236" s="124"/>
    </row>
    <row r="237">
      <c r="A237" s="126">
        <v>1336.0</v>
      </c>
      <c r="B237" s="126" t="s">
        <v>2266</v>
      </c>
      <c r="C237" s="124" t="s">
        <v>5770</v>
      </c>
      <c r="D237" s="124"/>
      <c r="E237" s="124" t="str">
        <f>IFERROR(__xludf.DUMMYFUNCTION("IF(
   ISNUMBER(FIND(""'"", B237)),
   IFERROR(""["" &amp; REGEXREPLACE(JOIN("", "", QUERY(Data!$A$2:$K512, ""SELECT K WHERE B = """"""&amp;B237&amp;"""""""")), ""(\d+)"", """"""$1"""""") &amp; ""]"", """"),
   IFERROR(""["" &amp; REGEXREPLACE(JOIN("", "", QUERY(Data!$A$2:$K"&amp;"512, ""SELECT K WHERE B = '""&amp;B237&amp;""'"")), ""(\d+)"", """"""$1"""""") &amp; ""]"", """")
)"),"[""31"", ""32"", ""33""]")</f>
        <v>["31", "32", "33"]</v>
      </c>
      <c r="F237" s="124"/>
      <c r="G237" s="124"/>
      <c r="H237" s="124"/>
      <c r="I237" s="124"/>
    </row>
    <row r="238">
      <c r="A238" s="125">
        <v>1091.0</v>
      </c>
      <c r="B238" s="125" t="s">
        <v>2277</v>
      </c>
      <c r="C238" s="124" t="s">
        <v>5770</v>
      </c>
      <c r="D238" s="124"/>
      <c r="E238" s="124" t="str">
        <f>IFERROR(__xludf.DUMMYFUNCTION("IF(
   ISNUMBER(FIND(""'"", B238)),
   IFERROR(""["" &amp; REGEXREPLACE(JOIN("", "", QUERY(Data!$A$2:$K512, ""SELECT K WHERE B = """"""&amp;B238&amp;"""""""")), ""(\d+)"", """"""$1"""""") &amp; ""]"", """"),
   IFERROR(""["" &amp; REGEXREPLACE(JOIN("", "", QUERY(Data!$A$2:$K"&amp;"512, ""SELECT K WHERE B = '""&amp;B238&amp;""'"")), ""(\d+)"", """"""$1"""""") &amp; ""]"", """")
)"),"[""31"", ""32"", ""33""]")</f>
        <v>["31", "32", "33"]</v>
      </c>
      <c r="F238" s="124"/>
      <c r="G238" s="124"/>
      <c r="H238" s="124"/>
      <c r="I238" s="124"/>
    </row>
    <row r="239">
      <c r="A239" s="126">
        <v>1337.0</v>
      </c>
      <c r="B239" s="126" t="s">
        <v>2277</v>
      </c>
      <c r="C239" s="124" t="s">
        <v>5770</v>
      </c>
      <c r="D239" s="124"/>
      <c r="E239" s="124" t="str">
        <f>IFERROR(__xludf.DUMMYFUNCTION("IF(
   ISNUMBER(FIND(""'"", B239)),
   IFERROR(""["" &amp; REGEXREPLACE(JOIN("", "", QUERY(Data!$A$2:$K512, ""SELECT K WHERE B = """"""&amp;B239&amp;"""""""")), ""(\d+)"", """"""$1"""""") &amp; ""]"", """"),
   IFERROR(""["" &amp; REGEXREPLACE(JOIN("", "", QUERY(Data!$A$2:$K"&amp;"512, ""SELECT K WHERE B = '""&amp;B239&amp;""'"")), ""(\d+)"", """"""$1"""""") &amp; ""]"", """")
)"),"[""31"", ""32"", ""33""]")</f>
        <v>["31", "32", "33"]</v>
      </c>
      <c r="F239" s="124"/>
      <c r="G239" s="124"/>
      <c r="H239" s="124"/>
      <c r="I239" s="124"/>
    </row>
    <row r="240">
      <c r="A240" s="126">
        <v>1338.0</v>
      </c>
      <c r="B240" s="126" t="s">
        <v>2283</v>
      </c>
      <c r="C240" s="124" t="s">
        <v>5770</v>
      </c>
      <c r="D240" s="124"/>
      <c r="E240" s="124" t="str">
        <f>IFERROR(__xludf.DUMMYFUNCTION("IF(
   ISNUMBER(FIND(""'"", B240)),
   IFERROR(""["" &amp; REGEXREPLACE(JOIN("", "", QUERY(Data!$A$2:$K512, ""SELECT K WHERE B = """"""&amp;B240&amp;"""""""")), ""(\d+)"", """"""$1"""""") &amp; ""]"", """"),
   IFERROR(""["" &amp; REGEXREPLACE(JOIN("", "", QUERY(Data!$A$2:$K"&amp;"512, ""SELECT K WHERE B = '""&amp;B240&amp;""'"")), ""(\d+)"", """"""$1"""""") &amp; ""]"", """")
)"),"[""31"", ""32"", ""33""]")</f>
        <v>["31", "32", "33"]</v>
      </c>
      <c r="F240" s="124"/>
      <c r="G240" s="124"/>
      <c r="H240" s="124"/>
      <c r="I240" s="124"/>
    </row>
    <row r="241">
      <c r="A241" s="125">
        <v>1468.0</v>
      </c>
      <c r="B241" s="126" t="s">
        <v>2287</v>
      </c>
      <c r="C241" s="126" t="s">
        <v>2287</v>
      </c>
      <c r="D241" s="124"/>
      <c r="E241" s="124" t="str">
        <f>IFERROR(__xludf.DUMMYFUNCTION("IF(
   ISNUMBER(FIND(""'"", B241)),
   IFERROR(""["" &amp; REGEXREPLACE(JOIN("", "", QUERY(Data!$A$2:$K512, ""SELECT K WHERE B = """"""&amp;B241&amp;"""""""")), ""(\d+)"", """"""$1"""""") &amp; ""]"", """"),
   IFERROR(""["" &amp; REGEXREPLACE(JOIN("", "", QUERY(Data!$A$2:$K"&amp;"512, ""SELECT K WHERE B = '""&amp;B241&amp;""'"")), ""(\d+)"", """"""$1"""""") &amp; ""]"", """")
)"),"[""36""]")</f>
        <v>["36"]</v>
      </c>
      <c r="F241" s="124"/>
      <c r="G241" s="124"/>
      <c r="H241" s="124"/>
      <c r="I241" s="124"/>
    </row>
    <row r="242">
      <c r="A242" s="126">
        <v>1314.0</v>
      </c>
      <c r="B242" s="126" t="s">
        <v>2298</v>
      </c>
      <c r="C242" s="124" t="s">
        <v>2298</v>
      </c>
      <c r="D242" s="124"/>
      <c r="E242" s="124" t="str">
        <f>IFERROR(__xludf.DUMMYFUNCTION("IF(
   ISNUMBER(FIND(""'"", B242)),
   IFERROR(""["" &amp; REGEXREPLACE(JOIN("", "", QUERY(Data!$A$2:$K512, ""SELECT K WHERE B = """"""&amp;B242&amp;"""""""")), ""(\d+)"", """"""$1"""""") &amp; ""]"", """"),
   IFERROR(""["" &amp; REGEXREPLACE(JOIN("", "", QUERY(Data!$A$2:$K"&amp;"512, ""SELECT K WHERE B = '""&amp;B242&amp;""'"")), ""(\d+)"", """"""$1"""""") &amp; ""]"", """")
)"),"[""13""]")</f>
        <v>["13"]</v>
      </c>
      <c r="F242" s="124"/>
      <c r="G242" s="124"/>
      <c r="H242" s="124"/>
      <c r="I242" s="124"/>
    </row>
    <row r="243">
      <c r="A243" s="125">
        <v>1094.0</v>
      </c>
      <c r="B243" s="125" t="s">
        <v>2335</v>
      </c>
      <c r="C243" s="124" t="s">
        <v>2335</v>
      </c>
      <c r="D243" s="124"/>
      <c r="E243" s="124" t="str">
        <f>IFERROR(__xludf.DUMMYFUNCTION("IF(
   ISNUMBER(FIND(""'"", B243)),
   IFERROR(""["" &amp; REGEXREPLACE(JOIN("", "", QUERY(Data!$A$2:$K512, ""SELECT K WHERE B = """"""&amp;B243&amp;"""""""")), ""(\d+)"", """"""$1"""""") &amp; ""]"", """"),
   IFERROR(""["" &amp; REGEXREPLACE(JOIN("", "", QUERY(Data!$A$2:$K"&amp;"512, ""SELECT K WHERE B = '""&amp;B243&amp;""'"")), ""(\d+)"", """"""$1"""""") &amp; ""]"", """")
)"),"[""13""]")</f>
        <v>["13"]</v>
      </c>
      <c r="F243" s="124"/>
      <c r="G243" s="124"/>
      <c r="H243" s="124"/>
      <c r="I243" s="124"/>
    </row>
    <row r="244">
      <c r="A244" s="126">
        <v>1396.0</v>
      </c>
      <c r="B244" s="126" t="s">
        <v>2361</v>
      </c>
      <c r="C244" s="126" t="s">
        <v>2361</v>
      </c>
      <c r="D244" s="124"/>
      <c r="E244" s="124" t="str">
        <f>IFERROR(__xludf.DUMMYFUNCTION("IF(
   ISNUMBER(FIND(""'"", B244)),
   IFERROR(""["" &amp; REGEXREPLACE(JOIN("", "", QUERY(Data!$A$2:$K512, ""SELECT K WHERE B = """"""&amp;B244&amp;"""""""")), ""(\d+)"", """"""$1"""""") &amp; ""]"", """"),
   IFERROR(""["" &amp; REGEXREPLACE(JOIN("", "", QUERY(Data!$A$2:$K"&amp;"512, ""SELECT K WHERE B = '""&amp;B244&amp;""'"")), ""(\d+)"", """"""$1"""""") &amp; ""]"", """")
)"),"[""22"", ""32""]")</f>
        <v>["22", "32"]</v>
      </c>
      <c r="F244" s="124"/>
      <c r="G244" s="124"/>
      <c r="H244" s="124"/>
      <c r="I244" s="124"/>
    </row>
    <row r="245">
      <c r="A245" s="125">
        <v>1097.0</v>
      </c>
      <c r="B245" s="125" t="s">
        <v>2372</v>
      </c>
      <c r="C245" s="124" t="s">
        <v>2372</v>
      </c>
      <c r="D245" s="124"/>
      <c r="E245" s="124" t="str">
        <f>IFERROR(__xludf.DUMMYFUNCTION("IF(
   ISNUMBER(FIND(""'"", B245)),
   IFERROR(""["" &amp; REGEXREPLACE(JOIN("", "", QUERY(Data!$A$2:$K512, ""SELECT K WHERE B = """"""&amp;B245&amp;"""""""")), ""(\d+)"", """"""$1"""""") &amp; ""]"", """"),
   IFERROR(""["" &amp; REGEXREPLACE(JOIN("", "", QUERY(Data!$A$2:$K"&amp;"512, ""SELECT K WHERE B = '""&amp;B245&amp;""'"")), ""(\d+)"", """"""$1"""""") &amp; ""]"", """")
)"),"[""31"", ""32"", ""33""]")</f>
        <v>["31", "32", "33"]</v>
      </c>
      <c r="F245" s="124"/>
      <c r="G245" s="124"/>
      <c r="H245" s="124"/>
      <c r="I245" s="124"/>
    </row>
    <row r="246">
      <c r="A246" s="125">
        <v>1510.0</v>
      </c>
      <c r="B246" s="126" t="s">
        <v>2382</v>
      </c>
      <c r="C246" s="126" t="s">
        <v>2382</v>
      </c>
      <c r="D246" s="124"/>
      <c r="E246" s="124" t="str">
        <f>IFERROR(__xludf.DUMMYFUNCTION("IF(
   ISNUMBER(FIND(""'"", B246)),
   IFERROR(""["" &amp; REGEXREPLACE(JOIN("", "", QUERY(Data!$A$2:$K512, ""SELECT K WHERE B = """"""&amp;B246&amp;"""""""")), ""(\d+)"", """"""$1"""""") &amp; ""]"", """"),
   IFERROR(""["" &amp; REGEXREPLACE(JOIN("", "", QUERY(Data!$A$2:$K"&amp;"512, ""SELECT K WHERE B = '""&amp;B246&amp;""'"")), ""(\d+)"", """"""$1"""""") &amp; ""]"", """")
)"),"[""56""]")</f>
        <v>["56"]</v>
      </c>
      <c r="F246" s="124"/>
      <c r="G246" s="124"/>
      <c r="H246" s="124"/>
      <c r="I246" s="124"/>
    </row>
    <row r="247">
      <c r="A247" s="126">
        <v>1461.0</v>
      </c>
      <c r="B247" s="126" t="s">
        <v>2386</v>
      </c>
      <c r="C247" s="126" t="s">
        <v>2386</v>
      </c>
      <c r="D247" s="124"/>
      <c r="E247" s="124" t="str">
        <f>IFERROR(__xludf.DUMMYFUNCTION("IF(
   ISNUMBER(FIND(""'"", B247)),
   IFERROR(""["" &amp; REGEXREPLACE(JOIN("", "", QUERY(Data!$A$2:$K512, ""SELECT K WHERE B = """"""&amp;B247&amp;"""""""")), ""(\d+)"", """"""$1"""""") &amp; ""]"", """"),
   IFERROR(""["" &amp; REGEXREPLACE(JOIN("", "", QUERY(Data!$A$2:$K"&amp;"512, ""SELECT K WHERE B = '""&amp;B247&amp;""'"")), ""(\d+)"", """"""$1"""""") &amp; ""]"", """")
)"),"[""37""]")</f>
        <v>["37"]</v>
      </c>
      <c r="F247" s="124"/>
      <c r="G247" s="124"/>
      <c r="H247" s="124"/>
      <c r="I247" s="124"/>
    </row>
    <row r="248">
      <c r="A248" s="125">
        <v>1098.0</v>
      </c>
      <c r="B248" s="125" t="s">
        <v>2396</v>
      </c>
      <c r="C248" s="124" t="s">
        <v>2396</v>
      </c>
      <c r="D248" s="124">
        <v>23000.0</v>
      </c>
      <c r="E248" s="124" t="str">
        <f>IFERROR(__xludf.DUMMYFUNCTION("IF(
   ISNUMBER(FIND(""'"", B248)),
   IFERROR(""["" &amp; REGEXREPLACE(JOIN("", "", QUERY(Data!$A$2:$K512, ""SELECT K WHERE B = """"""&amp;B248&amp;"""""""")), ""(\d+)"", """"""$1"""""") &amp; ""]"", """"),
   IFERROR(""["" &amp; REGEXREPLACE(JOIN("", "", QUERY(Data!$A$2:$K"&amp;"512, ""SELECT K WHERE B = '""&amp;B248&amp;""'"")), ""(\d+)"", """"""$1"""""") &amp; ""]"", """")
)"),"[""11"", ""12"", ""13"", ""51""]")</f>
        <v>["11", "12", "13", "51"]</v>
      </c>
      <c r="F248" s="124"/>
      <c r="G248" s="124"/>
      <c r="H248" s="124"/>
      <c r="I248" s="124"/>
    </row>
    <row r="249">
      <c r="A249" s="126">
        <v>1385.0</v>
      </c>
      <c r="B249" s="126" t="s">
        <v>2410</v>
      </c>
      <c r="C249" s="126" t="s">
        <v>2410</v>
      </c>
      <c r="D249" s="124"/>
      <c r="E249" s="124" t="str">
        <f>IFERROR(__xludf.DUMMYFUNCTION("IF(
   ISNUMBER(FIND(""'"", B249)),
   IFERROR(""["" &amp; REGEXREPLACE(JOIN("", "", QUERY(Data!$A$2:$K512, ""SELECT K WHERE B = """"""&amp;B249&amp;"""""""")), ""(\d+)"", """"""$1"""""") &amp; ""]"", """"),
   IFERROR(""["" &amp; REGEXREPLACE(JOIN("", "", QUERY(Data!$A$2:$K"&amp;"512, ""SELECT K WHERE B = '""&amp;B249&amp;""'"")), ""(\d+)"", """"""$1"""""") &amp; ""]"", """")
)"),"[""13""]")</f>
        <v>["13"]</v>
      </c>
      <c r="F249" s="124"/>
      <c r="G249" s="124"/>
      <c r="H249" s="124"/>
      <c r="I249" s="124"/>
    </row>
    <row r="250">
      <c r="A250" s="125">
        <v>1099.0</v>
      </c>
      <c r="B250" s="126" t="s">
        <v>2428</v>
      </c>
      <c r="C250" s="124" t="s">
        <v>2428</v>
      </c>
      <c r="D250" s="124"/>
      <c r="E250" s="124" t="str">
        <f>IFERROR(__xludf.DUMMYFUNCTION("IF(
   ISNUMBER(FIND(""'"", B250)),
   IFERROR(""["" &amp; REGEXREPLACE(JOIN("", "", QUERY(Data!$A$2:$K512, ""SELECT K WHERE B = """"""&amp;B250&amp;"""""""")), ""(\d+)"", """"""$1"""""") &amp; ""]"", """"),
   IFERROR(""["" &amp; REGEXREPLACE(JOIN("", "", QUERY(Data!$A$2:$K"&amp;"512, ""SELECT K WHERE B = '""&amp;B250&amp;""'"")), ""(\d+)"", """"""$1"""""") &amp; ""]"", """")
)"),"[""41""]")</f>
        <v>["41"]</v>
      </c>
      <c r="F250" s="124"/>
      <c r="G250" s="124"/>
      <c r="H250" s="124"/>
      <c r="I250" s="124"/>
    </row>
    <row r="251">
      <c r="A251" s="125">
        <v>1505.0</v>
      </c>
      <c r="B251" s="126" t="s">
        <v>2434</v>
      </c>
      <c r="C251" s="126" t="s">
        <v>2434</v>
      </c>
      <c r="D251" s="124"/>
      <c r="E251" s="124" t="str">
        <f>IFERROR(__xludf.DUMMYFUNCTION("IF(
   ISNUMBER(FIND(""'"", B251)),
   IFERROR(""["" &amp; REGEXREPLACE(JOIN("", "", QUERY(Data!$A$2:$K512, ""SELECT K WHERE B = """"""&amp;B251&amp;"""""""")), ""(\d+)"", """"""$1"""""") &amp; ""]"", """"),
   IFERROR(""["" &amp; REGEXREPLACE(JOIN("", "", QUERY(Data!$A$2:$K"&amp;"512, ""SELECT K WHERE B = '""&amp;B251&amp;""'"")), ""(\d+)"", """"""$1"""""") &amp; ""]"", """")
)"),"[""56""]")</f>
        <v>["56"]</v>
      </c>
      <c r="F251" s="124"/>
      <c r="G251" s="124"/>
      <c r="H251" s="124"/>
      <c r="I251" s="124"/>
    </row>
    <row r="252">
      <c r="A252" s="126">
        <v>1446.0</v>
      </c>
      <c r="B252" s="126" t="s">
        <v>2444</v>
      </c>
      <c r="C252" s="126" t="s">
        <v>2444</v>
      </c>
      <c r="D252" s="124"/>
      <c r="E252" s="124" t="str">
        <f>IFERROR(__xludf.DUMMYFUNCTION("IF(
   ISNUMBER(FIND(""'"", B252)),
   IFERROR(""["" &amp; REGEXREPLACE(JOIN("", "", QUERY(Data!$A$2:$K512, ""SELECT K WHERE B = """"""&amp;B252&amp;"""""""")), ""(\d+)"", """"""$1"""""") &amp; ""]"", """"),
   IFERROR(""["" &amp; REGEXREPLACE(JOIN("", "", QUERY(Data!$A$2:$K"&amp;"512, ""SELECT K WHERE B = '""&amp;B252&amp;""'"")), ""(\d+)"", """"""$1"""""") &amp; ""]"", """")
)"),"[""14"", ""36"", ""53"", ""64"", ""65"", ""65""]")</f>
        <v>["14", "36", "53", "64", "65", "65"]</v>
      </c>
      <c r="F252" s="124"/>
      <c r="G252" s="124"/>
      <c r="H252" s="124"/>
      <c r="I252" s="124"/>
    </row>
    <row r="253">
      <c r="A253" s="126">
        <v>1463.0</v>
      </c>
      <c r="B253" s="126" t="s">
        <v>2469</v>
      </c>
      <c r="C253" s="126" t="s">
        <v>2469</v>
      </c>
      <c r="D253" s="124"/>
      <c r="E253" s="124" t="str">
        <f>IFERROR(__xludf.DUMMYFUNCTION("IF(
   ISNUMBER(FIND(""'"", B253)),
   IFERROR(""["" &amp; REGEXREPLACE(JOIN("", "", QUERY(Data!$A$2:$K512, ""SELECT K WHERE B = """"""&amp;B253&amp;"""""""")), ""(\d+)"", """"""$1"""""") &amp; ""]"", """"),
   IFERROR(""["" &amp; REGEXREPLACE(JOIN("", "", QUERY(Data!$A$2:$K"&amp;"512, ""SELECT K WHERE B = '""&amp;B253&amp;""'"")), ""(\d+)"", """"""$1"""""") &amp; ""]"", """")
)"),"[""54""]")</f>
        <v>["54"]</v>
      </c>
      <c r="F253" s="124"/>
      <c r="G253" s="124"/>
      <c r="H253" s="124"/>
      <c r="I253" s="124"/>
    </row>
    <row r="254">
      <c r="A254" s="125">
        <v>1484.0</v>
      </c>
      <c r="B254" s="126" t="s">
        <v>2473</v>
      </c>
      <c r="C254" s="126" t="s">
        <v>2473</v>
      </c>
      <c r="D254" s="124"/>
      <c r="E254" s="124" t="str">
        <f>IFERROR(__xludf.DUMMYFUNCTION("IF(
   ISNUMBER(FIND(""'"", B254)),
   IFERROR(""["" &amp; REGEXREPLACE(JOIN("", "", QUERY(Data!$A$2:$K512, ""SELECT K WHERE B = """"""&amp;B254&amp;"""""""")), ""(\d+)"", """"""$1"""""") &amp; ""]"", """"),
   IFERROR(""["" &amp; REGEXREPLACE(JOIN("", "", QUERY(Data!$A$2:$K"&amp;"512, ""SELECT K WHERE B = '""&amp;B254&amp;""'"")), ""(\d+)"", """"""$1"""""") &amp; ""]"", """")
)"),"[""32""]")</f>
        <v>["32"]</v>
      </c>
      <c r="F254" s="124"/>
      <c r="G254" s="124"/>
      <c r="H254" s="124"/>
      <c r="I254" s="124"/>
    </row>
    <row r="255">
      <c r="A255" s="125">
        <v>1101.0</v>
      </c>
      <c r="B255" s="125" t="s">
        <v>2484</v>
      </c>
      <c r="C255" s="124" t="s">
        <v>2484</v>
      </c>
      <c r="D255" s="124">
        <v>2600000.0</v>
      </c>
      <c r="E255" s="124" t="str">
        <f>IFERROR(__xludf.DUMMYFUNCTION("IF(
   ISNUMBER(FIND(""'"", B255)),
   IFERROR(""["" &amp; REGEXREPLACE(JOIN("", "", QUERY(Data!$A$2:$K512, ""SELECT K WHERE B = """"""&amp;B255&amp;"""""""")), ""(\d+)"", """"""$1"""""") &amp; ""]"", """"),
   IFERROR(""["" &amp; REGEXREPLACE(JOIN("", "", QUERY(Data!$A$2:$K"&amp;"512, ""SELECT K WHERE B = '""&amp;B255&amp;""'"")), ""(\d+)"", """"""$1"""""") &amp; ""]"", """")
)"),"[""11"", ""12"", ""13"", ""13"", ""14"", ""65""]")</f>
        <v>["11", "12", "13", "13", "14", "65"]</v>
      </c>
      <c r="F255" s="124" t="s">
        <v>5771</v>
      </c>
      <c r="G255" s="124" t="s">
        <v>5772</v>
      </c>
      <c r="H255" s="124" t="s">
        <v>5773</v>
      </c>
      <c r="I255" s="124"/>
    </row>
    <row r="256">
      <c r="A256" s="125">
        <v>1102.0</v>
      </c>
      <c r="B256" s="125" t="s">
        <v>2513</v>
      </c>
      <c r="C256" s="124" t="s">
        <v>2513</v>
      </c>
      <c r="D256" s="124"/>
      <c r="E256" s="124" t="str">
        <f>IFERROR(__xludf.DUMMYFUNCTION("IF(
   ISNUMBER(FIND(""'"", B256)),
   IFERROR(""["" &amp; REGEXREPLACE(JOIN("", "", QUERY(Data!$A$2:$K512, ""SELECT K WHERE B = """"""&amp;B256&amp;"""""""")), ""(\d+)"", """"""$1"""""") &amp; ""]"", """"),
   IFERROR(""["" &amp; REGEXREPLACE(JOIN("", "", QUERY(Data!$A$2:$K"&amp;"512, ""SELECT K WHERE B = '""&amp;B256&amp;""'"")), ""(\d+)"", """"""$1"""""") &amp; ""]"", """")
)"),"[""13"", ""35""]")</f>
        <v>["13", "35"]</v>
      </c>
      <c r="F256" s="124"/>
      <c r="G256" s="124"/>
      <c r="H256" s="124"/>
      <c r="I256" s="124"/>
    </row>
    <row r="257">
      <c r="A257" s="126">
        <v>1457.0</v>
      </c>
      <c r="B257" s="126" t="s">
        <v>2523</v>
      </c>
      <c r="C257" s="124" t="s">
        <v>2523</v>
      </c>
      <c r="D257" s="124"/>
      <c r="E257" s="124" t="str">
        <f>IFERROR(__xludf.DUMMYFUNCTION("IF(
   ISNUMBER(FIND(""'"", B257)),
   IFERROR(""["" &amp; REGEXREPLACE(JOIN("", "", QUERY(Data!$A$2:$K512, ""SELECT K WHERE B = """"""&amp;B257&amp;"""""""")), ""(\d+)"", """"""$1"""""") &amp; ""]"", """"),
   IFERROR(""["" &amp; REGEXREPLACE(JOIN("", "", QUERY(Data!$A$2:$K"&amp;"512, ""SELECT K WHERE B = '""&amp;B257&amp;""'"")), ""(\d+)"", """"""$1"""""") &amp; ""]"", """")
)"),"[""37""]")</f>
        <v>["37"]</v>
      </c>
      <c r="F257" s="124"/>
      <c r="G257" s="124"/>
      <c r="H257" s="124"/>
      <c r="I257" s="124"/>
    </row>
    <row r="258">
      <c r="A258" s="125">
        <v>1400.0</v>
      </c>
      <c r="B258" s="126" t="s">
        <v>2530</v>
      </c>
      <c r="C258" s="126" t="s">
        <v>2530</v>
      </c>
      <c r="D258" s="124"/>
      <c r="E258" s="124" t="str">
        <f>IFERROR(__xludf.DUMMYFUNCTION("IF(
   ISNUMBER(FIND(""'"", B258)),
   IFERROR(""["" &amp; REGEXREPLACE(JOIN("", "", QUERY(Data!$A$2:$K512, ""SELECT K WHERE B = """"""&amp;B258&amp;"""""""")), ""(\d+)"", """"""$1"""""") &amp; ""]"", """"),
   IFERROR(""["" &amp; REGEXREPLACE(JOIN("", "", QUERY(Data!$A$2:$K"&amp;"512, ""SELECT K WHERE B = '""&amp;B258&amp;""'"")), ""(\d+)"", """"""$1"""""") &amp; ""]"", """")
)"),"[""63""]")</f>
        <v>["63"]</v>
      </c>
      <c r="F258" s="124"/>
      <c r="G258" s="124"/>
      <c r="H258" s="124"/>
      <c r="I258" s="124"/>
    </row>
    <row r="259">
      <c r="A259" s="125">
        <v>1489.0</v>
      </c>
      <c r="B259" s="126" t="s">
        <v>2541</v>
      </c>
      <c r="C259" s="126" t="s">
        <v>2541</v>
      </c>
      <c r="D259" s="131"/>
      <c r="E259" s="131" t="str">
        <f>IFERROR(__xludf.DUMMYFUNCTION("IF(
   ISNUMBER(FIND(""'"", B259)),
   IFERROR(""["" &amp; REGEXREPLACE(JOIN("", "", QUERY(Data!$A$2:$K512, ""SELECT K WHERE B = """"""&amp;B259&amp;"""""""")), ""(\d+)"", """"""$1"""""") &amp; ""]"", """"),
   IFERROR(""["" &amp; REGEXREPLACE(JOIN("", "", QUERY(Data!$A$2:$K"&amp;"512, ""SELECT K WHERE B = '""&amp;B259&amp;""'"")), ""(\d+)"", """"""$1"""""") &amp; ""]"", """")
)"),"[""53""]")</f>
        <v>["53"]</v>
      </c>
      <c r="F259" s="124"/>
      <c r="G259" s="124"/>
      <c r="H259" s="124"/>
      <c r="I259" s="124"/>
    </row>
    <row r="260">
      <c r="A260" s="125">
        <v>1103.0</v>
      </c>
      <c r="B260" s="125" t="s">
        <v>2548</v>
      </c>
      <c r="C260" s="124" t="s">
        <v>2548</v>
      </c>
      <c r="D260" s="124"/>
      <c r="E260" s="124" t="str">
        <f>IFERROR(__xludf.DUMMYFUNCTION("IF(
   ISNUMBER(FIND(""'"", B260)),
   IFERROR(""["" &amp; REGEXREPLACE(JOIN("", "", QUERY(Data!$A$2:$K512, ""SELECT K WHERE B = """"""&amp;B260&amp;"""""""")), ""(\d+)"", """"""$1"""""") &amp; ""]"", """"),
   IFERROR(""["" &amp; REGEXREPLACE(JOIN("", "", QUERY(Data!$A$2:$K"&amp;"512, ""SELECT K WHERE B = '""&amp;B260&amp;""'"")), ""(\d+)"", """"""$1"""""") &amp; ""]"", """")
)"),"[""34""]")</f>
        <v>["34"]</v>
      </c>
      <c r="F260" s="124"/>
      <c r="G260" s="124"/>
      <c r="H260" s="124"/>
      <c r="I260" s="124"/>
    </row>
    <row r="261">
      <c r="A261" s="126">
        <v>1462.0</v>
      </c>
      <c r="B261" s="126" t="s">
        <v>2554</v>
      </c>
      <c r="C261" s="126" t="s">
        <v>2554</v>
      </c>
      <c r="D261" s="124"/>
      <c r="E261" s="124" t="str">
        <f>IFERROR(__xludf.DUMMYFUNCTION("IF(
   ISNUMBER(FIND(""'"", B261)),
   IFERROR(""["" &amp; REGEXREPLACE(JOIN("", "", QUERY(Data!$A$2:$K512, ""SELECT K WHERE B = """"""&amp;B261&amp;"""""""")), ""(\d+)"", """"""$1"""""") &amp; ""]"", """"),
   IFERROR(""["" &amp; REGEXREPLACE(JOIN("", "", QUERY(Data!$A$2:$K"&amp;"512, ""SELECT K WHERE B = '""&amp;B261&amp;""'"")), ""(\d+)"", """"""$1"""""") &amp; ""]"", """")
)"),"[""65""]")</f>
        <v>["65"]</v>
      </c>
      <c r="F261" s="124"/>
      <c r="G261" s="124"/>
      <c r="H261" s="124"/>
      <c r="I261" s="124"/>
    </row>
    <row r="262">
      <c r="A262" s="126">
        <v>1454.0</v>
      </c>
      <c r="B262" s="126" t="s">
        <v>2561</v>
      </c>
      <c r="C262" s="126" t="s">
        <v>2561</v>
      </c>
      <c r="D262" s="124"/>
      <c r="E262" s="124" t="str">
        <f>IFERROR(__xludf.DUMMYFUNCTION("IF(
   ISNUMBER(FIND(""'"", B262)),
   IFERROR(""["" &amp; REGEXREPLACE(JOIN("", "", QUERY(Data!$A$2:$K512, ""SELECT K WHERE B = """"""&amp;B262&amp;"""""""")), ""(\d+)"", """"""$1"""""") &amp; ""]"", """"),
   IFERROR(""["" &amp; REGEXREPLACE(JOIN("", "", QUERY(Data!$A$2:$K"&amp;"512, ""SELECT K WHERE B = '""&amp;B262&amp;""'"")), ""(\d+)"", """"""$1"""""") &amp; ""]"", """")
)"),"[""54""]")</f>
        <v>["54"]</v>
      </c>
      <c r="F262" s="124"/>
      <c r="G262" s="124"/>
      <c r="H262" s="124"/>
      <c r="I262" s="124"/>
    </row>
    <row r="263">
      <c r="A263" s="125">
        <v>1105.0</v>
      </c>
      <c r="B263" s="125" t="s">
        <v>2569</v>
      </c>
      <c r="C263" s="124" t="s">
        <v>2569</v>
      </c>
      <c r="D263" s="124"/>
      <c r="E263" s="124" t="str">
        <f>IFERROR(__xludf.DUMMYFUNCTION("IF(
   ISNUMBER(FIND(""'"", B263)),
   IFERROR(""["" &amp; REGEXREPLACE(JOIN("", "", QUERY(Data!$A$2:$K512, ""SELECT K WHERE B = """"""&amp;B263&amp;"""""""")), ""(\d+)"", """"""$1"""""") &amp; ""]"", """"),
   IFERROR(""["" &amp; REGEXREPLACE(JOIN("", "", QUERY(Data!$A$2:$K"&amp;"512, ""SELECT K WHERE B = '""&amp;B263&amp;""'"")), ""(\d+)"", """"""$1"""""") &amp; ""]"", """")
)"),"[""11"", ""12"", ""13"", ""51"", ""52"", ""61"", ""64""]")</f>
        <v>["11", "12", "13", "51", "52", "61", "64"]</v>
      </c>
      <c r="F263" s="124"/>
      <c r="G263" s="124"/>
      <c r="H263" s="124"/>
      <c r="I263" s="124"/>
    </row>
    <row r="264">
      <c r="A264" s="125">
        <v>1276.0</v>
      </c>
      <c r="B264" s="126" t="s">
        <v>2589</v>
      </c>
      <c r="C264" s="124" t="s">
        <v>2589</v>
      </c>
      <c r="D264" s="124"/>
      <c r="E264" s="124" t="str">
        <f>IFERROR(__xludf.DUMMYFUNCTION("IF(
   ISNUMBER(FIND(""'"", B264)),
   IFERROR(""["" &amp; REGEXREPLACE(JOIN("", "", QUERY(Data!$A$2:$K512, ""SELECT K WHERE B = """"""&amp;B264&amp;"""""""")), ""(\d+)"", """"""$1"""""") &amp; ""]"", """"),
   IFERROR(""["" &amp; REGEXREPLACE(JOIN("", "", QUERY(Data!$A$2:$K"&amp;"512, ""SELECT K WHERE B = '""&amp;B264&amp;""'"")), ""(\d+)"", """"""$1"""""") &amp; ""]"", """")
)"),"[""13""]")</f>
        <v>["13"]</v>
      </c>
      <c r="F264" s="124"/>
      <c r="G264" s="124"/>
      <c r="H264" s="124"/>
      <c r="I264" s="124"/>
    </row>
    <row r="265">
      <c r="A265" s="125">
        <v>1106.0</v>
      </c>
      <c r="B265" s="125" t="s">
        <v>2599</v>
      </c>
      <c r="C265" s="124" t="s">
        <v>2599</v>
      </c>
      <c r="D265" s="124"/>
      <c r="E265" s="124" t="str">
        <f>IFERROR(__xludf.DUMMYFUNCTION("IF(
   ISNUMBER(FIND(""'"", B265)),
   IFERROR(""["" &amp; REGEXREPLACE(JOIN("", "", QUERY(Data!$A$2:$K512, ""SELECT K WHERE B = """"""&amp;B265&amp;"""""""")), ""(\d+)"", """"""$1"""""") &amp; ""]"", """"),
   IFERROR(""["" &amp; REGEXREPLACE(JOIN("", "", QUERY(Data!$A$2:$K"&amp;"512, ""SELECT K WHERE B = '""&amp;B265&amp;""'"")), ""(\d+)"", """"""$1"""""") &amp; ""]"", """")
)"),"[""13""]")</f>
        <v>["13"]</v>
      </c>
      <c r="F265" s="124"/>
      <c r="G265" s="124"/>
      <c r="H265" s="124"/>
      <c r="I265" s="124"/>
    </row>
    <row r="266">
      <c r="A266" s="125">
        <v>1107.0</v>
      </c>
      <c r="B266" s="125" t="s">
        <v>2606</v>
      </c>
      <c r="C266" s="124" t="s">
        <v>2606</v>
      </c>
      <c r="D266" s="124"/>
      <c r="E266" s="124" t="str">
        <f>IFERROR(__xludf.DUMMYFUNCTION("IF(
   ISNUMBER(FIND(""'"", B266)),
   IFERROR(""["" &amp; REGEXREPLACE(JOIN("", "", QUERY(Data!$A$2:$K512, ""SELECT K WHERE B = """"""&amp;B266&amp;"""""""")), ""(\d+)"", """"""$1"""""") &amp; ""]"", """"),
   IFERROR(""["" &amp; REGEXREPLACE(JOIN("", "", QUERY(Data!$A$2:$K"&amp;"512, ""SELECT K WHERE B = '""&amp;B266&amp;""'"")), ""(\d+)"", """"""$1"""""") &amp; ""]"", """")
)"),"[""11"", ""12"", ""13""]")</f>
        <v>["11", "12", "13"]</v>
      </c>
      <c r="F266" s="124"/>
      <c r="G266" s="124"/>
      <c r="H266" s="124"/>
      <c r="I266" s="124"/>
    </row>
    <row r="267">
      <c r="A267" s="125">
        <v>1108.0</v>
      </c>
      <c r="B267" s="126" t="s">
        <v>2615</v>
      </c>
      <c r="C267" s="124" t="s">
        <v>2615</v>
      </c>
      <c r="D267" s="124"/>
      <c r="E267" s="124" t="str">
        <f>IFERROR(__xludf.DUMMYFUNCTION("IF(
   ISNUMBER(FIND(""'"", B267)),
   IFERROR(""["" &amp; REGEXREPLACE(JOIN("", "", QUERY(Data!$A$2:$K512, ""SELECT K WHERE B = """"""&amp;B267&amp;"""""""")), ""(\d+)"", """"""$1"""""") &amp; ""]"", """"),
   IFERROR(""["" &amp; REGEXREPLACE(JOIN("", "", QUERY(Data!$A$2:$K"&amp;"512, ""SELECT K WHERE B = '""&amp;B267&amp;""'"")), ""(\d+)"", """"""$1"""""") &amp; ""]"", """")
)"),"[""55""]")</f>
        <v>["55"]</v>
      </c>
      <c r="F267" s="124"/>
      <c r="G267" s="124"/>
      <c r="H267" s="124"/>
      <c r="I267" s="124"/>
    </row>
    <row r="268">
      <c r="A268" s="125">
        <v>1109.0</v>
      </c>
      <c r="B268" s="126" t="s">
        <v>2623</v>
      </c>
      <c r="C268" s="124" t="s">
        <v>2623</v>
      </c>
      <c r="D268" s="124"/>
      <c r="E268" s="124" t="str">
        <f>IFERROR(__xludf.DUMMYFUNCTION("IF(
   ISNUMBER(FIND(""'"", B268)),
   IFERROR(""["" &amp; REGEXREPLACE(JOIN("", "", QUERY(Data!$A$2:$K512, ""SELECT K WHERE B = """"""&amp;B268&amp;"""""""")), ""(\d+)"", """"""$1"""""") &amp; ""]"", """"),
   IFERROR(""["" &amp; REGEXREPLACE(JOIN("", "", QUERY(Data!$A$2:$K"&amp;"512, ""SELECT K WHERE B = '""&amp;B268&amp;""'"")), ""(\d+)"", """"""$1"""""") &amp; ""]"", """")
)"),"[""55""]")</f>
        <v>["55"]</v>
      </c>
      <c r="F268" s="124"/>
      <c r="G268" s="124"/>
      <c r="H268" s="124"/>
      <c r="I268" s="124"/>
    </row>
    <row r="269">
      <c r="A269" s="125">
        <v>1275.0</v>
      </c>
      <c r="B269" s="126" t="s">
        <v>2626</v>
      </c>
      <c r="C269" s="124" t="s">
        <v>2626</v>
      </c>
      <c r="D269" s="124"/>
      <c r="E269" s="124" t="str">
        <f>IFERROR(__xludf.DUMMYFUNCTION("IF(
   ISNUMBER(FIND(""'"", B269)),
   IFERROR(""["" &amp; REGEXREPLACE(JOIN("", "", QUERY(Data!$A$2:$K512, ""SELECT K WHERE B = """"""&amp;B269&amp;"""""""")), ""(\d+)"", """"""$1"""""") &amp; ""]"", """"),
   IFERROR(""["" &amp; REGEXREPLACE(JOIN("", "", QUERY(Data!$A$2:$K"&amp;"512, ""SELECT K WHERE B = '""&amp;B269&amp;""'"")), ""(\d+)"", """"""$1"""""") &amp; ""]"", """")
)"),"[""13"", ""22""]")</f>
        <v>["13", "22"]</v>
      </c>
      <c r="F269" s="124"/>
      <c r="G269" s="124"/>
      <c r="H269" s="124"/>
      <c r="I269" s="124"/>
    </row>
    <row r="270">
      <c r="A270" s="125">
        <v>1277.0</v>
      </c>
      <c r="B270" s="126" t="s">
        <v>2638</v>
      </c>
      <c r="C270" s="124" t="s">
        <v>2638</v>
      </c>
      <c r="D270" s="124"/>
      <c r="E270" s="124" t="str">
        <f>IFERROR(__xludf.DUMMYFUNCTION("IF(
   ISNUMBER(FIND(""'"", B270)),
   IFERROR(""["" &amp; REGEXREPLACE(JOIN("", "", QUERY(Data!$A$2:$K512, ""SELECT K WHERE B = """"""&amp;B270&amp;"""""""")), ""(\d+)"", """"""$1"""""") &amp; ""]"", """"),
   IFERROR(""["" &amp; REGEXREPLACE(JOIN("", "", QUERY(Data!$A$2:$K"&amp;"512, ""SELECT K WHERE B = '""&amp;B270&amp;""'"")), ""(\d+)"", """"""$1"""""") &amp; ""]"", """")
)"),"[""13"", ""31"", ""54""]")</f>
        <v>["13", "31", "54"]</v>
      </c>
      <c r="F270" s="124"/>
      <c r="G270" s="124"/>
      <c r="H270" s="124"/>
      <c r="I270" s="124"/>
    </row>
    <row r="271">
      <c r="A271" s="125">
        <v>1110.0</v>
      </c>
      <c r="B271" s="125" t="s">
        <v>2658</v>
      </c>
      <c r="C271" s="124" t="s">
        <v>2658</v>
      </c>
      <c r="D271" s="124">
        <v>550000.0</v>
      </c>
      <c r="E271" s="124" t="str">
        <f>IFERROR(__xludf.DUMMYFUNCTION("IF(
   ISNUMBER(FIND(""'"", B271)),
   IFERROR(""["" &amp; REGEXREPLACE(JOIN("", "", QUERY(Data!$A$2:$K512, ""SELECT K WHERE B = """"""&amp;B271&amp;"""""""")), ""(\d+)"", """"""$1"""""") &amp; ""]"", """"),
   IFERROR(""["" &amp; REGEXREPLACE(JOIN("", "", QUERY(Data!$A$2:$K"&amp;"512, ""SELECT K WHERE B = '""&amp;B271&amp;""'"")), ""(\d+)"", """"""$1"""""") &amp; ""]"", """")
)"),"[""11"", ""12"", ""13"", ""61"", ""64"", ""65""]")</f>
        <v>["11", "12", "13", "61", "64", "65"]</v>
      </c>
      <c r="F271" s="124"/>
      <c r="G271" s="124"/>
      <c r="H271" s="124"/>
      <c r="I271" s="124"/>
    </row>
    <row r="272">
      <c r="A272" s="125">
        <v>1111.0</v>
      </c>
      <c r="B272" s="125" t="s">
        <v>2679</v>
      </c>
      <c r="C272" s="124" t="s">
        <v>2679</v>
      </c>
      <c r="D272" s="124"/>
      <c r="E272" s="124" t="str">
        <f>IFERROR(__xludf.DUMMYFUNCTION("IF(
   ISNUMBER(FIND(""'"", B272)),
   IFERROR(""["" &amp; REGEXREPLACE(JOIN("", "", QUERY(Data!$A$2:$K512, ""SELECT K WHERE B = """"""&amp;B272&amp;"""""""")), ""(\d+)"", """"""$1"""""") &amp; ""]"", """"),
   IFERROR(""["" &amp; REGEXREPLACE(JOIN("", "", QUERY(Data!$A$2:$K"&amp;"512, ""SELECT K WHERE B = '""&amp;B272&amp;""'"")), ""(\d+)"", """"""$1"""""") &amp; ""]"", """")
)"),"[""13"", ""55"", ""63""]")</f>
        <v>["13", "55", "63"]</v>
      </c>
      <c r="F272" s="124"/>
      <c r="G272" s="124"/>
      <c r="H272" s="124"/>
      <c r="I272" s="124"/>
    </row>
    <row r="273">
      <c r="A273" s="125">
        <v>1112.0</v>
      </c>
      <c r="B273" s="125" t="s">
        <v>2690</v>
      </c>
      <c r="C273" s="124" t="s">
        <v>2690</v>
      </c>
      <c r="D273" s="124"/>
      <c r="E273" s="124" t="str">
        <f>IFERROR(__xludf.DUMMYFUNCTION("IF(
   ISNUMBER(FIND(""'"", B273)),
   IFERROR(""["" &amp; REGEXREPLACE(JOIN("", "", QUERY(Data!$A$2:$K512, ""SELECT K WHERE B = """"""&amp;B273&amp;"""""""")), ""(\d+)"", """"""$1"""""") &amp; ""]"", """"),
   IFERROR(""["" &amp; REGEXREPLACE(JOIN("", "", QUERY(Data!$A$2:$K"&amp;"512, ""SELECT K WHERE B = '""&amp;B273&amp;""'"")), ""(\d+)"", """"""$1"""""") &amp; ""]"", """")
)"),"[""11"", ""12"", ""13"", ""14"", ""24"", ""51"", ""61"", ""64""]")</f>
        <v>["11", "12", "13", "14", "24", "51", "61", "64"]</v>
      </c>
      <c r="F273" s="124"/>
      <c r="G273" s="124"/>
      <c r="H273" s="124"/>
      <c r="I273" s="124"/>
    </row>
    <row r="274">
      <c r="A274" s="125">
        <v>1113.0</v>
      </c>
      <c r="B274" s="125" t="s">
        <v>2706</v>
      </c>
      <c r="C274" s="124" t="s">
        <v>2706</v>
      </c>
      <c r="D274" s="124">
        <v>5400000.0</v>
      </c>
      <c r="E274" s="124" t="str">
        <f>IFERROR(__xludf.DUMMYFUNCTION("IF(
   ISNUMBER(FIND(""'"", B274)),
   IFERROR(""["" &amp; REGEXREPLACE(JOIN("", "", QUERY(Data!$A$2:$K512, ""SELECT K WHERE B = """"""&amp;B274&amp;"""""""")), ""(\d+)"", """"""$1"""""") &amp; ""]"", """"),
   IFERROR(""["" &amp; REGEXREPLACE(JOIN("", "", QUERY(Data!$A$2:$K"&amp;"512, ""SELECT K WHERE B = '""&amp;B274&amp;""'"")), ""(\d+)"", """"""$1"""""") &amp; ""]"", """")
)"),"[""11"", ""12"", ""13""]")</f>
        <v>["11", "12", "13"]</v>
      </c>
      <c r="F274" s="124"/>
      <c r="G274" s="124"/>
      <c r="H274" s="124"/>
      <c r="I274" s="124"/>
    </row>
    <row r="275">
      <c r="A275" s="125">
        <v>1274.0</v>
      </c>
      <c r="B275" s="126" t="s">
        <v>2724</v>
      </c>
      <c r="C275" s="124" t="s">
        <v>2724</v>
      </c>
      <c r="D275" s="124"/>
      <c r="E275" s="124" t="str">
        <f>IFERROR(__xludf.DUMMYFUNCTION("IF(
   ISNUMBER(FIND(""'"", B275)),
   IFERROR(""["" &amp; REGEXREPLACE(JOIN("", "", QUERY(Data!$A$2:$K512, ""SELECT K WHERE B = """"""&amp;B275&amp;"""""""")), ""(\d+)"", """"""$1"""""") &amp; ""]"", """"),
   IFERROR(""["" &amp; REGEXREPLACE(JOIN("", "", QUERY(Data!$A$2:$K"&amp;"512, ""SELECT K WHERE B = '""&amp;B275&amp;""'"")), ""(\d+)"", """"""$1"""""") &amp; ""]"", """")
)"),"[""65""]")</f>
        <v>["65"]</v>
      </c>
      <c r="F275" s="124"/>
      <c r="G275" s="124"/>
      <c r="H275" s="124"/>
      <c r="I275" s="124"/>
    </row>
    <row r="276">
      <c r="A276" s="125">
        <v>1114.0</v>
      </c>
      <c r="B276" s="125" t="s">
        <v>2733</v>
      </c>
      <c r="C276" s="124" t="s">
        <v>2733</v>
      </c>
      <c r="D276" s="124">
        <v>525000.0</v>
      </c>
      <c r="E276" s="124" t="str">
        <f>IFERROR(__xludf.DUMMYFUNCTION("IF(
   ISNUMBER(FIND(""'"", B276)),
   IFERROR(""["" &amp; REGEXREPLACE(JOIN("", "", QUERY(Data!$A$2:$K512, ""SELECT K WHERE B = """"""&amp;B276&amp;"""""""")), ""(\d+)"", """"""$1"""""") &amp; ""]"", """"),
   IFERROR(""["" &amp; REGEXREPLACE(JOIN("", "", QUERY(Data!$A$2:$K"&amp;"512, ""SELECT K WHERE B = '""&amp;B276&amp;""'"")), ""(\d+)"", """"""$1"""""") &amp; ""]"", """")
)"),"[""11"", ""12"", ""13"", ""14"", ""42"", ""56"", ""64""]")</f>
        <v>["11", "12", "13", "14", "42", "56", "64"]</v>
      </c>
      <c r="F276" s="124"/>
      <c r="G276" s="124"/>
      <c r="H276" s="124"/>
      <c r="I276" s="124"/>
    </row>
    <row r="277">
      <c r="A277" s="125">
        <v>1115.0</v>
      </c>
      <c r="B277" s="126" t="s">
        <v>2751</v>
      </c>
      <c r="C277" s="124" t="s">
        <v>2751</v>
      </c>
      <c r="D277" s="124"/>
      <c r="E277" s="124" t="str">
        <f>IFERROR(__xludf.DUMMYFUNCTION("IF(
   ISNUMBER(FIND(""'"", B277)),
   IFERROR(""["" &amp; REGEXREPLACE(JOIN("", "", QUERY(Data!$A$2:$K512, ""SELECT K WHERE B = """"""&amp;B277&amp;"""""""")), ""(\d+)"", """"""$1"""""") &amp; ""]"", """"),
   IFERROR(""["" &amp; REGEXREPLACE(JOIN("", "", QUERY(Data!$A$2:$K"&amp;"512, ""SELECT K WHERE B = '""&amp;B277&amp;""'"")), ""(\d+)"", """"""$1"""""") &amp; ""]"", """")
)"),"[""24""]")</f>
        <v>["24"]</v>
      </c>
      <c r="F277" s="124"/>
      <c r="G277" s="124"/>
      <c r="H277" s="124"/>
      <c r="I277" s="124"/>
    </row>
    <row r="278">
      <c r="A278" s="126">
        <v>1447.0</v>
      </c>
      <c r="B278" s="126" t="s">
        <v>2759</v>
      </c>
      <c r="C278" s="126" t="s">
        <v>2759</v>
      </c>
      <c r="D278" s="124"/>
      <c r="E278" s="124" t="str">
        <f>IFERROR(__xludf.DUMMYFUNCTION("IF(
   ISNUMBER(FIND(""'"", B278)),
   IFERROR(""["" &amp; REGEXREPLACE(JOIN("", "", QUERY(Data!$A$2:$K512, ""SELECT K WHERE B = """"""&amp;B278&amp;"""""""")), ""(\d+)"", """"""$1"""""") &amp; ""]"", """"),
   IFERROR(""["" &amp; REGEXREPLACE(JOIN("", "", QUERY(Data!$A$2:$K"&amp;"512, ""SELECT K WHERE B = '""&amp;B278&amp;""'"")), ""(\d+)"", """"""$1"""""") &amp; ""]"", """")
)"),"[""13"", ""13""]")</f>
        <v>["13", "13"]</v>
      </c>
      <c r="F278" s="124"/>
      <c r="G278" s="124"/>
      <c r="H278" s="124"/>
      <c r="I278" s="124"/>
    </row>
    <row r="279">
      <c r="A279" s="125">
        <v>1433.0</v>
      </c>
      <c r="B279" s="126" t="s">
        <v>2772</v>
      </c>
      <c r="C279" s="124" t="s">
        <v>5774</v>
      </c>
      <c r="D279" s="124"/>
      <c r="E279" s="124" t="str">
        <f>IFERROR(__xludf.DUMMYFUNCTION("IF(
   ISNUMBER(FIND(""'"", B279)),
   IFERROR(""["" &amp; REGEXREPLACE(JOIN("", "", QUERY(Data!$A$2:$K512, ""SELECT K WHERE B = """"""&amp;B279&amp;"""""""")), ""(\d+)"", """"""$1"""""") &amp; ""]"", """"),
   IFERROR(""["" &amp; REGEXREPLACE(JOIN("", "", QUERY(Data!$A$2:$K"&amp;"512, ""SELECT K WHERE B = '""&amp;B279&amp;""'"")), ""(\d+)"", """"""$1"""""") &amp; ""]"", """")
)"),"[""31""]")</f>
        <v>["31"]</v>
      </c>
      <c r="F279" s="124"/>
      <c r="G279" s="124"/>
      <c r="H279" s="124"/>
      <c r="I279" s="124"/>
    </row>
    <row r="280">
      <c r="A280" s="125">
        <v>1425.0</v>
      </c>
      <c r="B280" s="126" t="s">
        <v>2779</v>
      </c>
      <c r="C280" s="124" t="s">
        <v>5774</v>
      </c>
      <c r="D280" s="124"/>
      <c r="E280" s="124" t="str">
        <f>IFERROR(__xludf.DUMMYFUNCTION("IF(
   ISNUMBER(FIND(""'"", B280)),
   IFERROR(""["" &amp; REGEXREPLACE(JOIN("", "", QUERY(Data!$A$2:$K512, ""SELECT K WHERE B = """"""&amp;B280&amp;"""""""")), ""(\d+)"", """"""$1"""""") &amp; ""]"", """"),
   IFERROR(""["" &amp; REGEXREPLACE(JOIN("", "", QUERY(Data!$A$2:$K"&amp;"512, ""SELECT K WHERE B = '""&amp;B280&amp;""'"")), ""(\d+)"", """"""$1"""""") &amp; ""]"", """")
)"),"[""31"", ""32"", ""33""]")</f>
        <v>["31", "32", "33"]</v>
      </c>
      <c r="F280" s="124"/>
      <c r="G280" s="124"/>
      <c r="H280" s="124"/>
      <c r="I280" s="124"/>
    </row>
    <row r="281">
      <c r="A281" s="125">
        <v>1440.0</v>
      </c>
      <c r="B281" s="126" t="s">
        <v>2787</v>
      </c>
      <c r="C281" s="124" t="s">
        <v>5774</v>
      </c>
      <c r="D281" s="124"/>
      <c r="E281" s="124" t="str">
        <f>IFERROR(__xludf.DUMMYFUNCTION("IF(
   ISNUMBER(FIND(""'"", B281)),
   IFERROR(""["" &amp; REGEXREPLACE(JOIN("", "", QUERY(Data!$A$2:$K512, ""SELECT K WHERE B = """"""&amp;B281&amp;"""""""")), ""(\d+)"", """"""$1"""""") &amp; ""]"", """"),
   IFERROR(""["" &amp; REGEXREPLACE(JOIN("", "", QUERY(Data!$A$2:$K"&amp;"512, ""SELECT K WHERE B = '""&amp;B281&amp;""'"")), ""(\d+)"", """"""$1"""""") &amp; ""]"", """")
)"),"[""31"", ""33""]")</f>
        <v>["31", "33"]</v>
      </c>
      <c r="F281" s="124"/>
      <c r="G281" s="124"/>
      <c r="H281" s="124"/>
      <c r="I281" s="124"/>
    </row>
    <row r="282">
      <c r="A282" s="125">
        <v>1434.0</v>
      </c>
      <c r="B282" s="126" t="s">
        <v>2796</v>
      </c>
      <c r="C282" s="124" t="s">
        <v>5774</v>
      </c>
      <c r="D282" s="124"/>
      <c r="E282" s="124" t="str">
        <f>IFERROR(__xludf.DUMMYFUNCTION("IF(
   ISNUMBER(FIND(""'"", B282)),
   IFERROR(""["" &amp; REGEXREPLACE(JOIN("", "", QUERY(Data!$A$2:$K512, ""SELECT K WHERE B = """"""&amp;B282&amp;"""""""")), ""(\d+)"", """"""$1"""""") &amp; ""]"", """"),
   IFERROR(""["" &amp; REGEXREPLACE(JOIN("", "", QUERY(Data!$A$2:$K"&amp;"512, ""SELECT K WHERE B = '""&amp;B282&amp;""'"")), ""(\d+)"", """"""$1"""""") &amp; ""]"", """")
)"),"[""31"", ""33""]")</f>
        <v>["31", "33"]</v>
      </c>
      <c r="F282" s="124"/>
      <c r="G282" s="124"/>
      <c r="H282" s="124"/>
      <c r="I282" s="124"/>
    </row>
    <row r="283">
      <c r="A283" s="125">
        <v>1438.0</v>
      </c>
      <c r="B283" s="126" t="s">
        <v>2801</v>
      </c>
      <c r="C283" s="124" t="s">
        <v>5774</v>
      </c>
      <c r="D283" s="124"/>
      <c r="E283" s="124" t="str">
        <f>IFERROR(__xludf.DUMMYFUNCTION("IF(
   ISNUMBER(FIND(""'"", B283)),
   IFERROR(""["" &amp; REGEXREPLACE(JOIN("", "", QUERY(Data!$A$2:$K512, ""SELECT K WHERE B = """"""&amp;B283&amp;"""""""")), ""(\d+)"", """"""$1"""""") &amp; ""]"", """"),
   IFERROR(""["" &amp; REGEXREPLACE(JOIN("", "", QUERY(Data!$A$2:$K"&amp;"512, ""SELECT K WHERE B = '""&amp;B283&amp;""'"")), ""(\d+)"", """"""$1"""""") &amp; ""]"", """")
)"),"[""31"", ""33""]")</f>
        <v>["31", "33"]</v>
      </c>
      <c r="F283" s="124"/>
      <c r="G283" s="124"/>
      <c r="H283" s="124"/>
      <c r="I283" s="124"/>
    </row>
    <row r="284">
      <c r="A284" s="125">
        <v>1430.0</v>
      </c>
      <c r="B284" s="126" t="s">
        <v>2807</v>
      </c>
      <c r="C284" s="124" t="s">
        <v>5774</v>
      </c>
      <c r="D284" s="124"/>
      <c r="E284" s="124" t="str">
        <f>IFERROR(__xludf.DUMMYFUNCTION("IF(
   ISNUMBER(FIND(""'"", B284)),
   IFERROR(""["" &amp; REGEXREPLACE(JOIN("", "", QUERY(Data!$A$2:$K512, ""SELECT K WHERE B = """"""&amp;B284&amp;"""""""")), ""(\d+)"", """"""$1"""""") &amp; ""]"", """"),
   IFERROR(""["" &amp; REGEXREPLACE(JOIN("", "", QUERY(Data!$A$2:$K"&amp;"512, ""SELECT K WHERE B = '""&amp;B284&amp;""'"")), ""(\d+)"", """"""$1"""""") &amp; ""]"", """")
)"),"[""31"", ""32"", ""33""]")</f>
        <v>["31", "32", "33"]</v>
      </c>
      <c r="F284" s="124"/>
      <c r="G284" s="124"/>
      <c r="H284" s="124"/>
      <c r="I284" s="124"/>
    </row>
    <row r="285">
      <c r="A285" s="125">
        <v>1437.0</v>
      </c>
      <c r="B285" s="126" t="s">
        <v>2816</v>
      </c>
      <c r="C285" s="124" t="s">
        <v>5774</v>
      </c>
      <c r="D285" s="124"/>
      <c r="E285" s="124" t="str">
        <f>IFERROR(__xludf.DUMMYFUNCTION("IF(
   ISNUMBER(FIND(""'"", B285)),
   IFERROR(""["" &amp; REGEXREPLACE(JOIN("", "", QUERY(Data!$A$2:$K512, ""SELECT K WHERE B = """"""&amp;B285&amp;"""""""")), ""(\d+)"", """"""$1"""""") &amp; ""]"", """"),
   IFERROR(""["" &amp; REGEXREPLACE(JOIN("", "", QUERY(Data!$A$2:$K"&amp;"512, ""SELECT K WHERE B = '""&amp;B285&amp;""'"")), ""(\d+)"", """"""$1"""""") &amp; ""]"", """")
)"),"[""31"", ""32""]")</f>
        <v>["31", "32"]</v>
      </c>
      <c r="F285" s="124"/>
      <c r="G285" s="124"/>
      <c r="H285" s="124"/>
      <c r="I285" s="124"/>
    </row>
    <row r="286">
      <c r="A286" s="125">
        <v>1116.0</v>
      </c>
      <c r="B286" s="125" t="s">
        <v>2823</v>
      </c>
      <c r="C286" s="124" t="s">
        <v>5774</v>
      </c>
      <c r="D286" s="124"/>
      <c r="E286" s="124" t="str">
        <f>IFERROR(__xludf.DUMMYFUNCTION("IF(
   ISNUMBER(FIND(""'"", B286)),
   IFERROR(""["" &amp; REGEXREPLACE(JOIN("", "", QUERY(Data!$A$2:$K512, ""SELECT K WHERE B = """"""&amp;B286&amp;"""""""")), ""(\d+)"", """"""$1"""""") &amp; ""]"", """"),
   IFERROR(""["" &amp; REGEXREPLACE(JOIN("", "", QUERY(Data!$A$2:$K"&amp;"512, ""SELECT K WHERE B = '""&amp;B286&amp;""'"")), ""(\d+)"", """"""$1"""""") &amp; ""]"", """")
)"),"[""31"", ""33""]")</f>
        <v>["31", "33"]</v>
      </c>
      <c r="F286" s="124"/>
      <c r="G286" s="124"/>
      <c r="H286" s="124"/>
      <c r="I286" s="124"/>
    </row>
    <row r="287">
      <c r="A287" s="125">
        <v>1436.0</v>
      </c>
      <c r="B287" s="126" t="s">
        <v>2829</v>
      </c>
      <c r="C287" s="124" t="s">
        <v>5774</v>
      </c>
      <c r="D287" s="124"/>
      <c r="E287" s="124" t="str">
        <f>IFERROR(__xludf.DUMMYFUNCTION("IF(
   ISNUMBER(FIND(""'"", B287)),
   IFERROR(""["" &amp; REGEXREPLACE(JOIN("", "", QUERY(Data!$A$2:$K512, ""SELECT K WHERE B = """"""&amp;B287&amp;"""""""")), ""(\d+)"", """"""$1"""""") &amp; ""]"", """"),
   IFERROR(""["" &amp; REGEXREPLACE(JOIN("", "", QUERY(Data!$A$2:$K"&amp;"512, ""SELECT K WHERE B = '""&amp;B287&amp;""'"")), ""(\d+)"", """"""$1"""""") &amp; ""]"", """")
)"),"[""31"", ""33""]")</f>
        <v>["31", "33"]</v>
      </c>
      <c r="F287" s="124"/>
      <c r="G287" s="124"/>
      <c r="H287" s="124"/>
      <c r="I287" s="124"/>
    </row>
    <row r="288">
      <c r="A288" s="125">
        <v>1426.0</v>
      </c>
      <c r="B288" s="126" t="s">
        <v>2836</v>
      </c>
      <c r="C288" s="124" t="s">
        <v>5774</v>
      </c>
      <c r="D288" s="124"/>
      <c r="E288" s="124" t="str">
        <f>IFERROR(__xludf.DUMMYFUNCTION("IF(
   ISNUMBER(FIND(""'"", B288)),
   IFERROR(""["" &amp; REGEXREPLACE(JOIN("", "", QUERY(Data!$A$2:$K512, ""SELECT K WHERE B = """"""&amp;B288&amp;"""""""")), ""(\d+)"", """"""$1"""""") &amp; ""]"", """"),
   IFERROR(""["" &amp; REGEXREPLACE(JOIN("", "", QUERY(Data!$A$2:$K"&amp;"512, ""SELECT K WHERE B = '""&amp;B288&amp;""'"")), ""(\d+)"", """"""$1"""""") &amp; ""]"", """")
)"),"[""31"", ""32"", ""33""]")</f>
        <v>["31", "32", "33"]</v>
      </c>
      <c r="F288" s="124"/>
      <c r="G288" s="124"/>
      <c r="H288" s="124"/>
      <c r="I288" s="124"/>
    </row>
    <row r="289">
      <c r="A289" s="125">
        <v>1432.0</v>
      </c>
      <c r="B289" s="126" t="s">
        <v>2845</v>
      </c>
      <c r="C289" s="124" t="s">
        <v>5774</v>
      </c>
      <c r="D289" s="124"/>
      <c r="E289" s="124" t="str">
        <f>IFERROR(__xludf.DUMMYFUNCTION("IF(
   ISNUMBER(FIND(""'"", B289)),
   IFERROR(""["" &amp; REGEXREPLACE(JOIN("", "", QUERY(Data!$A$2:$K512, ""SELECT K WHERE B = """"""&amp;B289&amp;"""""""")), ""(\d+)"", """"""$1"""""") &amp; ""]"", """"),
   IFERROR(""["" &amp; REGEXREPLACE(JOIN("", "", QUERY(Data!$A$2:$K"&amp;"512, ""SELECT K WHERE B = '""&amp;B289&amp;""'"")), ""(\d+)"", """"""$1"""""") &amp; ""]"", """")
)"),"[""31"", ""33""]")</f>
        <v>["31", "33"]</v>
      </c>
      <c r="F289" s="124"/>
      <c r="G289" s="124"/>
      <c r="H289" s="124"/>
      <c r="I289" s="124"/>
    </row>
    <row r="290">
      <c r="A290" s="125">
        <v>1429.0</v>
      </c>
      <c r="B290" s="126" t="s">
        <v>2851</v>
      </c>
      <c r="C290" s="124" t="s">
        <v>5774</v>
      </c>
      <c r="D290" s="124"/>
      <c r="E290" s="124" t="str">
        <f>IFERROR(__xludf.DUMMYFUNCTION("IF(
   ISNUMBER(FIND(""'"", B290)),
   IFERROR(""["" &amp; REGEXREPLACE(JOIN("", "", QUERY(Data!$A$2:$K512, ""SELECT K WHERE B = """"""&amp;B290&amp;"""""""")), ""(\d+)"", """"""$1"""""") &amp; ""]"", """"),
   IFERROR(""["" &amp; REGEXREPLACE(JOIN("", "", QUERY(Data!$A$2:$K"&amp;"512, ""SELECT K WHERE B = '""&amp;B290&amp;""'"")), ""(\d+)"", """"""$1"""""") &amp; ""]"", """")
)"),"[""31"", ""33""]")</f>
        <v>["31", "33"]</v>
      </c>
      <c r="F290" s="124"/>
      <c r="G290" s="124"/>
      <c r="H290" s="124"/>
      <c r="I290" s="124"/>
    </row>
    <row r="291">
      <c r="A291" s="125">
        <v>1439.0</v>
      </c>
      <c r="B291" s="126" t="s">
        <v>2857</v>
      </c>
      <c r="C291" s="124" t="s">
        <v>5774</v>
      </c>
      <c r="D291" s="124"/>
      <c r="E291" s="124" t="str">
        <f>IFERROR(__xludf.DUMMYFUNCTION("IF(
   ISNUMBER(FIND(""'"", B291)),
   IFERROR(""["" &amp; REGEXREPLACE(JOIN("", "", QUERY(Data!$A$2:$K512, ""SELECT K WHERE B = """"""&amp;B291&amp;"""""""")), ""(\d+)"", """"""$1"""""") &amp; ""]"", """"),
   IFERROR(""["" &amp; REGEXREPLACE(JOIN("", "", QUERY(Data!$A$2:$K"&amp;"512, ""SELECT K WHERE B = '""&amp;B291&amp;""'"")), ""(\d+)"", """"""$1"""""") &amp; ""]"", """")
)"),"[""31"", ""33""]")</f>
        <v>["31", "33"]</v>
      </c>
      <c r="F291" s="124"/>
      <c r="G291" s="124"/>
      <c r="H291" s="124"/>
      <c r="I291" s="124"/>
    </row>
    <row r="292">
      <c r="A292" s="125">
        <v>1431.0</v>
      </c>
      <c r="B292" s="126" t="s">
        <v>2865</v>
      </c>
      <c r="C292" s="124" t="s">
        <v>5774</v>
      </c>
      <c r="D292" s="124"/>
      <c r="E292" s="124" t="str">
        <f>IFERROR(__xludf.DUMMYFUNCTION("IF(
   ISNUMBER(FIND(""'"", B292)),
   IFERROR(""["" &amp; REGEXREPLACE(JOIN("", "", QUERY(Data!$A$2:$K512, ""SELECT K WHERE B = """"""&amp;B292&amp;"""""""")), ""(\d+)"", """"""$1"""""") &amp; ""]"", """"),
   IFERROR(""["" &amp; REGEXREPLACE(JOIN("", "", QUERY(Data!$A$2:$K"&amp;"512, ""SELECT K WHERE B = '""&amp;B292&amp;""'"")), ""(\d+)"", """"""$1"""""") &amp; ""]"", """")
)"),"[""31"", ""33""]")</f>
        <v>["31", "33"]</v>
      </c>
      <c r="F292" s="124"/>
      <c r="G292" s="124"/>
      <c r="H292" s="124"/>
      <c r="I292" s="124"/>
    </row>
    <row r="293">
      <c r="A293" s="125">
        <v>1424.0</v>
      </c>
      <c r="B293" s="126" t="s">
        <v>2871</v>
      </c>
      <c r="C293" s="124" t="s">
        <v>5774</v>
      </c>
      <c r="D293" s="124"/>
      <c r="E293" s="124" t="str">
        <f>IFERROR(__xludf.DUMMYFUNCTION("IF(
   ISNUMBER(FIND(""'"", B293)),
   IFERROR(""["" &amp; REGEXREPLACE(JOIN("", "", QUERY(Data!$A$2:$K512, ""SELECT K WHERE B = """"""&amp;B293&amp;"""""""")), ""(\d+)"", """"""$1"""""") &amp; ""]"", """"),
   IFERROR(""["" &amp; REGEXREPLACE(JOIN("", "", QUERY(Data!$A$2:$K"&amp;"512, ""SELECT K WHERE B = '""&amp;B293&amp;""'"")), ""(\d+)"", """"""$1"""""") &amp; ""]"", """")
)"),"[""31""]")</f>
        <v>["31"]</v>
      </c>
      <c r="F293" s="124"/>
      <c r="G293" s="124"/>
      <c r="H293" s="124"/>
      <c r="I293" s="124"/>
    </row>
    <row r="294">
      <c r="A294" s="125">
        <v>1435.0</v>
      </c>
      <c r="B294" s="126" t="s">
        <v>2879</v>
      </c>
      <c r="C294" s="124" t="s">
        <v>5774</v>
      </c>
      <c r="D294" s="124"/>
      <c r="E294" s="124" t="str">
        <f>IFERROR(__xludf.DUMMYFUNCTION("IF(
   ISNUMBER(FIND(""'"", B294)),
   IFERROR(""["" &amp; REGEXREPLACE(JOIN("", "", QUERY(Data!$A$2:$K512, ""SELECT K WHERE B = """"""&amp;B294&amp;"""""""")), ""(\d+)"", """"""$1"""""") &amp; ""]"", """"),
   IFERROR(""["" &amp; REGEXREPLACE(JOIN("", "", QUERY(Data!$A$2:$K"&amp;"512, ""SELECT K WHERE B = '""&amp;B294&amp;""'"")), ""(\d+)"", """"""$1"""""") &amp; ""]"", """")
)"),"[""31"", ""33""]")</f>
        <v>["31", "33"]</v>
      </c>
      <c r="F294" s="124"/>
      <c r="G294" s="124"/>
      <c r="H294" s="124"/>
      <c r="I294" s="124"/>
    </row>
    <row r="295">
      <c r="A295" s="125">
        <v>1428.0</v>
      </c>
      <c r="B295" s="126" t="s">
        <v>2886</v>
      </c>
      <c r="C295" s="124" t="s">
        <v>5774</v>
      </c>
      <c r="D295" s="124"/>
      <c r="E295" s="124" t="str">
        <f>IFERROR(__xludf.DUMMYFUNCTION("IF(
   ISNUMBER(FIND(""'"", B295)),
   IFERROR(""["" &amp; REGEXREPLACE(JOIN("", "", QUERY(Data!$A$2:$K512, ""SELECT K WHERE B = """"""&amp;B295&amp;"""""""")), ""(\d+)"", """"""$1"""""") &amp; ""]"", """"),
   IFERROR(""["" &amp; REGEXREPLACE(JOIN("", "", QUERY(Data!$A$2:$K"&amp;"512, ""SELECT K WHERE B = '""&amp;B295&amp;""'"")), ""(\d+)"", """"""$1"""""") &amp; ""]"", """")
)"),"[""31""]")</f>
        <v>["31"]</v>
      </c>
      <c r="F295" s="124"/>
      <c r="G295" s="124"/>
      <c r="H295" s="124"/>
      <c r="I295" s="124"/>
    </row>
    <row r="296">
      <c r="A296" s="125">
        <v>1427.0</v>
      </c>
      <c r="B296" s="126" t="s">
        <v>2892</v>
      </c>
      <c r="C296" s="124" t="s">
        <v>5774</v>
      </c>
      <c r="D296" s="124"/>
      <c r="E296" s="124" t="str">
        <f>IFERROR(__xludf.DUMMYFUNCTION("IF(
   ISNUMBER(FIND(""'"", B296)),
   IFERROR(""["" &amp; REGEXREPLACE(JOIN("", "", QUERY(Data!$A$2:$K512, ""SELECT K WHERE B = """"""&amp;B296&amp;"""""""")), ""(\d+)"", """"""$1"""""") &amp; ""]"", """"),
   IFERROR(""["" &amp; REGEXREPLACE(JOIN("", "", QUERY(Data!$A$2:$K"&amp;"512, ""SELECT K WHERE B = '""&amp;B296&amp;""'"")), ""(\d+)"", """"""$1"""""") &amp; ""]"", """")
)"),"[""31""]")</f>
        <v>["31"]</v>
      </c>
      <c r="F296" s="124"/>
      <c r="G296" s="124"/>
      <c r="H296" s="124"/>
      <c r="I296" s="124"/>
    </row>
    <row r="297">
      <c r="A297" s="125">
        <v>1117.0</v>
      </c>
      <c r="B297" s="126" t="s">
        <v>2900</v>
      </c>
      <c r="C297" s="124" t="s">
        <v>2900</v>
      </c>
      <c r="D297" s="124"/>
      <c r="E297" s="124" t="str">
        <f>IFERROR(__xludf.DUMMYFUNCTION("IF(
   ISNUMBER(FIND(""'"", B297)),
   IFERROR(""["" &amp; REGEXREPLACE(JOIN("", "", QUERY(Data!$A$2:$K512, ""SELECT K WHERE B = """"""&amp;B297&amp;"""""""")), ""(\d+)"", """"""$1"""""") &amp; ""]"", """"),
   IFERROR(""["" &amp; REGEXREPLACE(JOIN("", "", QUERY(Data!$A$2:$K"&amp;"512, ""SELECT K WHERE B = '""&amp;B297&amp;""'"")), ""(\d+)"", """"""$1"""""") &amp; ""]"", """")
)"),"[""24""]")</f>
        <v>["24"]</v>
      </c>
      <c r="F297" s="124"/>
      <c r="G297" s="124"/>
      <c r="H297" s="124"/>
      <c r="I297" s="124"/>
    </row>
    <row r="298">
      <c r="A298" s="125">
        <v>1271.0</v>
      </c>
      <c r="B298" s="126" t="s">
        <v>2908</v>
      </c>
      <c r="C298" s="124" t="s">
        <v>2908</v>
      </c>
      <c r="D298" s="124"/>
      <c r="E298" s="124" t="str">
        <f>IFERROR(__xludf.DUMMYFUNCTION("IF(
   ISNUMBER(FIND(""'"", B298)),
   IFERROR(""["" &amp; REGEXREPLACE(JOIN("", "", QUERY(Data!$A$2:$K512, ""SELECT K WHERE B = """"""&amp;B298&amp;"""""""")), ""(\d+)"", """"""$1"""""") &amp; ""]"", """"),
   IFERROR(""["" &amp; REGEXREPLACE(JOIN("", "", QUERY(Data!$A$2:$K"&amp;"512, ""SELECT K WHERE B = '""&amp;B298&amp;""'"")), ""(\d+)"", """"""$1"""""") &amp; ""]"", """")
)"),"[""31""]")</f>
        <v>["31"]</v>
      </c>
      <c r="F298" s="124"/>
      <c r="G298" s="124"/>
      <c r="H298" s="124"/>
      <c r="I298" s="124"/>
    </row>
    <row r="299">
      <c r="A299" s="125">
        <v>1118.0</v>
      </c>
      <c r="B299" s="125" t="s">
        <v>2916</v>
      </c>
      <c r="C299" s="124" t="s">
        <v>2916</v>
      </c>
      <c r="D299" s="124"/>
      <c r="E299" s="124" t="str">
        <f>IFERROR(__xludf.DUMMYFUNCTION("IF(
   ISNUMBER(FIND(""'"", B299)),
   IFERROR(""["" &amp; REGEXREPLACE(JOIN("", "", QUERY(Data!$A$2:$K512, ""SELECT K WHERE B = """"""&amp;B299&amp;"""""""")), ""(\d+)"", """"""$1"""""") &amp; ""]"", """"),
   IFERROR(""["" &amp; REGEXREPLACE(JOIN("", "", QUERY(Data!$A$2:$K"&amp;"512, ""SELECT K WHERE B = '""&amp;B299&amp;""'"")), ""(\d+)"", """"""$1"""""") &amp; ""]"", """")
)"),"[""35"", ""54""]")</f>
        <v>["35", "54"]</v>
      </c>
      <c r="F299" s="124"/>
      <c r="G299" s="124"/>
      <c r="H299" s="124"/>
      <c r="I299" s="124"/>
    </row>
    <row r="300">
      <c r="A300" s="126">
        <v>1414.0</v>
      </c>
      <c r="B300" s="126" t="s">
        <v>2925</v>
      </c>
      <c r="C300" s="126" t="s">
        <v>2925</v>
      </c>
      <c r="D300" s="124"/>
      <c r="E300" s="124" t="str">
        <f>IFERROR(__xludf.DUMMYFUNCTION("IF(
   ISNUMBER(FIND(""'"", B300)),
   IFERROR(""["" &amp; REGEXREPLACE(JOIN("", "", QUERY(Data!$A$2:$K512, ""SELECT K WHERE B = """"""&amp;B300&amp;"""""""")), ""(\d+)"", """"""$1"""""") &amp; ""]"", """"),
   IFERROR(""["" &amp; REGEXREPLACE(JOIN("", "", QUERY(Data!$A$2:$K"&amp;"512, ""SELECT K WHERE B = '""&amp;B300&amp;""'"")), ""(\d+)"", """"""$1"""""") &amp; ""]"", """")
)"),"[""22"", ""32""]")</f>
        <v>["22", "32"]</v>
      </c>
      <c r="F300" s="124"/>
      <c r="G300" s="124"/>
      <c r="H300" s="124"/>
      <c r="I300" s="124"/>
    </row>
    <row r="301">
      <c r="A301" s="125">
        <v>1397.0</v>
      </c>
      <c r="B301" s="126" t="s">
        <v>2933</v>
      </c>
      <c r="C301" s="126" t="s">
        <v>2933</v>
      </c>
      <c r="D301" s="124"/>
      <c r="E301" s="124" t="str">
        <f>IFERROR(__xludf.DUMMYFUNCTION("IF(
   ISNUMBER(FIND(""'"", B301)),
   IFERROR(""["" &amp; REGEXREPLACE(JOIN("", "", QUERY(Data!$A$2:$K512, ""SELECT K WHERE B = """"""&amp;B301&amp;"""""""")), ""(\d+)"", """"""$1"""""") &amp; ""]"", """"),
   IFERROR(""["" &amp; REGEXREPLACE(JOIN("", "", QUERY(Data!$A$2:$K"&amp;"512, ""SELECT K WHERE B = '""&amp;B301&amp;""'"")), ""(\d+)"", """"""$1"""""") &amp; ""]"", """")
)"),"[""63""]")</f>
        <v>["63"]</v>
      </c>
      <c r="F301" s="124"/>
      <c r="G301" s="124"/>
      <c r="H301" s="124"/>
      <c r="I301" s="124"/>
    </row>
    <row r="302">
      <c r="A302" s="126">
        <v>1354.0</v>
      </c>
      <c r="B302" s="126" t="s">
        <v>2944</v>
      </c>
      <c r="C302" s="126" t="s">
        <v>2944</v>
      </c>
      <c r="D302" s="124">
        <v>400000.0</v>
      </c>
      <c r="E302" s="124" t="str">
        <f>IFERROR(__xludf.DUMMYFUNCTION("IF(
   ISNUMBER(FIND(""'"", B302)),
   IFERROR(""["" &amp; REGEXREPLACE(JOIN("", "", QUERY(Data!$A$2:$K512, ""SELECT K WHERE B = """"""&amp;B302&amp;"""""""")), ""(\d+)"", """"""$1"""""") &amp; ""]"", """"),
   IFERROR(""["" &amp; REGEXREPLACE(JOIN("", "", QUERY(Data!$A$2:$K"&amp;"512, ""SELECT K WHERE B = '""&amp;B302&amp;""'"")), ""(\d+)"", """"""$1"""""") &amp; ""]"", """")
)"),"[""11"", ""12"", ""13"", ""61"", ""65""]")</f>
        <v>["11", "12", "13", "61", "65"]</v>
      </c>
      <c r="F302" s="124"/>
      <c r="G302" s="124"/>
      <c r="H302" s="124"/>
      <c r="I302" s="124"/>
    </row>
    <row r="303">
      <c r="A303" s="125">
        <v>1119.0</v>
      </c>
      <c r="B303" s="126" t="s">
        <v>2959</v>
      </c>
      <c r="C303" s="124" t="s">
        <v>2959</v>
      </c>
      <c r="D303" s="124"/>
      <c r="E303" s="124" t="str">
        <f>IFERROR(__xludf.DUMMYFUNCTION("IF(
   ISNUMBER(FIND(""'"", B303)),
   IFERROR(""["" &amp; REGEXREPLACE(JOIN("", "", QUERY(Data!$A$2:$K512, ""SELECT K WHERE B = """"""&amp;B303&amp;"""""""")), ""(\d+)"", """"""$1"""""") &amp; ""]"", """"),
   IFERROR(""["" &amp; REGEXREPLACE(JOIN("", "", QUERY(Data!$A$2:$K"&amp;"512, ""SELECT K WHERE B = '""&amp;B303&amp;""'"")), ""(\d+)"", """"""$1"""""") &amp; ""]"", """")
)"),"[""13"", ""21"", ""31""]")</f>
        <v>["13", "21", "31"]</v>
      </c>
      <c r="F303" s="124"/>
      <c r="G303" s="124"/>
      <c r="H303" s="124"/>
      <c r="I303" s="124"/>
    </row>
    <row r="304">
      <c r="A304" s="125">
        <v>1120.0</v>
      </c>
      <c r="B304" s="125" t="s">
        <v>2991</v>
      </c>
      <c r="C304" s="124" t="s">
        <v>2991</v>
      </c>
      <c r="D304" s="124"/>
      <c r="E304" s="124" t="str">
        <f>IFERROR(__xludf.DUMMYFUNCTION("IF(
   ISNUMBER(FIND(""'"", B304)),
   IFERROR(""["" &amp; REGEXREPLACE(JOIN("", "", QUERY(Data!$A$2:$K512, ""SELECT K WHERE B = """"""&amp;B304&amp;"""""""")), ""(\d+)"", """"""$1"""""") &amp; ""]"", """"),
   IFERROR(""["" &amp; REGEXREPLACE(JOIN("", "", QUERY(Data!$A$2:$K"&amp;"512, ""SELECT K WHERE B = '""&amp;B304&amp;""'"")), ""(\d+)"", """"""$1"""""") &amp; ""]"", """")
)"),"[""11"", ""12"", ""23""]")</f>
        <v>["11", "12", "23"]</v>
      </c>
      <c r="F304" s="124"/>
      <c r="G304" s="124"/>
      <c r="H304" s="124"/>
      <c r="I304" s="124"/>
    </row>
    <row r="305">
      <c r="A305" s="125">
        <v>1121.0</v>
      </c>
      <c r="B305" s="126" t="s">
        <v>3001</v>
      </c>
      <c r="C305" s="124" t="s">
        <v>3001</v>
      </c>
      <c r="D305" s="124"/>
      <c r="E305" s="124" t="str">
        <f>IFERROR(__xludf.DUMMYFUNCTION("IF(
   ISNUMBER(FIND(""'"", B305)),
   IFERROR(""["" &amp; REGEXREPLACE(JOIN("", "", QUERY(Data!$A$2:$K512, ""SELECT K WHERE B = """"""&amp;B305&amp;"""""""")), ""(\d+)"", """"""$1"""""") &amp; ""]"", """"),
   IFERROR(""["" &amp; REGEXREPLACE(JOIN("", "", QUERY(Data!$A$2:$K"&amp;"512, ""SELECT K WHERE B = '""&amp;B305&amp;""'"")), ""(\d+)"", """"""$1"""""") &amp; ""]"", """")
)"),"[""13""]")</f>
        <v>["13"]</v>
      </c>
      <c r="F305" s="124"/>
      <c r="G305" s="124"/>
      <c r="H305" s="124"/>
      <c r="I305" s="124"/>
    </row>
    <row r="306">
      <c r="A306" s="125">
        <v>1122.0</v>
      </c>
      <c r="B306" s="125" t="s">
        <v>3011</v>
      </c>
      <c r="C306" s="124" t="s">
        <v>3011</v>
      </c>
      <c r="D306" s="124"/>
      <c r="E306" s="124" t="str">
        <f>IFERROR(__xludf.DUMMYFUNCTION("IF(
   ISNUMBER(FIND(""'"", B306)),
   IFERROR(""["" &amp; REGEXREPLACE(JOIN("", "", QUERY(Data!$A$2:$K512, ""SELECT K WHERE B = """"""&amp;B306&amp;"""""""")), ""(\d+)"", """"""$1"""""") &amp; ""]"", """"),
   IFERROR(""["" &amp; REGEXREPLACE(JOIN("", "", QUERY(Data!$A$2:$K"&amp;"512, ""SELECT K WHERE B = '""&amp;B306&amp;""'"")), ""(\d+)"", """"""$1"""""") &amp; ""]"", """")
)"),"[""11"", ""12"", ""13""]")</f>
        <v>["11", "12", "13"]</v>
      </c>
      <c r="F306" s="124"/>
      <c r="G306" s="124"/>
      <c r="H306" s="124"/>
      <c r="I306" s="124"/>
    </row>
    <row r="307">
      <c r="A307" s="125">
        <v>1272.0</v>
      </c>
      <c r="B307" s="126" t="s">
        <v>3021</v>
      </c>
      <c r="C307" s="124" t="s">
        <v>3021</v>
      </c>
      <c r="D307" s="124"/>
      <c r="E307" s="124" t="str">
        <f>IFERROR(__xludf.DUMMYFUNCTION("IF(
   ISNUMBER(FIND(""'"", B307)),
   IFERROR(""["" &amp; REGEXREPLACE(JOIN("", "", QUERY(Data!$A$2:$K512, ""SELECT K WHERE B = """"""&amp;B307&amp;"""""""")), ""(\d+)"", """"""$1"""""") &amp; ""]"", """"),
   IFERROR(""["" &amp; REGEXREPLACE(JOIN("", "", QUERY(Data!$A$2:$K"&amp;"512, ""SELECT K WHERE B = '""&amp;B307&amp;""'"")), ""(\d+)"", """"""$1"""""") &amp; ""]"", """")
)"),"[""11"", ""12"", ""36"", ""43""]")</f>
        <v>["11", "12", "36", "43"]</v>
      </c>
      <c r="F307" s="124"/>
      <c r="G307" s="124"/>
      <c r="H307" s="124"/>
      <c r="I307" s="124"/>
    </row>
    <row r="308">
      <c r="A308" s="125">
        <v>1123.0</v>
      </c>
      <c r="B308" s="125" t="s">
        <v>3041</v>
      </c>
      <c r="C308" s="124" t="s">
        <v>5775</v>
      </c>
      <c r="D308" s="124">
        <v>250000.0</v>
      </c>
      <c r="E308" s="124" t="str">
        <f>IFERROR(__xludf.DUMMYFUNCTION("IF(
   ISNUMBER(FIND(""'"", B308)),
   IFERROR(""["" &amp; REGEXREPLACE(JOIN("", "", QUERY(Data!$A$2:$K512, ""SELECT K WHERE B = """"""&amp;B308&amp;"""""""")), ""(\d+)"", """"""$1"""""") &amp; ""]"", """"),
   IFERROR(""["" &amp; REGEXREPLACE(JOIN("", "", QUERY(Data!$A$2:$K"&amp;"512, ""SELECT K WHERE B = '""&amp;B308&amp;""'"")), ""(\d+)"", """"""$1"""""") &amp; ""]"", """")
)"),"[""11"", ""12"", ""14"", ""31"", ""32"", ""33"", ""35"", ""36"", ""51"", ""64""]")</f>
        <v>["11", "12", "14", "31", "32", "33", "35", "36", "51", "64"]</v>
      </c>
      <c r="F308" s="124"/>
      <c r="G308" s="124"/>
      <c r="H308" s="124"/>
      <c r="I308" s="124"/>
    </row>
    <row r="309">
      <c r="A309" s="126">
        <v>1390.0</v>
      </c>
      <c r="B309" s="126" t="s">
        <v>3062</v>
      </c>
      <c r="C309" s="126" t="s">
        <v>3062</v>
      </c>
      <c r="D309" s="124"/>
      <c r="E309" s="124" t="str">
        <f>IFERROR(__xludf.DUMMYFUNCTION("IF(
   ISNUMBER(FIND(""'"", B309)),
   IFERROR(""["" &amp; REGEXREPLACE(JOIN("", "", QUERY(Data!$A$2:$K512, ""SELECT K WHERE B = """"""&amp;B309&amp;"""""""")), ""(\d+)"", """"""$1"""""") &amp; ""]"", """"),
   IFERROR(""["" &amp; REGEXREPLACE(JOIN("", "", QUERY(Data!$A$2:$K"&amp;"512, ""SELECT K WHERE B = '""&amp;B309&amp;""'"")), ""(\d+)"", """"""$1"""""") &amp; ""]"", """")
)"),"[""13""]")</f>
        <v>["13"]</v>
      </c>
      <c r="F309" s="124"/>
      <c r="G309" s="124"/>
      <c r="H309" s="124"/>
      <c r="I309" s="124"/>
    </row>
    <row r="310">
      <c r="A310" s="126">
        <v>1313.0</v>
      </c>
      <c r="B310" s="126" t="s">
        <v>3072</v>
      </c>
      <c r="C310" s="124" t="s">
        <v>3072</v>
      </c>
      <c r="D310" s="124"/>
      <c r="E310" s="124" t="str">
        <f>IFERROR(__xludf.DUMMYFUNCTION("IF(
   ISNUMBER(FIND(""'"", B310)),
   IFERROR(""["" &amp; REGEXREPLACE(JOIN("", "", QUERY(Data!$A$2:$K512, ""SELECT K WHERE B = """"""&amp;B310&amp;"""""""")), ""(\d+)"", """"""$1"""""") &amp; ""]"", """"),
   IFERROR(""["" &amp; REGEXREPLACE(JOIN("", "", QUERY(Data!$A$2:$K"&amp;"512, ""SELECT K WHERE B = '""&amp;B310&amp;""'"")), ""(\d+)"", """"""$1"""""") &amp; ""]"", """")
)"),"[""13""]")</f>
        <v>["13"]</v>
      </c>
      <c r="F310" s="124"/>
      <c r="G310" s="124"/>
      <c r="H310" s="124"/>
      <c r="I310" s="124"/>
    </row>
    <row r="311">
      <c r="A311" s="125">
        <v>1124.0</v>
      </c>
      <c r="B311" s="125" t="s">
        <v>3084</v>
      </c>
      <c r="C311" s="124" t="s">
        <v>3084</v>
      </c>
      <c r="D311" s="124"/>
      <c r="E311" s="124" t="str">
        <f>IFERROR(__xludf.DUMMYFUNCTION("IF(
   ISNUMBER(FIND(""'"", B311)),
   IFERROR(""["" &amp; REGEXREPLACE(JOIN("", "", QUERY(Data!$A$2:$K512, ""SELECT K WHERE B = """"""&amp;B311&amp;"""""""")), ""(\d+)"", """"""$1"""""") &amp; ""]"", """"),
   IFERROR(""["" &amp; REGEXREPLACE(JOIN("", "", QUERY(Data!$A$2:$K"&amp;"512, ""SELECT K WHERE B = '""&amp;B311&amp;""'"")), ""(\d+)"", """"""$1"""""") &amp; ""]"", """")
)"),"[""13"", ""51"", ""52"", ""62"", ""64""]")</f>
        <v>["13", "51", "52", "62", "64"]</v>
      </c>
      <c r="F311" s="124"/>
      <c r="G311" s="124"/>
      <c r="H311" s="124"/>
      <c r="I311" s="124"/>
    </row>
    <row r="312">
      <c r="A312" s="125">
        <v>1125.0</v>
      </c>
      <c r="B312" s="126" t="s">
        <v>3098</v>
      </c>
      <c r="C312" s="124" t="s">
        <v>3098</v>
      </c>
      <c r="D312" s="124"/>
      <c r="E312" s="124" t="str">
        <f>IFERROR(__xludf.DUMMYFUNCTION("IF(
   ISNUMBER(FIND(""'"", B312)),
   IFERROR(""["" &amp; REGEXREPLACE(JOIN("", "", QUERY(Data!$A$2:$K512, ""SELECT K WHERE B = """"""&amp;B312&amp;"""""""")), ""(\d+)"", """"""$1"""""") &amp; ""]"", """"),
   IFERROR(""["" &amp; REGEXREPLACE(JOIN("", "", QUERY(Data!$A$2:$K"&amp;"512, ""SELECT K WHERE B = '""&amp;B312&amp;""'"")), ""(\d+)"", """"""$1"""""") &amp; ""]"", """")
)"),"[""21"", ""64""]")</f>
        <v>["21", "64"]</v>
      </c>
      <c r="F312" s="124"/>
      <c r="G312" s="124"/>
      <c r="H312" s="124"/>
      <c r="I312" s="124"/>
    </row>
    <row r="313">
      <c r="A313" s="125">
        <v>1126.0</v>
      </c>
      <c r="B313" s="126" t="s">
        <v>3135</v>
      </c>
      <c r="C313" s="124" t="s">
        <v>3135</v>
      </c>
      <c r="D313" s="124"/>
      <c r="E313" s="124" t="str">
        <f>IFERROR(__xludf.DUMMYFUNCTION("IF(
   ISNUMBER(FIND(""'"", B313)),
   IFERROR(""["" &amp; REGEXREPLACE(JOIN("", "", QUERY(Data!$A$2:$K512, ""SELECT K WHERE B = """"""&amp;B313&amp;"""""""")), ""(\d+)"", """"""$1"""""") &amp; ""]"", """"),
   IFERROR(""["" &amp; REGEXREPLACE(JOIN("", "", QUERY(Data!$A$2:$K"&amp;"512, ""SELECT K WHERE B = '""&amp;B313&amp;""'"")), ""(\d+)"", """"""$1"""""") &amp; ""]"", """")
)"),"[""41""]")</f>
        <v>["41"]</v>
      </c>
      <c r="F313" s="124"/>
      <c r="G313" s="124"/>
      <c r="H313" s="124"/>
      <c r="I313" s="124"/>
    </row>
    <row r="314">
      <c r="A314" s="125">
        <v>1278.0</v>
      </c>
      <c r="B314" s="126" t="s">
        <v>3141</v>
      </c>
      <c r="C314" s="124" t="s">
        <v>3141</v>
      </c>
      <c r="D314" s="124"/>
      <c r="E314" s="124" t="str">
        <f>IFERROR(__xludf.DUMMYFUNCTION("IF(
   ISNUMBER(FIND(""'"", B314)),
   IFERROR(""["" &amp; REGEXREPLACE(JOIN("", "", QUERY(Data!$A$2:$K512, ""SELECT K WHERE B = """"""&amp;B314&amp;"""""""")), ""(\d+)"", """"""$1"""""") &amp; ""]"", """"),
   IFERROR(""["" &amp; REGEXREPLACE(JOIN("", "", QUERY(Data!$A$2:$K"&amp;"512, ""SELECT K WHERE B = '""&amp;B314&amp;""'"")), ""(\d+)"", """"""$1"""""") &amp; ""]"", """")
)"),"[""22""]")</f>
        <v>["22"]</v>
      </c>
      <c r="F314" s="127"/>
      <c r="G314" s="124"/>
      <c r="H314" s="124"/>
      <c r="I314" s="124"/>
    </row>
    <row r="315">
      <c r="A315" s="125">
        <v>1279.0</v>
      </c>
      <c r="B315" s="126" t="s">
        <v>3150</v>
      </c>
      <c r="C315" s="124" t="s">
        <v>3150</v>
      </c>
      <c r="D315" s="124"/>
      <c r="E315" s="124" t="str">
        <f>IFERROR(__xludf.DUMMYFUNCTION("IF(
   ISNUMBER(FIND(""'"", B315)),
   IFERROR(""["" &amp; REGEXREPLACE(JOIN("", "", QUERY(Data!$A$2:$K512, ""SELECT K WHERE B = """"""&amp;B315&amp;"""""""")), ""(\d+)"", """"""$1"""""") &amp; ""]"", """"),
   IFERROR(""["" &amp; REGEXREPLACE(JOIN("", "", QUERY(Data!$A$2:$K"&amp;"512, ""SELECT K WHERE B = '""&amp;B315&amp;""'"")), ""(\d+)"", """"""$1"""""") &amp; ""]"", """")
)"),"[""23""]")</f>
        <v>["23"]</v>
      </c>
      <c r="F315" s="127"/>
      <c r="G315" s="124"/>
      <c r="H315" s="124"/>
      <c r="I315" s="124"/>
    </row>
    <row r="316">
      <c r="A316" s="125">
        <v>1280.0</v>
      </c>
      <c r="B316" s="126" t="s">
        <v>3157</v>
      </c>
      <c r="C316" s="124" t="s">
        <v>3157</v>
      </c>
      <c r="D316" s="124"/>
      <c r="E316" s="124" t="str">
        <f>IFERROR(__xludf.DUMMYFUNCTION("IF(
   ISNUMBER(FIND(""'"", B316)),
   IFERROR(""["" &amp; REGEXREPLACE(JOIN("", "", QUERY(Data!$A$2:$K512, ""SELECT K WHERE B = """"""&amp;B316&amp;"""""""")), ""(\d+)"", """"""$1"""""") &amp; ""]"", """"),
   IFERROR(""["" &amp; REGEXREPLACE(JOIN("", "", QUERY(Data!$A$2:$K"&amp;"512, ""SELECT K WHERE B = '""&amp;B316&amp;""'"")), ""(\d+)"", """"""$1"""""") &amp; ""]"", """")
)"),"[""23""]")</f>
        <v>["23"]</v>
      </c>
      <c r="F316" s="127"/>
      <c r="G316" s="124"/>
      <c r="H316" s="124"/>
      <c r="I316" s="124"/>
    </row>
    <row r="317">
      <c r="A317" s="125">
        <v>1282.0</v>
      </c>
      <c r="B317" s="126" t="s">
        <v>3162</v>
      </c>
      <c r="C317" s="124" t="s">
        <v>3162</v>
      </c>
      <c r="D317" s="124"/>
      <c r="E317" s="124" t="str">
        <f>IFERROR(__xludf.DUMMYFUNCTION("IF(
   ISNUMBER(FIND(""'"", B317)),
   IFERROR(""["" &amp; REGEXREPLACE(JOIN("", "", QUERY(Data!$A$2:$K512, ""SELECT K WHERE B = """"""&amp;B317&amp;"""""""")), ""(\d+)"", """"""$1"""""") &amp; ""]"", """"),
   IFERROR(""["" &amp; REGEXREPLACE(JOIN("", "", QUERY(Data!$A$2:$K"&amp;"512, ""SELECT K WHERE B = '""&amp;B317&amp;""'"")), ""(\d+)"", """"""$1"""""") &amp; ""]"", """")
)"),"[""23""]")</f>
        <v>["23"]</v>
      </c>
      <c r="F317" s="127"/>
      <c r="G317" s="124"/>
      <c r="H317" s="124"/>
      <c r="I317" s="124"/>
    </row>
    <row r="318">
      <c r="A318" s="125">
        <v>1281.0</v>
      </c>
      <c r="B318" s="126" t="s">
        <v>3170</v>
      </c>
      <c r="C318" s="124" t="s">
        <v>3170</v>
      </c>
      <c r="D318" s="124"/>
      <c r="E318" s="124" t="str">
        <f>IFERROR(__xludf.DUMMYFUNCTION("IF(
   ISNUMBER(FIND(""'"", B318)),
   IFERROR(""["" &amp; REGEXREPLACE(JOIN("", "", QUERY(Data!$A$2:$K512, ""SELECT K WHERE B = """"""&amp;B318&amp;"""""""")), ""(\d+)"", """"""$1"""""") &amp; ""]"", """"),
   IFERROR(""["" &amp; REGEXREPLACE(JOIN("", "", QUERY(Data!$A$2:$K"&amp;"512, ""SELECT K WHERE B = '""&amp;B318&amp;""'"")), ""(\d+)"", """"""$1"""""") &amp; ""]"", """")
)"),"[""23""]")</f>
        <v>["23"]</v>
      </c>
      <c r="F318" s="127"/>
      <c r="G318" s="124"/>
      <c r="H318" s="124"/>
      <c r="I318" s="124"/>
    </row>
    <row r="319">
      <c r="A319" s="125">
        <v>1127.0</v>
      </c>
      <c r="B319" s="125" t="s">
        <v>3178</v>
      </c>
      <c r="C319" s="124" t="s">
        <v>3178</v>
      </c>
      <c r="D319" s="124">
        <v>400000.0</v>
      </c>
      <c r="E319" s="124" t="str">
        <f>IFERROR(__xludf.DUMMYFUNCTION("IF(
   ISNUMBER(FIND(""'"", B319)),
   IFERROR(""["" &amp; REGEXREPLACE(JOIN("", "", QUERY(Data!$A$2:$K512, ""SELECT K WHERE B = """"""&amp;B319&amp;"""""""")), ""(\d+)"", """"""$1"""""") &amp; ""]"", """"),
   IFERROR(""["" &amp; REGEXREPLACE(JOIN("", "", QUERY(Data!$A$2:$K"&amp;"512, ""SELECT K WHERE B = '""&amp;B319&amp;""'"")), ""(\d+)"", """"""$1"""""") &amp; ""]"", """")
)"),"[""11"", ""12"", ""13"", ""43"", ""51"", ""64""]")</f>
        <v>["11", "12", "13", "43", "51", "64"]</v>
      </c>
      <c r="F319" s="127"/>
      <c r="G319" s="124"/>
      <c r="H319" s="124"/>
      <c r="I319" s="124"/>
    </row>
    <row r="320">
      <c r="A320" s="126">
        <v>1387.0</v>
      </c>
      <c r="B320" s="126" t="s">
        <v>3192</v>
      </c>
      <c r="C320" s="124" t="s">
        <v>5776</v>
      </c>
      <c r="D320" s="124"/>
      <c r="E320" s="124" t="str">
        <f>IFERROR(__xludf.DUMMYFUNCTION("IF(
   ISNUMBER(FIND(""'"", B320)),
   IFERROR(""["" &amp; REGEXREPLACE(JOIN("", "", QUERY(Data!$A$2:$K512, ""SELECT K WHERE B = """"""&amp;B320&amp;"""""""")), ""(\d+)"", """"""$1"""""") &amp; ""]"", """"),
   IFERROR(""["" &amp; REGEXREPLACE(JOIN("", "", QUERY(Data!$A$2:$K"&amp;"512, ""SELECT K WHERE B = '""&amp;B320&amp;""'"")), ""(\d+)"", """"""$1"""""") &amp; ""]"", """")
)"),"[""44""]")</f>
        <v>["44"]</v>
      </c>
      <c r="F320" s="124"/>
      <c r="G320" s="124"/>
      <c r="H320" s="124"/>
      <c r="I320" s="124"/>
    </row>
    <row r="321">
      <c r="A321" s="126">
        <v>1388.0</v>
      </c>
      <c r="B321" s="126" t="s">
        <v>3198</v>
      </c>
      <c r="C321" s="124" t="s">
        <v>5776</v>
      </c>
      <c r="D321" s="124"/>
      <c r="E321" s="124" t="str">
        <f>IFERROR(__xludf.DUMMYFUNCTION("IF(
   ISNUMBER(FIND(""'"", B321)),
   IFERROR(""["" &amp; REGEXREPLACE(JOIN("", "", QUERY(Data!$A$2:$K512, ""SELECT K WHERE B = """"""&amp;B321&amp;"""""""")), ""(\d+)"", """"""$1"""""") &amp; ""]"", """"),
   IFERROR(""["" &amp; REGEXREPLACE(JOIN("", "", QUERY(Data!$A$2:$K"&amp;"512, ""SELECT K WHERE B = '""&amp;B321&amp;""'"")), ""(\d+)"", """"""$1"""""") &amp; ""]"", """")
)"),"[""44""]")</f>
        <v>["44"]</v>
      </c>
      <c r="F321" s="124"/>
      <c r="G321" s="124"/>
      <c r="H321" s="124"/>
      <c r="I321" s="124"/>
    </row>
    <row r="322">
      <c r="A322" s="125">
        <v>1474.0</v>
      </c>
      <c r="B322" s="126" t="s">
        <v>3205</v>
      </c>
      <c r="C322" s="126" t="s">
        <v>3205</v>
      </c>
      <c r="D322" s="124"/>
      <c r="E322" s="124" t="str">
        <f>IFERROR(__xludf.DUMMYFUNCTION("IF(
   ISNUMBER(FIND(""'"", B322)),
   IFERROR(""["" &amp; REGEXREPLACE(JOIN("", "", QUERY(Data!$A$2:$K512, ""SELECT K WHERE B = """"""&amp;B322&amp;"""""""")), ""(\d+)"", """"""$1"""""") &amp; ""]"", """"),
   IFERROR(""["" &amp; REGEXREPLACE(JOIN("", "", QUERY(Data!$A$2:$K"&amp;"512, ""SELECT K WHERE B = '""&amp;B322&amp;""'"")), ""(\d+)"", """"""$1"""""") &amp; ""]"", """")
)"),"[""36""]")</f>
        <v>["36"]</v>
      </c>
      <c r="F322" s="124"/>
      <c r="G322" s="124"/>
      <c r="H322" s="124"/>
      <c r="I322" s="124"/>
    </row>
    <row r="323">
      <c r="A323" s="125">
        <v>1478.0</v>
      </c>
      <c r="B323" s="126" t="s">
        <v>3216</v>
      </c>
      <c r="C323" s="126" t="s">
        <v>3216</v>
      </c>
      <c r="D323" s="124"/>
      <c r="E323" s="124" t="str">
        <f>IFERROR(__xludf.DUMMYFUNCTION("IF(
   ISNUMBER(FIND(""'"", B323)),
   IFERROR(""["" &amp; REGEXREPLACE(JOIN("", "", QUERY(Data!$A$2:$K512, ""SELECT K WHERE B = """"""&amp;B323&amp;"""""""")), ""(\d+)"", """"""$1"""""") &amp; ""]"", """"),
   IFERROR(""["" &amp; REGEXREPLACE(JOIN("", "", QUERY(Data!$A$2:$K"&amp;"512, ""SELECT K WHERE B = '""&amp;B323&amp;""'"")), ""(\d+)"", """"""$1"""""") &amp; ""]"", """")
)"),"[""65""]")</f>
        <v>["65"]</v>
      </c>
      <c r="F323" s="124"/>
      <c r="G323" s="124"/>
      <c r="H323" s="124"/>
      <c r="I323" s="124"/>
    </row>
    <row r="324">
      <c r="A324" s="125">
        <v>1128.0</v>
      </c>
      <c r="B324" s="126" t="s">
        <v>3226</v>
      </c>
      <c r="C324" s="124" t="s">
        <v>5777</v>
      </c>
      <c r="D324" s="124"/>
      <c r="E324" s="124" t="str">
        <f>IFERROR(__xludf.DUMMYFUNCTION("IF(
   ISNUMBER(FIND(""'"", B324)),
   IFERROR(""["" &amp; REGEXREPLACE(JOIN("", "", QUERY(Data!$A$2:$K512, ""SELECT K WHERE B = """"""&amp;B324&amp;"""""""")), ""(\d+)"", """"""$1"""""") &amp; ""]"", """"),
   IFERROR(""["" &amp; REGEXREPLACE(JOIN("", "", QUERY(Data!$A$2:$K"&amp;"512, ""SELECT K WHERE B = '""&amp;B324&amp;""'"")), ""(\d+)"", """"""$1"""""") &amp; ""]"", """")
)"),"[""24""]")</f>
        <v>["24"]</v>
      </c>
      <c r="F324" s="124"/>
      <c r="G324" s="124"/>
      <c r="H324" s="124"/>
      <c r="I324" s="124"/>
    </row>
    <row r="325">
      <c r="A325" s="125">
        <v>1130.0</v>
      </c>
      <c r="B325" s="126" t="s">
        <v>3233</v>
      </c>
      <c r="C325" s="124" t="s">
        <v>5777</v>
      </c>
      <c r="D325" s="124"/>
      <c r="E325" s="124" t="str">
        <f>IFERROR(__xludf.DUMMYFUNCTION("IF(
   ISNUMBER(FIND(""'"", B325)),
   IFERROR(""["" &amp; REGEXREPLACE(JOIN("", "", QUERY(Data!$A$2:$K512, ""SELECT K WHERE B = """"""&amp;B325&amp;"""""""")), ""(\d+)"", """"""$1"""""") &amp; ""]"", """"),
   IFERROR(""["" &amp; REGEXREPLACE(JOIN("", "", QUERY(Data!$A$2:$K"&amp;"512, ""SELECT K WHERE B = '""&amp;B325&amp;""'"")), ""(\d+)"", """"""$1"""""") &amp; ""]"", """")
)"),"[""24""]")</f>
        <v>["24"]</v>
      </c>
      <c r="F325" s="124"/>
      <c r="G325" s="124"/>
      <c r="H325" s="124"/>
      <c r="I325" s="124"/>
    </row>
    <row r="326">
      <c r="A326" s="125">
        <v>1132.0</v>
      </c>
      <c r="B326" s="126" t="s">
        <v>3239</v>
      </c>
      <c r="C326" s="124" t="s">
        <v>5777</v>
      </c>
      <c r="D326" s="124"/>
      <c r="E326" s="124" t="str">
        <f>IFERROR(__xludf.DUMMYFUNCTION("IF(
   ISNUMBER(FIND(""'"", B326)),
   IFERROR(""["" &amp; REGEXREPLACE(JOIN("", "", QUERY(Data!$A$2:$K512, ""SELECT K WHERE B = """"""&amp;B326&amp;"""""""")), ""(\d+)"", """"""$1"""""") &amp; ""]"", """"),
   IFERROR(""["" &amp; REGEXREPLACE(JOIN("", "", QUERY(Data!$A$2:$K"&amp;"512, ""SELECT K WHERE B = '""&amp;B326&amp;""'"")), ""(\d+)"", """"""$1"""""") &amp; ""]"", """")
)"),"[""24""]")</f>
        <v>["24"]</v>
      </c>
      <c r="F326" s="124"/>
      <c r="G326" s="124"/>
      <c r="H326" s="124"/>
      <c r="I326" s="124"/>
    </row>
    <row r="327">
      <c r="A327" s="125">
        <v>1134.0</v>
      </c>
      <c r="B327" s="126" t="s">
        <v>3243</v>
      </c>
      <c r="C327" s="124" t="s">
        <v>5777</v>
      </c>
      <c r="D327" s="124"/>
      <c r="E327" s="124" t="str">
        <f>IFERROR(__xludf.DUMMYFUNCTION("IF(
   ISNUMBER(FIND(""'"", B327)),
   IFERROR(""["" &amp; REGEXREPLACE(JOIN("", "", QUERY(Data!$A$2:$K512, ""SELECT K WHERE B = """"""&amp;B327&amp;"""""""")), ""(\d+)"", """"""$1"""""") &amp; ""]"", """"),
   IFERROR(""["" &amp; REGEXREPLACE(JOIN("", "", QUERY(Data!$A$2:$K"&amp;"512, ""SELECT K WHERE B = '""&amp;B327&amp;""'"")), ""(\d+)"", """"""$1"""""") &amp; ""]"", """")
)"),"[""24""]")</f>
        <v>["24"]</v>
      </c>
      <c r="F327" s="124"/>
      <c r="G327" s="124"/>
      <c r="H327" s="124"/>
      <c r="I327" s="124"/>
    </row>
    <row r="328">
      <c r="A328" s="125">
        <v>1136.0</v>
      </c>
      <c r="B328" s="126" t="s">
        <v>3248</v>
      </c>
      <c r="C328" s="124" t="s">
        <v>5777</v>
      </c>
      <c r="D328" s="124"/>
      <c r="E328" s="124" t="str">
        <f>IFERROR(__xludf.DUMMYFUNCTION("IF(
   ISNUMBER(FIND(""'"", B328)),
   IFERROR(""["" &amp; REGEXREPLACE(JOIN("", "", QUERY(Data!$A$2:$K512, ""SELECT K WHERE B = """"""&amp;B328&amp;"""""""")), ""(\d+)"", """"""$1"""""") &amp; ""]"", """"),
   IFERROR(""["" &amp; REGEXREPLACE(JOIN("", "", QUERY(Data!$A$2:$K"&amp;"512, ""SELECT K WHERE B = '""&amp;B328&amp;""'"")), ""(\d+)"", """"""$1"""""") &amp; ""]"", """")
)"),"[""24""]")</f>
        <v>["24"]</v>
      </c>
      <c r="F328" s="124"/>
      <c r="G328" s="124"/>
      <c r="H328" s="124"/>
      <c r="I328" s="124"/>
    </row>
    <row r="329">
      <c r="A329" s="125">
        <v>1138.0</v>
      </c>
      <c r="B329" s="126" t="s">
        <v>3253</v>
      </c>
      <c r="C329" s="124" t="s">
        <v>5777</v>
      </c>
      <c r="D329" s="124"/>
      <c r="E329" s="124" t="str">
        <f>IFERROR(__xludf.DUMMYFUNCTION("IF(
   ISNUMBER(FIND(""'"", B329)),
   IFERROR(""["" &amp; REGEXREPLACE(JOIN("", "", QUERY(Data!$A$2:$K512, ""SELECT K WHERE B = """"""&amp;B329&amp;"""""""")), ""(\d+)"", """"""$1"""""") &amp; ""]"", """"),
   IFERROR(""["" &amp; REGEXREPLACE(JOIN("", "", QUERY(Data!$A$2:$K"&amp;"512, ""SELECT K WHERE B = '""&amp;B329&amp;""'"")), ""(\d+)"", """"""$1"""""") &amp; ""]"", """")
)"),"[""24""]")</f>
        <v>["24"]</v>
      </c>
      <c r="F329" s="124"/>
      <c r="G329" s="124"/>
      <c r="H329" s="124"/>
      <c r="I329" s="124"/>
    </row>
    <row r="330">
      <c r="A330" s="125">
        <v>1140.0</v>
      </c>
      <c r="B330" s="126" t="s">
        <v>3258</v>
      </c>
      <c r="C330" s="124" t="s">
        <v>5777</v>
      </c>
      <c r="D330" s="124"/>
      <c r="E330" s="124" t="str">
        <f>IFERROR(__xludf.DUMMYFUNCTION("IF(
   ISNUMBER(FIND(""'"", B330)),
   IFERROR(""["" &amp; REGEXREPLACE(JOIN("", "", QUERY(Data!$A$2:$K512, ""SELECT K WHERE B = """"""&amp;B330&amp;"""""""")), ""(\d+)"", """"""$1"""""") &amp; ""]"", """"),
   IFERROR(""["" &amp; REGEXREPLACE(JOIN("", "", QUERY(Data!$A$2:$K"&amp;"512, ""SELECT K WHERE B = '""&amp;B330&amp;""'"")), ""(\d+)"", """"""$1"""""") &amp; ""]"", """")
)"),"[""24""]")</f>
        <v>["24"]</v>
      </c>
      <c r="F330" s="124"/>
      <c r="G330" s="124"/>
      <c r="H330" s="124"/>
      <c r="I330" s="124"/>
    </row>
    <row r="331">
      <c r="A331" s="125">
        <v>1142.0</v>
      </c>
      <c r="B331" s="126" t="s">
        <v>3263</v>
      </c>
      <c r="C331" s="124" t="s">
        <v>5777</v>
      </c>
      <c r="D331" s="124"/>
      <c r="E331" s="124" t="str">
        <f>IFERROR(__xludf.DUMMYFUNCTION("IF(
   ISNUMBER(FIND(""'"", B331)),
   IFERROR(""["" &amp; REGEXREPLACE(JOIN("", "", QUERY(Data!$A$2:$K512, ""SELECT K WHERE B = """"""&amp;B331&amp;"""""""")), ""(\d+)"", """"""$1"""""") &amp; ""]"", """"),
   IFERROR(""["" &amp; REGEXREPLACE(JOIN("", "", QUERY(Data!$A$2:$K"&amp;"512, ""SELECT K WHERE B = '""&amp;B331&amp;""'"")), ""(\d+)"", """"""$1"""""") &amp; ""]"", """")
)"),"[""24""]")</f>
        <v>["24"]</v>
      </c>
      <c r="F331" s="124"/>
      <c r="G331" s="124"/>
      <c r="H331" s="124"/>
      <c r="I331" s="124"/>
    </row>
    <row r="332">
      <c r="A332" s="125">
        <v>1144.0</v>
      </c>
      <c r="B332" s="126" t="s">
        <v>3267</v>
      </c>
      <c r="C332" s="124" t="s">
        <v>5777</v>
      </c>
      <c r="D332" s="124"/>
      <c r="E332" s="124" t="str">
        <f>IFERROR(__xludf.DUMMYFUNCTION("IF(
   ISNUMBER(FIND(""'"", B332)),
   IFERROR(""["" &amp; REGEXREPLACE(JOIN("", "", QUERY(Data!$A$2:$K512, ""SELECT K WHERE B = """"""&amp;B332&amp;"""""""")), ""(\d+)"", """"""$1"""""") &amp; ""]"", """"),
   IFERROR(""["" &amp; REGEXREPLACE(JOIN("", "", QUERY(Data!$A$2:$K"&amp;"512, ""SELECT K WHERE B = '""&amp;B332&amp;""'"")), ""(\d+)"", """"""$1"""""") &amp; ""]"", """")
)"),"[""24""]")</f>
        <v>["24"]</v>
      </c>
      <c r="F332" s="124"/>
      <c r="G332" s="124"/>
      <c r="H332" s="124"/>
      <c r="I332" s="124"/>
    </row>
    <row r="333">
      <c r="A333" s="125">
        <v>1146.0</v>
      </c>
      <c r="B333" s="126" t="s">
        <v>3271</v>
      </c>
      <c r="C333" s="124" t="s">
        <v>5777</v>
      </c>
      <c r="D333" s="124"/>
      <c r="E333" s="124" t="str">
        <f>IFERROR(__xludf.DUMMYFUNCTION("IF(
   ISNUMBER(FIND(""'"", B333)),
   IFERROR(""["" &amp; REGEXREPLACE(JOIN("", "", QUERY(Data!$A$2:$K512, ""SELECT K WHERE B = """"""&amp;B333&amp;"""""""")), ""(\d+)"", """"""$1"""""") &amp; ""]"", """"),
   IFERROR(""["" &amp; REGEXREPLACE(JOIN("", "", QUERY(Data!$A$2:$K"&amp;"512, ""SELECT K WHERE B = '""&amp;B333&amp;""'"")), ""(\d+)"", """"""$1"""""") &amp; ""]"", """")
)"),"[""24""]")</f>
        <v>["24"]</v>
      </c>
      <c r="F333" s="124"/>
      <c r="G333" s="124"/>
      <c r="H333" s="124"/>
      <c r="I333" s="124"/>
    </row>
    <row r="334">
      <c r="A334" s="125">
        <v>1148.0</v>
      </c>
      <c r="B334" s="126" t="s">
        <v>3276</v>
      </c>
      <c r="C334" s="124" t="s">
        <v>5777</v>
      </c>
      <c r="D334" s="124"/>
      <c r="E334" s="124" t="str">
        <f>IFERROR(__xludf.DUMMYFUNCTION("IF(
   ISNUMBER(FIND(""'"", B334)),
   IFERROR(""["" &amp; REGEXREPLACE(JOIN("", "", QUERY(Data!$A$2:$K512, ""SELECT K WHERE B = """"""&amp;B334&amp;"""""""")), ""(\d+)"", """"""$1"""""") &amp; ""]"", """"),
   IFERROR(""["" &amp; REGEXREPLACE(JOIN("", "", QUERY(Data!$A$2:$K"&amp;"512, ""SELECT K WHERE B = '""&amp;B334&amp;""'"")), ""(\d+)"", """"""$1"""""") &amp; ""]"", """")
)"),"[""24""]")</f>
        <v>["24"]</v>
      </c>
      <c r="F334" s="124"/>
      <c r="G334" s="124"/>
      <c r="H334" s="124"/>
      <c r="I334" s="124"/>
    </row>
    <row r="335">
      <c r="A335" s="125">
        <v>1151.0</v>
      </c>
      <c r="B335" s="126" t="s">
        <v>3281</v>
      </c>
      <c r="C335" s="124" t="s">
        <v>5777</v>
      </c>
      <c r="D335" s="124"/>
      <c r="E335" s="124" t="str">
        <f>IFERROR(__xludf.DUMMYFUNCTION("IF(
   ISNUMBER(FIND(""'"", B335)),
   IFERROR(""["" &amp; REGEXREPLACE(JOIN("", "", QUERY(Data!$A$2:$K512, ""SELECT K WHERE B = """"""&amp;B335&amp;"""""""")), ""(\d+)"", """"""$1"""""") &amp; ""]"", """"),
   IFERROR(""["" &amp; REGEXREPLACE(JOIN("", "", QUERY(Data!$A$2:$K"&amp;"512, ""SELECT K WHERE B = '""&amp;B335&amp;""'"")), ""(\d+)"", """"""$1"""""") &amp; ""]"", """")
)"),"[""24""]")</f>
        <v>["24"]</v>
      </c>
      <c r="F335" s="124"/>
      <c r="G335" s="124"/>
      <c r="H335" s="124"/>
      <c r="I335" s="124"/>
    </row>
    <row r="336">
      <c r="A336" s="125">
        <v>1153.0</v>
      </c>
      <c r="B336" s="126" t="s">
        <v>3285</v>
      </c>
      <c r="C336" s="124" t="s">
        <v>5777</v>
      </c>
      <c r="D336" s="124"/>
      <c r="E336" s="124" t="str">
        <f>IFERROR(__xludf.DUMMYFUNCTION("IF(
   ISNUMBER(FIND(""'"", B336)),
   IFERROR(""["" &amp; REGEXREPLACE(JOIN("", "", QUERY(Data!$A$2:$K512, ""SELECT K WHERE B = """"""&amp;B336&amp;"""""""")), ""(\d+)"", """"""$1"""""") &amp; ""]"", """"),
   IFERROR(""["" &amp; REGEXREPLACE(JOIN("", "", QUERY(Data!$A$2:$K"&amp;"512, ""SELECT K WHERE B = '""&amp;B336&amp;""'"")), ""(\d+)"", """"""$1"""""") &amp; ""]"", """")
)"),"[""24""]")</f>
        <v>["24"]</v>
      </c>
      <c r="F336" s="124"/>
      <c r="G336" s="124"/>
      <c r="H336" s="124"/>
      <c r="I336" s="124"/>
    </row>
    <row r="337">
      <c r="A337" s="125">
        <v>1155.0</v>
      </c>
      <c r="B337" s="126" t="s">
        <v>3289</v>
      </c>
      <c r="C337" s="124" t="s">
        <v>5777</v>
      </c>
      <c r="D337" s="124"/>
      <c r="E337" s="124" t="str">
        <f>IFERROR(__xludf.DUMMYFUNCTION("IF(
   ISNUMBER(FIND(""'"", B337)),
   IFERROR(""["" &amp; REGEXREPLACE(JOIN("", "", QUERY(Data!$A$2:$K512, ""SELECT K WHERE B = """"""&amp;B337&amp;"""""""")), ""(\d+)"", """"""$1"""""") &amp; ""]"", """"),
   IFERROR(""["" &amp; REGEXREPLACE(JOIN("", "", QUERY(Data!$A$2:$K"&amp;"512, ""SELECT K WHERE B = '""&amp;B337&amp;""'"")), ""(\d+)"", """"""$1"""""") &amp; ""]"", """")
)"),"[""24""]")</f>
        <v>["24"]</v>
      </c>
      <c r="F337" s="124"/>
      <c r="G337" s="124"/>
      <c r="H337" s="124"/>
      <c r="I337" s="124"/>
    </row>
    <row r="338">
      <c r="A338" s="125">
        <v>1157.0</v>
      </c>
      <c r="B338" s="126" t="s">
        <v>3293</v>
      </c>
      <c r="C338" s="124" t="s">
        <v>5777</v>
      </c>
      <c r="D338" s="124"/>
      <c r="E338" s="124" t="str">
        <f>IFERROR(__xludf.DUMMYFUNCTION("IF(
   ISNUMBER(FIND(""'"", B338)),
   IFERROR(""["" &amp; REGEXREPLACE(JOIN("", "", QUERY(Data!$A$2:$K512, ""SELECT K WHERE B = """"""&amp;B338&amp;"""""""")), ""(\d+)"", """"""$1"""""") &amp; ""]"", """"),
   IFERROR(""["" &amp; REGEXREPLACE(JOIN("", "", QUERY(Data!$A$2:$K"&amp;"512, ""SELECT K WHERE B = '""&amp;B338&amp;""'"")), ""(\d+)"", """"""$1"""""") &amp; ""]"", """")
)"),"[""24""]")</f>
        <v>["24"]</v>
      </c>
      <c r="F338" s="124"/>
      <c r="G338" s="124"/>
      <c r="H338" s="124"/>
      <c r="I338" s="124"/>
    </row>
    <row r="339">
      <c r="A339" s="125">
        <v>1129.0</v>
      </c>
      <c r="B339" s="126" t="s">
        <v>3298</v>
      </c>
      <c r="C339" s="124" t="s">
        <v>3298</v>
      </c>
      <c r="D339" s="124"/>
      <c r="E339" s="124" t="str">
        <f>IFERROR(__xludf.DUMMYFUNCTION("IF(
   ISNUMBER(FIND(""'"", B339)),
   IFERROR(""["" &amp; REGEXREPLACE(JOIN("", "", QUERY(Data!$A$2:$K512, ""SELECT K WHERE B = """"""&amp;B339&amp;"""""""")), ""(\d+)"", """"""$1"""""") &amp; ""]"", """"),
   IFERROR(""["" &amp; REGEXREPLACE(JOIN("", "", QUERY(Data!$A$2:$K"&amp;"512, ""SELECT K WHERE B = '""&amp;B339&amp;""'"")), ""(\d+)"", """"""$1"""""") &amp; ""]"", """")
)"),"[""65""]")</f>
        <v>["65"]</v>
      </c>
      <c r="F339" s="124"/>
      <c r="G339" s="124"/>
      <c r="H339" s="124"/>
      <c r="I339" s="124"/>
    </row>
    <row r="340">
      <c r="A340" s="126">
        <v>1458.0</v>
      </c>
      <c r="B340" s="126" t="s">
        <v>3308</v>
      </c>
      <c r="C340" s="126" t="s">
        <v>3308</v>
      </c>
      <c r="D340" s="124"/>
      <c r="E340" s="124" t="str">
        <f>IFERROR(__xludf.DUMMYFUNCTION("IF(
   ISNUMBER(FIND(""'"", B340)),
   IFERROR(""["" &amp; REGEXREPLACE(JOIN("", "", QUERY(Data!$A$2:$K512, ""SELECT K WHERE B = """"""&amp;B340&amp;"""""""")), ""(\d+)"", """"""$1"""""") &amp; ""]"", """"),
   IFERROR(""["" &amp; REGEXREPLACE(JOIN("", "", QUERY(Data!$A$2:$K"&amp;"512, ""SELECT K WHERE B = '""&amp;B340&amp;""'"")), ""(\d+)"", """"""$1"""""") &amp; ""]"", """")
)"),"[""37""]")</f>
        <v>["37"]</v>
      </c>
      <c r="F340" s="124"/>
      <c r="G340" s="124"/>
      <c r="H340" s="124"/>
      <c r="I340" s="124"/>
    </row>
    <row r="341">
      <c r="A341" s="125">
        <v>1131.0</v>
      </c>
      <c r="B341" s="125" t="s">
        <v>3317</v>
      </c>
      <c r="C341" s="124" t="s">
        <v>3317</v>
      </c>
      <c r="D341" s="124"/>
      <c r="E341" s="124" t="str">
        <f>IFERROR(__xludf.DUMMYFUNCTION("IF(
   ISNUMBER(FIND(""'"", B341)),
   IFERROR(""["" &amp; REGEXREPLACE(JOIN("", "", QUERY(Data!$A$2:$K512, ""SELECT K WHERE B = """"""&amp;B341&amp;"""""""")), ""(\d+)"", """"""$1"""""") &amp; ""]"", """"),
   IFERROR(""["" &amp; REGEXREPLACE(JOIN("", "", QUERY(Data!$A$2:$K"&amp;"512, ""SELECT K WHERE B = '""&amp;B341&amp;""'"")), ""(\d+)"", """"""$1"""""") &amp; ""]"", """")
)"),"[""13""]")</f>
        <v>["13"]</v>
      </c>
      <c r="F341" s="124"/>
      <c r="G341" s="124"/>
      <c r="H341" s="124"/>
      <c r="I341" s="124"/>
    </row>
    <row r="342">
      <c r="A342" s="125">
        <v>1261.0</v>
      </c>
      <c r="B342" s="126" t="s">
        <v>3335</v>
      </c>
      <c r="C342" s="124" t="s">
        <v>3335</v>
      </c>
      <c r="D342" s="124"/>
      <c r="E342" s="124" t="str">
        <f>IFERROR(__xludf.DUMMYFUNCTION("IF(
   ISNUMBER(FIND(""'"", B342)),
   IFERROR(""["" &amp; REGEXREPLACE(JOIN("", "", QUERY(Data!$A$2:$K512, ""SELECT K WHERE B = """"""&amp;B342&amp;"""""""")), ""(\d+)"", """"""$1"""""") &amp; ""]"", """"),
   IFERROR(""["" &amp; REGEXREPLACE(JOIN("", "", QUERY(Data!$A$2:$K"&amp;"512, ""SELECT K WHERE B = '""&amp;B342&amp;""'"")), ""(\d+)"", """"""$1"""""") &amp; ""]"", """")
)"),"[""24""]")</f>
        <v>["24"]</v>
      </c>
      <c r="F342" s="124"/>
      <c r="G342" s="124"/>
      <c r="H342" s="124"/>
      <c r="I342" s="124"/>
    </row>
    <row r="343">
      <c r="A343" s="125">
        <v>1133.0</v>
      </c>
      <c r="B343" s="125" t="s">
        <v>3342</v>
      </c>
      <c r="C343" s="124" t="s">
        <v>3342</v>
      </c>
      <c r="D343" s="124">
        <v>150000.0</v>
      </c>
      <c r="E343" s="124" t="str">
        <f>IFERROR(__xludf.DUMMYFUNCTION("IF(
   ISNUMBER(FIND(""'"", B343)),
   IFERROR(""["" &amp; REGEXREPLACE(JOIN("", "", QUERY(Data!$A$2:$K512, ""SELECT K WHERE B = """"""&amp;B343&amp;"""""""")), ""(\d+)"", """"""$1"""""") &amp; ""]"", """"),
   IFERROR(""["" &amp; REGEXREPLACE(JOIN("", "", QUERY(Data!$A$2:$K"&amp;"512, ""SELECT K WHERE B = '""&amp;B343&amp;""'"")), ""(\d+)"", """"""$1"""""") &amp; ""]"", """")
)"),"[""11"", ""12"", ""13"", ""24"", ""31"", ""33"", ""42"", ""51"", ""61""]")</f>
        <v>["11", "12", "13", "24", "31", "33", "42", "51", "61"]</v>
      </c>
      <c r="F343" s="124"/>
      <c r="G343" s="124"/>
      <c r="H343" s="124"/>
      <c r="I343" s="124"/>
    </row>
    <row r="344">
      <c r="A344" s="125">
        <v>1135.0</v>
      </c>
      <c r="B344" s="125" t="s">
        <v>3371</v>
      </c>
      <c r="C344" s="124" t="s">
        <v>3371</v>
      </c>
      <c r="D344" s="124"/>
      <c r="E344" s="124" t="str">
        <f>IFERROR(__xludf.DUMMYFUNCTION("IF(
   ISNUMBER(FIND(""'"", B344)),
   IFERROR(""["" &amp; REGEXREPLACE(JOIN("", "", QUERY(Data!$A$2:$K512, ""SELECT K WHERE B = """"""&amp;B344&amp;"""""""")), ""(\d+)"", """"""$1"""""") &amp; ""]"", """"),
   IFERROR(""["" &amp; REGEXREPLACE(JOIN("", "", QUERY(Data!$A$2:$K"&amp;"512, ""SELECT K WHERE B = '""&amp;B344&amp;""'"")), ""(\d+)"", """"""$1"""""") &amp; ""]"", """")
)"),"[""13""]")</f>
        <v>["13"]</v>
      </c>
      <c r="F344" s="124"/>
      <c r="G344" s="124"/>
      <c r="H344" s="124"/>
      <c r="I344" s="124"/>
    </row>
    <row r="345">
      <c r="A345" s="126">
        <v>1407.0</v>
      </c>
      <c r="B345" s="126" t="s">
        <v>3384</v>
      </c>
      <c r="C345" s="126" t="s">
        <v>3384</v>
      </c>
      <c r="D345" s="124"/>
      <c r="E345" s="124" t="str">
        <f>IFERROR(__xludf.DUMMYFUNCTION("IF(
   ISNUMBER(FIND(""'"", B345)),
   IFERROR(""["" &amp; REGEXREPLACE(JOIN("", "", QUERY(Data!$A$2:$K512, ""SELECT K WHERE B = """"""&amp;B345&amp;"""""""")), ""(\d+)"", """"""$1"""""") &amp; ""]"", """"),
   IFERROR(""["" &amp; REGEXREPLACE(JOIN("", "", QUERY(Data!$A$2:$K"&amp;"512, ""SELECT K WHERE B = '""&amp;B345&amp;""'"")), ""(\d+)"", """"""$1"""""") &amp; ""]"", """")
)"),"[""34""]")</f>
        <v>["34"]</v>
      </c>
      <c r="F345" s="124"/>
      <c r="G345" s="124"/>
      <c r="H345" s="124"/>
      <c r="I345" s="124"/>
    </row>
    <row r="346">
      <c r="A346" s="125">
        <v>1137.0</v>
      </c>
      <c r="B346" s="125" t="s">
        <v>3391</v>
      </c>
      <c r="C346" s="124" t="s">
        <v>3391</v>
      </c>
      <c r="D346" s="124"/>
      <c r="E346" s="124" t="str">
        <f>IFERROR(__xludf.DUMMYFUNCTION("IF(
   ISNUMBER(FIND(""'"", B346)),
   IFERROR(""["" &amp; REGEXREPLACE(JOIN("", "", QUERY(Data!$A$2:$K512, ""SELECT K WHERE B = """"""&amp;B346&amp;"""""""")), ""(\d+)"", """"""$1"""""") &amp; ""]"", """"),
   IFERROR(""["" &amp; REGEXREPLACE(JOIN("", "", QUERY(Data!$A$2:$K"&amp;"512, ""SELECT K WHERE B = '""&amp;B346&amp;""'"")), ""(\d+)"", """"""$1"""""") &amp; ""]"", """")
)"),"[""13""]")</f>
        <v>["13"]</v>
      </c>
      <c r="F346" s="124"/>
      <c r="G346" s="124"/>
      <c r="H346" s="124"/>
      <c r="I346" s="124"/>
    </row>
    <row r="347">
      <c r="A347" s="125">
        <v>1139.0</v>
      </c>
      <c r="B347" s="125" t="s">
        <v>3396</v>
      </c>
      <c r="C347" s="124" t="s">
        <v>3396</v>
      </c>
      <c r="D347" s="124"/>
      <c r="E347" s="124" t="str">
        <f>IFERROR(__xludf.DUMMYFUNCTION("IF(
   ISNUMBER(FIND(""'"", B347)),
   IFERROR(""["" &amp; REGEXREPLACE(JOIN("", "", QUERY(Data!$A$2:$K512, ""SELECT K WHERE B = """"""&amp;B347&amp;"""""""")), ""(\d+)"", """"""$1"""""") &amp; ""]"", """"),
   IFERROR(""["" &amp; REGEXREPLACE(JOIN("", "", QUERY(Data!$A$2:$K"&amp;"512, ""SELECT K WHERE B = '""&amp;B347&amp;""'"")), ""(\d+)"", """"""$1"""""") &amp; ""]"", """")
)"),"[""13""]")</f>
        <v>["13"]</v>
      </c>
      <c r="F347" s="124"/>
      <c r="G347" s="124"/>
      <c r="H347" s="124"/>
      <c r="I347" s="124"/>
    </row>
    <row r="348">
      <c r="A348" s="125">
        <v>1145.0</v>
      </c>
      <c r="B348" s="125" t="s">
        <v>3423</v>
      </c>
      <c r="C348" s="124" t="s">
        <v>3423</v>
      </c>
      <c r="D348" s="124"/>
      <c r="E348" s="124" t="str">
        <f>IFERROR(__xludf.DUMMYFUNCTION("IF(
   ISNUMBER(FIND(""'"", B348)),
   IFERROR(""["" &amp; REGEXREPLACE(JOIN("", "", QUERY(Data!$A$2:$K512, ""SELECT K WHERE B = """"""&amp;B348&amp;"""""""")), ""(\d+)"", """"""$1"""""") &amp; ""]"", """"),
   IFERROR(""["" &amp; REGEXREPLACE(JOIN("", "", QUERY(Data!$A$2:$K"&amp;"512, ""SELECT K WHERE B = '""&amp;B348&amp;""'"")), ""(\d+)"", """"""$1"""""") &amp; ""]"", """")
)"),"[""24""]")</f>
        <v>["24"]</v>
      </c>
      <c r="F348" s="124"/>
      <c r="G348" s="124"/>
      <c r="H348" s="124"/>
      <c r="I348" s="124"/>
    </row>
    <row r="349">
      <c r="A349" s="125">
        <v>1147.0</v>
      </c>
      <c r="B349" s="125" t="s">
        <v>3427</v>
      </c>
      <c r="C349" s="124" t="s">
        <v>3427</v>
      </c>
      <c r="D349" s="124"/>
      <c r="E349" s="124" t="str">
        <f>IFERROR(__xludf.DUMMYFUNCTION("IF(
   ISNUMBER(FIND(""'"", B349)),
   IFERROR(""["" &amp; REGEXREPLACE(JOIN("", "", QUERY(Data!$A$2:$K512, ""SELECT K WHERE B = """"""&amp;B349&amp;"""""""")), ""(\d+)"", """"""$1"""""") &amp; ""]"", """"),
   IFERROR(""["" &amp; REGEXREPLACE(JOIN("", "", QUERY(Data!$A$2:$K"&amp;"512, ""SELECT K WHERE B = '""&amp;B349&amp;""'"")), ""(\d+)"", """"""$1"""""") &amp; ""]"", """")
)"),"[""11"", ""13"", ""14""]")</f>
        <v>["11", "13", "14"]</v>
      </c>
      <c r="F349" s="124"/>
      <c r="G349" s="124"/>
      <c r="H349" s="124"/>
      <c r="I349" s="124"/>
    </row>
    <row r="350">
      <c r="A350" s="125">
        <v>1467.0</v>
      </c>
      <c r="B350" s="126" t="s">
        <v>3439</v>
      </c>
      <c r="C350" s="126" t="s">
        <v>3439</v>
      </c>
      <c r="D350" s="124"/>
      <c r="E350" s="124" t="str">
        <f>IFERROR(__xludf.DUMMYFUNCTION("IF(
   ISNUMBER(FIND(""'"", B350)),
   IFERROR(""["" &amp; REGEXREPLACE(JOIN("", "", QUERY(Data!$A$2:$K512, ""SELECT K WHERE B = """"""&amp;B350&amp;"""""""")), ""(\d+)"", """"""$1"""""") &amp; ""]"", """"),
   IFERROR(""["" &amp; REGEXREPLACE(JOIN("", "", QUERY(Data!$A$2:$K"&amp;"512, ""SELECT K WHERE B = '""&amp;B350&amp;""'"")), ""(\d+)"", """"""$1"""""") &amp; ""]"", """")
)"),"[""36""]")</f>
        <v>["36"]</v>
      </c>
      <c r="F350" s="124"/>
      <c r="G350" s="124"/>
      <c r="H350" s="124"/>
      <c r="I350" s="124"/>
    </row>
    <row r="351">
      <c r="A351" s="125">
        <v>1466.0</v>
      </c>
      <c r="B351" s="126" t="s">
        <v>3453</v>
      </c>
      <c r="C351" s="126" t="s">
        <v>3453</v>
      </c>
      <c r="D351" s="124"/>
      <c r="E351" s="124" t="str">
        <f>IFERROR(__xludf.DUMMYFUNCTION("IF(
   ISNUMBER(FIND(""'"", B351)),
   IFERROR(""["" &amp; REGEXREPLACE(JOIN("", "", QUERY(Data!$A$2:$K512, ""SELECT K WHERE B = """"""&amp;B351&amp;"""""""")), ""(\d+)"", """"""$1"""""") &amp; ""]"", """"),
   IFERROR(""["" &amp; REGEXREPLACE(JOIN("", "", QUERY(Data!$A$2:$K"&amp;"512, ""SELECT K WHERE B = '""&amp;B351&amp;""'"")), ""(\d+)"", """"""$1"""""") &amp; ""]"", """")
)"),"[""35"", ""36""]")</f>
        <v>["35", "36"]</v>
      </c>
      <c r="F351" s="124"/>
      <c r="G351" s="124"/>
      <c r="H351" s="124"/>
      <c r="I351" s="124"/>
    </row>
    <row r="352">
      <c r="A352" s="125">
        <v>1514.0</v>
      </c>
      <c r="B352" s="126" t="s">
        <v>3465</v>
      </c>
      <c r="C352" s="126" t="s">
        <v>3465</v>
      </c>
      <c r="D352" s="124"/>
      <c r="E352" s="124" t="str">
        <f>IFERROR(__xludf.DUMMYFUNCTION("IF(
   ISNUMBER(FIND(""'"", B352)),
   IFERROR(""["" &amp; REGEXREPLACE(JOIN("", "", QUERY(Data!$A$2:$K512, ""SELECT K WHERE B = """"""&amp;B352&amp;"""""""")), ""(\d+)"", """"""$1"""""") &amp; ""]"", """"),
   IFERROR(""["" &amp; REGEXREPLACE(JOIN("", "", QUERY(Data!$A$2:$K"&amp;"512, ""SELECT K WHERE B = '""&amp;B352&amp;""'"")), ""(\d+)"", """"""$1"""""") &amp; ""]"", """")
)"),"[""63""]")</f>
        <v>["63"]</v>
      </c>
      <c r="F352" s="124"/>
      <c r="G352" s="124"/>
      <c r="H352" s="124"/>
      <c r="I352" s="124"/>
    </row>
    <row r="353">
      <c r="A353" s="125">
        <v>1476.0</v>
      </c>
      <c r="B353" s="126" t="s">
        <v>3475</v>
      </c>
      <c r="C353" s="126" t="s">
        <v>3475</v>
      </c>
      <c r="D353" s="124"/>
      <c r="E353" s="124" t="str">
        <f>IFERROR(__xludf.DUMMYFUNCTION("IF(
   ISNUMBER(FIND(""'"", B353)),
   IFERROR(""["" &amp; REGEXREPLACE(JOIN("", "", QUERY(Data!$A$2:$K512, ""SELECT K WHERE B = """"""&amp;B353&amp;"""""""")), ""(\d+)"", """"""$1"""""") &amp; ""]"", """"),
   IFERROR(""["" &amp; REGEXREPLACE(JOIN("", "", QUERY(Data!$A$2:$K"&amp;"512, ""SELECT K WHERE B = '""&amp;B353&amp;""'"")), ""(\d+)"", """"""$1"""""") &amp; ""]"", """")
)"),"[""36""]")</f>
        <v>["36"]</v>
      </c>
      <c r="F353" s="124"/>
      <c r="G353" s="124"/>
      <c r="H353" s="124"/>
      <c r="I353" s="124"/>
    </row>
    <row r="354">
      <c r="A354" s="126">
        <v>1358.0</v>
      </c>
      <c r="B354" s="126" t="s">
        <v>3485</v>
      </c>
      <c r="C354" s="126" t="s">
        <v>3485</v>
      </c>
      <c r="D354" s="124"/>
      <c r="E354" s="124" t="str">
        <f>IFERROR(__xludf.DUMMYFUNCTION("IF(
   ISNUMBER(FIND(""'"", B354)),
   IFERROR(""["" &amp; REGEXREPLACE(JOIN("", "", QUERY(Data!$A$2:$K512, ""SELECT K WHERE B = """"""&amp;B354&amp;"""""""")), ""(\d+)"", """"""$1"""""") &amp; ""]"", """"),
   IFERROR(""["" &amp; REGEXREPLACE(JOIN("", "", QUERY(Data!$A$2:$K"&amp;"512, ""SELECT K WHERE B = '""&amp;B354&amp;""'"")), ""(\d+)"", """"""$1"""""") &amp; ""]"", """")
)"),"[""65""]")</f>
        <v>["65"]</v>
      </c>
      <c r="F354" s="124"/>
      <c r="G354" s="124"/>
      <c r="H354" s="124"/>
      <c r="I354" s="124"/>
    </row>
    <row r="355">
      <c r="A355" s="125">
        <v>1149.0</v>
      </c>
      <c r="B355" s="126" t="s">
        <v>3492</v>
      </c>
      <c r="C355" s="124" t="s">
        <v>3492</v>
      </c>
      <c r="D355" s="124"/>
      <c r="E355" s="124" t="str">
        <f>IFERROR(__xludf.DUMMYFUNCTION("IF(
   ISNUMBER(FIND(""'"", B355)),
   IFERROR(""["" &amp; REGEXREPLACE(JOIN("", "", QUERY(Data!$A$2:$K512, ""SELECT K WHERE B = """"""&amp;B355&amp;"""""""")), ""(\d+)"", """"""$1"""""") &amp; ""]"", """"),
   IFERROR(""["" &amp; REGEXREPLACE(JOIN("", "", QUERY(Data!$A$2:$K"&amp;"512, ""SELECT K WHERE B = '""&amp;B355&amp;""'"")), ""(\d+)"", """"""$1"""""") &amp; ""]"", """")
)"),"[""24""]")</f>
        <v>["24"]</v>
      </c>
      <c r="F355" s="124"/>
      <c r="G355" s="124"/>
      <c r="H355" s="124"/>
      <c r="I355" s="124"/>
    </row>
    <row r="356">
      <c r="A356" s="125">
        <v>1150.0</v>
      </c>
      <c r="B356" s="125" t="s">
        <v>3500</v>
      </c>
      <c r="C356" s="124" t="s">
        <v>3500</v>
      </c>
      <c r="D356" s="124"/>
      <c r="E356" s="124" t="str">
        <f>IFERROR(__xludf.DUMMYFUNCTION("IF(
   ISNUMBER(FIND(""'"", B356)),
   IFERROR(""["" &amp; REGEXREPLACE(JOIN("", "", QUERY(Data!$A$2:$K512, ""SELECT K WHERE B = """"""&amp;B356&amp;"""""""")), ""(\d+)"", """"""$1"""""") &amp; ""]"", """"),
   IFERROR(""["" &amp; REGEXREPLACE(JOIN("", "", QUERY(Data!$A$2:$K"&amp;"512, ""SELECT K WHERE B = '""&amp;B356&amp;""'"")), ""(\d+)"", """"""$1"""""") &amp; ""]"", """")
)"),"[""11"", ""12"", ""13""]")</f>
        <v>["11", "12", "13"]</v>
      </c>
      <c r="F356" s="124"/>
      <c r="G356" s="124"/>
      <c r="H356" s="124"/>
      <c r="I356" s="124"/>
    </row>
    <row r="357">
      <c r="A357" s="125">
        <v>1152.0</v>
      </c>
      <c r="B357" s="126" t="s">
        <v>3512</v>
      </c>
      <c r="C357" s="124" t="s">
        <v>3512</v>
      </c>
      <c r="D357" s="124"/>
      <c r="E357" s="124" t="str">
        <f>IFERROR(__xludf.DUMMYFUNCTION("IF(
   ISNUMBER(FIND(""'"", B357)),
   IFERROR(""["" &amp; REGEXREPLACE(JOIN("", "", QUERY(Data!$A$2:$K512, ""SELECT K WHERE B = """"""&amp;B357&amp;"""""""")), ""(\d+)"", """"""$1"""""") &amp; ""]"", """"),
   IFERROR(""["" &amp; REGEXREPLACE(JOIN("", "", QUERY(Data!$A$2:$K"&amp;"512, ""SELECT K WHERE B = '""&amp;B357&amp;""'"")), ""(\d+)"", """"""$1"""""") &amp; ""]"", """")
)"),"[""44""]")</f>
        <v>["44"]</v>
      </c>
      <c r="F357" s="124"/>
      <c r="G357" s="124"/>
      <c r="H357" s="124"/>
      <c r="I357" s="124"/>
    </row>
    <row r="358">
      <c r="A358" s="125">
        <v>1154.0</v>
      </c>
      <c r="B358" s="125" t="s">
        <v>3518</v>
      </c>
      <c r="C358" s="124" t="s">
        <v>3518</v>
      </c>
      <c r="D358" s="124"/>
      <c r="E358" s="124" t="str">
        <f>IFERROR(__xludf.DUMMYFUNCTION("IF(
   ISNUMBER(FIND(""'"", B358)),
   IFERROR(""["" &amp; REGEXREPLACE(JOIN("", "", QUERY(Data!$A$2:$K512, ""SELECT K WHERE B = """"""&amp;B358&amp;"""""""")), ""(\d+)"", """"""$1"""""") &amp; ""]"", """"),
   IFERROR(""["" &amp; REGEXREPLACE(JOIN("", "", QUERY(Data!$A$2:$K"&amp;"512, ""SELECT K WHERE B = '""&amp;B358&amp;""'"")), ""(\d+)"", """"""$1"""""") &amp; ""]"", """")
)"),"[""11"", ""12"", ""13""]")</f>
        <v>["11", "12", "13"]</v>
      </c>
      <c r="F358" s="124"/>
      <c r="G358" s="124"/>
      <c r="H358" s="124"/>
      <c r="I358" s="124"/>
    </row>
    <row r="359">
      <c r="A359" s="126">
        <v>1402.0</v>
      </c>
      <c r="B359" s="126" t="s">
        <v>3527</v>
      </c>
      <c r="C359" s="126" t="s">
        <v>3527</v>
      </c>
      <c r="D359" s="124"/>
      <c r="E359" s="124" t="str">
        <f>IFERROR(__xludf.DUMMYFUNCTION("IF(
   ISNUMBER(FIND(""'"", B359)),
   IFERROR(""["" &amp; REGEXREPLACE(JOIN("", "", QUERY(Data!$A$2:$K512, ""SELECT K WHERE B = """"""&amp;B359&amp;"""""""")), ""(\d+)"", """"""$1"""""") &amp; ""]"", """"),
   IFERROR(""["" &amp; REGEXREPLACE(JOIN("", "", QUERY(Data!$A$2:$K"&amp;"512, ""SELECT K WHERE B = '""&amp;B359&amp;""'"")), ""(\d+)"", """"""$1"""""") &amp; ""]"", """")
)"),"[""21""]")</f>
        <v>["21"]</v>
      </c>
      <c r="F359" s="124"/>
      <c r="G359" s="124"/>
      <c r="H359" s="124"/>
      <c r="I359" s="124"/>
    </row>
    <row r="360">
      <c r="A360" s="125">
        <v>1156.0</v>
      </c>
      <c r="B360" s="126" t="s">
        <v>3534</v>
      </c>
      <c r="C360" s="124" t="s">
        <v>3534</v>
      </c>
      <c r="D360" s="124"/>
      <c r="E360" s="124" t="str">
        <f>IFERROR(__xludf.DUMMYFUNCTION("IF(
   ISNUMBER(FIND(""'"", B360)),
   IFERROR(""["" &amp; REGEXREPLACE(JOIN("", "", QUERY(Data!$A$2:$K512, ""SELECT K WHERE B = """"""&amp;B360&amp;"""""""")), ""(\d+)"", """"""$1"""""") &amp; ""]"", """"),
   IFERROR(""["" &amp; REGEXREPLACE(JOIN("", "", QUERY(Data!$A$2:$K"&amp;"512, ""SELECT K WHERE B = '""&amp;B360&amp;""'"")), ""(\d+)"", """"""$1"""""") &amp; ""]"", """")
)"),"[""55""]")</f>
        <v>["55"]</v>
      </c>
      <c r="F360" s="124"/>
      <c r="G360" s="124"/>
      <c r="H360" s="124"/>
      <c r="I360" s="124"/>
    </row>
    <row r="361">
      <c r="A361" s="125">
        <v>1270.0</v>
      </c>
      <c r="B361" s="126" t="s">
        <v>3539</v>
      </c>
      <c r="C361" s="124" t="s">
        <v>3539</v>
      </c>
      <c r="D361" s="124"/>
      <c r="E361" s="124" t="str">
        <f>IFERROR(__xludf.DUMMYFUNCTION("IF(
   ISNUMBER(FIND(""'"", B361)),
   IFERROR(""["" &amp; REGEXREPLACE(JOIN("", "", QUERY(Data!$A$2:$K512, ""SELECT K WHERE B = """"""&amp;B361&amp;"""""""")), ""(\d+)"", """"""$1"""""") &amp; ""]"", """"),
   IFERROR(""["" &amp; REGEXREPLACE(JOIN("", "", QUERY(Data!$A$2:$K"&amp;"512, ""SELECT K WHERE B = '""&amp;B361&amp;""'"")), ""(\d+)"", """"""$1"""""") &amp; ""]"", """")
)"),"[""31""]")</f>
        <v>["31"]</v>
      </c>
      <c r="F361" s="124"/>
      <c r="G361" s="124"/>
      <c r="H361" s="124"/>
      <c r="I361" s="124"/>
    </row>
    <row r="362">
      <c r="A362" s="125">
        <v>1158.0</v>
      </c>
      <c r="B362" s="126" t="s">
        <v>3547</v>
      </c>
      <c r="C362" s="124" t="s">
        <v>3547</v>
      </c>
      <c r="D362" s="124"/>
      <c r="E362" s="124" t="str">
        <f>IFERROR(__xludf.DUMMYFUNCTION("IF(
   ISNUMBER(FIND(""'"", B362)),
   IFERROR(""["" &amp; REGEXREPLACE(JOIN("", "", QUERY(Data!$A$2:$K512, ""SELECT K WHERE B = """"""&amp;B362&amp;"""""""")), ""(\d+)"", """"""$1"""""") &amp; ""]"", """"),
   IFERROR(""["" &amp; REGEXREPLACE(JOIN("", "", QUERY(Data!$A$2:$K"&amp;"512, ""SELECT K WHERE B = '""&amp;B362&amp;""'"")), ""(\d+)"", """"""$1"""""") &amp; ""]"", """")
)"),"[""33""]")</f>
        <v>["33"]</v>
      </c>
      <c r="F362" s="124"/>
      <c r="G362" s="124"/>
      <c r="H362" s="124"/>
      <c r="I362" s="124"/>
    </row>
    <row r="363">
      <c r="A363" s="125">
        <v>1159.0</v>
      </c>
      <c r="B363" s="126" t="s">
        <v>3555</v>
      </c>
      <c r="C363" s="124" t="s">
        <v>3555</v>
      </c>
      <c r="D363" s="124"/>
      <c r="E363" s="124" t="str">
        <f>IFERROR(__xludf.DUMMYFUNCTION("IF(
   ISNUMBER(FIND(""'"", B363)),
   IFERROR(""["" &amp; REGEXREPLACE(JOIN("", "", QUERY(Data!$A$2:$K512, ""SELECT K WHERE B = """"""&amp;B363&amp;"""""""")), ""(\d+)"", """"""$1"""""") &amp; ""]"", """"),
   IFERROR(""["" &amp; REGEXREPLACE(JOIN("", "", QUERY(Data!$A$2:$K"&amp;"512, ""SELECT K WHERE B = '""&amp;B363&amp;""'"")), ""(\d+)"", """"""$1"""""") &amp; ""]"", """")
)"),"[""41""]")</f>
        <v>["41"]</v>
      </c>
      <c r="F363" s="124"/>
      <c r="G363" s="124"/>
      <c r="H363" s="124"/>
      <c r="I363" s="124"/>
    </row>
    <row r="364">
      <c r="A364" s="125">
        <v>1160.0</v>
      </c>
      <c r="B364" s="125" t="s">
        <v>3561</v>
      </c>
      <c r="C364" s="124" t="s">
        <v>3561</v>
      </c>
      <c r="D364" s="124"/>
      <c r="E364" s="124" t="str">
        <f>IFERROR(__xludf.DUMMYFUNCTION("IF(
   ISNUMBER(FIND(""'"", B364)),
   IFERROR(""["" &amp; REGEXREPLACE(JOIN("", "", QUERY(Data!$A$2:$K512, ""SELECT K WHERE B = """"""&amp;B364&amp;"""""""")), ""(\d+)"", """"""$1"""""") &amp; ""]"", """"),
   IFERROR(""["" &amp; REGEXREPLACE(JOIN("", "", QUERY(Data!$A$2:$K"&amp;"512, ""SELECT K WHERE B = '""&amp;B364&amp;""'"")), ""(\d+)"", """"""$1"""""") &amp; ""]"", """")
)"),"[""11"", ""12"", ""13"", ""14"", ""64""]")</f>
        <v>["11", "12", "13", "14", "64"]</v>
      </c>
      <c r="F364" s="124"/>
      <c r="G364" s="124"/>
      <c r="H364" s="124"/>
      <c r="I364" s="124"/>
    </row>
    <row r="365">
      <c r="A365" s="126">
        <v>1453.0</v>
      </c>
      <c r="B365" s="126" t="s">
        <v>3579</v>
      </c>
      <c r="C365" s="126" t="s">
        <v>5778</v>
      </c>
      <c r="D365" s="124"/>
      <c r="E365" s="124" t="str">
        <f>IFERROR(__xludf.DUMMYFUNCTION("IF(
   ISNUMBER(FIND(""'"", B365)),
   IFERROR(""["" &amp; REGEXREPLACE(JOIN("", "", QUERY(Data!$A$2:$K512, ""SELECT K WHERE B = """"""&amp;B365&amp;"""""""")), ""(\d+)"", """"""$1"""""") &amp; ""]"", """"),
   IFERROR(""["" &amp; REGEXREPLACE(JOIN("", "", QUERY(Data!$A$2:$K"&amp;"512, ""SELECT K WHERE B = '""&amp;B365&amp;""'"")), ""(\d+)"", """"""$1"""""") &amp; ""]"", """")
)"),"[""37""]")</f>
        <v>["37"]</v>
      </c>
      <c r="F365" s="124"/>
      <c r="G365" s="124"/>
      <c r="H365" s="124"/>
      <c r="I365" s="124"/>
    </row>
    <row r="366">
      <c r="A366" s="126">
        <v>1451.0</v>
      </c>
      <c r="B366" s="126" t="s">
        <v>3586</v>
      </c>
      <c r="C366" s="126" t="s">
        <v>5778</v>
      </c>
      <c r="D366" s="124"/>
      <c r="E366" s="124" t="str">
        <f>IFERROR(__xludf.DUMMYFUNCTION("IF(
   ISNUMBER(FIND(""'"", B366)),
   IFERROR(""["" &amp; REGEXREPLACE(JOIN("", "", QUERY(Data!$A$2:$K512, ""SELECT K WHERE B = """"""&amp;B366&amp;"""""""")), ""(\d+)"", """"""$1"""""") &amp; ""]"", """"),
   IFERROR(""["" &amp; REGEXREPLACE(JOIN("", "", QUERY(Data!$A$2:$K"&amp;"512, ""SELECT K WHERE B = '""&amp;B366&amp;""'"")), ""(\d+)"", """"""$1"""""") &amp; ""]"", """")
)"),"[""37""]")</f>
        <v>["37"]</v>
      </c>
      <c r="F366" s="124"/>
      <c r="G366" s="124"/>
      <c r="H366" s="124"/>
      <c r="I366" s="124"/>
    </row>
    <row r="367">
      <c r="A367" s="126">
        <v>1450.0</v>
      </c>
      <c r="B367" s="126" t="s">
        <v>3595</v>
      </c>
      <c r="C367" s="126" t="s">
        <v>5778</v>
      </c>
      <c r="D367" s="124"/>
      <c r="E367" s="124" t="str">
        <f>IFERROR(__xludf.DUMMYFUNCTION("IF(
   ISNUMBER(FIND(""'"", B367)),
   IFERROR(""["" &amp; REGEXREPLACE(JOIN("", "", QUERY(Data!$A$2:$K512, ""SELECT K WHERE B = """"""&amp;B367&amp;"""""""")), ""(\d+)"", """"""$1"""""") &amp; ""]"", """"),
   IFERROR(""["" &amp; REGEXREPLACE(JOIN("", "", QUERY(Data!$A$2:$K"&amp;"512, ""SELECT K WHERE B = '""&amp;B367&amp;""'"")), ""(\d+)"", """"""$1"""""") &amp; ""]"", """")
)"),"[""37""]")</f>
        <v>["37"]</v>
      </c>
      <c r="F367" s="124"/>
      <c r="G367" s="124"/>
      <c r="H367" s="124"/>
      <c r="I367" s="124"/>
    </row>
    <row r="368">
      <c r="A368" s="126">
        <v>1452.0</v>
      </c>
      <c r="B368" s="126" t="s">
        <v>3602</v>
      </c>
      <c r="C368" s="126" t="s">
        <v>5778</v>
      </c>
      <c r="D368" s="124"/>
      <c r="E368" s="124" t="str">
        <f>IFERROR(__xludf.DUMMYFUNCTION("IF(
   ISNUMBER(FIND(""'"", B368)),
   IFERROR(""["" &amp; REGEXREPLACE(JOIN("", "", QUERY(Data!$A$2:$K512, ""SELECT K WHERE B = """"""&amp;B368&amp;"""""""")), ""(\d+)"", """"""$1"""""") &amp; ""]"", """"),
   IFERROR(""["" &amp; REGEXREPLACE(JOIN("", "", QUERY(Data!$A$2:$K"&amp;"512, ""SELECT K WHERE B = '""&amp;B368&amp;""'"")), ""(\d+)"", """"""$1"""""") &amp; ""]"", """")
)"),"[""37""]")</f>
        <v>["37"]</v>
      </c>
      <c r="F368" s="124"/>
      <c r="G368" s="124"/>
      <c r="H368" s="124"/>
      <c r="I368" s="124"/>
    </row>
    <row r="369">
      <c r="A369" s="126">
        <v>1449.0</v>
      </c>
      <c r="B369" s="126" t="s">
        <v>3609</v>
      </c>
      <c r="C369" s="126" t="s">
        <v>5778</v>
      </c>
      <c r="D369" s="124"/>
      <c r="E369" s="124" t="str">
        <f>IFERROR(__xludf.DUMMYFUNCTION("IF(
   ISNUMBER(FIND(""'"", B369)),
   IFERROR(""["" &amp; REGEXREPLACE(JOIN("", "", QUERY(Data!$A$2:$K512, ""SELECT K WHERE B = """"""&amp;B369&amp;"""""""")), ""(\d+)"", """"""$1"""""") &amp; ""]"", """"),
   IFERROR(""["" &amp; REGEXREPLACE(JOIN("", "", QUERY(Data!$A$2:$K"&amp;"512, ""SELECT K WHERE B = '""&amp;B369&amp;""'"")), ""(\d+)"", """"""$1"""""") &amp; ""]"", """")
)"),"[""37""]")</f>
        <v>["37"]</v>
      </c>
      <c r="F369" s="124"/>
      <c r="G369" s="124"/>
      <c r="H369" s="124"/>
      <c r="I369" s="124"/>
    </row>
    <row r="370">
      <c r="A370" s="125">
        <v>1162.0</v>
      </c>
      <c r="B370" s="125" t="s">
        <v>3628</v>
      </c>
      <c r="C370" s="124" t="s">
        <v>3628</v>
      </c>
      <c r="D370" s="124"/>
      <c r="E370" s="124" t="str">
        <f>IFERROR(__xludf.DUMMYFUNCTION("IF(
   ISNUMBER(FIND(""'"", B370)),
   IFERROR(""["" &amp; REGEXREPLACE(JOIN("", "", QUERY(Data!$A$2:$K512, ""SELECT K WHERE B = """"""&amp;B370&amp;"""""""")), ""(\d+)"", """"""$1"""""") &amp; ""]"", """"),
   IFERROR(""["" &amp; REGEXREPLACE(JOIN("", "", QUERY(Data!$A$2:$K"&amp;"512, ""SELECT K WHERE B = '""&amp;B370&amp;""'"")), ""(\d+)"", """"""$1"""""") &amp; ""]"", """")
)"),"[""13""]")</f>
        <v>["13"]</v>
      </c>
      <c r="F370" s="124"/>
      <c r="G370" s="124"/>
      <c r="H370" s="124"/>
      <c r="I370" s="124"/>
    </row>
    <row r="371">
      <c r="A371" s="125">
        <v>1164.0</v>
      </c>
      <c r="B371" s="125" t="s">
        <v>3642</v>
      </c>
      <c r="C371" s="124" t="s">
        <v>3642</v>
      </c>
      <c r="D371" s="124"/>
      <c r="E371" s="124" t="str">
        <f>IFERROR(__xludf.DUMMYFUNCTION("IF(
   ISNUMBER(FIND(""'"", B371)),
   IFERROR(""["" &amp; REGEXREPLACE(JOIN("", "", QUERY(Data!$A$2:$K512, ""SELECT K WHERE B = """"""&amp;B371&amp;"""""""")), ""(\d+)"", """"""$1"""""") &amp; ""]"", """"),
   IFERROR(""["" &amp; REGEXREPLACE(JOIN("", "", QUERY(Data!$A$2:$K"&amp;"512, ""SELECT K WHERE B = '""&amp;B371&amp;""'"")), ""(\d+)"", """"""$1"""""") &amp; ""]"", """")
)"),"[""13""]")</f>
        <v>["13"]</v>
      </c>
      <c r="F371" s="124"/>
      <c r="G371" s="124"/>
      <c r="H371" s="124"/>
      <c r="I371" s="124"/>
    </row>
    <row r="372">
      <c r="A372" s="125">
        <v>1262.0</v>
      </c>
      <c r="B372" s="126" t="s">
        <v>3654</v>
      </c>
      <c r="C372" s="124" t="s">
        <v>3654</v>
      </c>
      <c r="D372" s="124"/>
      <c r="E372" s="124" t="str">
        <f>IFERROR(__xludf.DUMMYFUNCTION("IF(
   ISNUMBER(FIND(""'"", B372)),
   IFERROR(""["" &amp; REGEXREPLACE(JOIN("", "", QUERY(Data!$A$2:$K512, ""SELECT K WHERE B = """"""&amp;B372&amp;"""""""")), ""(\d+)"", """"""$1"""""") &amp; ""]"", """"),
   IFERROR(""["" &amp; REGEXREPLACE(JOIN("", "", QUERY(Data!$A$2:$K"&amp;"512, ""SELECT K WHERE B = '""&amp;B372&amp;""'"")), ""(\d+)"", """"""$1"""""") &amp; ""]"", """")
)"),"[""24""]")</f>
        <v>["24"]</v>
      </c>
      <c r="F372" s="124"/>
      <c r="G372" s="124"/>
      <c r="H372" s="124"/>
      <c r="I372" s="124"/>
    </row>
    <row r="373">
      <c r="A373" s="126">
        <v>1315.0</v>
      </c>
      <c r="B373" s="126" t="s">
        <v>3660</v>
      </c>
      <c r="C373" s="124" t="s">
        <v>3660</v>
      </c>
      <c r="D373" s="124"/>
      <c r="E373" s="124" t="str">
        <f>IFERROR(__xludf.DUMMYFUNCTION("IF(
   ISNUMBER(FIND(""'"", B373)),
   IFERROR(""["" &amp; REGEXREPLACE(JOIN("", "", QUERY(Data!$A$2:$K512, ""SELECT K WHERE B = """"""&amp;B373&amp;"""""""")), ""(\d+)"", """"""$1"""""") &amp; ""]"", """"),
   IFERROR(""["" &amp; REGEXREPLACE(JOIN("", "", QUERY(Data!$A$2:$K"&amp;"512, ""SELECT K WHERE B = '""&amp;B373&amp;""'"")), ""(\d+)"", """"""$1"""""") &amp; ""]"", """")
)"),"[""11"", ""12"", ""65""]")</f>
        <v>["11", "12", "65"]</v>
      </c>
      <c r="F373" s="124"/>
      <c r="G373" s="124"/>
      <c r="H373" s="124"/>
      <c r="I373" s="124"/>
    </row>
    <row r="374">
      <c r="A374" s="126">
        <v>1403.0</v>
      </c>
      <c r="B374" s="126" t="s">
        <v>3671</v>
      </c>
      <c r="C374" s="124" t="s">
        <v>3696</v>
      </c>
      <c r="D374" s="124">
        <v>500000.0</v>
      </c>
      <c r="E374" s="124" t="str">
        <f>IFERROR(__xludf.DUMMYFUNCTION("IF(
   ISNUMBER(FIND(""'"", B374)),
   IFERROR(""["" &amp; REGEXREPLACE(JOIN("", "", QUERY(Data!$A$2:$K512, ""SELECT K WHERE B = """"""&amp;B374&amp;"""""""")), ""(\d+)"", """"""$1"""""") &amp; ""]"", """"),
   IFERROR(""["" &amp; REGEXREPLACE(JOIN("", "", QUERY(Data!$A$2:$K"&amp;"512, ""SELECT K WHERE B = '""&amp;B374&amp;""'"")), ""(\d+)"", """"""$1"""""") &amp; ""]"", """")
)"),"[""21""]")</f>
        <v>["21"]</v>
      </c>
      <c r="F374" s="124"/>
      <c r="G374" s="124"/>
      <c r="H374" s="124"/>
      <c r="I374" s="124"/>
    </row>
    <row r="375">
      <c r="A375" s="126">
        <v>1404.0</v>
      </c>
      <c r="B375" s="126" t="s">
        <v>3680</v>
      </c>
      <c r="C375" s="124" t="s">
        <v>3696</v>
      </c>
      <c r="D375" s="124"/>
      <c r="E375" s="124" t="str">
        <f>IFERROR(__xludf.DUMMYFUNCTION("IF(
   ISNUMBER(FIND(""'"", B375)),
   IFERROR(""["" &amp; REGEXREPLACE(JOIN("", "", QUERY(Data!$A$2:$K512, ""SELECT K WHERE B = """"""&amp;B375&amp;"""""""")), ""(\d+)"", """"""$1"""""") &amp; ""]"", """"),
   IFERROR(""["" &amp; REGEXREPLACE(JOIN("", "", QUERY(Data!$A$2:$K"&amp;"512, ""SELECT K WHERE B = '""&amp;B375&amp;""'"")), ""(\d+)"", """"""$1"""""") &amp; ""]"", """")
)"),"[""21""]")</f>
        <v>["21"]</v>
      </c>
      <c r="F375" s="124"/>
      <c r="G375" s="124"/>
      <c r="H375" s="124"/>
      <c r="I375" s="124"/>
    </row>
    <row r="376">
      <c r="A376" s="126">
        <v>1413.0</v>
      </c>
      <c r="B376" s="126" t="s">
        <v>3687</v>
      </c>
      <c r="C376" s="124" t="s">
        <v>3696</v>
      </c>
      <c r="D376" s="124"/>
      <c r="E376" s="124" t="str">
        <f>IFERROR(__xludf.DUMMYFUNCTION("IF(
   ISNUMBER(FIND(""'"", B376)),
   IFERROR(""["" &amp; REGEXREPLACE(JOIN("", "", QUERY(Data!$A$2:$K512, ""SELECT K WHERE B = """"""&amp;B376&amp;"""""""")), ""(\d+)"", """"""$1"""""") &amp; ""]"", """"),
   IFERROR(""["" &amp; REGEXREPLACE(JOIN("", "", QUERY(Data!$A$2:$K"&amp;"512, ""SELECT K WHERE B = '""&amp;B376&amp;""'"")), ""(\d+)"", """"""$1"""""") &amp; ""]"", """")
)"),"[""22""]")</f>
        <v>["22"]</v>
      </c>
      <c r="F376" s="124"/>
      <c r="G376" s="124"/>
      <c r="H376" s="124"/>
      <c r="I376" s="124"/>
    </row>
    <row r="377">
      <c r="A377" s="125">
        <v>1165.0</v>
      </c>
      <c r="B377" s="125" t="s">
        <v>3696</v>
      </c>
      <c r="C377" s="124" t="s">
        <v>3696</v>
      </c>
      <c r="D377" s="124"/>
      <c r="E377" s="124" t="str">
        <f>IFERROR(__xludf.DUMMYFUNCTION("IF(
   ISNUMBER(FIND(""'"", B377)),
   IFERROR(""["" &amp; REGEXREPLACE(JOIN("", "", QUERY(Data!$A$2:$K512, ""SELECT K WHERE B = """"""&amp;B377&amp;"""""""")), ""(\d+)"", """"""$1"""""") &amp; ""]"", """"),
   IFERROR(""["" &amp; REGEXREPLACE(JOIN("", "", QUERY(Data!$A$2:$K"&amp;"512, ""SELECT K WHERE B = '""&amp;B377&amp;""'"")), ""(\d+)"", """"""$1"""""") &amp; ""]"", """")
)"),"[""11"", ""13"", ""64""]")</f>
        <v>["11", "13", "64"]</v>
      </c>
      <c r="F377" s="124"/>
      <c r="G377" s="124"/>
      <c r="H377" s="124"/>
      <c r="I377" s="124"/>
    </row>
    <row r="378">
      <c r="A378" s="125">
        <v>1166.0</v>
      </c>
      <c r="B378" s="125" t="s">
        <v>3707</v>
      </c>
      <c r="C378" s="124" t="s">
        <v>3707</v>
      </c>
      <c r="D378" s="124"/>
      <c r="E378" s="124" t="str">
        <f>IFERROR(__xludf.DUMMYFUNCTION("IF(
   ISNUMBER(FIND(""'"", B378)),
   IFERROR(""["" &amp; REGEXREPLACE(JOIN("", "", QUERY(Data!$A$2:$K512, ""SELECT K WHERE B = """"""&amp;B378&amp;"""""""")), ""(\d+)"", """"""$1"""""") &amp; ""]"", """"),
   IFERROR(""["" &amp; REGEXREPLACE(JOIN("", "", QUERY(Data!$A$2:$K"&amp;"512, ""SELECT K WHERE B = '""&amp;B378&amp;""'"")), ""(\d+)"", """"""$1"""""") &amp; ""]"", """")
)"),"[""31"", ""32""]")</f>
        <v>["31", "32"]</v>
      </c>
      <c r="F378" s="124"/>
      <c r="G378" s="124"/>
      <c r="H378" s="124"/>
      <c r="I378" s="124"/>
    </row>
    <row r="379">
      <c r="A379" s="125">
        <v>1167.0</v>
      </c>
      <c r="B379" s="126" t="s">
        <v>3716</v>
      </c>
      <c r="C379" s="124" t="s">
        <v>5779</v>
      </c>
      <c r="D379" s="124"/>
      <c r="E379" s="124" t="str">
        <f>IFERROR(__xludf.DUMMYFUNCTION("IF(
   ISNUMBER(FIND(""'"", B379)),
   IFERROR(""["" &amp; REGEXREPLACE(JOIN("", "", QUERY(Data!$A$2:$K512, ""SELECT K WHERE B = """"""&amp;B379&amp;"""""""")), ""(\d+)"", """"""$1"""""") &amp; ""]"", """"),
   IFERROR(""["" &amp; REGEXREPLACE(JOIN("", "", QUERY(Data!$A$2:$K"&amp;"512, ""SELECT K WHERE B = '""&amp;B379&amp;""'"")), ""(\d+)"", """"""$1"""""") &amp; ""]"", """")
)"),"[""34""]")</f>
        <v>["34"]</v>
      </c>
      <c r="F379" s="124"/>
      <c r="G379" s="124"/>
      <c r="H379" s="124"/>
      <c r="I379" s="124"/>
    </row>
    <row r="380">
      <c r="A380" s="126">
        <v>1409.0</v>
      </c>
      <c r="B380" s="126" t="s">
        <v>3723</v>
      </c>
      <c r="C380" s="126" t="s">
        <v>5779</v>
      </c>
      <c r="D380" s="124"/>
      <c r="E380" s="124" t="str">
        <f>IFERROR(__xludf.DUMMYFUNCTION("IF(
   ISNUMBER(FIND(""'"", B380)),
   IFERROR(""["" &amp; REGEXREPLACE(JOIN("", "", QUERY(Data!$A$2:$K512, ""SELECT K WHERE B = """"""&amp;B380&amp;"""""""")), ""(\d+)"", """"""$1"""""") &amp; ""]"", """"),
   IFERROR(""["" &amp; REGEXREPLACE(JOIN("", "", QUERY(Data!$A$2:$K"&amp;"512, ""SELECT K WHERE B = '""&amp;B380&amp;""'"")), ""(\d+)"", """"""$1"""""") &amp; ""]"", """")
)"),"[""34""]")</f>
        <v>["34"]</v>
      </c>
      <c r="F380" s="124"/>
      <c r="G380" s="124"/>
      <c r="H380" s="124"/>
      <c r="I380" s="124"/>
    </row>
    <row r="381">
      <c r="A381" s="126">
        <v>1410.0</v>
      </c>
      <c r="B381" s="126" t="s">
        <v>3727</v>
      </c>
      <c r="C381" s="126" t="s">
        <v>3727</v>
      </c>
      <c r="D381" s="124"/>
      <c r="E381" s="124" t="str">
        <f>IFERROR(__xludf.DUMMYFUNCTION("IF(
   ISNUMBER(FIND(""'"", B381)),
   IFERROR(""["" &amp; REGEXREPLACE(JOIN("", "", QUERY(Data!$A$2:$K512, ""SELECT K WHERE B = """"""&amp;B381&amp;"""""""")), ""(\d+)"", """"""$1"""""") &amp; ""]"", """"),
   IFERROR(""["" &amp; REGEXREPLACE(JOIN("", "", QUERY(Data!$A$2:$K"&amp;"512, ""SELECT K WHERE B = '""&amp;B381&amp;""'"")), ""(\d+)"", """"""$1"""""") &amp; ""]"", """")
)"),"[""21""]")</f>
        <v>["21"]</v>
      </c>
      <c r="F381" s="124"/>
      <c r="G381" s="124"/>
      <c r="H381" s="124"/>
      <c r="I381" s="124"/>
    </row>
    <row r="382">
      <c r="A382" s="125">
        <v>1168.0</v>
      </c>
      <c r="B382" s="126" t="s">
        <v>3734</v>
      </c>
      <c r="C382" s="124" t="s">
        <v>3734</v>
      </c>
      <c r="D382" s="124"/>
      <c r="E382" s="124" t="str">
        <f>IFERROR(__xludf.DUMMYFUNCTION("IF(
   ISNUMBER(FIND(""'"", B382)),
   IFERROR(""["" &amp; REGEXREPLACE(JOIN("", "", QUERY(Data!$A$2:$K512, ""SELECT K WHERE B = """"""&amp;B382&amp;"""""""")), ""(\d+)"", """"""$1"""""") &amp; ""]"", """"),
   IFERROR(""["" &amp; REGEXREPLACE(JOIN("", "", QUERY(Data!$A$2:$K"&amp;"512, ""SELECT K WHERE B = '""&amp;B382&amp;""'"")), ""(\d+)"", """"""$1"""""") &amp; ""]"", """")
)"),"[""24""]")</f>
        <v>["24"]</v>
      </c>
      <c r="F382" s="124"/>
      <c r="G382" s="124"/>
      <c r="H382" s="124"/>
      <c r="I382" s="124"/>
    </row>
    <row r="383">
      <c r="A383" s="125">
        <v>1169.0</v>
      </c>
      <c r="B383" s="125" t="s">
        <v>3741</v>
      </c>
      <c r="C383" s="124" t="s">
        <v>3741</v>
      </c>
      <c r="D383" s="124"/>
      <c r="E383" s="124" t="str">
        <f>IFERROR(__xludf.DUMMYFUNCTION("IF(
   ISNUMBER(FIND(""'"", B383)),
   IFERROR(""["" &amp; REGEXREPLACE(JOIN("", "", QUERY(Data!$A$2:$K512, ""SELECT K WHERE B = """"""&amp;B383&amp;"""""""")), ""(\d+)"", """"""$1"""""") &amp; ""]"", """"),
   IFERROR(""["" &amp; REGEXREPLACE(JOIN("", "", QUERY(Data!$A$2:$K"&amp;"512, ""SELECT K WHERE B = '""&amp;B383&amp;""'"")), ""(\d+)"", """"""$1"""""") &amp; ""]"", """")
)"),"[""13"", ""51""]")</f>
        <v>["13", "51"]</v>
      </c>
      <c r="F383" s="124"/>
      <c r="G383" s="124"/>
      <c r="H383" s="124"/>
      <c r="I383" s="124"/>
    </row>
    <row r="384">
      <c r="A384" s="126">
        <v>1339.0</v>
      </c>
      <c r="B384" s="126" t="s">
        <v>3750</v>
      </c>
      <c r="C384" s="126" t="s">
        <v>3750</v>
      </c>
      <c r="D384" s="124"/>
      <c r="E384" s="124" t="str">
        <f>IFERROR(__xludf.DUMMYFUNCTION("IF(
   ISNUMBER(FIND(""'"", B384)),
   IFERROR(""["" &amp; REGEXREPLACE(JOIN("", "", QUERY(Data!$A$2:$K512, ""SELECT K WHERE B = """"""&amp;B384&amp;"""""""")), ""(\d+)"", """"""$1"""""") &amp; ""]"", """"),
   IFERROR(""["" &amp; REGEXREPLACE(JOIN("", "", QUERY(Data!$A$2:$K"&amp;"512, ""SELECT K WHERE B = '""&amp;B384&amp;""'"")), ""(\d+)"", """"""$1"""""") &amp; ""]"", """")
)"),"[""52""]")</f>
        <v>["52"]</v>
      </c>
      <c r="F384" s="124"/>
      <c r="G384" s="124"/>
      <c r="H384" s="124"/>
      <c r="I384" s="124"/>
    </row>
    <row r="385">
      <c r="A385" s="125">
        <v>1170.0</v>
      </c>
      <c r="B385" s="125" t="s">
        <v>3763</v>
      </c>
      <c r="C385" s="124" t="s">
        <v>3763</v>
      </c>
      <c r="D385" s="124"/>
      <c r="E385" s="124" t="str">
        <f>IFERROR(__xludf.DUMMYFUNCTION("IF(
   ISNUMBER(FIND(""'"", B385)),
   IFERROR(""["" &amp; REGEXREPLACE(JOIN("", "", QUERY(Data!$A$2:$K512, ""SELECT K WHERE B = """"""&amp;B385&amp;"""""""")), ""(\d+)"", """"""$1"""""") &amp; ""]"", """"),
   IFERROR(""["" &amp; REGEXREPLACE(JOIN("", "", QUERY(Data!$A$2:$K"&amp;"512, ""SELECT K WHERE B = '""&amp;B385&amp;""'"")), ""(\d+)"", """"""$1"""""") &amp; ""]"", """")
)"),"[""12""]")</f>
        <v>["12"]</v>
      </c>
      <c r="F385" s="124"/>
      <c r="G385" s="124"/>
      <c r="H385" s="124"/>
      <c r="I385" s="124"/>
    </row>
    <row r="386">
      <c r="A386" s="125">
        <v>1172.0</v>
      </c>
      <c r="B386" s="126" t="s">
        <v>3777</v>
      </c>
      <c r="C386" s="124" t="s">
        <v>3777</v>
      </c>
      <c r="D386" s="124"/>
      <c r="E386" s="124" t="str">
        <f>IFERROR(__xludf.DUMMYFUNCTION("IF(
   ISNUMBER(FIND(""'"", B386)),
   IFERROR(""["" &amp; REGEXREPLACE(JOIN("", "", QUERY(Data!$A$2:$K512, ""SELECT K WHERE B = """"""&amp;B386&amp;"""""""")), ""(\d+)"", """"""$1"""""") &amp; ""]"", """"),
   IFERROR(""["" &amp; REGEXREPLACE(JOIN("", "", QUERY(Data!$A$2:$K"&amp;"512, ""SELECT K WHERE B = '""&amp;B386&amp;""'"")), ""(\d+)"", """"""$1"""""") &amp; ""]"", """")
)"),"[""44"", ""44""]")</f>
        <v>["44", "44"]</v>
      </c>
      <c r="F386" s="124"/>
      <c r="G386" s="124"/>
      <c r="H386" s="124"/>
      <c r="I386" s="124"/>
    </row>
    <row r="387">
      <c r="A387" s="125">
        <v>1173.0</v>
      </c>
      <c r="B387" s="125" t="s">
        <v>3788</v>
      </c>
      <c r="C387" s="124" t="s">
        <v>3788</v>
      </c>
      <c r="D387" s="124">
        <v>200000.0</v>
      </c>
      <c r="E387" s="124" t="str">
        <f>IFERROR(__xludf.DUMMYFUNCTION("IF(
   ISNUMBER(FIND(""'"", B387)),
   IFERROR(""["" &amp; REGEXREPLACE(JOIN("", "", QUERY(Data!$A$2:$K512, ""SELECT K WHERE B = """"""&amp;B387&amp;"""""""")), ""(\d+)"", """"""$1"""""") &amp; ""]"", """"),
   IFERROR(""["" &amp; REGEXREPLACE(JOIN("", "", QUERY(Data!$A$2:$K"&amp;"512, ""SELECT K WHERE B = '""&amp;B387&amp;""'"")), ""(\d+)"", """"""$1"""""") &amp; ""]"", """")
)"),"[""11"", ""12"", ""13"", ""14"", ""64""]")</f>
        <v>["11", "12", "13", "14", "64"]</v>
      </c>
      <c r="F387" s="124"/>
      <c r="G387" s="124"/>
      <c r="H387" s="124"/>
      <c r="I387" s="124"/>
    </row>
    <row r="388">
      <c r="A388" s="125">
        <v>1006.0</v>
      </c>
      <c r="B388" s="136" t="s">
        <v>347</v>
      </c>
      <c r="C388" s="124" t="s">
        <v>5780</v>
      </c>
      <c r="D388" s="124">
        <v>4900000.0</v>
      </c>
      <c r="E388" s="124" t="str">
        <f>IFERROR(__xludf.DUMMYFUNCTION("IF(
   ISNUMBER(FIND(""'"", B388)),
   IFERROR(""["" &amp; REGEXREPLACE(JOIN("", "", QUERY(Data!$A$2:$K512, ""SELECT K WHERE B = """"""&amp;B388&amp;"""""""")), ""(\d+)"", """"""$1"""""") &amp; ""]"", """"),
   IFERROR(""["" &amp; REGEXREPLACE(JOIN("", "", QUERY(Data!$A$2:$K"&amp;"512, ""SELECT K WHERE B = '""&amp;B388&amp;""'"")), ""(\d+)"", """"""$1"""""") &amp; ""]"", """")
)"),"[""11"", ""12"", ""13""]")</f>
        <v>["11", "12", "13"]</v>
      </c>
      <c r="F388" s="124"/>
      <c r="G388" s="124"/>
      <c r="H388" s="124"/>
      <c r="I388" s="124"/>
    </row>
    <row r="389">
      <c r="A389" s="125">
        <v>1029.0</v>
      </c>
      <c r="B389" s="125" t="s">
        <v>908</v>
      </c>
      <c r="C389" s="124" t="s">
        <v>5780</v>
      </c>
      <c r="D389" s="124">
        <v>4900000.0</v>
      </c>
      <c r="E389" s="124" t="str">
        <f>IFERROR(__xludf.DUMMYFUNCTION("IF(
   ISNUMBER(FIND(""'"", B389)),
   IFERROR(""["" &amp; REGEXREPLACE(JOIN("", "", QUERY(Data!$A$2:$K512, ""SELECT K WHERE B = """"""&amp;B389&amp;"""""""")), ""(\d+)"", """"""$1"""""") &amp; ""]"", """"),
   IFERROR(""["" &amp; REGEXREPLACE(JOIN("", "", QUERY(Data!$A$2:$K"&amp;"512, ""SELECT K WHERE B = '""&amp;B389&amp;""'"")), ""(\d+)"", """"""$1"""""") &amp; ""]"", """")
)"),"[""13""]")</f>
        <v>["13"]</v>
      </c>
      <c r="F389" s="124"/>
      <c r="G389" s="124"/>
      <c r="H389" s="124"/>
      <c r="I389" s="124"/>
    </row>
    <row r="390">
      <c r="A390" s="125">
        <v>1071.0</v>
      </c>
      <c r="B390" s="125" t="s">
        <v>1638</v>
      </c>
      <c r="C390" s="124" t="s">
        <v>5780</v>
      </c>
      <c r="D390" s="124">
        <v>4900000.0</v>
      </c>
      <c r="E390" s="124" t="str">
        <f>IFERROR(__xludf.DUMMYFUNCTION("IF(
   ISNUMBER(FIND(""'"", B390)),
   IFERROR(""["" &amp; REGEXREPLACE(JOIN("", "", QUERY(Data!$A$2:$K512, ""SELECT K WHERE B = """"""&amp;B390&amp;"""""""")), ""(\d+)"", """"""$1"""""") &amp; ""]"", """"),
   IFERROR(""["" &amp; REGEXREPLACE(JOIN("", "", QUERY(Data!$A$2:$K"&amp;"512, ""SELECT K WHERE B = '""&amp;B390&amp;""'"")), ""(\d+)"", """"""$1"""""") &amp; ""]"", """")
)"),"[""11"", ""12"", ""13""]")</f>
        <v>["11", "12", "13"]</v>
      </c>
      <c r="F390" s="124"/>
      <c r="G390" s="124"/>
      <c r="H390" s="124"/>
      <c r="I390" s="124"/>
    </row>
    <row r="391">
      <c r="A391" s="125">
        <v>1092.0</v>
      </c>
      <c r="B391" s="125" t="s">
        <v>2315</v>
      </c>
      <c r="C391" s="124" t="s">
        <v>5780</v>
      </c>
      <c r="D391" s="124">
        <v>4900000.0</v>
      </c>
      <c r="E391" s="124" t="str">
        <f>IFERROR(__xludf.DUMMYFUNCTION("IF(
   ISNUMBER(FIND(""'"", B391)),
   IFERROR(""["" &amp; REGEXREPLACE(JOIN("", "", QUERY(Data!$A$2:$K512, ""SELECT K WHERE B = """"""&amp;B391&amp;"""""""")), ""(\d+)"", """"""$1"""""") &amp; ""]"", """"),
   IFERROR(""["" &amp; REGEXREPLACE(JOIN("", "", QUERY(Data!$A$2:$K"&amp;"512, ""SELECT K WHERE B = '""&amp;B391&amp;""'"")), ""(\d+)"", """"""$1"""""") &amp; ""]"", """")
)"),"[""11"", ""12"", ""13""]")</f>
        <v>["11", "12", "13"]</v>
      </c>
      <c r="F391" s="124"/>
      <c r="G391" s="124"/>
      <c r="H391" s="124"/>
      <c r="I391" s="124"/>
    </row>
    <row r="392">
      <c r="A392" s="125">
        <v>1093.0</v>
      </c>
      <c r="B392" s="125" t="s">
        <v>2327</v>
      </c>
      <c r="C392" s="124" t="s">
        <v>5780</v>
      </c>
      <c r="D392" s="124">
        <v>4900000.0</v>
      </c>
      <c r="E392" s="124" t="str">
        <f>IFERROR(__xludf.DUMMYFUNCTION("IF(
   ISNUMBER(FIND(""'"", B392)),
   IFERROR(""["" &amp; REGEXREPLACE(JOIN("", "", QUERY(Data!$A$2:$K512, ""SELECT K WHERE B = """"""&amp;B392&amp;"""""""")), ""(\d+)"", """"""$1"""""") &amp; ""]"", """"),
   IFERROR(""["" &amp; REGEXREPLACE(JOIN("", "", QUERY(Data!$A$2:$K"&amp;"512, ""SELECT K WHERE B = '""&amp;B392&amp;""'"")), ""(\d+)"", """"""$1"""""") &amp; ""]"", """")
)"),"[""11"", ""12""]")</f>
        <v>["11", "12"]</v>
      </c>
      <c r="F392" s="124"/>
      <c r="G392" s="124"/>
      <c r="H392" s="124"/>
      <c r="I392" s="124"/>
    </row>
    <row r="393">
      <c r="A393" s="125">
        <v>1095.0</v>
      </c>
      <c r="B393" s="125" t="s">
        <v>2344</v>
      </c>
      <c r="C393" s="124" t="s">
        <v>5780</v>
      </c>
      <c r="D393" s="124">
        <v>4900000.0</v>
      </c>
      <c r="E393" s="124" t="str">
        <f>IFERROR(__xludf.DUMMYFUNCTION("IF(
   ISNUMBER(FIND(""'"", B393)),
   IFERROR(""["" &amp; REGEXREPLACE(JOIN("", "", QUERY(Data!$A$2:$K512, ""SELECT K WHERE B = """"""&amp;B393&amp;"""""""")), ""(\d+)"", """"""$1"""""") &amp; ""]"", """"),
   IFERROR(""["" &amp; REGEXREPLACE(JOIN("", "", QUERY(Data!$A$2:$K"&amp;"512, ""SELECT K WHERE B = '""&amp;B393&amp;""'"")), ""(\d+)"", """"""$1"""""") &amp; ""]"", """")
)"),"[""11"", ""12""]")</f>
        <v>["11", "12"]</v>
      </c>
      <c r="F393" s="124"/>
      <c r="G393" s="124"/>
      <c r="H393" s="124"/>
      <c r="I393" s="124"/>
    </row>
    <row r="394">
      <c r="A394" s="125">
        <v>1096.0</v>
      </c>
      <c r="B394" s="125" t="s">
        <v>2354</v>
      </c>
      <c r="C394" s="124" t="s">
        <v>5780</v>
      </c>
      <c r="D394" s="124">
        <v>4900000.0</v>
      </c>
      <c r="E394" s="124" t="str">
        <f>IFERROR(__xludf.DUMMYFUNCTION("IF(
   ISNUMBER(FIND(""'"", B394)),
   IFERROR(""["" &amp; REGEXREPLACE(JOIN("", "", QUERY(Data!$A$2:$K512, ""SELECT K WHERE B = """"""&amp;B394&amp;"""""""")), ""(\d+)"", """"""$1"""""") &amp; ""]"", """"),
   IFERROR(""["" &amp; REGEXREPLACE(JOIN("", "", QUERY(Data!$A$2:$K"&amp;"512, ""SELECT K WHERE B = '""&amp;B394&amp;""'"")), ""(\d+)"", """"""$1"""""") &amp; ""]"", """")
)"),"[""11"", ""12"", ""13"", ""14""]")</f>
        <v>["11", "12", "13", "14"]</v>
      </c>
      <c r="F394" s="124"/>
      <c r="G394" s="124"/>
      <c r="H394" s="124"/>
      <c r="I394" s="124"/>
    </row>
    <row r="395">
      <c r="A395" s="125">
        <v>1141.0</v>
      </c>
      <c r="B395" s="125" t="s">
        <v>3404</v>
      </c>
      <c r="C395" s="124" t="s">
        <v>5780</v>
      </c>
      <c r="D395" s="124">
        <v>4900000.0</v>
      </c>
      <c r="E395" s="124" t="str">
        <f>IFERROR(__xludf.DUMMYFUNCTION("IF(
   ISNUMBER(FIND(""'"", B395)),
   IFERROR(""["" &amp; REGEXREPLACE(JOIN("", "", QUERY(Data!$A$2:$K512, ""SELECT K WHERE B = """"""&amp;B395&amp;"""""""")), ""(\d+)"", """"""$1"""""") &amp; ""]"", """"),
   IFERROR(""["" &amp; REGEXREPLACE(JOIN("", "", QUERY(Data!$A$2:$K"&amp;"512, ""SELECT K WHERE B = '""&amp;B395&amp;""'"")), ""(\d+)"", """"""$1"""""") &amp; ""]"", """")
)"),"[""11"", ""12"", ""13""]")</f>
        <v>["11", "12", "13"]</v>
      </c>
      <c r="F395" s="124"/>
      <c r="G395" s="124"/>
      <c r="H395" s="124"/>
      <c r="I395" s="124"/>
    </row>
    <row r="396">
      <c r="A396" s="125">
        <v>1143.0</v>
      </c>
      <c r="B396" s="125" t="s">
        <v>3415</v>
      </c>
      <c r="C396" s="124" t="s">
        <v>5780</v>
      </c>
      <c r="D396" s="124">
        <v>4900000.0</v>
      </c>
      <c r="E396" s="124" t="str">
        <f>IFERROR(__xludf.DUMMYFUNCTION("IF(
   ISNUMBER(FIND(""'"", B396)),
   IFERROR(""["" &amp; REGEXREPLACE(JOIN("", "", QUERY(Data!$A$2:$K512, ""SELECT K WHERE B = """"""&amp;B396&amp;"""""""")), ""(\d+)"", """"""$1"""""") &amp; ""]"", """"),
   IFERROR(""["" &amp; REGEXREPLACE(JOIN("", "", QUERY(Data!$A$2:$K"&amp;"512, ""SELECT K WHERE B = '""&amp;B396&amp;""'"")), ""(\d+)"", """"""$1"""""") &amp; ""]"", """")
)"),"[""13""]")</f>
        <v>["13"]</v>
      </c>
      <c r="F396" s="124"/>
      <c r="G396" s="124"/>
      <c r="H396" s="124"/>
      <c r="I396" s="124"/>
    </row>
    <row r="397">
      <c r="A397" s="125">
        <v>1161.0</v>
      </c>
      <c r="B397" s="125" t="s">
        <v>3618</v>
      </c>
      <c r="C397" s="124" t="s">
        <v>5780</v>
      </c>
      <c r="D397" s="124">
        <v>4900000.0</v>
      </c>
      <c r="E397" s="124" t="str">
        <f>IFERROR(__xludf.DUMMYFUNCTION("IF(
   ISNUMBER(FIND(""'"", B397)),
   IFERROR(""["" &amp; REGEXREPLACE(JOIN("", "", QUERY(Data!$A$2:$K512, ""SELECT K WHERE B = """"""&amp;B397&amp;"""""""")), ""(\d+)"", """"""$1"""""") &amp; ""]"", """"),
   IFERROR(""["" &amp; REGEXREPLACE(JOIN("", "", QUERY(Data!$A$2:$K"&amp;"512, ""SELECT K WHERE B = '""&amp;B397&amp;""'"")), ""(\d+)"", """"""$1"""""") &amp; ""]"", """")
)"),"[""11"", ""12"", ""13"", ""14""]")</f>
        <v>["11", "12", "13", "14"]</v>
      </c>
      <c r="F397" s="124"/>
      <c r="G397" s="124"/>
      <c r="H397" s="124"/>
      <c r="I397" s="124"/>
    </row>
    <row r="398">
      <c r="A398" s="125">
        <v>1163.0</v>
      </c>
      <c r="B398" s="125" t="s">
        <v>3634</v>
      </c>
      <c r="C398" s="124" t="s">
        <v>5780</v>
      </c>
      <c r="D398" s="124">
        <v>4900000.0</v>
      </c>
      <c r="E398" s="124" t="str">
        <f>IFERROR(__xludf.DUMMYFUNCTION("IF(
   ISNUMBER(FIND(""'"", B398)),
   IFERROR(""["" &amp; REGEXREPLACE(JOIN("", "", QUERY(Data!$A$2:$K512, ""SELECT K WHERE B = """"""&amp;B398&amp;"""""""")), ""(\d+)"", """"""$1"""""") &amp; ""]"", """"),
   IFERROR(""["" &amp; REGEXREPLACE(JOIN("", "", QUERY(Data!$A$2:$K"&amp;"512, ""SELECT K WHERE B = '""&amp;B398&amp;""'"")), ""(\d+)"", """"""$1"""""") &amp; ""]"", """")
)"),"[""11"", ""12"", ""13""]")</f>
        <v>["11", "12", "13"]</v>
      </c>
      <c r="F398" s="124"/>
      <c r="G398" s="124"/>
      <c r="H398" s="124"/>
      <c r="I398" s="124"/>
    </row>
    <row r="399">
      <c r="A399" s="125">
        <v>1171.0</v>
      </c>
      <c r="B399" s="125" t="s">
        <v>3768</v>
      </c>
      <c r="C399" s="124" t="s">
        <v>5780</v>
      </c>
      <c r="D399" s="124">
        <v>4900000.0</v>
      </c>
      <c r="E399" s="124" t="str">
        <f>IFERROR(__xludf.DUMMYFUNCTION("IF(
   ISNUMBER(FIND(""'"", B399)),
   IFERROR(""["" &amp; REGEXREPLACE(JOIN("", "", QUERY(Data!$A$2:$K512, ""SELECT K WHERE B = """"""&amp;B399&amp;"""""""")), ""(\d+)"", """"""$1"""""") &amp; ""]"", """"),
   IFERROR(""["" &amp; REGEXREPLACE(JOIN("", "", QUERY(Data!$A$2:$K"&amp;"512, ""SELECT K WHERE B = '""&amp;B399&amp;""'"")), ""(\d+)"", """"""$1"""""") &amp; ""]"", """")
)"),"[""11"", ""12"", ""13""]")</f>
        <v>["11", "12", "13"]</v>
      </c>
      <c r="F399" s="124"/>
      <c r="G399" s="124"/>
      <c r="H399" s="124"/>
      <c r="I399" s="124"/>
    </row>
    <row r="400">
      <c r="A400" s="125">
        <v>1177.0</v>
      </c>
      <c r="B400" s="125" t="s">
        <v>3846</v>
      </c>
      <c r="C400" s="124" t="s">
        <v>5780</v>
      </c>
      <c r="D400" s="124">
        <v>4900000.0</v>
      </c>
      <c r="E400" s="124" t="str">
        <f>IFERROR(__xludf.DUMMYFUNCTION("IF(
   ISNUMBER(FIND(""'"", B400)),
   IFERROR(""["" &amp; REGEXREPLACE(JOIN("", "", QUERY(Data!$A$2:$K512, ""SELECT K WHERE B = """"""&amp;B400&amp;"""""""")), ""(\d+)"", """"""$1"""""") &amp; ""]"", """"),
   IFERROR(""["" &amp; REGEXREPLACE(JOIN("", "", QUERY(Data!$A$2:$K"&amp;"512, ""SELECT K WHERE B = '""&amp;B400&amp;""'"")), ""(\d+)"", """"""$1"""""") &amp; ""]"", """")
)"),"[""11"", ""12"", ""13""]")</f>
        <v>["11", "12", "13"]</v>
      </c>
      <c r="F400" s="124"/>
      <c r="G400" s="124"/>
      <c r="H400" s="124"/>
      <c r="I400" s="124"/>
    </row>
    <row r="401">
      <c r="A401" s="125">
        <v>1178.0</v>
      </c>
      <c r="B401" s="125" t="s">
        <v>3855</v>
      </c>
      <c r="C401" s="124" t="s">
        <v>5780</v>
      </c>
      <c r="D401" s="124">
        <v>4900000.0</v>
      </c>
      <c r="E401" s="124" t="str">
        <f>IFERROR(__xludf.DUMMYFUNCTION("IF(
   ISNUMBER(FIND(""'"", B401)),
   IFERROR(""["" &amp; REGEXREPLACE(JOIN("", "", QUERY(Data!$A$2:$K512, ""SELECT K WHERE B = """"""&amp;B401&amp;"""""""")), ""(\d+)"", """"""$1"""""") &amp; ""]"", """"),
   IFERROR(""["" &amp; REGEXREPLACE(JOIN("", "", QUERY(Data!$A$2:$K"&amp;"512, ""SELECT K WHERE B = '""&amp;B401&amp;""'"")), ""(\d+)"", """"""$1"""""") &amp; ""]"", """")
)"),"[""11"", ""12""]")</f>
        <v>["11", "12"]</v>
      </c>
      <c r="F401" s="124"/>
      <c r="G401" s="124"/>
      <c r="H401" s="124"/>
      <c r="I401" s="124"/>
    </row>
    <row r="402">
      <c r="A402" s="125">
        <v>1179.0</v>
      </c>
      <c r="B402" s="125" t="s">
        <v>3864</v>
      </c>
      <c r="C402" s="124" t="s">
        <v>5780</v>
      </c>
      <c r="D402" s="124">
        <v>4900000.0</v>
      </c>
      <c r="E402" s="124" t="str">
        <f>IFERROR(__xludf.DUMMYFUNCTION("IF(
   ISNUMBER(FIND(""'"", B402)),
   IFERROR(""["" &amp; REGEXREPLACE(JOIN("", "", QUERY(Data!$A$2:$K512, ""SELECT K WHERE B = """"""&amp;B402&amp;"""""""")), ""(\d+)"", """"""$1"""""") &amp; ""]"", """"),
   IFERROR(""["" &amp; REGEXREPLACE(JOIN("", "", QUERY(Data!$A$2:$K"&amp;"512, ""SELECT K WHERE B = '""&amp;B402&amp;""'"")), ""(\d+)"", """"""$1"""""") &amp; ""]"", """")
)"),"[""11"", ""12"", ""13""]")</f>
        <v>["11", "12", "13"]</v>
      </c>
      <c r="F402" s="124"/>
      <c r="G402" s="124"/>
      <c r="H402" s="124"/>
      <c r="I402" s="124"/>
    </row>
    <row r="403">
      <c r="A403" s="125">
        <v>1180.0</v>
      </c>
      <c r="B403" s="125" t="s">
        <v>3875</v>
      </c>
      <c r="C403" s="124" t="s">
        <v>5780</v>
      </c>
      <c r="D403" s="124">
        <v>4900000.0</v>
      </c>
      <c r="E403" s="124" t="str">
        <f>IFERROR(__xludf.DUMMYFUNCTION("IF(
   ISNUMBER(FIND(""'"", B403)),
   IFERROR(""["" &amp; REGEXREPLACE(JOIN("", "", QUERY(Data!$A$2:$K512, ""SELECT K WHERE B = """"""&amp;B403&amp;"""""""")), ""(\d+)"", """"""$1"""""") &amp; ""]"", """"),
   IFERROR(""["" &amp; REGEXREPLACE(JOIN("", "", QUERY(Data!$A$2:$K"&amp;"512, ""SELECT K WHERE B = '""&amp;B403&amp;""'"")), ""(\d+)"", """"""$1"""""") &amp; ""]"", """")
)"),"[""11"", ""12""]")</f>
        <v>["11", "12"]</v>
      </c>
      <c r="F403" s="124"/>
      <c r="G403" s="124"/>
      <c r="H403" s="124"/>
      <c r="I403" s="124"/>
    </row>
    <row r="404">
      <c r="A404" s="125">
        <v>1181.0</v>
      </c>
      <c r="B404" s="125" t="s">
        <v>3882</v>
      </c>
      <c r="C404" s="124" t="s">
        <v>5780</v>
      </c>
      <c r="D404" s="124">
        <v>4900000.0</v>
      </c>
      <c r="E404" s="124" t="str">
        <f>IFERROR(__xludf.DUMMYFUNCTION("IF(
   ISNUMBER(FIND(""'"", B404)),
   IFERROR(""["" &amp; REGEXREPLACE(JOIN("", "", QUERY(Data!$A$2:$K512, ""SELECT K WHERE B = """"""&amp;B404&amp;"""""""")), ""(\d+)"", """"""$1"""""") &amp; ""]"", """"),
   IFERROR(""["" &amp; REGEXREPLACE(JOIN("", "", QUERY(Data!$A$2:$K"&amp;"512, ""SELECT K WHERE B = '""&amp;B404&amp;""'"")), ""(\d+)"", """"""$1"""""") &amp; ""]"", """")
)"),"[""11"", ""12""]")</f>
        <v>["11", "12"]</v>
      </c>
      <c r="F404" s="124"/>
      <c r="G404" s="124"/>
      <c r="H404" s="124"/>
      <c r="I404" s="124"/>
    </row>
    <row r="405">
      <c r="A405" s="125">
        <v>1182.0</v>
      </c>
      <c r="B405" s="125" t="s">
        <v>3890</v>
      </c>
      <c r="C405" s="124" t="s">
        <v>5780</v>
      </c>
      <c r="D405" s="124">
        <v>4900000.0</v>
      </c>
      <c r="E405" s="124" t="str">
        <f>IFERROR(__xludf.DUMMYFUNCTION("IF(
   ISNUMBER(FIND(""'"", B405)),
   IFERROR(""["" &amp; REGEXREPLACE(JOIN("", "", QUERY(Data!$A$2:$K512, ""SELECT K WHERE B = """"""&amp;B405&amp;"""""""")), ""(\d+)"", """"""$1"""""") &amp; ""]"", """"),
   IFERROR(""["" &amp; REGEXREPLACE(JOIN("", "", QUERY(Data!$A$2:$K"&amp;"512, ""SELECT K WHERE B = '""&amp;B405&amp;""'"")), ""(\d+)"", """"""$1"""""") &amp; ""]"", """")
)"),"[""13""]")</f>
        <v>["13"]</v>
      </c>
      <c r="F405" s="124"/>
      <c r="G405" s="124"/>
      <c r="H405" s="124"/>
      <c r="I405" s="124"/>
    </row>
    <row r="406">
      <c r="A406" s="125">
        <v>1183.0</v>
      </c>
      <c r="B406" s="125" t="s">
        <v>3899</v>
      </c>
      <c r="C406" s="124" t="s">
        <v>5780</v>
      </c>
      <c r="D406" s="124">
        <v>4900000.0</v>
      </c>
      <c r="E406" s="124" t="str">
        <f>IFERROR(__xludf.DUMMYFUNCTION("IF(
   ISNUMBER(FIND(""'"", B406)),
   IFERROR(""["" &amp; REGEXREPLACE(JOIN("", "", QUERY(Data!$A$2:$K512, ""SELECT K WHERE B = """"""&amp;B406&amp;"""""""")), ""(\d+)"", """"""$1"""""") &amp; ""]"", """"),
   IFERROR(""["" &amp; REGEXREPLACE(JOIN("", "", QUERY(Data!$A$2:$K"&amp;"512, ""SELECT K WHERE B = '""&amp;B406&amp;""'"")), ""(\d+)"", """"""$1"""""") &amp; ""]"", """")
)"),"[""11"", ""12"", ""13""]")</f>
        <v>["11", "12", "13"]</v>
      </c>
      <c r="F406" s="124"/>
      <c r="G406" s="124"/>
      <c r="H406" s="124"/>
      <c r="I406" s="124"/>
    </row>
    <row r="407">
      <c r="A407" s="125">
        <v>1185.0</v>
      </c>
      <c r="B407" s="125" t="s">
        <v>3920</v>
      </c>
      <c r="C407" s="124" t="s">
        <v>5780</v>
      </c>
      <c r="D407" s="124">
        <v>4900000.0</v>
      </c>
      <c r="E407" s="124" t="str">
        <f>IFERROR(__xludf.DUMMYFUNCTION("IF(
   ISNUMBER(FIND(""'"", B407)),
   IFERROR(""["" &amp; REGEXREPLACE(JOIN("", "", QUERY(Data!$A$2:$K512, ""SELECT K WHERE B = """"""&amp;B407&amp;"""""""")), ""(\d+)"", """"""$1"""""") &amp; ""]"", """"),
   IFERROR(""["" &amp; REGEXREPLACE(JOIN("", "", QUERY(Data!$A$2:$K"&amp;"512, ""SELECT K WHERE B = '""&amp;B407&amp;""'"")), ""(\d+)"", """"""$1"""""") &amp; ""]"", """")
)"),"[""11"", ""12"", ""13""]")</f>
        <v>["11", "12", "13"]</v>
      </c>
      <c r="F407" s="124"/>
      <c r="G407" s="124"/>
      <c r="H407" s="124"/>
      <c r="I407" s="124"/>
    </row>
    <row r="408">
      <c r="A408" s="125">
        <v>1186.0</v>
      </c>
      <c r="B408" s="125" t="s">
        <v>3927</v>
      </c>
      <c r="C408" s="124" t="s">
        <v>5780</v>
      </c>
      <c r="D408" s="124">
        <v>4900000.0</v>
      </c>
      <c r="E408" s="124" t="str">
        <f>IFERROR(__xludf.DUMMYFUNCTION("IF(
   ISNUMBER(FIND(""'"", B408)),
   IFERROR(""["" &amp; REGEXREPLACE(JOIN("", "", QUERY(Data!$A$2:$K512, ""SELECT K WHERE B = """"""&amp;B408&amp;"""""""")), ""(\d+)"", """"""$1"""""") &amp; ""]"", """"),
   IFERROR(""["" &amp; REGEXREPLACE(JOIN("", "", QUERY(Data!$A$2:$K"&amp;"512, ""SELECT K WHERE B = '""&amp;B408&amp;""'"")), ""(\d+)"", """"""$1"""""") &amp; ""]"", """")
)"),"[""11"", ""12"", ""13""]")</f>
        <v>["11", "12", "13"]</v>
      </c>
      <c r="F408" s="124"/>
      <c r="G408" s="124"/>
      <c r="H408" s="124"/>
      <c r="I408" s="124"/>
    </row>
    <row r="409">
      <c r="A409" s="125">
        <v>1189.0</v>
      </c>
      <c r="B409" s="125" t="s">
        <v>3954</v>
      </c>
      <c r="C409" s="124" t="s">
        <v>5780</v>
      </c>
      <c r="D409" s="124">
        <v>4900000.0</v>
      </c>
      <c r="E409" s="124" t="str">
        <f>IFERROR(__xludf.DUMMYFUNCTION("IF(
   ISNUMBER(FIND(""'"", B409)),
   IFERROR(""["" &amp; REGEXREPLACE(JOIN("", "", QUERY(Data!$A$2:$K512, ""SELECT K WHERE B = """"""&amp;B409&amp;"""""""")), ""(\d+)"", """"""$1"""""") &amp; ""]"", """"),
   IFERROR(""["" &amp; REGEXREPLACE(JOIN("", "", QUERY(Data!$A$2:$K"&amp;"512, ""SELECT K WHERE B = '""&amp;B409&amp;""'"")), ""(\d+)"", """"""$1"""""") &amp; ""]"", """")
)"),"[""11"", ""12""]")</f>
        <v>["11", "12"]</v>
      </c>
      <c r="F409" s="124"/>
      <c r="G409" s="124"/>
      <c r="H409" s="124"/>
      <c r="I409" s="124"/>
    </row>
    <row r="410">
      <c r="A410" s="125">
        <v>1190.0</v>
      </c>
      <c r="B410" s="125" t="s">
        <v>3963</v>
      </c>
      <c r="C410" s="124" t="s">
        <v>5780</v>
      </c>
      <c r="D410" s="124">
        <v>4900000.0</v>
      </c>
      <c r="E410" s="124" t="str">
        <f>IFERROR(__xludf.DUMMYFUNCTION("IF(
   ISNUMBER(FIND(""'"", B410)),
   IFERROR(""["" &amp; REGEXREPLACE(JOIN("", "", QUERY(Data!$A$2:$K512, ""SELECT K WHERE B = """"""&amp;B410&amp;"""""""")), ""(\d+)"", """"""$1"""""") &amp; ""]"", """"),
   IFERROR(""["" &amp; REGEXREPLACE(JOIN("", "", QUERY(Data!$A$2:$K"&amp;"512, ""SELECT K WHERE B = '""&amp;B410&amp;""'"")), ""(\d+)"", """"""$1"""""") &amp; ""]"", """")
)"),"[""11"", ""12"", ""13""]")</f>
        <v>["11", "12", "13"]</v>
      </c>
      <c r="F410" s="124"/>
      <c r="G410" s="124"/>
      <c r="H410" s="124"/>
      <c r="I410" s="124"/>
    </row>
    <row r="411">
      <c r="A411" s="125">
        <v>1193.0</v>
      </c>
      <c r="B411" s="125" t="s">
        <v>3993</v>
      </c>
      <c r="C411" s="124" t="s">
        <v>5780</v>
      </c>
      <c r="D411" s="124">
        <v>4900000.0</v>
      </c>
      <c r="E411" s="124" t="str">
        <f>IFERROR(__xludf.DUMMYFUNCTION("IF(
   ISNUMBER(FIND(""'"", B411)),
   IFERROR(""["" &amp; REGEXREPLACE(JOIN("", "", QUERY(Data!$A$2:$K512, ""SELECT K WHERE B = """"""&amp;B411&amp;"""""""")), ""(\d+)"", """"""$1"""""") &amp; ""]"", """"),
   IFERROR(""["" &amp; REGEXREPLACE(JOIN("", "", QUERY(Data!$A$2:$K"&amp;"512, ""SELECT K WHERE B = '""&amp;B411&amp;""'"")), ""(\d+)"", """"""$1"""""") &amp; ""]"", """")
)"),"[""11"", ""12"", ""13""]")</f>
        <v>["11", "12", "13"]</v>
      </c>
      <c r="F411" s="124"/>
      <c r="G411" s="124"/>
      <c r="H411" s="124"/>
      <c r="I411" s="124"/>
    </row>
    <row r="412">
      <c r="A412" s="125">
        <v>1195.0</v>
      </c>
      <c r="B412" s="125" t="s">
        <v>4013</v>
      </c>
      <c r="C412" s="124" t="s">
        <v>5780</v>
      </c>
      <c r="D412" s="124">
        <v>4900000.0</v>
      </c>
      <c r="E412" s="124" t="str">
        <f>IFERROR(__xludf.DUMMYFUNCTION("IF(
   ISNUMBER(FIND(""'"", B412)),
   IFERROR(""["" &amp; REGEXREPLACE(JOIN("", "", QUERY(Data!$A$2:$K512, ""SELECT K WHERE B = """"""&amp;B412&amp;"""""""")), ""(\d+)"", """"""$1"""""") &amp; ""]"", """"),
   IFERROR(""["" &amp; REGEXREPLACE(JOIN("", "", QUERY(Data!$A$2:$K"&amp;"512, ""SELECT K WHERE B = '""&amp;B412&amp;""'"")), ""(\d+)"", """"""$1"""""") &amp; ""]"", """")
)"),"[""11"", ""12""]")</f>
        <v>["11", "12"]</v>
      </c>
      <c r="F412" s="124"/>
      <c r="G412" s="124"/>
      <c r="H412" s="124"/>
      <c r="I412" s="124"/>
    </row>
    <row r="413">
      <c r="A413" s="125">
        <v>1197.0</v>
      </c>
      <c r="B413" s="125" t="s">
        <v>4031</v>
      </c>
      <c r="C413" s="124" t="s">
        <v>5780</v>
      </c>
      <c r="D413" s="124">
        <v>4900000.0</v>
      </c>
      <c r="E413" s="124" t="str">
        <f>IFERROR(__xludf.DUMMYFUNCTION("IF(
   ISNUMBER(FIND(""'"", B413)),
   IFERROR(""["" &amp; REGEXREPLACE(JOIN("", "", QUERY(Data!$A$2:$K512, ""SELECT K WHERE B = """"""&amp;B413&amp;"""""""")), ""(\d+)"", """"""$1"""""") &amp; ""]"", """"),
   IFERROR(""["" &amp; REGEXREPLACE(JOIN("", "", QUERY(Data!$A$2:$K"&amp;"512, ""SELECT K WHERE B = '""&amp;B413&amp;""'"")), ""(\d+)"", """"""$1"""""") &amp; ""]"", """")
)"),"[""13""]")</f>
        <v>["13"]</v>
      </c>
      <c r="F413" s="124"/>
      <c r="G413" s="124"/>
      <c r="H413" s="124"/>
      <c r="I413" s="124"/>
    </row>
    <row r="414">
      <c r="A414" s="125">
        <v>1198.0</v>
      </c>
      <c r="B414" s="125" t="s">
        <v>4040</v>
      </c>
      <c r="C414" s="124" t="s">
        <v>5780</v>
      </c>
      <c r="D414" s="124">
        <v>4900000.0</v>
      </c>
      <c r="E414" s="124" t="str">
        <f>IFERROR(__xludf.DUMMYFUNCTION("IF(
   ISNUMBER(FIND(""'"", B414)),
   IFERROR(""["" &amp; REGEXREPLACE(JOIN("", "", QUERY(Data!$A$2:$K512, ""SELECT K WHERE B = """"""&amp;B414&amp;"""""""")), ""(\d+)"", """"""$1"""""") &amp; ""]"", """"),
   IFERROR(""["" &amp; REGEXREPLACE(JOIN("", "", QUERY(Data!$A$2:$K"&amp;"512, ""SELECT K WHERE B = '""&amp;B414&amp;""'"")), ""(\d+)"", """"""$1"""""") &amp; ""]"", """")
)"),"[""12"", ""13""]")</f>
        <v>["12", "13"]</v>
      </c>
      <c r="F414" s="124"/>
      <c r="G414" s="124"/>
      <c r="H414" s="124"/>
      <c r="I414" s="124"/>
    </row>
    <row r="415">
      <c r="A415" s="125">
        <v>1199.0</v>
      </c>
      <c r="B415" s="125" t="s">
        <v>4051</v>
      </c>
      <c r="C415" s="124" t="s">
        <v>5780</v>
      </c>
      <c r="D415" s="124">
        <v>4900000.0</v>
      </c>
      <c r="E415" s="124" t="str">
        <f>IFERROR(__xludf.DUMMYFUNCTION("IF(
   ISNUMBER(FIND(""'"", B415)),
   IFERROR(""["" &amp; REGEXREPLACE(JOIN("", "", QUERY(Data!$A$2:$K512, ""SELECT K WHERE B = """"""&amp;B415&amp;"""""""")), ""(\d+)"", """"""$1"""""") &amp; ""]"", """"),
   IFERROR(""["" &amp; REGEXREPLACE(JOIN("", "", QUERY(Data!$A$2:$K"&amp;"512, ""SELECT K WHERE B = '""&amp;B415&amp;""'"")), ""(\d+)"", """"""$1"""""") &amp; ""]"", """")
)"),"[""11"", ""12""]")</f>
        <v>["11", "12"]</v>
      </c>
      <c r="F415" s="124"/>
      <c r="G415" s="124"/>
      <c r="H415" s="124"/>
      <c r="I415" s="124"/>
    </row>
    <row r="416">
      <c r="A416" s="125">
        <v>1201.0</v>
      </c>
      <c r="B416" s="125" t="s">
        <v>4067</v>
      </c>
      <c r="C416" s="124" t="s">
        <v>5780</v>
      </c>
      <c r="D416" s="124">
        <v>4900000.0</v>
      </c>
      <c r="E416" s="124" t="str">
        <f>IFERROR(__xludf.DUMMYFUNCTION("IF(
   ISNUMBER(FIND(""'"", B416)),
   IFERROR(""["" &amp; REGEXREPLACE(JOIN("", "", QUERY(Data!$A$2:$K512, ""SELECT K WHERE B = """"""&amp;B416&amp;"""""""")), ""(\d+)"", """"""$1"""""") &amp; ""]"", """"),
   IFERROR(""["" &amp; REGEXREPLACE(JOIN("", "", QUERY(Data!$A$2:$K"&amp;"512, ""SELECT K WHERE B = '""&amp;B416&amp;""'"")), ""(\d+)"", """"""$1"""""") &amp; ""]"", """")
)"),"[""11"", ""12""]")</f>
        <v>["11", "12"]</v>
      </c>
      <c r="F416" s="124"/>
      <c r="G416" s="124"/>
      <c r="H416" s="124"/>
      <c r="I416" s="124"/>
    </row>
    <row r="417">
      <c r="A417" s="125">
        <v>1206.0</v>
      </c>
      <c r="B417" s="125" t="s">
        <v>4102</v>
      </c>
      <c r="C417" s="124" t="s">
        <v>5780</v>
      </c>
      <c r="D417" s="124">
        <v>4900000.0</v>
      </c>
      <c r="E417" s="124" t="str">
        <f>IFERROR(__xludf.DUMMYFUNCTION("IF(
   ISNUMBER(FIND(""'"", B417)),
   IFERROR(""["" &amp; REGEXREPLACE(JOIN("", "", QUERY(Data!$A$2:$K512, ""SELECT K WHERE B = """"""&amp;B417&amp;"""""""")), ""(\d+)"", """"""$1"""""") &amp; ""]"", """"),
   IFERROR(""["" &amp; REGEXREPLACE(JOIN("", "", QUERY(Data!$A$2:$K"&amp;"512, ""SELECT K WHERE B = '""&amp;B417&amp;""'"")), ""(\d+)"", """"""$1"""""") &amp; ""]"", """")
)"),"[""11"", ""12"", ""13""]")</f>
        <v>["11", "12", "13"]</v>
      </c>
      <c r="F417" s="124"/>
      <c r="G417" s="124"/>
      <c r="H417" s="124"/>
      <c r="I417" s="124"/>
    </row>
    <row r="418">
      <c r="A418" s="125">
        <v>1212.0</v>
      </c>
      <c r="B418" s="125" t="s">
        <v>4170</v>
      </c>
      <c r="C418" s="124" t="s">
        <v>5780</v>
      </c>
      <c r="D418" s="124">
        <v>4900000.0</v>
      </c>
      <c r="E418" s="124" t="str">
        <f>IFERROR(__xludf.DUMMYFUNCTION("IF(
   ISNUMBER(FIND(""'"", B418)),
   IFERROR(""["" &amp; REGEXREPLACE(JOIN("", "", QUERY(Data!$A$2:$K512, ""SELECT K WHERE B = """"""&amp;B418&amp;"""""""")), ""(\d+)"", """"""$1"""""") &amp; ""]"", """"),
   IFERROR(""["" &amp; REGEXREPLACE(JOIN("", "", QUERY(Data!$A$2:$K"&amp;"512, ""SELECT K WHERE B = '""&amp;B418&amp;""'"")), ""(\d+)"", """"""$1"""""") &amp; ""]"", """")
)"),"[""11"", ""12""]")</f>
        <v>["11", "12"]</v>
      </c>
      <c r="F418" s="124"/>
      <c r="G418" s="124"/>
      <c r="H418" s="124"/>
      <c r="I418" s="124"/>
    </row>
    <row r="419">
      <c r="A419" s="125">
        <v>1213.0</v>
      </c>
      <c r="B419" s="125" t="s">
        <v>4180</v>
      </c>
      <c r="C419" s="124" t="s">
        <v>5780</v>
      </c>
      <c r="D419" s="124">
        <v>4900000.0</v>
      </c>
      <c r="E419" s="124" t="str">
        <f>IFERROR(__xludf.DUMMYFUNCTION("IF(
   ISNUMBER(FIND(""'"", B419)),
   IFERROR(""["" &amp; REGEXREPLACE(JOIN("", "", QUERY(Data!$A$2:$K512, ""SELECT K WHERE B = """"""&amp;B419&amp;"""""""")), ""(\d+)"", """"""$1"""""") &amp; ""]"", """"),
   IFERROR(""["" &amp; REGEXREPLACE(JOIN("", "", QUERY(Data!$A$2:$K"&amp;"512, ""SELECT K WHERE B = '""&amp;B419&amp;""'"")), ""(\d+)"", """"""$1"""""") &amp; ""]"", """")
)"),"[""11"", ""12""]")</f>
        <v>["11", "12"]</v>
      </c>
      <c r="F419" s="124"/>
      <c r="G419" s="124"/>
      <c r="H419" s="124"/>
      <c r="I419" s="124"/>
    </row>
    <row r="420">
      <c r="A420" s="125">
        <v>1216.0</v>
      </c>
      <c r="B420" s="125" t="s">
        <v>4207</v>
      </c>
      <c r="C420" s="124" t="s">
        <v>5780</v>
      </c>
      <c r="D420" s="124">
        <v>4900000.0</v>
      </c>
      <c r="E420" s="124" t="str">
        <f>IFERROR(__xludf.DUMMYFUNCTION("IF(
   ISNUMBER(FIND(""'"", B420)),
   IFERROR(""["" &amp; REGEXREPLACE(JOIN("", "", QUERY(Data!$A$2:$K512, ""SELECT K WHERE B = """"""&amp;B420&amp;"""""""")), ""(\d+)"", """"""$1"""""") &amp; ""]"", """"),
   IFERROR(""["" &amp; REGEXREPLACE(JOIN("", "", QUERY(Data!$A$2:$K"&amp;"512, ""SELECT K WHERE B = '""&amp;B420&amp;""'"")), ""(\d+)"", """"""$1"""""") &amp; ""]"", """")
)"),"[""11"", ""12""]")</f>
        <v>["11", "12"]</v>
      </c>
      <c r="F420" s="124"/>
      <c r="G420" s="124"/>
      <c r="H420" s="124"/>
      <c r="I420" s="124"/>
    </row>
    <row r="421">
      <c r="A421" s="125">
        <v>1217.0</v>
      </c>
      <c r="B421" s="125" t="s">
        <v>4213</v>
      </c>
      <c r="C421" s="124" t="s">
        <v>5780</v>
      </c>
      <c r="D421" s="124">
        <v>4900000.0</v>
      </c>
      <c r="E421" s="124" t="str">
        <f>IFERROR(__xludf.DUMMYFUNCTION("IF(
   ISNUMBER(FIND(""'"", B421)),
   IFERROR(""["" &amp; REGEXREPLACE(JOIN("", "", QUERY(Data!$A$2:$K512, ""SELECT K WHERE B = """"""&amp;B421&amp;"""""""")), ""(\d+)"", """"""$1"""""") &amp; ""]"", """"),
   IFERROR(""["" &amp; REGEXREPLACE(JOIN("", "", QUERY(Data!$A$2:$K"&amp;"512, ""SELECT K WHERE B = '""&amp;B421&amp;""'"")), ""(\d+)"", """"""$1"""""") &amp; ""]"", """")
)"),"[""11"", ""12"", ""14""]")</f>
        <v>["11", "12", "14"]</v>
      </c>
      <c r="F421" s="124"/>
      <c r="G421" s="124"/>
      <c r="H421" s="124"/>
      <c r="I421" s="124"/>
    </row>
    <row r="422">
      <c r="A422" s="125">
        <v>1218.0</v>
      </c>
      <c r="B422" s="125" t="s">
        <v>4223</v>
      </c>
      <c r="C422" s="124" t="s">
        <v>5780</v>
      </c>
      <c r="D422" s="124">
        <v>4900000.0</v>
      </c>
      <c r="E422" s="124" t="str">
        <f>IFERROR(__xludf.DUMMYFUNCTION("IF(
   ISNUMBER(FIND(""'"", B422)),
   IFERROR(""["" &amp; REGEXREPLACE(JOIN("", "", QUERY(Data!$A$2:$K512, ""SELECT K WHERE B = """"""&amp;B422&amp;"""""""")), ""(\d+)"", """"""$1"""""") &amp; ""]"", """"),
   IFERROR(""["" &amp; REGEXREPLACE(JOIN("", "", QUERY(Data!$A$2:$K"&amp;"512, ""SELECT K WHERE B = '""&amp;B422&amp;""'"")), ""(\d+)"", """"""$1"""""") &amp; ""]"", """")
)"),"[""11"", ""12"", ""13""]")</f>
        <v>["11", "12", "13"]</v>
      </c>
      <c r="F422" s="124"/>
      <c r="G422" s="124"/>
      <c r="H422" s="124"/>
      <c r="I422" s="124"/>
    </row>
    <row r="423">
      <c r="A423" s="125">
        <v>1219.0</v>
      </c>
      <c r="B423" s="125" t="s">
        <v>4231</v>
      </c>
      <c r="C423" s="124" t="s">
        <v>5780</v>
      </c>
      <c r="D423" s="124">
        <v>4900000.0</v>
      </c>
      <c r="E423" s="124" t="str">
        <f>IFERROR(__xludf.DUMMYFUNCTION("IF(
   ISNUMBER(FIND(""'"", B423)),
   IFERROR(""["" &amp; REGEXREPLACE(JOIN("", "", QUERY(Data!$A$2:$K512, ""SELECT K WHERE B = """"""&amp;B423&amp;"""""""")), ""(\d+)"", """"""$1"""""") &amp; ""]"", """"),
   IFERROR(""["" &amp; REGEXREPLACE(JOIN("", "", QUERY(Data!$A$2:$K"&amp;"512, ""SELECT K WHERE B = '""&amp;B423&amp;""'"")), ""(\d+)"", """"""$1"""""") &amp; ""]"", """")
)"),"[""13""]")</f>
        <v>["13"]</v>
      </c>
      <c r="F423" s="124"/>
      <c r="G423" s="124"/>
      <c r="H423" s="124"/>
      <c r="I423" s="124"/>
    </row>
    <row r="424">
      <c r="A424" s="125">
        <v>1221.0</v>
      </c>
      <c r="B424" s="125" t="s">
        <v>4247</v>
      </c>
      <c r="C424" s="124" t="s">
        <v>5780</v>
      </c>
      <c r="D424" s="124">
        <v>4900000.0</v>
      </c>
      <c r="E424" s="124" t="str">
        <f>IFERROR(__xludf.DUMMYFUNCTION("IF(
   ISNUMBER(FIND(""'"", B424)),
   IFERROR(""["" &amp; REGEXREPLACE(JOIN("", "", QUERY(Data!$A$2:$K512, ""SELECT K WHERE B = """"""&amp;B424&amp;"""""""")), ""(\d+)"", """"""$1"""""") &amp; ""]"", """"),
   IFERROR(""["" &amp; REGEXREPLACE(JOIN("", "", QUERY(Data!$A$2:$K"&amp;"512, ""SELECT K WHERE B = '""&amp;B424&amp;""'"")), ""(\d+)"", """"""$1"""""") &amp; ""]"", """")
)"),"[""11"", ""12"", ""13"", ""32"", ""36""]")</f>
        <v>["11", "12", "13", "32", "36"]</v>
      </c>
      <c r="F424" s="124"/>
      <c r="G424" s="124"/>
      <c r="H424" s="124"/>
      <c r="I424" s="124"/>
    </row>
    <row r="425">
      <c r="A425" s="125">
        <v>1222.0</v>
      </c>
      <c r="B425" s="125" t="s">
        <v>4259</v>
      </c>
      <c r="C425" s="124" t="s">
        <v>5780</v>
      </c>
      <c r="D425" s="124">
        <v>4900000.0</v>
      </c>
      <c r="E425" s="124" t="str">
        <f>IFERROR(__xludf.DUMMYFUNCTION("IF(
   ISNUMBER(FIND(""'"", B425)),
   IFERROR(""["" &amp; REGEXREPLACE(JOIN("", "", QUERY(Data!$A$2:$K512, ""SELECT K WHERE B = """"""&amp;B425&amp;"""""""")), ""(\d+)"", """"""$1"""""") &amp; ""]"", """"),
   IFERROR(""["" &amp; REGEXREPLACE(JOIN("", "", QUERY(Data!$A$2:$K"&amp;"512, ""SELECT K WHERE B = '""&amp;B425&amp;""'"")), ""(\d+)"", """"""$1"""""") &amp; ""]"", """")
)"),"[""11"", ""12""]")</f>
        <v>["11", "12"]</v>
      </c>
      <c r="F425" s="124"/>
      <c r="G425" s="124"/>
      <c r="H425" s="124"/>
      <c r="I425" s="124"/>
    </row>
    <row r="426">
      <c r="A426" s="125">
        <v>1223.0</v>
      </c>
      <c r="B426" s="125" t="s">
        <v>4270</v>
      </c>
      <c r="C426" s="124" t="s">
        <v>5780</v>
      </c>
      <c r="D426" s="124">
        <v>4900000.0</v>
      </c>
      <c r="E426" s="124" t="str">
        <f>IFERROR(__xludf.DUMMYFUNCTION("IF(
   ISNUMBER(FIND(""'"", B426)),
   IFERROR(""["" &amp; REGEXREPLACE(JOIN("", "", QUERY(Data!$A$2:$K512, ""SELECT K WHERE B = """"""&amp;B426&amp;"""""""")), ""(\d+)"", """"""$1"""""") &amp; ""]"", """"),
   IFERROR(""["" &amp; REGEXREPLACE(JOIN("", "", QUERY(Data!$A$2:$K"&amp;"512, ""SELECT K WHERE B = '""&amp;B426&amp;""'"")), ""(\d+)"", """"""$1"""""") &amp; ""]"", """")
)"),"[""11"", ""12""]")</f>
        <v>["11", "12"]</v>
      </c>
      <c r="F426" s="124"/>
      <c r="G426" s="124"/>
      <c r="H426" s="124"/>
      <c r="I426" s="124"/>
    </row>
    <row r="427">
      <c r="A427" s="125">
        <v>1224.0</v>
      </c>
      <c r="B427" s="125" t="s">
        <v>4277</v>
      </c>
      <c r="C427" s="124" t="s">
        <v>5780</v>
      </c>
      <c r="D427" s="124">
        <v>4900000.0</v>
      </c>
      <c r="E427" s="124" t="str">
        <f>IFERROR(__xludf.DUMMYFUNCTION("IF(
   ISNUMBER(FIND(""'"", B427)),
   IFERROR(""["" &amp; REGEXREPLACE(JOIN("", "", QUERY(Data!$A$2:$K512, ""SELECT K WHERE B = """"""&amp;B427&amp;"""""""")), ""(\d+)"", """"""$1"""""") &amp; ""]"", """"),
   IFERROR(""["" &amp; REGEXREPLACE(JOIN("", "", QUERY(Data!$A$2:$K"&amp;"512, ""SELECT K WHERE B = '""&amp;B427&amp;""'"")), ""(\d+)"", """"""$1"""""") &amp; ""]"", """")
)"),"[""11"", ""12"", ""13""]")</f>
        <v>["11", "12", "13"]</v>
      </c>
      <c r="F427" s="124"/>
      <c r="G427" s="124"/>
      <c r="H427" s="124"/>
      <c r="I427" s="124"/>
    </row>
    <row r="428">
      <c r="A428" s="125">
        <v>1225.0</v>
      </c>
      <c r="B428" s="125" t="s">
        <v>4286</v>
      </c>
      <c r="C428" s="124" t="s">
        <v>5780</v>
      </c>
      <c r="D428" s="124">
        <v>4900000.0</v>
      </c>
      <c r="E428" s="124" t="str">
        <f>IFERROR(__xludf.DUMMYFUNCTION("IF(
   ISNUMBER(FIND(""'"", B428)),
   IFERROR(""["" &amp; REGEXREPLACE(JOIN("", "", QUERY(Data!$A$2:$K512, ""SELECT K WHERE B = """"""&amp;B428&amp;"""""""")), ""(\d+)"", """"""$1"""""") &amp; ""]"", """"),
   IFERROR(""["" &amp; REGEXREPLACE(JOIN("", "", QUERY(Data!$A$2:$K"&amp;"512, ""SELECT K WHERE B = '""&amp;B428&amp;""'"")), ""(\d+)"", """"""$1"""""") &amp; ""]"", """")
)"),"[""13""]")</f>
        <v>["13"]</v>
      </c>
      <c r="F428" s="124"/>
      <c r="G428" s="124"/>
      <c r="H428" s="124"/>
      <c r="I428" s="124"/>
    </row>
    <row r="429">
      <c r="A429" s="125">
        <v>1226.0</v>
      </c>
      <c r="B429" s="125" t="s">
        <v>4296</v>
      </c>
      <c r="C429" s="124" t="s">
        <v>5780</v>
      </c>
      <c r="D429" s="124">
        <v>4900000.0</v>
      </c>
      <c r="E429" s="124" t="str">
        <f>IFERROR(__xludf.DUMMYFUNCTION("IF(
   ISNUMBER(FIND(""'"", B429)),
   IFERROR(""["" &amp; REGEXREPLACE(JOIN("", "", QUERY(Data!$A$2:$K512, ""SELECT K WHERE B = """"""&amp;B429&amp;"""""""")), ""(\d+)"", """"""$1"""""") &amp; ""]"", """"),
   IFERROR(""["" &amp; REGEXREPLACE(JOIN("", "", QUERY(Data!$A$2:$K"&amp;"512, ""SELECT K WHERE B = '""&amp;B429&amp;""'"")), ""(\d+)"", """"""$1"""""") &amp; ""]"", """")
)"),"[""11"", ""12""]")</f>
        <v>["11", "12"]</v>
      </c>
      <c r="F429" s="124"/>
      <c r="G429" s="124"/>
      <c r="H429" s="124"/>
      <c r="I429" s="124"/>
    </row>
    <row r="430">
      <c r="A430" s="125">
        <v>1227.0</v>
      </c>
      <c r="B430" s="125" t="s">
        <v>4303</v>
      </c>
      <c r="C430" s="124" t="s">
        <v>5780</v>
      </c>
      <c r="D430" s="124">
        <v>4900000.0</v>
      </c>
      <c r="E430" s="124" t="str">
        <f>IFERROR(__xludf.DUMMYFUNCTION("IF(
   ISNUMBER(FIND(""'"", B430)),
   IFERROR(""["" &amp; REGEXREPLACE(JOIN("", "", QUERY(Data!$A$2:$K512, ""SELECT K WHERE B = """"""&amp;B430&amp;"""""""")), ""(\d+)"", """"""$1"""""") &amp; ""]"", """"),
   IFERROR(""["" &amp; REGEXREPLACE(JOIN("", "", QUERY(Data!$A$2:$K"&amp;"512, ""SELECT K WHERE B = '""&amp;B430&amp;""'"")), ""(\d+)"", """"""$1"""""") &amp; ""]"", """")
)"),"[""11"", ""12"", ""13""]")</f>
        <v>["11", "12", "13"]</v>
      </c>
      <c r="F430" s="124"/>
      <c r="G430" s="124"/>
      <c r="H430" s="124"/>
      <c r="I430" s="124"/>
    </row>
    <row r="431">
      <c r="A431" s="125">
        <v>1229.0</v>
      </c>
      <c r="B431" s="125" t="s">
        <v>4321</v>
      </c>
      <c r="C431" s="124" t="s">
        <v>5780</v>
      </c>
      <c r="D431" s="124">
        <v>4900000.0</v>
      </c>
      <c r="E431" s="124" t="str">
        <f>IFERROR(__xludf.DUMMYFUNCTION("IF(
   ISNUMBER(FIND(""'"", B431)),
   IFERROR(""["" &amp; REGEXREPLACE(JOIN("", "", QUERY(Data!$A$2:$K512, ""SELECT K WHERE B = """"""&amp;B431&amp;"""""""")), ""(\d+)"", """"""$1"""""") &amp; ""]"", """"),
   IFERROR(""["" &amp; REGEXREPLACE(JOIN("", "", QUERY(Data!$A$2:$K"&amp;"512, ""SELECT K WHERE B = '""&amp;B431&amp;""'"")), ""(\d+)"", """"""$1"""""") &amp; ""]"", """")
)"),"[""13"", ""14""]")</f>
        <v>["13", "14"]</v>
      </c>
      <c r="F431" s="124"/>
      <c r="G431" s="124"/>
      <c r="H431" s="124"/>
      <c r="I431" s="124"/>
    </row>
    <row r="432">
      <c r="A432" s="125">
        <v>1232.0</v>
      </c>
      <c r="B432" s="125" t="s">
        <v>4349</v>
      </c>
      <c r="C432" s="124" t="s">
        <v>5780</v>
      </c>
      <c r="D432" s="124">
        <v>4900000.0</v>
      </c>
      <c r="E432" s="124" t="str">
        <f>IFERROR(__xludf.DUMMYFUNCTION("IF(
   ISNUMBER(FIND(""'"", B432)),
   IFERROR(""["" &amp; REGEXREPLACE(JOIN("", "", QUERY(Data!$A$2:$K512, ""SELECT K WHERE B = """"""&amp;B432&amp;"""""""")), ""(\d+)"", """"""$1"""""") &amp; ""]"", """"),
   IFERROR(""["" &amp; REGEXREPLACE(JOIN("", "", QUERY(Data!$A$2:$K"&amp;"512, ""SELECT K WHERE B = '""&amp;B432&amp;""'"")), ""(\d+)"", """"""$1"""""") &amp; ""]"", """")
)"),"[""11"", ""12"", ""13""]")</f>
        <v>["11", "12", "13"]</v>
      </c>
      <c r="F432" s="124"/>
      <c r="G432" s="124"/>
      <c r="H432" s="124"/>
      <c r="I432" s="124"/>
    </row>
    <row r="433">
      <c r="A433" s="125">
        <v>1233.0</v>
      </c>
      <c r="B433" s="126" t="s">
        <v>4356</v>
      </c>
      <c r="C433" s="124" t="s">
        <v>5780</v>
      </c>
      <c r="D433" s="124">
        <v>4900000.0</v>
      </c>
      <c r="E433" s="124" t="str">
        <f>IFERROR(__xludf.DUMMYFUNCTION("IF(
   ISNUMBER(FIND(""'"", B433)),
   IFERROR(""["" &amp; REGEXREPLACE(JOIN("", "", QUERY(Data!$A$2:$K512, ""SELECT K WHERE B = """"""&amp;B433&amp;"""""""")), ""(\d+)"", """"""$1"""""") &amp; ""]"", """"),
   IFERROR(""["" &amp; REGEXREPLACE(JOIN("", "", QUERY(Data!$A$2:$K"&amp;"512, ""SELECT K WHERE B = '""&amp;B433&amp;""'"")), ""(\d+)"", """"""$1"""""") &amp; ""]"", """")
)"),"[""11"", ""12"", ""13""]")</f>
        <v>["11", "12", "13"]</v>
      </c>
      <c r="F433" s="124"/>
      <c r="G433" s="124"/>
      <c r="H433" s="124"/>
      <c r="I433" s="124"/>
    </row>
    <row r="434">
      <c r="A434" s="125">
        <v>1234.0</v>
      </c>
      <c r="B434" s="126" t="s">
        <v>4368</v>
      </c>
      <c r="C434" s="124" t="s">
        <v>5780</v>
      </c>
      <c r="D434" s="124">
        <v>4900000.0</v>
      </c>
      <c r="E434" s="124" t="str">
        <f>IFERROR(__xludf.DUMMYFUNCTION("IF(
   ISNUMBER(FIND(""'"", B434)),
   IFERROR(""["" &amp; REGEXREPLACE(JOIN("", "", QUERY(Data!$A$2:$K512, ""SELECT K WHERE B = """"""&amp;B434&amp;"""""""")), ""(\d+)"", """"""$1"""""") &amp; ""]"", """"),
   IFERROR(""["" &amp; REGEXREPLACE(JOIN("", "", QUERY(Data!$A$2:$K"&amp;"512, ""SELECT K WHERE B = '""&amp;B434&amp;""'"")), ""(\d+)"", """"""$1"""""") &amp; ""]"", """")
)"),"[""11"", ""12""]")</f>
        <v>["11", "12"]</v>
      </c>
      <c r="F434" s="124"/>
      <c r="G434" s="124"/>
      <c r="H434" s="124"/>
      <c r="I434" s="124"/>
    </row>
    <row r="435">
      <c r="A435" s="125">
        <v>1235.0</v>
      </c>
      <c r="B435" s="126" t="s">
        <v>4376</v>
      </c>
      <c r="C435" s="124" t="s">
        <v>5780</v>
      </c>
      <c r="D435" s="124">
        <v>4900000.0</v>
      </c>
      <c r="E435" s="124" t="str">
        <f>IFERROR(__xludf.DUMMYFUNCTION("IF(
   ISNUMBER(FIND(""'"", B435)),
   IFERROR(""["" &amp; REGEXREPLACE(JOIN("", "", QUERY(Data!$A$2:$K512, ""SELECT K WHERE B = """"""&amp;B435&amp;"""""""")), ""(\d+)"", """"""$1"""""") &amp; ""]"", """"),
   IFERROR(""["" &amp; REGEXREPLACE(JOIN("", "", QUERY(Data!$A$2:$K"&amp;"512, ""SELECT K WHERE B = '""&amp;B435&amp;""'"")), ""(\d+)"", """"""$1"""""") &amp; ""]"", """")
)"),"[""11"", ""12"", ""13""]")</f>
        <v>["11", "12", "13"]</v>
      </c>
      <c r="F435" s="124"/>
      <c r="G435" s="124"/>
      <c r="H435" s="124"/>
      <c r="I435" s="124"/>
    </row>
    <row r="436">
      <c r="A436" s="125">
        <v>1236.0</v>
      </c>
      <c r="B436" s="126" t="s">
        <v>4391</v>
      </c>
      <c r="C436" s="124" t="s">
        <v>5780</v>
      </c>
      <c r="D436" s="124">
        <v>4900000.0</v>
      </c>
      <c r="E436" s="124" t="str">
        <f>IFERROR(__xludf.DUMMYFUNCTION("IF(
   ISNUMBER(FIND(""'"", B436)),
   IFERROR(""["" &amp; REGEXREPLACE(JOIN("", "", QUERY(Data!$A$2:$K512, ""SELECT K WHERE B = """"""&amp;B436&amp;"""""""")), ""(\d+)"", """"""$1"""""") &amp; ""]"", """"),
   IFERROR(""["" &amp; REGEXREPLACE(JOIN("", "", QUERY(Data!$A$2:$K"&amp;"512, ""SELECT K WHERE B = '""&amp;B436&amp;""'"")), ""(\d+)"", """"""$1"""""") &amp; ""]"", """")
)"),"[""11"", ""13""]")</f>
        <v>["11", "13"]</v>
      </c>
      <c r="F436" s="124"/>
      <c r="G436" s="124"/>
      <c r="H436" s="124"/>
      <c r="I436" s="124"/>
    </row>
    <row r="437">
      <c r="A437" s="125">
        <v>1237.0</v>
      </c>
      <c r="B437" s="126" t="s">
        <v>4399</v>
      </c>
      <c r="C437" s="124" t="s">
        <v>5780</v>
      </c>
      <c r="D437" s="124">
        <v>4900000.0</v>
      </c>
      <c r="E437" s="124" t="str">
        <f>IFERROR(__xludf.DUMMYFUNCTION("IF(
   ISNUMBER(FIND(""'"", B437)),
   IFERROR(""["" &amp; REGEXREPLACE(JOIN("", "", QUERY(Data!$A$2:$K512, ""SELECT K WHERE B = """"""&amp;B437&amp;"""""""")), ""(\d+)"", """"""$1"""""") &amp; ""]"", """"),
   IFERROR(""["" &amp; REGEXREPLACE(JOIN("", "", QUERY(Data!$A$2:$K"&amp;"512, ""SELECT K WHERE B = '""&amp;B437&amp;""'"")), ""(\d+)"", """"""$1"""""") &amp; ""]"", """")
)"),"[""11"", ""12"", ""36"", ""53""]")</f>
        <v>["11", "12", "36", "53"]</v>
      </c>
      <c r="F437" s="124"/>
      <c r="G437" s="124"/>
      <c r="H437" s="124"/>
      <c r="I437" s="124"/>
    </row>
    <row r="438">
      <c r="A438" s="125">
        <v>1239.0</v>
      </c>
      <c r="B438" s="126" t="s">
        <v>4453</v>
      </c>
      <c r="C438" s="124" t="s">
        <v>5780</v>
      </c>
      <c r="D438" s="124">
        <v>4900000.0</v>
      </c>
      <c r="E438" s="124" t="str">
        <f>IFERROR(__xludf.DUMMYFUNCTION("IF(
   ISNUMBER(FIND(""'"", B438)),
   IFERROR(""["" &amp; REGEXREPLACE(JOIN("", "", QUERY(Data!$A$2:$K512, ""SELECT K WHERE B = """"""&amp;B438&amp;"""""""")), ""(\d+)"", """"""$1"""""") &amp; ""]"", """"),
   IFERROR(""["" &amp; REGEXREPLACE(JOIN("", "", QUERY(Data!$A$2:$K"&amp;"512, ""SELECT K WHERE B = '""&amp;B438&amp;""'"")), ""(\d+)"", """"""$1"""""") &amp; ""]"", """")
)"),"[""11"", ""12"", ""13""]")</f>
        <v>["11", "12", "13"]</v>
      </c>
      <c r="F438" s="124"/>
      <c r="G438" s="124"/>
      <c r="H438" s="124"/>
      <c r="I438" s="124"/>
    </row>
    <row r="439">
      <c r="A439" s="125">
        <v>1174.0</v>
      </c>
      <c r="B439" s="126" t="s">
        <v>3803</v>
      </c>
      <c r="C439" s="124" t="s">
        <v>3803</v>
      </c>
      <c r="D439" s="124"/>
      <c r="E439" s="124" t="str">
        <f>IFERROR(__xludf.DUMMYFUNCTION("IF(
   ISNUMBER(FIND(""'"", B439)),
   IFERROR(""["" &amp; REGEXREPLACE(JOIN("", "", QUERY(Data!$A$2:$K512, ""SELECT K WHERE B = """"""&amp;B439&amp;"""""""")), ""(\d+)"", """"""$1"""""") &amp; ""]"", """"),
   IFERROR(""["" &amp; REGEXREPLACE(JOIN("", "", QUERY(Data!$A$2:$K"&amp;"512, ""SELECT K WHERE B = '""&amp;B439&amp;""'"")), ""(\d+)"", """"""$1"""""") &amp; ""]"", """")
)"),"[""55""]")</f>
        <v>["55"]</v>
      </c>
      <c r="F439" s="124"/>
      <c r="G439" s="124"/>
      <c r="H439" s="124"/>
      <c r="I439" s="124"/>
    </row>
    <row r="440">
      <c r="A440" s="125">
        <v>1175.0</v>
      </c>
      <c r="B440" s="125" t="s">
        <v>3809</v>
      </c>
      <c r="C440" s="124" t="s">
        <v>3809</v>
      </c>
      <c r="D440" s="124"/>
      <c r="E440" s="124" t="str">
        <f>IFERROR(__xludf.DUMMYFUNCTION("IF(
   ISNUMBER(FIND(""'"", B440)),
   IFERROR(""["" &amp; REGEXREPLACE(JOIN("", "", QUERY(Data!$A$2:$K512, ""SELECT K WHERE B = """"""&amp;B440&amp;"""""""")), ""(\d+)"", """"""$1"""""") &amp; ""]"", """"),
   IFERROR(""["" &amp; REGEXREPLACE(JOIN("", "", QUERY(Data!$A$2:$K"&amp;"512, ""SELECT K WHERE B = '""&amp;B440&amp;""'"")), ""(\d+)"", """"""$1"""""") &amp; ""]"", """")
)"),"[""12"", ""13""]")</f>
        <v>["12", "13"]</v>
      </c>
      <c r="F440" s="124"/>
      <c r="G440" s="124"/>
      <c r="H440" s="124"/>
      <c r="I440" s="124"/>
    </row>
    <row r="441">
      <c r="A441" s="125">
        <v>1176.0</v>
      </c>
      <c r="B441" s="125" t="s">
        <v>3837</v>
      </c>
      <c r="C441" s="124" t="s">
        <v>3837</v>
      </c>
      <c r="D441" s="124"/>
      <c r="E441" s="124" t="str">
        <f>IFERROR(__xludf.DUMMYFUNCTION("IF(
   ISNUMBER(FIND(""'"", B441)),
   IFERROR(""["" &amp; REGEXREPLACE(JOIN("", "", QUERY(Data!$A$2:$K512, ""SELECT K WHERE B = """"""&amp;B441&amp;"""""""")), ""(\d+)"", """"""$1"""""") &amp; ""]"", """"),
   IFERROR(""["" &amp; REGEXREPLACE(JOIN("", "", QUERY(Data!$A$2:$K"&amp;"512, ""SELECT K WHERE B = '""&amp;B441&amp;""'"")), ""(\d+)"", """"""$1"""""") &amp; ""]"", """")
)"),"[""13""]")</f>
        <v>["13"]</v>
      </c>
      <c r="F441" s="124"/>
      <c r="G441" s="124"/>
      <c r="H441" s="124"/>
      <c r="I441" s="124"/>
    </row>
    <row r="442">
      <c r="A442" s="125">
        <v>1184.0</v>
      </c>
      <c r="B442" s="125" t="s">
        <v>3907</v>
      </c>
      <c r="C442" s="124" t="s">
        <v>3907</v>
      </c>
      <c r="D442" s="124"/>
      <c r="E442" s="124" t="str">
        <f>IFERROR(__xludf.DUMMYFUNCTION("IF(
   ISNUMBER(FIND(""'"", B442)),
   IFERROR(""["" &amp; REGEXREPLACE(JOIN("", "", QUERY(Data!$A$2:$K512, ""SELECT K WHERE B = """"""&amp;B442&amp;"""""""")), ""(\d+)"", """"""$1"""""") &amp; ""]"", """"),
   IFERROR(""["" &amp; REGEXREPLACE(JOIN("", "", QUERY(Data!$A$2:$K"&amp;"512, ""SELECT K WHERE B = '""&amp;B442&amp;""'"")), ""(\d+)"", """"""$1"""""") &amp; ""]"", """")
)"),"[""13""]")</f>
        <v>["13"]</v>
      </c>
      <c r="F442" s="124"/>
      <c r="G442" s="124"/>
      <c r="H442" s="124"/>
      <c r="I442" s="124"/>
    </row>
    <row r="443">
      <c r="A443" s="125">
        <v>1187.0</v>
      </c>
      <c r="B443" s="125" t="s">
        <v>3938</v>
      </c>
      <c r="C443" s="124" t="s">
        <v>3938</v>
      </c>
      <c r="D443" s="124"/>
      <c r="E443" s="124" t="str">
        <f>IFERROR(__xludf.DUMMYFUNCTION("IF(
   ISNUMBER(FIND(""'"", B443)),
   IFERROR(""["" &amp; REGEXREPLACE(JOIN("", "", QUERY(Data!$A$2:$K512, ""SELECT K WHERE B = """"""&amp;B443&amp;"""""""")), ""(\d+)"", """"""$1"""""") &amp; ""]"", """"),
   IFERROR(""["" &amp; REGEXREPLACE(JOIN("", "", QUERY(Data!$A$2:$K"&amp;"512, ""SELECT K WHERE B = '""&amp;B443&amp;""'"")), ""(\d+)"", """"""$1"""""") &amp; ""]"", """")
)"),"[""12"", ""13"", ""14"", ""64""]")</f>
        <v>["12", "13", "14", "64"]</v>
      </c>
      <c r="F443" s="124"/>
      <c r="G443" s="124"/>
      <c r="H443" s="124"/>
      <c r="I443" s="124"/>
    </row>
    <row r="444">
      <c r="A444" s="125">
        <v>1188.0</v>
      </c>
      <c r="B444" s="125" t="s">
        <v>3947</v>
      </c>
      <c r="C444" s="124" t="s">
        <v>3947</v>
      </c>
      <c r="D444" s="124"/>
      <c r="E444" s="124" t="str">
        <f>IFERROR(__xludf.DUMMYFUNCTION("IF(
   ISNUMBER(FIND(""'"", B444)),
   IFERROR(""["" &amp; REGEXREPLACE(JOIN("", "", QUERY(Data!$A$2:$K512, ""SELECT K WHERE B = """"""&amp;B444&amp;"""""""")), ""(\d+)"", """"""$1"""""") &amp; ""]"", """"),
   IFERROR(""["" &amp; REGEXREPLACE(JOIN("", "", QUERY(Data!$A$2:$K"&amp;"512, ""SELECT K WHERE B = '""&amp;B444&amp;""'"")), ""(\d+)"", """"""$1"""""") &amp; ""]"", """")
)"),"[""13"", ""14""]")</f>
        <v>["13", "14"]</v>
      </c>
      <c r="F444" s="124"/>
      <c r="G444" s="124"/>
      <c r="H444" s="124"/>
      <c r="I444" s="124"/>
    </row>
    <row r="445">
      <c r="A445" s="125">
        <v>1191.0</v>
      </c>
      <c r="B445" s="125" t="s">
        <v>3974</v>
      </c>
      <c r="C445" s="124" t="s">
        <v>3974</v>
      </c>
      <c r="D445" s="124"/>
      <c r="E445" s="124" t="str">
        <f>IFERROR(__xludf.DUMMYFUNCTION("IF(
   ISNUMBER(FIND(""'"", B445)),
   IFERROR(""["" &amp; REGEXREPLACE(JOIN("", "", QUERY(Data!$A$2:$K512, ""SELECT K WHERE B = """"""&amp;B445&amp;"""""""")), ""(\d+)"", """"""$1"""""") &amp; ""]"", """"),
   IFERROR(""["" &amp; REGEXREPLACE(JOIN("", "", QUERY(Data!$A$2:$K"&amp;"512, ""SELECT K WHERE B = '""&amp;B445&amp;""'"")), ""(\d+)"", """"""$1"""""") &amp; ""]"", """")
)"),"[""11"", ""12""]")</f>
        <v>["11", "12"]</v>
      </c>
      <c r="F445" s="124"/>
      <c r="G445" s="124"/>
      <c r="H445" s="124"/>
      <c r="I445" s="124"/>
    </row>
    <row r="446">
      <c r="A446" s="125">
        <v>1192.0</v>
      </c>
      <c r="B446" s="125" t="s">
        <v>3983</v>
      </c>
      <c r="C446" s="124" t="s">
        <v>3983</v>
      </c>
      <c r="D446" s="124"/>
      <c r="E446" s="124" t="str">
        <f>IFERROR(__xludf.DUMMYFUNCTION("IF(
   ISNUMBER(FIND(""'"", B446)),
   IFERROR(""["" &amp; REGEXREPLACE(JOIN("", "", QUERY(Data!$A$2:$K512, ""SELECT K WHERE B = """"""&amp;B446&amp;"""""""")), ""(\d+)"", """"""$1"""""") &amp; ""]"", """"),
   IFERROR(""["" &amp; REGEXREPLACE(JOIN("", "", QUERY(Data!$A$2:$K"&amp;"512, ""SELECT K WHERE B = '""&amp;B446&amp;""'"")), ""(\d+)"", """"""$1"""""") &amp; ""]"", """")
)"),"[""11"", ""12""]")</f>
        <v>["11", "12"]</v>
      </c>
      <c r="F446" s="124"/>
      <c r="G446" s="124"/>
      <c r="H446" s="124"/>
      <c r="I446" s="124"/>
    </row>
    <row r="447">
      <c r="A447" s="125">
        <v>1194.0</v>
      </c>
      <c r="B447" s="125" t="s">
        <v>4004</v>
      </c>
      <c r="C447" s="124" t="s">
        <v>4004</v>
      </c>
      <c r="D447" s="124"/>
      <c r="E447" s="124" t="str">
        <f>IFERROR(__xludf.DUMMYFUNCTION("IF(
   ISNUMBER(FIND(""'"", B447)),
   IFERROR(""["" &amp; REGEXREPLACE(JOIN("", "", QUERY(Data!$A$2:$K512, ""SELECT K WHERE B = """"""&amp;B447&amp;"""""""")), ""(\d+)"", """"""$1"""""") &amp; ""]"", """"),
   IFERROR(""["" &amp; REGEXREPLACE(JOIN("", "", QUERY(Data!$A$2:$K"&amp;"512, ""SELECT K WHERE B = '""&amp;B447&amp;""'"")), ""(\d+)"", """"""$1"""""") &amp; ""]"", """")
)"),"[""13""]")</f>
        <v>["13"]</v>
      </c>
      <c r="F447" s="124"/>
      <c r="G447" s="124"/>
      <c r="H447" s="124"/>
      <c r="I447" s="124"/>
    </row>
    <row r="448">
      <c r="A448" s="125">
        <v>1196.0</v>
      </c>
      <c r="B448" s="125" t="s">
        <v>4022</v>
      </c>
      <c r="C448" s="124" t="s">
        <v>4022</v>
      </c>
      <c r="D448" s="124"/>
      <c r="E448" s="124" t="str">
        <f>IFERROR(__xludf.DUMMYFUNCTION("IF(
   ISNUMBER(FIND(""'"", B448)),
   IFERROR(""["" &amp; REGEXREPLACE(JOIN("", "", QUERY(Data!$A$2:$K512, ""SELECT K WHERE B = """"""&amp;B448&amp;"""""""")), ""(\d+)"", """"""$1"""""") &amp; ""]"", """"),
   IFERROR(""["" &amp; REGEXREPLACE(JOIN("", "", QUERY(Data!$A$2:$K"&amp;"512, ""SELECT K WHERE B = '""&amp;B448&amp;""'"")), ""(\d+)"", """"""$1"""""") &amp; ""]"", """")
)"),"[""13""]")</f>
        <v>["13"]</v>
      </c>
      <c r="F448" s="124"/>
      <c r="G448" s="124"/>
      <c r="H448" s="124"/>
      <c r="I448" s="124"/>
    </row>
    <row r="449">
      <c r="A449" s="125">
        <v>1200.0</v>
      </c>
      <c r="B449" s="125" t="s">
        <v>4058</v>
      </c>
      <c r="C449" s="124" t="s">
        <v>4058</v>
      </c>
      <c r="D449" s="124"/>
      <c r="E449" s="124" t="str">
        <f>IFERROR(__xludf.DUMMYFUNCTION("IF(
   ISNUMBER(FIND(""'"", B449)),
   IFERROR(""["" &amp; REGEXREPLACE(JOIN("", "", QUERY(Data!$A$2:$K512, ""SELECT K WHERE B = """"""&amp;B449&amp;"""""""")), ""(\d+)"", """"""$1"""""") &amp; ""]"", """"),
   IFERROR(""["" &amp; REGEXREPLACE(JOIN("", "", QUERY(Data!$A$2:$K"&amp;"512, ""SELECT K WHERE B = '""&amp;B449&amp;""'"")), ""(\d+)"", """"""$1"""""") &amp; ""]"", """")
)"),"[""11"", ""12""]")</f>
        <v>["11", "12"]</v>
      </c>
      <c r="F449" s="124"/>
      <c r="G449" s="124"/>
      <c r="H449" s="124"/>
      <c r="I449" s="124"/>
    </row>
    <row r="450">
      <c r="A450" s="125">
        <v>1202.0</v>
      </c>
      <c r="B450" s="125" t="s">
        <v>4075</v>
      </c>
      <c r="C450" s="124" t="s">
        <v>4075</v>
      </c>
      <c r="D450" s="124"/>
      <c r="E450" s="124" t="str">
        <f>IFERROR(__xludf.DUMMYFUNCTION("IF(
   ISNUMBER(FIND(""'"", B450)),
   IFERROR(""["" &amp; REGEXREPLACE(JOIN("", "", QUERY(Data!$A$2:$K512, ""SELECT K WHERE B = """"""&amp;B450&amp;"""""""")), ""(\d+)"", """"""$1"""""") &amp; ""]"", """"),
   IFERROR(""["" &amp; REGEXREPLACE(JOIN("", "", QUERY(Data!$A$2:$K"&amp;"512, ""SELECT K WHERE B = '""&amp;B450&amp;""'"")), ""(\d+)"", """"""$1"""""") &amp; ""]"", """")
)"),"[""13""]")</f>
        <v>["13"]</v>
      </c>
      <c r="F450" s="124"/>
      <c r="G450" s="124"/>
      <c r="H450" s="124"/>
      <c r="I450" s="124"/>
    </row>
    <row r="451">
      <c r="A451" s="125">
        <v>1203.0</v>
      </c>
      <c r="B451" s="125" t="s">
        <v>4084</v>
      </c>
      <c r="C451" s="124" t="s">
        <v>4084</v>
      </c>
      <c r="D451" s="124"/>
      <c r="E451" s="124" t="str">
        <f>IFERROR(__xludf.DUMMYFUNCTION("IF(
   ISNUMBER(FIND(""'"", B451)),
   IFERROR(""["" &amp; REGEXREPLACE(JOIN("", "", QUERY(Data!$A$2:$K512, ""SELECT K WHERE B = """"""&amp;B451&amp;"""""""")), ""(\d+)"", """"""$1"""""") &amp; ""]"", """"),
   IFERROR(""["" &amp; REGEXREPLACE(JOIN("", "", QUERY(Data!$A$2:$K"&amp;"512, ""SELECT K WHERE B = '""&amp;B451&amp;""'"")), ""(\d+)"", """"""$1"""""") &amp; ""]"", """")
)"),"[""11"", ""12""]")</f>
        <v>["11", "12"]</v>
      </c>
      <c r="F451" s="124"/>
      <c r="G451" s="124"/>
      <c r="H451" s="124"/>
      <c r="I451" s="124"/>
    </row>
    <row r="452">
      <c r="A452" s="125">
        <v>1204.0</v>
      </c>
      <c r="B452" s="125" t="s">
        <v>4094</v>
      </c>
      <c r="C452" s="124" t="s">
        <v>4094</v>
      </c>
      <c r="D452" s="124"/>
      <c r="E452" s="124" t="str">
        <f>IFERROR(__xludf.DUMMYFUNCTION("IF(
   ISNUMBER(FIND(""'"", B452)),
   IFERROR(""["" &amp; REGEXREPLACE(JOIN("", "", QUERY(Data!$A$2:$K512, ""SELECT K WHERE B = """"""&amp;B452&amp;"""""""")), ""(\d+)"", """"""$1"""""") &amp; ""]"", """"),
   IFERROR(""["" &amp; REGEXREPLACE(JOIN("", "", QUERY(Data!$A$2:$K"&amp;"512, ""SELECT K WHERE B = '""&amp;B452&amp;""'"")), ""(\d+)"", """"""$1"""""") &amp; ""]"", """")
)"),"[""12""]")</f>
        <v>["12"]</v>
      </c>
      <c r="F452" s="124"/>
      <c r="G452" s="124"/>
      <c r="H452" s="124"/>
      <c r="I452" s="124"/>
    </row>
    <row r="453">
      <c r="A453" s="125">
        <v>1207.0</v>
      </c>
      <c r="B453" s="125" t="s">
        <v>4115</v>
      </c>
      <c r="C453" s="124" t="s">
        <v>4115</v>
      </c>
      <c r="D453" s="124"/>
      <c r="E453" s="124" t="str">
        <f>IFERROR(__xludf.DUMMYFUNCTION("IF(
   ISNUMBER(FIND(""'"", B453)),
   IFERROR(""["" &amp; REGEXREPLACE(JOIN("", "", QUERY(Data!$A$2:$K512, ""SELECT K WHERE B = """"""&amp;B453&amp;"""""""")), ""(\d+)"", """"""$1"""""") &amp; ""]"", """"),
   IFERROR(""["" &amp; REGEXREPLACE(JOIN("", "", QUERY(Data!$A$2:$K"&amp;"512, ""SELECT K WHERE B = '""&amp;B453&amp;""'"")), ""(\d+)"", """"""$1"""""") &amp; ""]"", """")
)"),"[""13""]")</f>
        <v>["13"]</v>
      </c>
      <c r="F453" s="124"/>
      <c r="G453" s="124"/>
      <c r="H453" s="124"/>
      <c r="I453" s="124"/>
    </row>
    <row r="454">
      <c r="A454" s="125">
        <v>1205.0</v>
      </c>
      <c r="B454" s="125" t="s">
        <v>4123</v>
      </c>
      <c r="C454" s="124" t="s">
        <v>4123</v>
      </c>
      <c r="D454" s="124"/>
      <c r="E454" s="124" t="str">
        <f>IFERROR(__xludf.DUMMYFUNCTION("IF(
   ISNUMBER(FIND(""'"", B454)),
   IFERROR(""["" &amp; REGEXREPLACE(JOIN("", "", QUERY(Data!$A$2:$K512, ""SELECT K WHERE B = """"""&amp;B454&amp;"""""""")), ""(\d+)"", """"""$1"""""") &amp; ""]"", """"),
   IFERROR(""["" &amp; REGEXREPLACE(JOIN("", "", QUERY(Data!$A$2:$K"&amp;"512, ""SELECT K WHERE B = '""&amp;B454&amp;""'"")), ""(\d+)"", """"""$1"""""") &amp; ""]"", """")
)"),"[""11"", ""12"", ""13"", ""14"", ""23""]")</f>
        <v>["11", "12", "13", "14", "23"]</v>
      </c>
      <c r="F454" s="124"/>
      <c r="G454" s="124"/>
      <c r="H454" s="124"/>
      <c r="I454" s="124"/>
    </row>
    <row r="455">
      <c r="A455" s="125">
        <v>1208.0</v>
      </c>
      <c r="B455" s="125" t="s">
        <v>4132</v>
      </c>
      <c r="C455" s="124" t="s">
        <v>4132</v>
      </c>
      <c r="D455" s="124"/>
      <c r="E455" s="124" t="str">
        <f>IFERROR(__xludf.DUMMYFUNCTION("IF(
   ISNUMBER(FIND(""'"", B455)),
   IFERROR(""["" &amp; REGEXREPLACE(JOIN("", "", QUERY(Data!$A$2:$K512, ""SELECT K WHERE B = """"""&amp;B455&amp;"""""""")), ""(\d+)"", """"""$1"""""") &amp; ""]"", """"),
   IFERROR(""["" &amp; REGEXREPLACE(JOIN("", "", QUERY(Data!$A$2:$K"&amp;"512, ""SELECT K WHERE B = '""&amp;B455&amp;""'"")), ""(\d+)"", """"""$1"""""") &amp; ""]"", """")
)"),"[""13""]")</f>
        <v>["13"]</v>
      </c>
      <c r="F455" s="124"/>
      <c r="G455" s="124"/>
      <c r="H455" s="124"/>
      <c r="I455" s="124"/>
    </row>
    <row r="456">
      <c r="A456" s="125">
        <v>1209.0</v>
      </c>
      <c r="B456" s="125" t="s">
        <v>4142</v>
      </c>
      <c r="C456" s="124" t="s">
        <v>4142</v>
      </c>
      <c r="D456" s="124"/>
      <c r="E456" s="124" t="str">
        <f>IFERROR(__xludf.DUMMYFUNCTION("IF(
   ISNUMBER(FIND(""'"", B456)),
   IFERROR(""["" &amp; REGEXREPLACE(JOIN("", "", QUERY(Data!$A$2:$K512, ""SELECT K WHERE B = """"""&amp;B456&amp;"""""""")), ""(\d+)"", """"""$1"""""") &amp; ""]"", """"),
   IFERROR(""["" &amp; REGEXREPLACE(JOIN("", "", QUERY(Data!$A$2:$K"&amp;"512, ""SELECT K WHERE B = '""&amp;B456&amp;""'"")), ""(\d+)"", """"""$1"""""") &amp; ""]"", """")
)"),"[""13""]")</f>
        <v>["13"]</v>
      </c>
      <c r="F456" s="124"/>
      <c r="G456" s="124"/>
      <c r="H456" s="124"/>
      <c r="I456" s="124"/>
    </row>
    <row r="457">
      <c r="A457" s="125">
        <v>1210.0</v>
      </c>
      <c r="B457" s="125" t="s">
        <v>4151</v>
      </c>
      <c r="C457" s="124" t="s">
        <v>4151</v>
      </c>
      <c r="D457" s="124"/>
      <c r="E457" s="124" t="str">
        <f>IFERROR(__xludf.DUMMYFUNCTION("IF(
   ISNUMBER(FIND(""'"", B457)),
   IFERROR(""["" &amp; REGEXREPLACE(JOIN("", "", QUERY(Data!$A$2:$K512, ""SELECT K WHERE B = """"""&amp;B457&amp;"""""""")), ""(\d+)"", """"""$1"""""") &amp; ""]"", """"),
   IFERROR(""["" &amp; REGEXREPLACE(JOIN("", "", QUERY(Data!$A$2:$K"&amp;"512, ""SELECT K WHERE B = '""&amp;B457&amp;""'"")), ""(\d+)"", """"""$1"""""") &amp; ""]"", """")
)"),"[""11"", ""12"", ""13"", ""14""]")</f>
        <v>["11", "12", "13", "14"]</v>
      </c>
      <c r="F457" s="124"/>
      <c r="G457" s="124"/>
      <c r="H457" s="124"/>
      <c r="I457" s="124"/>
    </row>
    <row r="458">
      <c r="A458" s="125">
        <v>1211.0</v>
      </c>
      <c r="B458" s="125" t="s">
        <v>4160</v>
      </c>
      <c r="C458" s="124" t="s">
        <v>4160</v>
      </c>
      <c r="D458" s="124"/>
      <c r="E458" s="124" t="str">
        <f>IFERROR(__xludf.DUMMYFUNCTION("IF(
   ISNUMBER(FIND(""'"", B458)),
   IFERROR(""["" &amp; REGEXREPLACE(JOIN("", "", QUERY(Data!$A$2:$K512, ""SELECT K WHERE B = """"""&amp;B458&amp;"""""""")), ""(\d+)"", """"""$1"""""") &amp; ""]"", """"),
   IFERROR(""["" &amp; REGEXREPLACE(JOIN("", "", QUERY(Data!$A$2:$K"&amp;"512, ""SELECT K WHERE B = '""&amp;B458&amp;""'"")), ""(\d+)"", """"""$1"""""") &amp; ""]"", """")
)"),"[""13""]")</f>
        <v>["13"]</v>
      </c>
      <c r="F458" s="124"/>
      <c r="G458" s="124"/>
      <c r="H458" s="124"/>
      <c r="I458" s="124"/>
    </row>
    <row r="459">
      <c r="A459" s="125">
        <v>1214.0</v>
      </c>
      <c r="B459" s="125" t="s">
        <v>4189</v>
      </c>
      <c r="C459" s="124" t="s">
        <v>4189</v>
      </c>
      <c r="D459" s="124"/>
      <c r="E459" s="124" t="str">
        <f>IFERROR(__xludf.DUMMYFUNCTION("IF(
   ISNUMBER(FIND(""'"", B459)),
   IFERROR(""["" &amp; REGEXREPLACE(JOIN("", "", QUERY(Data!$A$2:$K512, ""SELECT K WHERE B = """"""&amp;B459&amp;"""""""")), ""(\d+)"", """"""$1"""""") &amp; ""]"", """"),
   IFERROR(""["" &amp; REGEXREPLACE(JOIN("", "", QUERY(Data!$A$2:$K"&amp;"512, ""SELECT K WHERE B = '""&amp;B459&amp;""'"")), ""(\d+)"", """"""$1"""""") &amp; ""]"", """")
)"),"[""13""]")</f>
        <v>["13"]</v>
      </c>
      <c r="F459" s="124"/>
      <c r="G459" s="124"/>
      <c r="H459" s="124"/>
      <c r="I459" s="124"/>
    </row>
    <row r="460">
      <c r="A460" s="125">
        <v>1215.0</v>
      </c>
      <c r="B460" s="125" t="s">
        <v>4198</v>
      </c>
      <c r="C460" s="124" t="s">
        <v>4198</v>
      </c>
      <c r="D460" s="124"/>
      <c r="E460" s="124" t="str">
        <f>IFERROR(__xludf.DUMMYFUNCTION("IF(
   ISNUMBER(FIND(""'"", B460)),
   IFERROR(""["" &amp; REGEXREPLACE(JOIN("", "", QUERY(Data!$A$2:$K512, ""SELECT K WHERE B = """"""&amp;B460&amp;"""""""")), ""(\d+)"", """"""$1"""""") &amp; ""]"", """"),
   IFERROR(""["" &amp; REGEXREPLACE(JOIN("", "", QUERY(Data!$A$2:$K"&amp;"512, ""SELECT K WHERE B = '""&amp;B460&amp;""'"")), ""(\d+)"", """"""$1"""""") &amp; ""]"", """")
)"),"[""13""]")</f>
        <v>["13"]</v>
      </c>
      <c r="F460" s="124"/>
      <c r="G460" s="124"/>
      <c r="H460" s="124"/>
      <c r="I460" s="124"/>
    </row>
    <row r="461">
      <c r="A461" s="125">
        <v>1220.0</v>
      </c>
      <c r="B461" s="125" t="s">
        <v>4240</v>
      </c>
      <c r="C461" s="124" t="s">
        <v>4240</v>
      </c>
      <c r="D461" s="124"/>
      <c r="E461" s="124" t="str">
        <f>IFERROR(__xludf.DUMMYFUNCTION("IF(
   ISNUMBER(FIND(""'"", B461)),
   IFERROR(""["" &amp; REGEXREPLACE(JOIN("", "", QUERY(Data!$A$2:$K512, ""SELECT K WHERE B = """"""&amp;B461&amp;"""""""")), ""(\d+)"", """"""$1"""""") &amp; ""]"", """"),
   IFERROR(""["" &amp; REGEXREPLACE(JOIN("", "", QUERY(Data!$A$2:$K"&amp;"512, ""SELECT K WHERE B = '""&amp;B461&amp;""'"")), ""(\d+)"", """"""$1"""""") &amp; ""]"", """")
)"),"[""13""]")</f>
        <v>["13"]</v>
      </c>
      <c r="F461" s="124"/>
      <c r="G461" s="124"/>
      <c r="H461" s="124"/>
      <c r="I461" s="124"/>
    </row>
    <row r="462">
      <c r="A462" s="125">
        <v>1228.0</v>
      </c>
      <c r="B462" s="125" t="s">
        <v>4315</v>
      </c>
      <c r="C462" s="124" t="s">
        <v>4315</v>
      </c>
      <c r="D462" s="124"/>
      <c r="E462" s="124" t="str">
        <f>IFERROR(__xludf.DUMMYFUNCTION("IF(
   ISNUMBER(FIND(""'"", B462)),
   IFERROR(""["" &amp; REGEXREPLACE(JOIN("", "", QUERY(Data!$A$2:$K512, ""SELECT K WHERE B = """"""&amp;B462&amp;"""""""")), ""(\d+)"", """"""$1"""""") &amp; ""]"", """"),
   IFERROR(""["" &amp; REGEXREPLACE(JOIN("", "", QUERY(Data!$A$2:$K"&amp;"512, ""SELECT K WHERE B = '""&amp;B462&amp;""'"")), ""(\d+)"", """"""$1"""""") &amp; ""]"", """")
)"),"[""13""]")</f>
        <v>["13"]</v>
      </c>
      <c r="F462" s="124"/>
      <c r="G462" s="124"/>
      <c r="H462" s="124"/>
      <c r="I462" s="124"/>
    </row>
    <row r="463">
      <c r="A463" s="125">
        <v>1230.0</v>
      </c>
      <c r="B463" s="125" t="s">
        <v>4331</v>
      </c>
      <c r="C463" s="124" t="s">
        <v>4331</v>
      </c>
      <c r="D463" s="124"/>
      <c r="E463" s="124" t="str">
        <f>IFERROR(__xludf.DUMMYFUNCTION("IF(
   ISNUMBER(FIND(""'"", B463)),
   IFERROR(""["" &amp; REGEXREPLACE(JOIN("", "", QUERY(Data!$A$2:$K512, ""SELECT K WHERE B = """"""&amp;B463&amp;"""""""")), ""(\d+)"", """"""$1"""""") &amp; ""]"", """"),
   IFERROR(""["" &amp; REGEXREPLACE(JOIN("", "", QUERY(Data!$A$2:$K"&amp;"512, ""SELECT K WHERE B = '""&amp;B463&amp;""'"")), ""(\d+)"", """"""$1"""""") &amp; ""]"", """")
)"),"[""11"", ""12""]")</f>
        <v>["11", "12"]</v>
      </c>
      <c r="F463" s="124"/>
      <c r="G463" s="124"/>
      <c r="H463" s="124"/>
      <c r="I463" s="124"/>
    </row>
    <row r="464">
      <c r="A464" s="125">
        <v>1231.0</v>
      </c>
      <c r="B464" s="125" t="s">
        <v>4340</v>
      </c>
      <c r="C464" s="124" t="s">
        <v>4340</v>
      </c>
      <c r="D464" s="124"/>
      <c r="E464" s="124" t="str">
        <f>IFERROR(__xludf.DUMMYFUNCTION("IF(
   ISNUMBER(FIND(""'"", B464)),
   IFERROR(""["" &amp; REGEXREPLACE(JOIN("", "", QUERY(Data!$A$2:$K512, ""SELECT K WHERE B = """"""&amp;B464&amp;"""""""")), ""(\d+)"", """"""$1"""""") &amp; ""]"", """"),
   IFERROR(""["" &amp; REGEXREPLACE(JOIN("", "", QUERY(Data!$A$2:$K"&amp;"512, ""SELECT K WHERE B = '""&amp;B464&amp;""'"")), ""(\d+)"", """"""$1"""""") &amp; ""]"", """")
)"),"[""13""]")</f>
        <v>["13"]</v>
      </c>
      <c r="F464" s="124"/>
      <c r="G464" s="124"/>
      <c r="H464" s="124"/>
      <c r="I464" s="124"/>
    </row>
    <row r="465">
      <c r="A465" s="126">
        <v>1389.0</v>
      </c>
      <c r="B465" s="126" t="s">
        <v>4385</v>
      </c>
      <c r="C465" s="126" t="s">
        <v>4385</v>
      </c>
      <c r="D465" s="124"/>
      <c r="E465" s="124" t="str">
        <f>IFERROR(__xludf.DUMMYFUNCTION("IF(
   ISNUMBER(FIND(""'"", B465)),
   IFERROR(""["" &amp; REGEXREPLACE(JOIN("", "", QUERY(Data!$A$2:$K512, ""SELECT K WHERE B = """"""&amp;B465&amp;"""""""")), ""(\d+)"", """"""$1"""""") &amp; ""]"", """"),
   IFERROR(""["" &amp; REGEXREPLACE(JOIN("", "", QUERY(Data!$A$2:$K"&amp;"512, ""SELECT K WHERE B = '""&amp;B465&amp;""'"")), ""(\d+)"", """"""$1"""""") &amp; ""]"", """")
)"),"[""13""]")</f>
        <v>["13"]</v>
      </c>
      <c r="F465" s="124"/>
      <c r="G465" s="124"/>
      <c r="H465" s="124"/>
      <c r="I465" s="124"/>
    </row>
    <row r="466">
      <c r="A466" s="126">
        <v>1355.0</v>
      </c>
      <c r="B466" s="126" t="s">
        <v>4410</v>
      </c>
      <c r="C466" s="126" t="s">
        <v>4410</v>
      </c>
      <c r="D466" s="124"/>
      <c r="E466" s="124" t="str">
        <f>IFERROR(__xludf.DUMMYFUNCTION("IF(
   ISNUMBER(FIND(""'"", B466)),
   IFERROR(""["" &amp; REGEXREPLACE(JOIN("", "", QUERY(Data!$A$2:$K512, ""SELECT K WHERE B = """"""&amp;B466&amp;"""""""")), ""(\d+)"", """"""$1"""""") &amp; ""]"", """"),
   IFERROR(""["" &amp; REGEXREPLACE(JOIN("", "", QUERY(Data!$A$2:$K"&amp;"512, ""SELECT K WHERE B = '""&amp;B466&amp;""'"")), ""(\d+)"", """"""$1"""""") &amp; ""]"", """")
)"),"[""11"", ""12"", ""13"", ""31"", ""32"", ""32"", ""33"", ""53""]")</f>
        <v>["11", "12", "13", "31", "32", "32", "33", "53"]</v>
      </c>
      <c r="F466" s="124"/>
      <c r="G466" s="124"/>
      <c r="H466" s="124"/>
      <c r="I466" s="124"/>
    </row>
    <row r="467">
      <c r="A467" s="126">
        <v>1406.0</v>
      </c>
      <c r="B467" s="126" t="s">
        <v>4432</v>
      </c>
      <c r="C467" s="126" t="s">
        <v>5781</v>
      </c>
      <c r="D467" s="124"/>
      <c r="E467" s="124" t="str">
        <f>IFERROR(__xludf.DUMMYFUNCTION("IF(
   ISNUMBER(FIND(""'"", B467)),
   IFERROR(""["" &amp; REGEXREPLACE(JOIN("", "", QUERY(Data!$A$2:$K512, ""SELECT K WHERE B = """"""&amp;B467&amp;"""""""")), ""(\d+)"", """"""$1"""""") &amp; ""]"", """"),
   IFERROR(""["" &amp; REGEXREPLACE(JOIN("", "", QUERY(Data!$A$2:$K"&amp;"512, ""SELECT K WHERE B = '""&amp;B467&amp;""'"")), ""(\d+)"", """"""$1"""""") &amp; ""]"", """")
)"),"[""21"", ""52""]")</f>
        <v>["21", "52"]</v>
      </c>
      <c r="F467" s="124"/>
      <c r="G467" s="124"/>
      <c r="H467" s="124"/>
      <c r="I467" s="124"/>
    </row>
    <row r="468">
      <c r="A468" s="126">
        <v>1405.0</v>
      </c>
      <c r="B468" s="126" t="s">
        <v>4445</v>
      </c>
      <c r="C468" s="126" t="s">
        <v>5781</v>
      </c>
      <c r="D468" s="124"/>
      <c r="E468" s="124" t="str">
        <f>IFERROR(__xludf.DUMMYFUNCTION("IF(
   ISNUMBER(FIND(""'"", B468)),
   IFERROR(""["" &amp; REGEXREPLACE(JOIN("", "", QUERY(Data!$A$2:$K512, ""SELECT K WHERE B = """"""&amp;B468&amp;"""""""")), ""(\d+)"", """"""$1"""""") &amp; ""]"", """"),
   IFERROR(""["" &amp; REGEXREPLACE(JOIN("", "", QUERY(Data!$A$2:$K"&amp;"512, ""SELECT K WHERE B = '""&amp;B468&amp;""'"")), ""(\d+)"", """"""$1"""""") &amp; ""]"", """")
)"),"[""21""]")</f>
        <v>["21"]</v>
      </c>
      <c r="F468" s="124"/>
      <c r="G468" s="124"/>
      <c r="H468" s="124"/>
      <c r="I468" s="124"/>
    </row>
    <row r="469">
      <c r="A469" s="125">
        <v>1240.0</v>
      </c>
      <c r="B469" s="126" t="s">
        <v>4474</v>
      </c>
      <c r="C469" s="124" t="s">
        <v>4474</v>
      </c>
      <c r="D469" s="124"/>
      <c r="E469" s="124" t="str">
        <f>IFERROR(__xludf.DUMMYFUNCTION("IF(
   ISNUMBER(FIND(""'"", B469)),
   IFERROR(""["" &amp; REGEXREPLACE(JOIN("", "", QUERY(Data!$A$2:$K512, ""SELECT K WHERE B = """"""&amp;B469&amp;"""""""")), ""(\d+)"", """"""$1"""""") &amp; ""]"", """"),
   IFERROR(""["" &amp; REGEXREPLACE(JOIN("", "", QUERY(Data!$A$2:$K"&amp;"512, ""SELECT K WHERE B = '""&amp;B469&amp;""'"")), ""(\d+)"", """"""$1"""""") &amp; ""]"", """")
)"),"[""55""]")</f>
        <v>["55"]</v>
      </c>
      <c r="F469" s="124"/>
      <c r="G469" s="124"/>
      <c r="H469" s="124"/>
      <c r="I469" s="124"/>
    </row>
    <row r="470">
      <c r="A470" s="126">
        <v>1401.0</v>
      </c>
      <c r="B470" s="126" t="s">
        <v>4480</v>
      </c>
      <c r="C470" s="126" t="s">
        <v>4480</v>
      </c>
      <c r="D470" s="124"/>
      <c r="E470" s="124" t="str">
        <f>IFERROR(__xludf.DUMMYFUNCTION("IF(
   ISNUMBER(FIND(""'"", B470)),
   IFERROR(""["" &amp; REGEXREPLACE(JOIN("", "", QUERY(Data!$A$2:$K512, ""SELECT K WHERE B = """"""&amp;B470&amp;"""""""")), ""(\d+)"", """"""$1"""""") &amp; ""]"", """"),
   IFERROR(""["" &amp; REGEXREPLACE(JOIN("", "", QUERY(Data!$A$2:$K"&amp;"512, ""SELECT K WHERE B = '""&amp;B470&amp;""'"")), ""(\d+)"", """"""$1"""""") &amp; ""]"", """")
)"),"[""13"", ""35""]")</f>
        <v>["13", "35"]</v>
      </c>
      <c r="F470" s="124"/>
      <c r="G470" s="124"/>
      <c r="H470" s="124"/>
      <c r="I470" s="124"/>
    </row>
    <row r="471">
      <c r="A471" s="126">
        <v>1464.0</v>
      </c>
      <c r="B471" s="126" t="s">
        <v>4494</v>
      </c>
      <c r="C471" s="126" t="s">
        <v>4494</v>
      </c>
      <c r="D471" s="124"/>
      <c r="E471" s="124" t="str">
        <f>IFERROR(__xludf.DUMMYFUNCTION("IF(
   ISNUMBER(FIND(""'"", B471)),
   IFERROR(""["" &amp; REGEXREPLACE(JOIN("", "", QUERY(Data!$A$2:$K512, ""SELECT K WHERE B = """"""&amp;B471&amp;"""""""")), ""(\d+)"", """"""$1"""""") &amp; ""]"", """"),
   IFERROR(""["" &amp; REGEXREPLACE(JOIN("", "", QUERY(Data!$A$2:$K"&amp;"512, ""SELECT K WHERE B = '""&amp;B471&amp;""'"")), ""(\d+)"", """"""$1"""""") &amp; ""]"", """")
)"),"[""54""]")</f>
        <v>["54"]</v>
      </c>
      <c r="F471" s="124"/>
      <c r="G471" s="124"/>
      <c r="H471" s="124"/>
      <c r="I471" s="124"/>
    </row>
    <row r="472">
      <c r="A472" s="125">
        <v>1241.0</v>
      </c>
      <c r="B472" s="126" t="s">
        <v>4501</v>
      </c>
      <c r="C472" s="124" t="s">
        <v>4501</v>
      </c>
      <c r="D472" s="124"/>
      <c r="E472" s="124" t="str">
        <f>IFERROR(__xludf.DUMMYFUNCTION("IF(
   ISNUMBER(FIND(""'"", B472)),
   IFERROR(""["" &amp; REGEXREPLACE(JOIN("", "", QUERY(Data!$A$2:$K512, ""SELECT K WHERE B = """"""&amp;B472&amp;"""""""")), ""(\d+)"", """"""$1"""""") &amp; ""]"", """"),
   IFERROR(""["" &amp; REGEXREPLACE(JOIN("", "", QUERY(Data!$A$2:$K"&amp;"512, ""SELECT K WHERE B = '""&amp;B472&amp;""'"")), ""(\d+)"", """"""$1"""""") &amp; ""]"", """")
)"),"[""35""]")</f>
        <v>["35"]</v>
      </c>
      <c r="F472" s="124"/>
      <c r="G472" s="124"/>
      <c r="H472" s="124"/>
      <c r="I472" s="124"/>
    </row>
    <row r="473">
      <c r="A473" s="126">
        <v>1455.0</v>
      </c>
      <c r="B473" s="126" t="s">
        <v>4508</v>
      </c>
      <c r="C473" s="126" t="s">
        <v>4508</v>
      </c>
      <c r="D473" s="124"/>
      <c r="E473" s="124" t="str">
        <f>IFERROR(__xludf.DUMMYFUNCTION("IF(
   ISNUMBER(FIND(""'"", B473)),
   IFERROR(""["" &amp; REGEXREPLACE(JOIN("", "", QUERY(Data!$A$2:$K512, ""SELECT K WHERE B = """"""&amp;B473&amp;"""""""")), ""(\d+)"", """"""$1"""""") &amp; ""]"", """"),
   IFERROR(""["" &amp; REGEXREPLACE(JOIN("", "", QUERY(Data!$A$2:$K"&amp;"512, ""SELECT K WHERE B = '""&amp;B473&amp;""'"")), ""(\d+)"", """"""$1"""""") &amp; ""]"", """")
)"),"[""54""]")</f>
        <v>["54"]</v>
      </c>
      <c r="F473" s="124"/>
      <c r="G473" s="124"/>
      <c r="H473" s="124"/>
      <c r="I473" s="124"/>
    </row>
    <row r="474">
      <c r="A474" s="125">
        <v>1512.0</v>
      </c>
      <c r="B474" s="126" t="s">
        <v>4519</v>
      </c>
      <c r="C474" s="126" t="s">
        <v>4519</v>
      </c>
      <c r="D474" s="124"/>
      <c r="E474" s="124" t="str">
        <f>IFERROR(__xludf.DUMMYFUNCTION("IF(
   ISNUMBER(FIND(""'"", B474)),
   IFERROR(""["" &amp; REGEXREPLACE(JOIN("", "", QUERY(Data!$A$2:$K512, ""SELECT K WHERE B = """"""&amp;B474&amp;"""""""")), ""(\d+)"", """"""$1"""""") &amp; ""]"", """"),
   IFERROR(""["" &amp; REGEXREPLACE(JOIN("", "", QUERY(Data!$A$2:$K"&amp;"512, ""SELECT K WHERE B = '""&amp;B474&amp;""'"")), ""(\d+)"", """"""$1"""""") &amp; ""]"", """")
)"),"[""56""]")</f>
        <v>["56"]</v>
      </c>
      <c r="F474" s="124"/>
      <c r="G474" s="124"/>
      <c r="H474" s="124"/>
      <c r="I474" s="124"/>
    </row>
    <row r="475">
      <c r="A475" s="125">
        <v>1242.0</v>
      </c>
      <c r="B475" s="126" t="s">
        <v>4528</v>
      </c>
      <c r="C475" s="124" t="s">
        <v>4528</v>
      </c>
      <c r="D475" s="124"/>
      <c r="E475" s="124" t="str">
        <f>IFERROR(__xludf.DUMMYFUNCTION("IF(
   ISNUMBER(FIND(""'"", B475)),
   IFERROR(""["" &amp; REGEXREPLACE(JOIN("", "", QUERY(Data!$A$2:$K512, ""SELECT K WHERE B = """"""&amp;B475&amp;"""""""")), ""(\d+)"", """"""$1"""""") &amp; ""]"", """"),
   IFERROR(""["" &amp; REGEXREPLACE(JOIN("", "", QUERY(Data!$A$2:$K"&amp;"512, ""SELECT K WHERE B = '""&amp;B475&amp;""'"")), ""(\d+)"", """"""$1"""""") &amp; ""]"", """")
)"),"[""55""]")</f>
        <v>["55"]</v>
      </c>
      <c r="F475" s="124"/>
      <c r="G475" s="124"/>
      <c r="H475" s="124"/>
      <c r="I475" s="124"/>
    </row>
    <row r="476">
      <c r="A476" s="125">
        <v>1243.0</v>
      </c>
      <c r="B476" s="126" t="s">
        <v>4536</v>
      </c>
      <c r="C476" s="124" t="s">
        <v>4536</v>
      </c>
      <c r="D476" s="124"/>
      <c r="E476" s="124" t="str">
        <f>IFERROR(__xludf.DUMMYFUNCTION("IF(
   ISNUMBER(FIND(""'"", B476)),
   IFERROR(""["" &amp; REGEXREPLACE(JOIN("", "", QUERY(Data!$A$2:$K512, ""SELECT K WHERE B = """"""&amp;B476&amp;"""""""")), ""(\d+)"", """"""$1"""""") &amp; ""]"", """"),
   IFERROR(""["" &amp; REGEXREPLACE(JOIN("", "", QUERY(Data!$A$2:$K"&amp;"512, ""SELECT K WHERE B = '""&amp;B476&amp;""'"")), ""(\d+)"", """"""$1"""""") &amp; ""]"", """")
)"),"[""11""]")</f>
        <v>["11"]</v>
      </c>
      <c r="F476" s="124"/>
      <c r="G476" s="124"/>
      <c r="H476" s="124"/>
      <c r="I476" s="124"/>
    </row>
    <row r="477">
      <c r="A477" s="125">
        <v>1504.0</v>
      </c>
      <c r="B477" s="126" t="s">
        <v>4539</v>
      </c>
      <c r="C477" s="126" t="s">
        <v>4539</v>
      </c>
      <c r="D477" s="124"/>
      <c r="E477" s="124" t="str">
        <f>IFERROR(__xludf.DUMMYFUNCTION("IF(
   ISNUMBER(FIND(""'"", B477)),
   IFERROR(""["" &amp; REGEXREPLACE(JOIN("", "", QUERY(Data!$A$2:$K512, ""SELECT K WHERE B = """"""&amp;B477&amp;"""""""")), ""(\d+)"", """"""$1"""""") &amp; ""]"", """"),
   IFERROR(""["" &amp; REGEXREPLACE(JOIN("", "", QUERY(Data!$A$2:$K"&amp;"512, ""SELECT K WHERE B = '""&amp;B477&amp;""'"")), ""(\d+)"", """"""$1"""""") &amp; ""]"", """")
)"),"[""56""]")</f>
        <v>["56"]</v>
      </c>
      <c r="F477" s="137"/>
      <c r="G477" s="137"/>
      <c r="H477" s="137"/>
      <c r="I477" s="124"/>
    </row>
    <row r="478">
      <c r="A478" s="125">
        <v>1470.0</v>
      </c>
      <c r="B478" s="126" t="s">
        <v>4545</v>
      </c>
      <c r="C478" s="126" t="s">
        <v>4545</v>
      </c>
      <c r="D478" s="124"/>
      <c r="E478" s="124" t="str">
        <f>IFERROR(__xludf.DUMMYFUNCTION("IF(
   ISNUMBER(FIND(""'"", B478)),
   IFERROR(""["" &amp; REGEXREPLACE(JOIN("", "", QUERY(Data!$A$2:$K512, ""SELECT K WHERE B = """"""&amp;B478&amp;"""""""")), ""(\d+)"", """"""$1"""""") &amp; ""]"", """"),
   IFERROR(""["" &amp; REGEXREPLACE(JOIN("", "", QUERY(Data!$A$2:$K"&amp;"512, ""SELECT K WHERE B = '""&amp;B478&amp;""'"")), ""(\d+)"", """"""$1"""""") &amp; ""]"", """")
)"),"[""36""]")</f>
        <v>["36"]</v>
      </c>
      <c r="F478" s="124"/>
      <c r="G478" s="124"/>
      <c r="H478" s="124"/>
      <c r="I478" s="124"/>
    </row>
    <row r="479">
      <c r="A479" s="126">
        <v>1459.0</v>
      </c>
      <c r="B479" s="126" t="s">
        <v>4555</v>
      </c>
      <c r="C479" s="126" t="s">
        <v>4555</v>
      </c>
      <c r="D479" s="124"/>
      <c r="E479" s="124" t="str">
        <f>IFERROR(__xludf.DUMMYFUNCTION("IF(
   ISNUMBER(FIND(""'"", B479)),
   IFERROR(""["" &amp; REGEXREPLACE(JOIN("", "", QUERY(Data!$A$2:$K512, ""SELECT K WHERE B = """"""&amp;B479&amp;"""""""")), ""(\d+)"", """"""$1"""""") &amp; ""]"", """"),
   IFERROR(""["" &amp; REGEXREPLACE(JOIN("", "", QUERY(Data!$A$2:$K"&amp;"512, ""SELECT K WHERE B = '""&amp;B479&amp;""'"")), ""(\d+)"", """"""$1"""""") &amp; ""]"", """")
)"),"[""37""]")</f>
        <v>["37"]</v>
      </c>
      <c r="F479" s="124"/>
      <c r="G479" s="124"/>
      <c r="H479" s="124"/>
      <c r="I479" s="124"/>
    </row>
    <row r="480">
      <c r="A480" s="125">
        <v>1244.0</v>
      </c>
      <c r="B480" s="126" t="s">
        <v>4563</v>
      </c>
      <c r="C480" s="124" t="s">
        <v>4563</v>
      </c>
      <c r="D480" s="124"/>
      <c r="E480" s="124" t="str">
        <f>IFERROR(__xludf.DUMMYFUNCTION("IF(
   ISNUMBER(FIND(""'"", B480)),
   IFERROR(""["" &amp; REGEXREPLACE(JOIN("", "", QUERY(Data!$A$2:$K512, ""SELECT K WHERE B = """"""&amp;B480&amp;"""""""")), ""(\d+)"", """"""$1"""""") &amp; ""]"", """"),
   IFERROR(""["" &amp; REGEXREPLACE(JOIN("", "", QUERY(Data!$A$2:$K"&amp;"512, ""SELECT K WHERE B = '""&amp;B480&amp;""'"")), ""(\d+)"", """"""$1"""""") &amp; ""]"", """")
)"),"[""22"", ""54""]")</f>
        <v>["22", "54"]</v>
      </c>
      <c r="F480" s="124"/>
      <c r="G480" s="124"/>
      <c r="H480" s="124"/>
      <c r="I480" s="124"/>
    </row>
    <row r="481">
      <c r="A481" s="125">
        <v>1245.0</v>
      </c>
      <c r="B481" s="126" t="s">
        <v>4574</v>
      </c>
      <c r="C481" s="124" t="s">
        <v>4574</v>
      </c>
      <c r="D481" s="124"/>
      <c r="E481" s="124" t="str">
        <f>IFERROR(__xludf.DUMMYFUNCTION("IF(
   ISNUMBER(FIND(""'"", B481)),
   IFERROR(""["" &amp; REGEXREPLACE(JOIN("", "", QUERY(Data!$A$2:$K512, ""SELECT K WHERE B = """"""&amp;B481&amp;"""""""")), ""(\d+)"", """"""$1"""""") &amp; ""]"", """"),
   IFERROR(""["" &amp; REGEXREPLACE(JOIN("", "", QUERY(Data!$A$2:$K"&amp;"512, ""SELECT K WHERE B = '""&amp;B481&amp;""'"")), ""(\d+)"", """"""$1"""""") &amp; ""]"", """")
)"),"[""41"", ""42""]")</f>
        <v>["41", "42"]</v>
      </c>
      <c r="F481" s="124"/>
      <c r="G481" s="124"/>
      <c r="H481" s="124"/>
      <c r="I481" s="137"/>
    </row>
    <row r="482">
      <c r="A482" s="125">
        <v>1246.0</v>
      </c>
      <c r="B482" s="126" t="s">
        <v>4584</v>
      </c>
      <c r="C482" s="124" t="s">
        <v>4584</v>
      </c>
      <c r="D482" s="124"/>
      <c r="E482" s="124" t="str">
        <f>IFERROR(__xludf.DUMMYFUNCTION("IF(
   ISNUMBER(FIND(""'"", B482)),
   IFERROR(""["" &amp; REGEXREPLACE(JOIN("", "", QUERY(Data!$A$2:$K512, ""SELECT K WHERE B = """"""&amp;B482&amp;"""""""")), ""(\d+)"", """"""$1"""""") &amp; ""]"", """"),
   IFERROR(""["" &amp; REGEXREPLACE(JOIN("", "", QUERY(Data!$A$2:$K"&amp;"512, ""SELECT K WHERE B = '""&amp;B482&amp;""'"")), ""(\d+)"", """"""$1"""""") &amp; ""]"", """")
)"),"[""34""]")</f>
        <v>["34"]</v>
      </c>
      <c r="I482" s="124"/>
    </row>
    <row r="483">
      <c r="A483" s="126">
        <v>1419.0</v>
      </c>
      <c r="B483" s="126" t="s">
        <v>1939</v>
      </c>
      <c r="C483" s="124" t="s">
        <v>5782</v>
      </c>
      <c r="D483" s="124"/>
      <c r="E483" s="124" t="str">
        <f>IFERROR(__xludf.DUMMYFUNCTION("IF(
   ISNUMBER(FIND(""'"", B483)),
   IFERROR(""["" &amp; REGEXREPLACE(JOIN("", "", QUERY(Data!$A$2:$K512, ""SELECT K WHERE B = """"""&amp;B483&amp;"""""""")), ""(\d+)"", """"""$1"""""") &amp; ""]"", """"),
   IFERROR(""["" &amp; REGEXREPLACE(JOIN("", "", QUERY(Data!$A$2:$K"&amp;"512, ""SELECT K WHERE B = '""&amp;B483&amp;""'"")), ""(\d+)"", """"""$1"""""") &amp; ""]"", """")
)"),"[""33"", ""34""]")</f>
        <v>["33", "34"]</v>
      </c>
      <c r="F483" s="124"/>
      <c r="G483" s="124"/>
      <c r="H483" s="124"/>
      <c r="I483" s="124"/>
    </row>
    <row r="484">
      <c r="A484" s="126">
        <v>1420.0</v>
      </c>
      <c r="B484" s="126" t="s">
        <v>1947</v>
      </c>
      <c r="C484" s="124" t="s">
        <v>5782</v>
      </c>
      <c r="D484" s="124"/>
      <c r="E484" s="124" t="str">
        <f>IFERROR(__xludf.DUMMYFUNCTION("IF(
   ISNUMBER(FIND(""'"", B484)),
   IFERROR(""["" &amp; REGEXREPLACE(JOIN("", "", QUERY(Data!$A$2:$K512, ""SELECT K WHERE B = """"""&amp;B484&amp;"""""""")), ""(\d+)"", """"""$1"""""") &amp; ""]"", """"),
   IFERROR(""["" &amp; REGEXREPLACE(JOIN("", "", QUERY(Data!$A$2:$K"&amp;"512, ""SELECT K WHERE B = '""&amp;B484&amp;""'"")), ""(\d+)"", """"""$1"""""") &amp; ""]"", """")
)"),"[""33"", ""34""]")</f>
        <v>["33", "34"]</v>
      </c>
      <c r="F484" s="124"/>
      <c r="G484" s="124"/>
      <c r="H484" s="124"/>
      <c r="I484" s="124"/>
    </row>
    <row r="485">
      <c r="A485" s="126">
        <v>1421.0</v>
      </c>
      <c r="B485" s="126" t="s">
        <v>1954</v>
      </c>
      <c r="C485" s="124" t="s">
        <v>5782</v>
      </c>
      <c r="D485" s="124"/>
      <c r="E485" s="124" t="str">
        <f>IFERROR(__xludf.DUMMYFUNCTION("IF(
   ISNUMBER(FIND(""'"", B485)),
   IFERROR(""["" &amp; REGEXREPLACE(JOIN("", "", QUERY(Data!$A$2:$K512, ""SELECT K WHERE B = """"""&amp;B485&amp;"""""""")), ""(\d+)"", """"""$1"""""") &amp; ""]"", """"),
   IFERROR(""["" &amp; REGEXREPLACE(JOIN("", "", QUERY(Data!$A$2:$K"&amp;"512, ""SELECT K WHERE B = '""&amp;B485&amp;""'"")), ""(\d+)"", """"""$1"""""") &amp; ""]"", """")
)"),"[""33"", ""34""]")</f>
        <v>["33", "34"]</v>
      </c>
      <c r="F485" s="124"/>
      <c r="G485" s="124"/>
      <c r="H485" s="124"/>
      <c r="I485" s="124"/>
    </row>
    <row r="486">
      <c r="A486" s="126">
        <v>1422.0</v>
      </c>
      <c r="B486" s="126" t="s">
        <v>1958</v>
      </c>
      <c r="C486" s="124" t="s">
        <v>5782</v>
      </c>
      <c r="D486" s="124"/>
      <c r="E486" s="124" t="str">
        <f>IFERROR(__xludf.DUMMYFUNCTION("IF(
   ISNUMBER(FIND(""'"", B486)),
   IFERROR(""["" &amp; REGEXREPLACE(JOIN("", "", QUERY(Data!$A$2:$K512, ""SELECT K WHERE B = """"""&amp;B486&amp;"""""""")), ""(\d+)"", """"""$1"""""") &amp; ""]"", """"),
   IFERROR(""["" &amp; REGEXREPLACE(JOIN("", "", QUERY(Data!$A$2:$K"&amp;"512, ""SELECT K WHERE B = '""&amp;B486&amp;""'"")), ""(\d+)"", """"""$1"""""") &amp; ""]"", """")
)"),"[""33""]")</f>
        <v>["33"]</v>
      </c>
      <c r="F486" s="124"/>
      <c r="G486" s="124"/>
      <c r="H486" s="124"/>
    </row>
    <row r="487">
      <c r="A487" s="126">
        <v>1423.0</v>
      </c>
      <c r="B487" s="126" t="s">
        <v>1964</v>
      </c>
      <c r="C487" s="124" t="s">
        <v>5782</v>
      </c>
      <c r="D487" s="124"/>
      <c r="E487" s="124" t="str">
        <f>IFERROR(__xludf.DUMMYFUNCTION("IF(
   ISNUMBER(FIND(""'"", B487)),
   IFERROR(""["" &amp; REGEXREPLACE(JOIN("", "", QUERY(Data!$A$2:$K512, ""SELECT K WHERE B = """"""&amp;B487&amp;"""""""")), ""(\d+)"", """"""$1"""""") &amp; ""]"", """"),
   IFERROR(""["" &amp; REGEXREPLACE(JOIN("", "", QUERY(Data!$A$2:$K"&amp;"512, ""SELECT K WHERE B = '""&amp;B487&amp;""'"")), ""(\d+)"", """"""$1"""""") &amp; ""]"", """")
)"),"[""31"", ""33"", ""34""]")</f>
        <v>["31", "33", "34"]</v>
      </c>
      <c r="F487" s="124"/>
      <c r="G487" s="124"/>
      <c r="H487" s="124"/>
      <c r="I487" s="124"/>
    </row>
    <row r="488">
      <c r="A488" s="126">
        <v>1418.0</v>
      </c>
      <c r="B488" s="126" t="s">
        <v>1971</v>
      </c>
      <c r="C488" s="124" t="s">
        <v>5782</v>
      </c>
      <c r="D488" s="124"/>
      <c r="E488" s="124" t="str">
        <f>IFERROR(__xludf.DUMMYFUNCTION("IF(
   ISNUMBER(FIND(""'"", B488)),
   IFERROR(""["" &amp; REGEXREPLACE(JOIN("", "", QUERY(Data!$A$2:$K512, ""SELECT K WHERE B = """"""&amp;B488&amp;"""""""")), ""(\d+)"", """"""$1"""""") &amp; ""]"", """"),
   IFERROR(""["" &amp; REGEXREPLACE(JOIN("", "", QUERY(Data!$A$2:$K"&amp;"512, ""SELECT K WHERE B = '""&amp;B488&amp;""'"")), ""(\d+)"", """"""$1"""""") &amp; ""]"", """")
)"),"[""31"", ""33"", ""34""]")</f>
        <v>["31", "33", "34"]</v>
      </c>
      <c r="F488" s="124"/>
      <c r="G488" s="124"/>
      <c r="H488" s="124"/>
      <c r="I488" s="124"/>
    </row>
    <row r="489">
      <c r="A489" s="125">
        <v>1267.0</v>
      </c>
      <c r="B489" s="126" t="s">
        <v>4591</v>
      </c>
      <c r="C489" s="124" t="s">
        <v>4591</v>
      </c>
      <c r="D489" s="124"/>
      <c r="E489" s="124" t="str">
        <f>IFERROR(__xludf.DUMMYFUNCTION("IF(
   ISNUMBER(FIND(""'"", B489)),
   IFERROR(""["" &amp; REGEXREPLACE(JOIN("", "", QUERY(Data!$A$2:$K512, ""SELECT K WHERE B = """"""&amp;B489&amp;"""""""")), ""(\d+)"", """"""$1"""""") &amp; ""]"", """"),
   IFERROR(""["" &amp; REGEXREPLACE(JOIN("", "", QUERY(Data!$A$2:$K"&amp;"512, ""SELECT K WHERE B = '""&amp;B489&amp;""'"")), ""(\d+)"", """"""$1"""""") &amp; ""]"", """")
)"),"[""24""]")</f>
        <v>["24"]</v>
      </c>
      <c r="F489" s="124"/>
      <c r="G489" s="124"/>
      <c r="H489" s="124"/>
      <c r="I489" s="124"/>
    </row>
    <row r="490">
      <c r="A490" s="125">
        <v>1479.0</v>
      </c>
      <c r="B490" s="126" t="s">
        <v>4598</v>
      </c>
      <c r="C490" s="126" t="s">
        <v>4598</v>
      </c>
      <c r="D490" s="124">
        <v>10000.0</v>
      </c>
      <c r="E490" s="124" t="str">
        <f>IFERROR(__xludf.DUMMYFUNCTION("IF(
   ISNUMBER(FIND(""'"", B490)),
   IFERROR(""["" &amp; REGEXREPLACE(JOIN("", "", QUERY(Data!$A$2:$K512, ""SELECT K WHERE B = """"""&amp;B490&amp;"""""""")), ""(\d+)"", """"""$1"""""") &amp; ""]"", """"),
   IFERROR(""["" &amp; REGEXREPLACE(JOIN("", "", QUERY(Data!$A$2:$K"&amp;"512, ""SELECT K WHERE B = '""&amp;B490&amp;""'"")), ""(\d+)"", """"""$1"""""") &amp; ""]"", """")
)"),"[""11"", ""12"", ""23"", ""35""]")</f>
        <v>["11", "12", "23", "35"]</v>
      </c>
      <c r="F490" s="124"/>
      <c r="G490" s="124"/>
      <c r="H490" s="124"/>
      <c r="I490" s="124"/>
    </row>
    <row r="491">
      <c r="A491" s="125">
        <v>1502.0</v>
      </c>
      <c r="B491" s="126" t="s">
        <v>4605</v>
      </c>
      <c r="C491" s="126" t="s">
        <v>4605</v>
      </c>
      <c r="D491" s="124"/>
      <c r="E491" s="124" t="str">
        <f>IFERROR(__xludf.DUMMYFUNCTION("IF(
   ISNUMBER(FIND(""'"", B491)),
   IFERROR(""["" &amp; REGEXREPLACE(JOIN("", "", QUERY(Data!$A$2:$K512, ""SELECT K WHERE B = """"""&amp;B491&amp;"""""""")), ""(\d+)"", """"""$1"""""") &amp; ""]"", """"),
   IFERROR(""["" &amp; REGEXREPLACE(JOIN("", "", QUERY(Data!$A$2:$K"&amp;"512, ""SELECT K WHERE B = '""&amp;B491&amp;""'"")), ""(\d+)"", """"""$1"""""") &amp; ""]"", """")
)"),"[""65""]")</f>
        <v>["65"]</v>
      </c>
      <c r="F491" s="124"/>
      <c r="G491" s="124"/>
      <c r="H491" s="124"/>
      <c r="I491" s="124"/>
    </row>
    <row r="492">
      <c r="A492" s="125">
        <v>1265.0</v>
      </c>
      <c r="B492" s="126" t="s">
        <v>4613</v>
      </c>
      <c r="C492" s="124" t="s">
        <v>4613</v>
      </c>
      <c r="D492" s="124"/>
      <c r="E492" s="124" t="str">
        <f>IFERROR(__xludf.DUMMYFUNCTION("IF(
   ISNUMBER(FIND(""'"", B492)),
   IFERROR(""["" &amp; REGEXREPLACE(JOIN("", "", QUERY(Data!$A$2:$K512, ""SELECT K WHERE B = """"""&amp;B492&amp;"""""""")), ""(\d+)"", """"""$1"""""") &amp; ""]"", """"),
   IFERROR(""["" &amp; REGEXREPLACE(JOIN("", "", QUERY(Data!$A$2:$K"&amp;"512, ""SELECT K WHERE B = '""&amp;B492&amp;""'"")), ""(\d+)"", """"""$1"""""") &amp; ""]"", """")
)"),"[""24"", ""32"", ""52""]")</f>
        <v>["24", "32", "52"]</v>
      </c>
      <c r="F492" s="124"/>
      <c r="G492" s="124"/>
      <c r="H492" s="124"/>
      <c r="I492" s="124"/>
    </row>
    <row r="493">
      <c r="A493" s="125">
        <v>1263.0</v>
      </c>
      <c r="B493" s="126" t="s">
        <v>4623</v>
      </c>
      <c r="C493" s="124" t="s">
        <v>4623</v>
      </c>
      <c r="D493" s="124"/>
      <c r="E493" s="124" t="str">
        <f>IFERROR(__xludf.DUMMYFUNCTION("IF(
   ISNUMBER(FIND(""'"", B493)),
   IFERROR(""["" &amp; REGEXREPLACE(JOIN("", "", QUERY(Data!$A$2:$K512, ""SELECT K WHERE B = """"""&amp;B493&amp;"""""""")), ""(\d+)"", """"""$1"""""") &amp; ""]"", """"),
   IFERROR(""["" &amp; REGEXREPLACE(JOIN("", "", QUERY(Data!$A$2:$K"&amp;"512, ""SELECT K WHERE B = '""&amp;B493&amp;""'"")), ""(\d+)"", """"""$1"""""") &amp; ""]"", """")
)"),"[""24""]")</f>
        <v>["24"]</v>
      </c>
      <c r="F493" s="124"/>
      <c r="G493" s="124"/>
      <c r="H493" s="124"/>
      <c r="I493" s="124"/>
    </row>
    <row r="494">
      <c r="A494" s="125">
        <v>1247.0</v>
      </c>
      <c r="B494" s="126" t="s">
        <v>4638</v>
      </c>
      <c r="C494" s="124" t="s">
        <v>4638</v>
      </c>
      <c r="D494" s="124"/>
      <c r="E494" s="124" t="str">
        <f>IFERROR(__xludf.DUMMYFUNCTION("IF(
   ISNUMBER(FIND(""'"", B494)),
   IFERROR(""["" &amp; REGEXREPLACE(JOIN("", "", QUERY(Data!$A$2:$K512, ""SELECT K WHERE B = """"""&amp;B494&amp;"""""""")), ""(\d+)"", """"""$1"""""") &amp; ""]"", """"),
   IFERROR(""["" &amp; REGEXREPLACE(JOIN("", "", QUERY(Data!$A$2:$K"&amp;"512, ""SELECT K WHERE B = '""&amp;B494&amp;""'"")), ""(\d+)"", """"""$1"""""") &amp; ""]"", """")
)"),"[""11"", ""12"", ""13"", ""14"", ""36"", ""51"", ""52"", ""64"", ""65""]")</f>
        <v>["11", "12", "13", "14", "36", "51", "52", "64", "65"]</v>
      </c>
      <c r="F494" s="124"/>
      <c r="G494" s="124"/>
      <c r="H494" s="124"/>
      <c r="I494" s="124"/>
    </row>
    <row r="495">
      <c r="A495" s="125">
        <v>1248.0</v>
      </c>
      <c r="B495" s="126" t="s">
        <v>4654</v>
      </c>
      <c r="C495" s="124" t="s">
        <v>4654</v>
      </c>
      <c r="D495" s="124"/>
      <c r="E495" s="124" t="str">
        <f>IFERROR(__xludf.DUMMYFUNCTION("IF(
   ISNUMBER(FIND(""'"", B495)),
   IFERROR(""["" &amp; REGEXREPLACE(JOIN("", "", QUERY(Data!$A$2:$K512, ""SELECT K WHERE B = """"""&amp;B495&amp;"""""""")), ""(\d+)"", """"""$1"""""") &amp; ""]"", """"),
   IFERROR(""["" &amp; REGEXREPLACE(JOIN("", "", QUERY(Data!$A$2:$K"&amp;"512, ""SELECT K WHERE B = '""&amp;B495&amp;""'"")), ""(\d+)"", """"""$1"""""") &amp; ""]"", """")
)"),"[""11"", ""12"", ""13""]")</f>
        <v>["11", "12", "13"]</v>
      </c>
      <c r="F495" s="124"/>
      <c r="G495" s="124"/>
      <c r="H495" s="124"/>
      <c r="I495" s="124"/>
    </row>
    <row r="496">
      <c r="A496" s="126">
        <v>1340.0</v>
      </c>
      <c r="B496" s="126" t="s">
        <v>4665</v>
      </c>
      <c r="C496" s="124" t="s">
        <v>4665</v>
      </c>
      <c r="D496" s="124"/>
      <c r="E496" s="124" t="str">
        <f>IFERROR(__xludf.DUMMYFUNCTION("IF(
   ISNUMBER(FIND(""'"", B496)),
   IFERROR(""["" &amp; REGEXREPLACE(JOIN("", "", QUERY(Data!$A$2:$K512, ""SELECT K WHERE B = """"""&amp;B496&amp;"""""""")), ""(\d+)"", """"""$1"""""") &amp; ""]"", """"),
   IFERROR(""["" &amp; REGEXREPLACE(JOIN("", "", QUERY(Data!$A$2:$K"&amp;"512, ""SELECT K WHERE B = '""&amp;B496&amp;""'"")), ""(\d+)"", """"""$1"""""") &amp; ""]"", """")
)"),"[""31""]")</f>
        <v>["31"]</v>
      </c>
      <c r="F496" s="124"/>
      <c r="G496" s="124"/>
      <c r="H496" s="124"/>
      <c r="I496" s="124"/>
    </row>
    <row r="497">
      <c r="A497" s="125">
        <v>1249.0</v>
      </c>
      <c r="B497" s="126" t="s">
        <v>4672</v>
      </c>
      <c r="C497" s="124" t="s">
        <v>4672</v>
      </c>
      <c r="D497" s="124"/>
      <c r="E497" s="124" t="str">
        <f>IFERROR(__xludf.DUMMYFUNCTION("IF(
   ISNUMBER(FIND(""'"", B497)),
   IFERROR(""["" &amp; REGEXREPLACE(JOIN("", "", QUERY(Data!$A$2:$K512, ""SELECT K WHERE B = """"""&amp;B497&amp;"""""""")), ""(\d+)"", """"""$1"""""") &amp; ""]"", """"),
   IFERROR(""["" &amp; REGEXREPLACE(JOIN("", "", QUERY(Data!$A$2:$K"&amp;"512, ""SELECT K WHERE B = '""&amp;B497&amp;""'"")), ""(\d+)"", """"""$1"""""") &amp; ""]"", """")
)"),"[""65""]")</f>
        <v>["65"]</v>
      </c>
      <c r="F497" s="124"/>
      <c r="G497" s="124"/>
      <c r="H497" s="124"/>
      <c r="I497" s="124"/>
    </row>
    <row r="498">
      <c r="A498" s="125">
        <v>1250.0</v>
      </c>
      <c r="B498" s="126" t="s">
        <v>4677</v>
      </c>
      <c r="C498" s="124" t="s">
        <v>4677</v>
      </c>
      <c r="D498" s="124"/>
      <c r="E498" s="124" t="str">
        <f>IFERROR(__xludf.DUMMYFUNCTION("IF(
   ISNUMBER(FIND(""'"", B498)),
   IFERROR(""["" &amp; REGEXREPLACE(JOIN("", "", QUERY(Data!$A$2:$K512, ""SELECT K WHERE B = """"""&amp;B498&amp;"""""""")), ""(\d+)"", """"""$1"""""") &amp; ""]"", """"),
   IFERROR(""["" &amp; REGEXREPLACE(JOIN("", "", QUERY(Data!$A$2:$K"&amp;"512, ""SELECT K WHERE B = '""&amp;B498&amp;""'"")), ""(\d+)"", """"""$1"""""") &amp; ""]"", """")
)"),"[""55""]")</f>
        <v>["55"]</v>
      </c>
      <c r="F498" s="124"/>
      <c r="G498" s="124"/>
      <c r="H498" s="124"/>
      <c r="I498" s="124"/>
    </row>
    <row r="499">
      <c r="A499" s="125">
        <v>1511.0</v>
      </c>
      <c r="B499" s="126" t="s">
        <v>4682</v>
      </c>
      <c r="C499" s="126" t="s">
        <v>4682</v>
      </c>
      <c r="D499" s="124"/>
      <c r="E499" s="124" t="str">
        <f>IFERROR(__xludf.DUMMYFUNCTION("IF(
   ISNUMBER(FIND(""'"", B499)),
   IFERROR(""["" &amp; REGEXREPLACE(JOIN("", "", QUERY(Data!$A$2:$K512, ""SELECT K WHERE B = """"""&amp;B499&amp;"""""""")), ""(\d+)"", """"""$1"""""") &amp; ""]"", """"),
   IFERROR(""["" &amp; REGEXREPLACE(JOIN("", "", QUERY(Data!$A$2:$K"&amp;"512, ""SELECT K WHERE B = '""&amp;B499&amp;""'"")), ""(\d+)"", """"""$1"""""") &amp; ""]"", """")
)"),"[""56""]")</f>
        <v>["56"]</v>
      </c>
      <c r="F499" s="124"/>
      <c r="G499" s="124"/>
      <c r="H499" s="124"/>
      <c r="I499" s="124"/>
    </row>
    <row r="500">
      <c r="A500" s="126">
        <v>1416.0</v>
      </c>
      <c r="B500" s="126" t="s">
        <v>4689</v>
      </c>
      <c r="C500" s="126" t="s">
        <v>4689</v>
      </c>
      <c r="D500" s="124"/>
      <c r="E500" s="124" t="str">
        <f>IFERROR(__xludf.DUMMYFUNCTION("IF(
   ISNUMBER(FIND(""'"", B500)),
   IFERROR(""["" &amp; REGEXREPLACE(JOIN("", "", QUERY(Data!$A$2:$K512, ""SELECT K WHERE B = """"""&amp;B500&amp;"""""""")), ""(\d+)"", """"""$1"""""") &amp; ""]"", """"),
   IFERROR(""["" &amp; REGEXREPLACE(JOIN("", "", QUERY(Data!$A$2:$K"&amp;"512, ""SELECT K WHERE B = '""&amp;B500&amp;""'"")), ""(\d+)"", """"""$1"""""") &amp; ""]"", """")
)"),"[""22""]")</f>
        <v>["22"]</v>
      </c>
      <c r="F500" s="124"/>
      <c r="G500" s="124"/>
      <c r="H500" s="124"/>
      <c r="I500" s="124"/>
    </row>
    <row r="501">
      <c r="A501" s="125">
        <v>1480.0</v>
      </c>
      <c r="B501" s="126" t="s">
        <v>294</v>
      </c>
      <c r="C501" s="126" t="s">
        <v>5783</v>
      </c>
      <c r="D501" s="124"/>
      <c r="E501" s="124" t="str">
        <f>IFERROR(__xludf.DUMMYFUNCTION("IF(
   ISNUMBER(FIND(""'"", B501)),
   IFERROR(""["" &amp; REGEXREPLACE(JOIN("", "", QUERY(Data!$A$2:$K512, ""SELECT K WHERE B = """"""&amp;B501&amp;"""""""")), ""(\d+)"", """"""$1"""""") &amp; ""]"", """"),
   IFERROR(""["" &amp; REGEXREPLACE(JOIN("", "", QUERY(Data!$A$2:$K"&amp;"512, ""SELECT K WHERE B = '""&amp;B501&amp;""'"")), ""(\d+)"", """"""$1"""""") &amp; ""]"", """")
)"),"[""31""]")</f>
        <v>["31"]</v>
      </c>
      <c r="F501" s="124"/>
      <c r="G501" s="124"/>
      <c r="H501" s="124"/>
      <c r="I501" s="124"/>
    </row>
    <row r="502">
      <c r="A502" s="125">
        <v>1064.0</v>
      </c>
      <c r="B502" s="125" t="s">
        <v>1485</v>
      </c>
      <c r="C502" s="126" t="s">
        <v>5783</v>
      </c>
      <c r="D502" s="124"/>
      <c r="E502" s="124" t="str">
        <f>IFERROR(__xludf.DUMMYFUNCTION("IF(
   ISNUMBER(FIND(""'"", B502)),
   IFERROR(""["" &amp; REGEXREPLACE(JOIN("", "", QUERY(Data!$A$2:$K512, ""SELECT K WHERE B = """"""&amp;B502&amp;"""""""")), ""(\d+)"", """"""$1"""""") &amp; ""]"", """"),
   IFERROR(""["" &amp; REGEXREPLACE(JOIN("", "", QUERY(Data!$A$2:$K"&amp;"512, ""SELECT K WHERE B = '""&amp;B502&amp;""'"")), ""(\d+)"", """"""$1"""""") &amp; ""]"", """")
)"),"[""31"", ""32"", ""33"", ""35""]")</f>
        <v>["31", "32", "33", "35"]</v>
      </c>
      <c r="F502" s="124"/>
      <c r="G502" s="124"/>
      <c r="H502" s="124"/>
      <c r="I502" s="124"/>
    </row>
    <row r="503">
      <c r="A503" s="126">
        <v>1382.0</v>
      </c>
      <c r="B503" s="126" t="s">
        <v>4698</v>
      </c>
      <c r="C503" s="126" t="s">
        <v>5784</v>
      </c>
      <c r="D503" s="124"/>
      <c r="E503" s="124" t="str">
        <f>IFERROR(__xludf.DUMMYFUNCTION("IF(
   ISNUMBER(FIND(""'"", B503)),
   IFERROR(""["" &amp; REGEXREPLACE(JOIN("", "", QUERY(Data!$A$2:$K512, ""SELECT K WHERE B = """"""&amp;B503&amp;"""""""")), ""(\d+)"", """"""$1"""""") &amp; ""]"", """"),
   IFERROR(""["" &amp; REGEXREPLACE(JOIN("", "", QUERY(Data!$A$2:$K"&amp;"512, ""SELECT K WHERE B = '""&amp;B503&amp;""'"")), ""(\d+)"", """"""$1"""""") &amp; ""]"", """")
)"),"[""11"", ""12"", ""13"", ""14"", ""35"", ""36""]")</f>
        <v>["11", "12", "13", "14", "35", "36"]</v>
      </c>
      <c r="F503" s="124"/>
      <c r="G503" s="124"/>
      <c r="H503" s="124"/>
      <c r="I503" s="124"/>
    </row>
    <row r="504">
      <c r="A504" s="125">
        <v>1251.0</v>
      </c>
      <c r="B504" s="126" t="s">
        <v>4721</v>
      </c>
      <c r="C504" s="124" t="s">
        <v>4721</v>
      </c>
      <c r="D504" s="124"/>
      <c r="E504" s="124" t="str">
        <f>IFERROR(__xludf.DUMMYFUNCTION("IF(
   ISNUMBER(FIND(""'"", B504)),
   IFERROR(""["" &amp; REGEXREPLACE(JOIN("", "", QUERY(Data!$A$2:$K512, ""SELECT K WHERE B = """"""&amp;B504&amp;"""""""")), ""(\d+)"", """"""$1"""""") &amp; ""]"", """"),
   IFERROR(""["" &amp; REGEXREPLACE(JOIN("", "", QUERY(Data!$A$2:$K"&amp;"512, ""SELECT K WHERE B = '""&amp;B504&amp;""'"")), ""(\d+)"", """"""$1"""""") &amp; ""]"", """")
)"),"[""24""]")</f>
        <v>["24"]</v>
      </c>
      <c r="F504" s="124"/>
      <c r="G504" s="124"/>
      <c r="H504" s="124"/>
      <c r="I504" s="124"/>
    </row>
    <row r="505">
      <c r="A505" s="125">
        <v>1252.0</v>
      </c>
      <c r="B505" s="126" t="s">
        <v>4728</v>
      </c>
      <c r="C505" s="124" t="s">
        <v>4728</v>
      </c>
      <c r="D505" s="124"/>
      <c r="E505" s="124" t="str">
        <f>IFERROR(__xludf.DUMMYFUNCTION("IF(
   ISNUMBER(FIND(""'"", B505)),
   IFERROR(""["" &amp; REGEXREPLACE(JOIN("", "", QUERY(Data!$A$2:$K512, ""SELECT K WHERE B = """"""&amp;B505&amp;"""""""")), ""(\d+)"", """"""$1"""""") &amp; ""]"", """"),
   IFERROR(""["" &amp; REGEXREPLACE(JOIN("", "", QUERY(Data!$A$2:$K"&amp;"512, ""SELECT K WHERE B = '""&amp;B505&amp;""'"")), ""(\d+)"", """"""$1"""""") &amp; ""]"", """")
)"),"[""11"", ""12"", ""13"", ""35"", ""44"", ""44"", ""61""]")</f>
        <v>["11", "12", "13", "35", "44", "44", "61"]</v>
      </c>
      <c r="F505" s="124"/>
      <c r="G505" s="124"/>
      <c r="H505" s="124"/>
      <c r="I505" s="124"/>
    </row>
    <row r="506">
      <c r="A506" s="125">
        <v>1253.0</v>
      </c>
      <c r="B506" s="126" t="s">
        <v>4762</v>
      </c>
      <c r="C506" s="124" t="s">
        <v>4762</v>
      </c>
      <c r="D506" s="124">
        <v>500000.0</v>
      </c>
      <c r="E506" s="124" t="str">
        <f>IFERROR(__xludf.DUMMYFUNCTION("IF(
   ISNUMBER(FIND(""'"", B506)),
   IFERROR(""["" &amp; REGEXREPLACE(JOIN("", "", QUERY(Data!$A$2:$K512, ""SELECT K WHERE B = """"""&amp;B506&amp;"""""""")), ""(\d+)"", """"""$1"""""") &amp; ""]"", """"),
   IFERROR(""["" &amp; REGEXREPLACE(JOIN("", "", QUERY(Data!$A$2:$K"&amp;"512, ""SELECT K WHERE B = '""&amp;B506&amp;""'"")), ""(\d+)"", """"""$1"""""") &amp; ""]"", """")
)"),"[""11"", ""12"", ""13"", ""13"", ""14"", ""35"", ""44"", ""51"", ""52"", ""54"", ""64""]")</f>
        <v>["11", "12", "13", "13", "14", "35", "44", "51", "52", "54", "64"]</v>
      </c>
      <c r="F506" s="124"/>
      <c r="G506" s="124"/>
      <c r="H506" s="124"/>
      <c r="I506" s="124"/>
    </row>
    <row r="507">
      <c r="A507" s="125">
        <v>1254.0</v>
      </c>
      <c r="B507" s="126" t="s">
        <v>4783</v>
      </c>
      <c r="C507" s="124" t="s">
        <v>4783</v>
      </c>
      <c r="D507" s="124"/>
      <c r="E507" s="124" t="str">
        <f>IFERROR(__xludf.DUMMYFUNCTION("IF(
   ISNUMBER(FIND(""'"", B507)),
   IFERROR(""["" &amp; REGEXREPLACE(JOIN("", "", QUERY(Data!$A$2:$K512, ""SELECT K WHERE B = """"""&amp;B507&amp;"""""""")), ""(\d+)"", """"""$1"""""") &amp; ""]"", """"),
   IFERROR(""["" &amp; REGEXREPLACE(JOIN("", "", QUERY(Data!$A$2:$K"&amp;"512, ""SELECT K WHERE B = '""&amp;B507&amp;""'"")), ""(\d+)"", """"""$1"""""") &amp; ""]"", """")
)"),"[""11"", ""12""]")</f>
        <v>["11", "12"]</v>
      </c>
      <c r="F507" s="124"/>
      <c r="G507" s="124"/>
      <c r="H507" s="124"/>
      <c r="I507" s="124"/>
    </row>
    <row r="508">
      <c r="A508" s="125">
        <v>1255.0</v>
      </c>
      <c r="B508" s="126" t="s">
        <v>4793</v>
      </c>
      <c r="C508" s="124" t="s">
        <v>4793</v>
      </c>
      <c r="D508" s="124"/>
      <c r="E508" s="124" t="str">
        <f>IFERROR(__xludf.DUMMYFUNCTION("IF(
   ISNUMBER(FIND(""'"", B508)),
   IFERROR(""["" &amp; REGEXREPLACE(JOIN("", "", QUERY(Data!$A$2:$K512, ""SELECT K WHERE B = """"""&amp;B508&amp;"""""""")), ""(\d+)"", """"""$1"""""") &amp; ""]"", """"),
   IFERROR(""["" &amp; REGEXREPLACE(JOIN("", "", QUERY(Data!$A$2:$K"&amp;"512, ""SELECT K WHERE B = '""&amp;B508&amp;""'"")), ""(\d+)"", """"""$1"""""") &amp; ""]"", """")
)"),"[""11"", ""12"", ""13""]")</f>
        <v>["11", "12", "13"]</v>
      </c>
      <c r="F508" s="124"/>
      <c r="G508" s="124"/>
      <c r="H508" s="124"/>
      <c r="I508" s="124"/>
    </row>
    <row r="509">
      <c r="A509" s="126">
        <v>1391.0</v>
      </c>
      <c r="B509" s="126" t="s">
        <v>4806</v>
      </c>
      <c r="C509" s="126" t="s">
        <v>5785</v>
      </c>
      <c r="D509" s="124"/>
      <c r="E509" s="124" t="str">
        <f>IFERROR(__xludf.DUMMYFUNCTION("IF(
   ISNUMBER(FIND(""'"", B509)),
   IFERROR(""["" &amp; REGEXREPLACE(JOIN("", "", QUERY(Data!$A$2:$K512, ""SELECT K WHERE B = """"""&amp;B509&amp;"""""""")), ""(\d+)"", """"""$1"""""") &amp; ""]"", """"),
   IFERROR(""["" &amp; REGEXREPLACE(JOIN("", "", QUERY(Data!$A$2:$K"&amp;"512, ""SELECT K WHERE B = '""&amp;B509&amp;""'"")), ""(\d+)"", """"""$1"""""") &amp; ""]"", """")
)"),"[""52""]")</f>
        <v>["52"]</v>
      </c>
      <c r="F509" s="124"/>
      <c r="G509" s="124"/>
      <c r="H509" s="124"/>
      <c r="I509" s="124"/>
    </row>
    <row r="510">
      <c r="A510" s="126">
        <v>1392.0</v>
      </c>
      <c r="B510" s="126" t="s">
        <v>4813</v>
      </c>
      <c r="C510" s="126" t="s">
        <v>5785</v>
      </c>
      <c r="D510" s="124"/>
      <c r="E510" s="124" t="str">
        <f>IFERROR(__xludf.DUMMYFUNCTION("IF(
   ISNUMBER(FIND(""'"", B510)),
   IFERROR(""["" &amp; REGEXREPLACE(JOIN("", "", QUERY(Data!$A$2:$K512, ""SELECT K WHERE B = """"""&amp;B510&amp;"""""""")), ""(\d+)"", """"""$1"""""") &amp; ""]"", """"),
   IFERROR(""["" &amp; REGEXREPLACE(JOIN("", "", QUERY(Data!$A$2:$K"&amp;"512, ""SELECT K WHERE B = '""&amp;B510&amp;""'"")), ""(\d+)"", """"""$1"""""") &amp; ""]"", """")
)"),"[""52""]")</f>
        <v>["52"]</v>
      </c>
      <c r="F510" s="124"/>
      <c r="G510" s="124"/>
      <c r="H510" s="124"/>
      <c r="I510" s="124"/>
    </row>
    <row r="511">
      <c r="A511" s="125">
        <v>1256.0</v>
      </c>
      <c r="B511" s="126" t="s">
        <v>4817</v>
      </c>
      <c r="C511" s="124" t="s">
        <v>4817</v>
      </c>
      <c r="D511" s="124"/>
      <c r="E511" s="124" t="str">
        <f>IFERROR(__xludf.DUMMYFUNCTION("IF(
   ISNUMBER(FIND(""'"", B511)),
   IFERROR(""["" &amp; REGEXREPLACE(JOIN("", "", QUERY(Data!$A$2:$K512, ""SELECT K WHERE B = """"""&amp;B511&amp;"""""""")), ""(\d+)"", """"""$1"""""") &amp; ""]"", """"),
   IFERROR(""["" &amp; REGEXREPLACE(JOIN("", "", QUERY(Data!$A$2:$K"&amp;"512, ""SELECT K WHERE B = '""&amp;B511&amp;""'"")), ""(\d+)"", """"""$1"""""") &amp; ""]"", """")
)"),"[""44"", ""52""]")</f>
        <v>["44", "52"]</v>
      </c>
      <c r="F511" s="124"/>
      <c r="G511" s="124"/>
      <c r="H511" s="124"/>
      <c r="I511" s="124"/>
    </row>
    <row r="512">
      <c r="A512" s="125">
        <v>1257.0</v>
      </c>
      <c r="B512" s="126" t="s">
        <v>4827</v>
      </c>
      <c r="C512" s="124" t="s">
        <v>4827</v>
      </c>
      <c r="D512" s="124"/>
      <c r="E512" s="124" t="str">
        <f>IFERROR(__xludf.DUMMYFUNCTION("IF(
   ISNUMBER(FIND(""'"", B512)),
   IFERROR(""["" &amp; REGEXREPLACE(JOIN("", "", QUERY(Data!$A$2:$K512, ""SELECT K WHERE B = """"""&amp;B512&amp;"""""""")), ""(\d+)"", """"""$1"""""") &amp; ""]"", """"),
   IFERROR(""["" &amp; REGEXREPLACE(JOIN("", "", QUERY(Data!$A$2:$K"&amp;"512, ""SELECT K WHERE B = '""&amp;B512&amp;""'"")), ""(\d+)"", """"""$1"""""") &amp; ""]"", """")
)"),"[""55""]")</f>
        <v>["55"]</v>
      </c>
      <c r="F512" s="124"/>
      <c r="G512" s="124"/>
      <c r="H512" s="124"/>
      <c r="I512" s="124"/>
    </row>
  </sheetData>
  <autoFilter ref="$A$1:$E$512"/>
  <conditionalFormatting sqref="A1:A512">
    <cfRule type="expression" dxfId="4" priority="1">
      <formula>COUNTIF(A:A, A1)&gt;1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13"/>
    <col customWidth="1" min="2" max="2" width="39.75"/>
    <col customWidth="1" min="3" max="3" width="11.5"/>
    <col customWidth="1" min="4" max="4" width="8.38"/>
  </cols>
  <sheetData>
    <row r="1" ht="25.5" customHeight="1">
      <c r="A1" s="138" t="s">
        <v>0</v>
      </c>
      <c r="B1" s="138" t="s">
        <v>5786</v>
      </c>
      <c r="C1" s="139" t="s">
        <v>5787</v>
      </c>
      <c r="D1" s="140" t="s">
        <v>5788</v>
      </c>
    </row>
    <row r="2" ht="25.5" customHeight="1">
      <c r="A2" s="141">
        <f>IFERROR(__xludf.DUMMYFUNCTION("query(organizations!$A$2:$B9,""Select A where B = '""&amp;B2&amp;""'"")"),8888.0)</f>
        <v>8888</v>
      </c>
      <c r="B2" s="141" t="s">
        <v>5754</v>
      </c>
      <c r="C2" s="139" t="s">
        <v>5789</v>
      </c>
      <c r="D2" s="142"/>
    </row>
    <row r="3" ht="25.5" customHeight="1">
      <c r="A3" s="141">
        <f>IFERROR(__xludf.DUMMYFUNCTION("query(organizations!$A$2:$B9,""Select A where B = '""&amp;B3&amp;""'"")"),1042.0)</f>
        <v>1042</v>
      </c>
      <c r="B3" s="143" t="s">
        <v>1114</v>
      </c>
      <c r="C3" s="144" t="s">
        <v>5790</v>
      </c>
      <c r="D3" s="145" t="s">
        <v>5791</v>
      </c>
    </row>
    <row r="4" ht="25.5" customHeight="1">
      <c r="A4" s="141">
        <f>IFERROR(__xludf.DUMMYFUNCTION("query(organizations!$A$2:$B9,""Select A where B = '""&amp;B4&amp;""'"")"),1043.0)</f>
        <v>1043</v>
      </c>
      <c r="B4" s="143" t="s">
        <v>1144</v>
      </c>
      <c r="C4" s="144" t="s">
        <v>5792</v>
      </c>
      <c r="D4" s="145" t="s">
        <v>5791</v>
      </c>
    </row>
    <row r="5" ht="25.5" customHeight="1">
      <c r="A5" s="141">
        <f>IFERROR(__xludf.DUMMYFUNCTION("query(organizations!$A$2:$B9,""Select A where B = '""&amp;B5&amp;""'"")"),1356.0)</f>
        <v>1356</v>
      </c>
      <c r="B5" s="141" t="s">
        <v>1552</v>
      </c>
      <c r="C5" s="139">
        <v>1594.0</v>
      </c>
      <c r="D5" s="146" t="s">
        <v>5793</v>
      </c>
    </row>
    <row r="6" ht="25.5" customHeight="1">
      <c r="A6" s="141">
        <f>IFERROR(__xludf.DUMMYFUNCTION("query(organizations!$A$2:$B9,""Select A where B = '""&amp;B6&amp;""'"")"),1269.0)</f>
        <v>1269</v>
      </c>
      <c r="B6" s="141" t="s">
        <v>2005</v>
      </c>
      <c r="C6" s="147" t="s">
        <v>5794</v>
      </c>
      <c r="D6" s="148" t="s">
        <v>5795</v>
      </c>
    </row>
    <row r="7" ht="25.5" customHeight="1">
      <c r="A7" s="141">
        <f>IFERROR(__xludf.DUMMYFUNCTION("query(organizations!$A$2:$B9,""Select A where B = '""&amp;B7&amp;""'"")"),1233.0)</f>
        <v>1233</v>
      </c>
      <c r="B7" s="149" t="s">
        <v>4356</v>
      </c>
      <c r="C7" s="150">
        <v>1157.0</v>
      </c>
      <c r="D7" s="151" t="s">
        <v>5796</v>
      </c>
    </row>
    <row r="8" ht="25.5" customHeight="1">
      <c r="A8" s="141">
        <f>IFERROR(__xludf.DUMMYFUNCTION("query(organizations!$A$2:$B9,""Select A where B = '""&amp;B8&amp;""'"")"),1235.0)</f>
        <v>1235</v>
      </c>
      <c r="B8" s="141" t="s">
        <v>4376</v>
      </c>
      <c r="C8" s="150">
        <v>6378.0</v>
      </c>
      <c r="D8" s="152" t="s">
        <v>5797</v>
      </c>
    </row>
    <row r="9" ht="25.5" customHeight="1">
      <c r="A9" s="141">
        <f>IFERROR(__xludf.DUMMYFUNCTION("query(organizations!$A$2:$B9,""Select A where B = '""&amp;B9&amp;""'"")"),1237.0)</f>
        <v>1237</v>
      </c>
      <c r="B9" s="149" t="s">
        <v>4399</v>
      </c>
      <c r="C9" s="150" t="s">
        <v>5798</v>
      </c>
      <c r="D9" s="153" t="s">
        <v>5799</v>
      </c>
    </row>
  </sheetData>
  <dataValidations>
    <dataValidation type="list" allowBlank="1" showErrorMessage="1" sqref="B3:B9">
      <formula1>organizations!$B$2:$B9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75"/>
    <col customWidth="1" min="6" max="6" width="15.5"/>
    <col customWidth="1" min="7" max="7" width="31.63"/>
    <col customWidth="1" min="8" max="8" width="9.0"/>
    <col customWidth="1" min="9" max="9" width="35.25"/>
    <col customWidth="1" min="10" max="10" width="11.75"/>
    <col customWidth="1" min="11" max="11" width="36.88"/>
    <col customWidth="1" min="12" max="12" width="7.63"/>
    <col customWidth="1" min="13" max="13" width="32.88"/>
  </cols>
  <sheetData>
    <row r="1">
      <c r="A1" s="154" t="s">
        <v>5800</v>
      </c>
      <c r="B1" s="154" t="s">
        <v>5801</v>
      </c>
      <c r="C1" s="154" t="s">
        <v>5802</v>
      </c>
      <c r="D1" s="154" t="s">
        <v>5786</v>
      </c>
      <c r="E1" s="154" t="s">
        <v>5803</v>
      </c>
      <c r="F1" s="154" t="s">
        <v>5804</v>
      </c>
      <c r="G1" s="155" t="s">
        <v>5805</v>
      </c>
      <c r="H1" s="154" t="s">
        <v>5806</v>
      </c>
      <c r="I1" s="155" t="s">
        <v>5807</v>
      </c>
      <c r="J1" s="154" t="s">
        <v>5808</v>
      </c>
      <c r="K1" s="155" t="s">
        <v>5809</v>
      </c>
      <c r="L1" s="154" t="s">
        <v>5810</v>
      </c>
      <c r="M1" s="155" t="s">
        <v>5811</v>
      </c>
      <c r="N1" s="154" t="s">
        <v>5812</v>
      </c>
      <c r="O1" s="154" t="s">
        <v>5813</v>
      </c>
      <c r="P1" s="154" t="s">
        <v>5814</v>
      </c>
      <c r="Q1" s="154" t="s">
        <v>5815</v>
      </c>
    </row>
    <row r="2">
      <c r="A2" s="156">
        <v>46044.0</v>
      </c>
      <c r="B2" s="156">
        <v>46056.0</v>
      </c>
      <c r="C2" s="157" t="s">
        <v>5816</v>
      </c>
      <c r="D2" s="158"/>
      <c r="E2" s="157" t="s">
        <v>5817</v>
      </c>
      <c r="F2" s="159" t="s">
        <v>5818</v>
      </c>
      <c r="G2" s="47" t="s">
        <v>5819</v>
      </c>
      <c r="H2" s="157" t="s">
        <v>5820</v>
      </c>
      <c r="I2" s="47" t="s">
        <v>5821</v>
      </c>
      <c r="J2" s="157" t="s">
        <v>5822</v>
      </c>
      <c r="K2" s="47" t="s">
        <v>5823</v>
      </c>
      <c r="L2" s="159" t="s">
        <v>5820</v>
      </c>
      <c r="M2" s="47" t="s">
        <v>5824</v>
      </c>
      <c r="N2" s="159" t="s">
        <v>5822</v>
      </c>
      <c r="O2" s="157" t="s">
        <v>5825</v>
      </c>
      <c r="P2" s="158"/>
      <c r="Q2" s="157" t="s">
        <v>5826</v>
      </c>
    </row>
    <row r="3">
      <c r="A3" s="156">
        <v>46085.0</v>
      </c>
      <c r="B3" s="156">
        <v>46091.0</v>
      </c>
      <c r="C3" s="157" t="s">
        <v>5816</v>
      </c>
      <c r="D3" s="158"/>
      <c r="E3" s="157" t="s">
        <v>5827</v>
      </c>
      <c r="F3" s="159" t="s">
        <v>5828</v>
      </c>
      <c r="G3" s="47" t="s">
        <v>5829</v>
      </c>
      <c r="H3" s="157" t="s">
        <v>5828</v>
      </c>
      <c r="I3" s="47" t="s">
        <v>5830</v>
      </c>
      <c r="J3" s="157" t="s">
        <v>5828</v>
      </c>
      <c r="K3" s="47" t="s">
        <v>5831</v>
      </c>
      <c r="L3" s="159" t="s">
        <v>5832</v>
      </c>
      <c r="M3" s="47" t="s">
        <v>5833</v>
      </c>
      <c r="N3" s="158"/>
      <c r="O3" s="158"/>
      <c r="P3" s="158"/>
      <c r="Q3" s="158"/>
    </row>
    <row r="4">
      <c r="C4" s="157"/>
      <c r="D4" s="158"/>
      <c r="F4" s="159"/>
      <c r="G4" s="160"/>
      <c r="H4" s="157"/>
      <c r="I4" s="160"/>
      <c r="J4" s="157"/>
      <c r="K4" s="160"/>
      <c r="L4" s="159"/>
      <c r="M4" s="160"/>
      <c r="N4" s="161"/>
      <c r="P4" s="161"/>
    </row>
    <row r="5">
      <c r="C5" s="157"/>
      <c r="D5" s="158"/>
      <c r="F5" s="159"/>
      <c r="G5" s="160"/>
      <c r="H5" s="157"/>
      <c r="I5" s="160"/>
      <c r="J5" s="157"/>
      <c r="K5" s="160"/>
      <c r="L5" s="159"/>
      <c r="M5" s="160"/>
      <c r="N5" s="161"/>
      <c r="P5" s="161"/>
    </row>
    <row r="6">
      <c r="C6" s="157"/>
      <c r="D6" s="158"/>
      <c r="F6" s="159"/>
      <c r="G6" s="160"/>
      <c r="H6" s="157"/>
      <c r="I6" s="160"/>
      <c r="J6" s="157"/>
      <c r="K6" s="160"/>
      <c r="L6" s="159"/>
      <c r="M6" s="160"/>
      <c r="N6" s="161"/>
      <c r="P6" s="161"/>
    </row>
    <row r="7">
      <c r="C7" s="157"/>
      <c r="D7" s="158"/>
      <c r="F7" s="159"/>
      <c r="G7" s="160"/>
      <c r="H7" s="157"/>
      <c r="I7" s="160"/>
      <c r="J7" s="157"/>
      <c r="K7" s="160"/>
      <c r="L7" s="159"/>
      <c r="M7" s="160"/>
      <c r="N7" s="161"/>
      <c r="P7" s="161"/>
    </row>
    <row r="8">
      <c r="C8" s="157"/>
      <c r="D8" s="158"/>
      <c r="F8" s="159"/>
      <c r="G8" s="160"/>
      <c r="H8" s="157"/>
      <c r="I8" s="160"/>
      <c r="J8" s="157"/>
      <c r="K8" s="160"/>
      <c r="L8" s="159"/>
      <c r="M8" s="160"/>
      <c r="N8" s="161"/>
      <c r="P8" s="161"/>
    </row>
    <row r="9">
      <c r="C9" s="157"/>
      <c r="D9" s="158"/>
      <c r="F9" s="159"/>
      <c r="G9" s="160"/>
      <c r="H9" s="157"/>
      <c r="I9" s="160"/>
      <c r="J9" s="157"/>
      <c r="K9" s="160"/>
      <c r="L9" s="159"/>
      <c r="M9" s="160"/>
      <c r="N9" s="161"/>
      <c r="P9" s="161"/>
    </row>
    <row r="10">
      <c r="C10" s="157"/>
      <c r="D10" s="158"/>
      <c r="F10" s="159"/>
      <c r="G10" s="160"/>
      <c r="H10" s="157"/>
      <c r="I10" s="160"/>
      <c r="J10" s="157"/>
      <c r="K10" s="160"/>
      <c r="L10" s="159"/>
      <c r="M10" s="160"/>
      <c r="N10" s="161"/>
      <c r="P10" s="161"/>
    </row>
    <row r="11">
      <c r="C11" s="157"/>
      <c r="D11" s="158"/>
      <c r="F11" s="159"/>
      <c r="G11" s="160"/>
      <c r="H11" s="157"/>
      <c r="I11" s="160"/>
      <c r="J11" s="157"/>
      <c r="K11" s="160"/>
      <c r="L11" s="159"/>
      <c r="M11" s="160"/>
      <c r="N11" s="161"/>
      <c r="P11" s="161"/>
    </row>
    <row r="12">
      <c r="C12" s="157"/>
      <c r="D12" s="158"/>
      <c r="F12" s="159"/>
      <c r="G12" s="160"/>
      <c r="H12" s="157"/>
      <c r="I12" s="160"/>
      <c r="J12" s="157"/>
      <c r="K12" s="160"/>
      <c r="L12" s="159"/>
      <c r="M12" s="160"/>
      <c r="N12" s="161"/>
      <c r="P12" s="161"/>
    </row>
    <row r="13">
      <c r="C13" s="157"/>
      <c r="D13" s="158"/>
      <c r="F13" s="159"/>
      <c r="G13" s="160"/>
      <c r="H13" s="157"/>
      <c r="I13" s="160"/>
      <c r="J13" s="157"/>
      <c r="K13" s="160"/>
      <c r="L13" s="159"/>
      <c r="M13" s="160"/>
      <c r="N13" s="161"/>
      <c r="P13" s="161"/>
    </row>
    <row r="14">
      <c r="C14" s="157"/>
      <c r="D14" s="158"/>
      <c r="F14" s="159"/>
      <c r="G14" s="160"/>
      <c r="H14" s="157"/>
      <c r="I14" s="160"/>
      <c r="J14" s="157"/>
      <c r="K14" s="160"/>
      <c r="L14" s="159"/>
      <c r="M14" s="160"/>
      <c r="N14" s="161"/>
      <c r="P14" s="161"/>
    </row>
    <row r="15">
      <c r="C15" s="157"/>
      <c r="D15" s="158"/>
      <c r="F15" s="159"/>
      <c r="G15" s="160"/>
      <c r="H15" s="157"/>
      <c r="I15" s="160"/>
      <c r="J15" s="157"/>
      <c r="K15" s="160"/>
      <c r="L15" s="159"/>
      <c r="M15" s="160"/>
      <c r="N15" s="161"/>
      <c r="P15" s="161"/>
    </row>
    <row r="16">
      <c r="C16" s="157"/>
      <c r="D16" s="158"/>
      <c r="F16" s="159"/>
      <c r="G16" s="160"/>
      <c r="H16" s="157"/>
      <c r="I16" s="160"/>
      <c r="J16" s="157"/>
      <c r="K16" s="160"/>
      <c r="L16" s="159"/>
      <c r="M16" s="160"/>
      <c r="N16" s="161"/>
      <c r="P16" s="161"/>
    </row>
    <row r="17">
      <c r="C17" s="157"/>
      <c r="D17" s="158"/>
      <c r="F17" s="159"/>
      <c r="G17" s="160"/>
      <c r="H17" s="157"/>
      <c r="I17" s="160"/>
      <c r="J17" s="157"/>
      <c r="K17" s="160"/>
      <c r="L17" s="159"/>
      <c r="M17" s="160"/>
      <c r="N17" s="161"/>
      <c r="P17" s="161"/>
    </row>
    <row r="18">
      <c r="C18" s="157"/>
      <c r="D18" s="158"/>
      <c r="F18" s="159"/>
      <c r="G18" s="160"/>
      <c r="H18" s="157"/>
      <c r="I18" s="160"/>
      <c r="J18" s="157"/>
      <c r="K18" s="160"/>
      <c r="L18" s="159"/>
      <c r="M18" s="160"/>
      <c r="N18" s="161"/>
      <c r="P18" s="161"/>
    </row>
    <row r="19">
      <c r="C19" s="157"/>
      <c r="D19" s="158"/>
      <c r="F19" s="159"/>
      <c r="G19" s="160"/>
      <c r="H19" s="157"/>
      <c r="I19" s="160"/>
      <c r="J19" s="157"/>
      <c r="K19" s="160"/>
      <c r="L19" s="159"/>
      <c r="M19" s="160"/>
      <c r="N19" s="161"/>
      <c r="P19" s="161"/>
    </row>
    <row r="20">
      <c r="C20" s="157"/>
      <c r="D20" s="158"/>
      <c r="F20" s="159"/>
      <c r="G20" s="160"/>
      <c r="H20" s="157"/>
      <c r="I20" s="160"/>
      <c r="J20" s="157"/>
      <c r="K20" s="160"/>
      <c r="L20" s="159"/>
      <c r="M20" s="160"/>
      <c r="N20" s="161"/>
      <c r="P20" s="161"/>
    </row>
    <row r="21">
      <c r="C21" s="157"/>
      <c r="D21" s="158"/>
      <c r="F21" s="159"/>
      <c r="G21" s="160"/>
      <c r="H21" s="157"/>
      <c r="I21" s="160"/>
      <c r="J21" s="157"/>
      <c r="K21" s="160"/>
      <c r="L21" s="159"/>
      <c r="M21" s="160"/>
      <c r="N21" s="161"/>
      <c r="P21" s="161"/>
    </row>
    <row r="22">
      <c r="C22" s="157"/>
      <c r="D22" s="158"/>
      <c r="F22" s="159"/>
      <c r="G22" s="160"/>
      <c r="H22" s="157"/>
      <c r="I22" s="160"/>
      <c r="J22" s="157"/>
      <c r="K22" s="160"/>
      <c r="L22" s="159"/>
      <c r="M22" s="160"/>
      <c r="N22" s="161"/>
      <c r="P22" s="161"/>
    </row>
    <row r="23">
      <c r="C23" s="157"/>
      <c r="D23" s="158"/>
      <c r="F23" s="159"/>
      <c r="G23" s="160"/>
      <c r="H23" s="157"/>
      <c r="I23" s="160"/>
      <c r="J23" s="157"/>
      <c r="K23" s="160"/>
      <c r="L23" s="159"/>
      <c r="M23" s="160"/>
      <c r="N23" s="161"/>
      <c r="P23" s="161"/>
    </row>
    <row r="24">
      <c r="C24" s="157"/>
      <c r="D24" s="158"/>
      <c r="F24" s="159"/>
      <c r="G24" s="160"/>
      <c r="H24" s="157"/>
      <c r="I24" s="160"/>
      <c r="J24" s="157"/>
      <c r="K24" s="160"/>
      <c r="L24" s="159"/>
      <c r="M24" s="160"/>
      <c r="N24" s="161"/>
      <c r="P24" s="161"/>
    </row>
    <row r="25">
      <c r="C25" s="157"/>
      <c r="D25" s="158"/>
      <c r="F25" s="159"/>
      <c r="G25" s="160"/>
      <c r="H25" s="157"/>
      <c r="I25" s="160"/>
      <c r="J25" s="157"/>
      <c r="K25" s="160"/>
      <c r="L25" s="159"/>
      <c r="M25" s="160"/>
      <c r="N25" s="161"/>
      <c r="P25" s="161"/>
    </row>
    <row r="26">
      <c r="C26" s="157"/>
      <c r="D26" s="158"/>
      <c r="F26" s="159"/>
      <c r="G26" s="160"/>
      <c r="H26" s="157"/>
      <c r="I26" s="160"/>
      <c r="J26" s="157"/>
      <c r="K26" s="160"/>
      <c r="L26" s="159"/>
      <c r="M26" s="160"/>
      <c r="N26" s="161"/>
      <c r="P26" s="161"/>
    </row>
    <row r="27">
      <c r="C27" s="157"/>
      <c r="D27" s="158"/>
      <c r="F27" s="159"/>
      <c r="G27" s="160"/>
      <c r="H27" s="157"/>
      <c r="I27" s="160"/>
      <c r="J27" s="157"/>
      <c r="K27" s="160"/>
      <c r="L27" s="159"/>
      <c r="M27" s="160"/>
      <c r="N27" s="161"/>
      <c r="P27" s="161"/>
    </row>
    <row r="28">
      <c r="C28" s="157"/>
      <c r="D28" s="158"/>
      <c r="F28" s="159"/>
      <c r="G28" s="160"/>
      <c r="H28" s="157"/>
      <c r="I28" s="160"/>
      <c r="J28" s="157"/>
      <c r="K28" s="160"/>
      <c r="L28" s="159"/>
      <c r="M28" s="160"/>
      <c r="N28" s="161"/>
      <c r="P28" s="161"/>
    </row>
    <row r="29">
      <c r="C29" s="157"/>
      <c r="D29" s="158"/>
      <c r="F29" s="159"/>
      <c r="G29" s="160"/>
      <c r="H29" s="157"/>
      <c r="I29" s="160"/>
      <c r="J29" s="157"/>
      <c r="K29" s="160"/>
      <c r="L29" s="159"/>
      <c r="M29" s="160"/>
      <c r="N29" s="161"/>
      <c r="P29" s="161"/>
    </row>
    <row r="30">
      <c r="C30" s="157"/>
      <c r="D30" s="158"/>
      <c r="F30" s="159"/>
      <c r="G30" s="160"/>
      <c r="H30" s="157"/>
      <c r="I30" s="160"/>
      <c r="J30" s="157"/>
      <c r="K30" s="160"/>
      <c r="L30" s="159"/>
      <c r="M30" s="160"/>
      <c r="N30" s="161"/>
      <c r="P30" s="161"/>
    </row>
    <row r="31">
      <c r="C31" s="157"/>
      <c r="D31" s="158"/>
      <c r="F31" s="159"/>
      <c r="G31" s="160"/>
      <c r="H31" s="157"/>
      <c r="I31" s="160"/>
      <c r="J31" s="157"/>
      <c r="K31" s="160"/>
      <c r="L31" s="159"/>
      <c r="M31" s="160"/>
      <c r="N31" s="161"/>
      <c r="P31" s="161"/>
    </row>
    <row r="32">
      <c r="C32" s="157"/>
      <c r="D32" s="158"/>
      <c r="F32" s="159"/>
      <c r="G32" s="160"/>
      <c r="H32" s="157"/>
      <c r="I32" s="160"/>
      <c r="J32" s="157"/>
      <c r="K32" s="160"/>
      <c r="L32" s="159"/>
      <c r="M32" s="160"/>
      <c r="N32" s="161"/>
      <c r="P32" s="161"/>
    </row>
    <row r="33">
      <c r="C33" s="157"/>
      <c r="D33" s="158"/>
      <c r="F33" s="159"/>
      <c r="G33" s="160"/>
      <c r="H33" s="157"/>
      <c r="I33" s="160"/>
      <c r="J33" s="157"/>
      <c r="K33" s="160"/>
      <c r="L33" s="159"/>
      <c r="M33" s="160"/>
      <c r="N33" s="161"/>
      <c r="P33" s="161"/>
    </row>
    <row r="34">
      <c r="C34" s="157"/>
      <c r="D34" s="158"/>
      <c r="F34" s="159"/>
      <c r="G34" s="160"/>
      <c r="H34" s="157"/>
      <c r="I34" s="160"/>
      <c r="J34" s="157"/>
      <c r="K34" s="160"/>
      <c r="L34" s="159"/>
      <c r="M34" s="160"/>
      <c r="N34" s="161"/>
      <c r="P34" s="161"/>
    </row>
    <row r="35">
      <c r="C35" s="157"/>
      <c r="D35" s="158"/>
      <c r="F35" s="159"/>
      <c r="G35" s="160"/>
      <c r="H35" s="157"/>
      <c r="I35" s="160"/>
      <c r="J35" s="157"/>
      <c r="K35" s="160"/>
      <c r="L35" s="159"/>
      <c r="M35" s="160"/>
      <c r="N35" s="161"/>
      <c r="P35" s="161"/>
    </row>
    <row r="36">
      <c r="C36" s="157"/>
      <c r="D36" s="158"/>
      <c r="F36" s="159"/>
      <c r="G36" s="160"/>
      <c r="H36" s="157"/>
      <c r="I36" s="160"/>
      <c r="J36" s="157"/>
      <c r="K36" s="160"/>
      <c r="L36" s="159"/>
      <c r="M36" s="160"/>
      <c r="N36" s="161"/>
      <c r="P36" s="161"/>
    </row>
    <row r="37">
      <c r="C37" s="157"/>
      <c r="D37" s="158"/>
      <c r="F37" s="159"/>
      <c r="G37" s="160"/>
      <c r="H37" s="157"/>
      <c r="I37" s="160"/>
      <c r="J37" s="157"/>
      <c r="K37" s="160"/>
      <c r="L37" s="159"/>
      <c r="M37" s="160"/>
      <c r="N37" s="161"/>
      <c r="P37" s="161"/>
    </row>
    <row r="38">
      <c r="C38" s="157"/>
      <c r="D38" s="158"/>
      <c r="F38" s="159"/>
      <c r="G38" s="160"/>
      <c r="H38" s="157"/>
      <c r="I38" s="160"/>
      <c r="J38" s="157"/>
      <c r="K38" s="160"/>
      <c r="L38" s="159"/>
      <c r="M38" s="160"/>
      <c r="N38" s="161"/>
      <c r="P38" s="161"/>
    </row>
    <row r="39">
      <c r="C39" s="157"/>
      <c r="D39" s="158"/>
      <c r="F39" s="159"/>
      <c r="G39" s="160"/>
      <c r="H39" s="157"/>
      <c r="I39" s="160"/>
      <c r="J39" s="157"/>
      <c r="K39" s="160"/>
      <c r="L39" s="159"/>
      <c r="M39" s="160"/>
      <c r="N39" s="161"/>
      <c r="P39" s="161"/>
    </row>
    <row r="40">
      <c r="C40" s="157"/>
      <c r="D40" s="158"/>
      <c r="F40" s="159"/>
      <c r="G40" s="160"/>
      <c r="H40" s="157"/>
      <c r="I40" s="160"/>
      <c r="J40" s="157"/>
      <c r="K40" s="160"/>
      <c r="L40" s="159"/>
      <c r="M40" s="160"/>
      <c r="N40" s="161"/>
      <c r="P40" s="161"/>
    </row>
    <row r="41">
      <c r="C41" s="157"/>
      <c r="D41" s="158"/>
      <c r="F41" s="159"/>
      <c r="G41" s="160"/>
      <c r="H41" s="157"/>
      <c r="I41" s="160"/>
      <c r="J41" s="157"/>
      <c r="K41" s="160"/>
      <c r="L41" s="159"/>
      <c r="M41" s="160"/>
      <c r="N41" s="161"/>
      <c r="P41" s="161"/>
    </row>
    <row r="42">
      <c r="C42" s="157"/>
      <c r="D42" s="158"/>
      <c r="F42" s="159"/>
      <c r="G42" s="160"/>
      <c r="H42" s="157"/>
      <c r="I42" s="160"/>
      <c r="J42" s="157"/>
      <c r="K42" s="160"/>
      <c r="L42" s="159"/>
      <c r="M42" s="160"/>
      <c r="N42" s="161"/>
      <c r="P42" s="161"/>
    </row>
    <row r="43">
      <c r="C43" s="157"/>
      <c r="D43" s="158"/>
      <c r="F43" s="159"/>
      <c r="G43" s="160"/>
      <c r="H43" s="157"/>
      <c r="I43" s="160"/>
      <c r="J43" s="157"/>
      <c r="K43" s="160"/>
      <c r="L43" s="159"/>
      <c r="M43" s="160"/>
      <c r="N43" s="161"/>
      <c r="P43" s="161"/>
    </row>
    <row r="44">
      <c r="C44" s="157"/>
      <c r="D44" s="158"/>
      <c r="F44" s="159"/>
      <c r="G44" s="160"/>
      <c r="H44" s="157"/>
      <c r="I44" s="160"/>
      <c r="J44" s="157"/>
      <c r="K44" s="160"/>
      <c r="L44" s="159"/>
      <c r="M44" s="160"/>
      <c r="N44" s="161"/>
      <c r="P44" s="161"/>
    </row>
    <row r="45">
      <c r="C45" s="157"/>
      <c r="D45" s="158"/>
      <c r="F45" s="159"/>
      <c r="G45" s="160"/>
      <c r="H45" s="157"/>
      <c r="I45" s="160"/>
      <c r="J45" s="157"/>
      <c r="K45" s="160"/>
      <c r="L45" s="159"/>
      <c r="M45" s="160"/>
      <c r="N45" s="161"/>
      <c r="P45" s="161"/>
    </row>
    <row r="46">
      <c r="C46" s="157"/>
      <c r="D46" s="158"/>
      <c r="F46" s="159"/>
      <c r="G46" s="160"/>
      <c r="H46" s="157"/>
      <c r="I46" s="160"/>
      <c r="J46" s="157"/>
      <c r="K46" s="160"/>
      <c r="L46" s="159"/>
      <c r="M46" s="160"/>
      <c r="N46" s="161"/>
      <c r="P46" s="161"/>
    </row>
    <row r="47">
      <c r="C47" s="157"/>
      <c r="D47" s="158"/>
      <c r="F47" s="159"/>
      <c r="G47" s="160"/>
      <c r="H47" s="157"/>
      <c r="I47" s="160"/>
      <c r="J47" s="157"/>
      <c r="K47" s="160"/>
      <c r="L47" s="159"/>
      <c r="M47" s="160"/>
      <c r="N47" s="161"/>
      <c r="P47" s="161"/>
    </row>
    <row r="48">
      <c r="C48" s="157"/>
      <c r="D48" s="158"/>
      <c r="F48" s="159"/>
      <c r="G48" s="160"/>
      <c r="H48" s="157"/>
      <c r="I48" s="160"/>
      <c r="J48" s="157"/>
      <c r="K48" s="160"/>
      <c r="L48" s="159"/>
      <c r="M48" s="160"/>
      <c r="N48" s="161"/>
      <c r="P48" s="161"/>
    </row>
    <row r="49">
      <c r="C49" s="157"/>
      <c r="D49" s="158"/>
      <c r="F49" s="159"/>
      <c r="G49" s="160"/>
      <c r="H49" s="157"/>
      <c r="I49" s="160"/>
      <c r="J49" s="157"/>
      <c r="K49" s="160"/>
      <c r="L49" s="159"/>
      <c r="M49" s="160"/>
      <c r="N49" s="161"/>
      <c r="P49" s="161"/>
    </row>
    <row r="50">
      <c r="G50" s="160"/>
      <c r="I50" s="160"/>
      <c r="K50" s="160"/>
      <c r="M50" s="160"/>
    </row>
    <row r="51">
      <c r="G51" s="160"/>
      <c r="I51" s="160"/>
      <c r="K51" s="160"/>
      <c r="M51" s="160"/>
    </row>
    <row r="52">
      <c r="G52" s="160"/>
      <c r="I52" s="160"/>
      <c r="K52" s="160"/>
      <c r="M52" s="160"/>
    </row>
    <row r="53">
      <c r="G53" s="160"/>
      <c r="I53" s="160"/>
      <c r="K53" s="160"/>
      <c r="M53" s="160"/>
    </row>
    <row r="54">
      <c r="G54" s="160"/>
      <c r="I54" s="160"/>
      <c r="K54" s="160"/>
      <c r="M54" s="160"/>
    </row>
    <row r="55">
      <c r="G55" s="160"/>
      <c r="I55" s="160"/>
      <c r="K55" s="160"/>
      <c r="M55" s="160"/>
    </row>
    <row r="56">
      <c r="G56" s="160"/>
      <c r="I56" s="160"/>
      <c r="K56" s="160"/>
      <c r="M56" s="160"/>
    </row>
    <row r="57">
      <c r="G57" s="160"/>
      <c r="I57" s="160"/>
      <c r="K57" s="160"/>
      <c r="M57" s="160"/>
    </row>
    <row r="58">
      <c r="G58" s="160"/>
      <c r="I58" s="160"/>
      <c r="K58" s="160"/>
      <c r="M58" s="160"/>
    </row>
    <row r="59">
      <c r="G59" s="160"/>
      <c r="I59" s="160"/>
      <c r="K59" s="160"/>
      <c r="M59" s="160"/>
    </row>
    <row r="60">
      <c r="G60" s="160"/>
      <c r="I60" s="160"/>
      <c r="K60" s="160"/>
      <c r="M60" s="160"/>
    </row>
    <row r="61">
      <c r="G61" s="160"/>
      <c r="I61" s="160"/>
      <c r="K61" s="160"/>
      <c r="M61" s="160"/>
    </row>
    <row r="62">
      <c r="G62" s="160"/>
      <c r="I62" s="160"/>
      <c r="K62" s="160"/>
      <c r="M62" s="160"/>
    </row>
    <row r="63">
      <c r="G63" s="160"/>
      <c r="I63" s="160"/>
      <c r="K63" s="160"/>
      <c r="M63" s="160"/>
    </row>
    <row r="64">
      <c r="G64" s="160"/>
      <c r="I64" s="160"/>
      <c r="K64" s="160"/>
      <c r="M64" s="160"/>
    </row>
    <row r="65">
      <c r="G65" s="160"/>
      <c r="I65" s="160"/>
      <c r="K65" s="160"/>
      <c r="M65" s="160"/>
    </row>
    <row r="66">
      <c r="G66" s="160"/>
      <c r="I66" s="160"/>
      <c r="K66" s="160"/>
      <c r="M66" s="160"/>
    </row>
    <row r="67">
      <c r="G67" s="160"/>
      <c r="I67" s="160"/>
      <c r="K67" s="160"/>
      <c r="M67" s="160"/>
    </row>
    <row r="68">
      <c r="G68" s="160"/>
      <c r="I68" s="160"/>
      <c r="K68" s="160"/>
      <c r="M68" s="160"/>
    </row>
    <row r="69">
      <c r="G69" s="160"/>
      <c r="I69" s="160"/>
      <c r="K69" s="160"/>
      <c r="M69" s="160"/>
    </row>
    <row r="70">
      <c r="G70" s="160"/>
      <c r="I70" s="160"/>
      <c r="K70" s="160"/>
      <c r="M70" s="160"/>
    </row>
    <row r="71">
      <c r="G71" s="160"/>
      <c r="I71" s="160"/>
      <c r="K71" s="160"/>
      <c r="M71" s="160"/>
    </row>
    <row r="72">
      <c r="G72" s="160"/>
      <c r="I72" s="160"/>
      <c r="K72" s="160"/>
      <c r="M72" s="160"/>
    </row>
    <row r="73">
      <c r="G73" s="160"/>
      <c r="I73" s="160"/>
      <c r="K73" s="160"/>
      <c r="M73" s="160"/>
    </row>
    <row r="74">
      <c r="G74" s="160"/>
      <c r="I74" s="160"/>
      <c r="K74" s="160"/>
      <c r="M74" s="160"/>
    </row>
    <row r="75">
      <c r="G75" s="160"/>
      <c r="I75" s="160"/>
      <c r="K75" s="160"/>
      <c r="M75" s="160"/>
    </row>
    <row r="76">
      <c r="G76" s="160"/>
      <c r="I76" s="160"/>
      <c r="K76" s="160"/>
      <c r="M76" s="160"/>
    </row>
    <row r="77">
      <c r="G77" s="160"/>
      <c r="I77" s="160"/>
      <c r="K77" s="160"/>
      <c r="M77" s="160"/>
    </row>
    <row r="78">
      <c r="G78" s="160"/>
      <c r="I78" s="160"/>
      <c r="K78" s="160"/>
      <c r="M78" s="160"/>
    </row>
    <row r="79">
      <c r="G79" s="160"/>
      <c r="I79" s="160"/>
      <c r="K79" s="160"/>
      <c r="M79" s="160"/>
    </row>
    <row r="80">
      <c r="G80" s="160"/>
      <c r="I80" s="160"/>
      <c r="K80" s="160"/>
      <c r="M80" s="160"/>
    </row>
    <row r="81">
      <c r="G81" s="160"/>
      <c r="I81" s="160"/>
      <c r="K81" s="160"/>
      <c r="M81" s="160"/>
    </row>
    <row r="82">
      <c r="G82" s="160"/>
      <c r="I82" s="160"/>
      <c r="K82" s="160"/>
      <c r="M82" s="160"/>
    </row>
    <row r="83">
      <c r="G83" s="160"/>
      <c r="I83" s="160"/>
      <c r="K83" s="160"/>
      <c r="M83" s="160"/>
    </row>
    <row r="84">
      <c r="G84" s="160"/>
      <c r="I84" s="160"/>
      <c r="K84" s="160"/>
      <c r="M84" s="160"/>
    </row>
    <row r="85">
      <c r="G85" s="160"/>
      <c r="I85" s="160"/>
      <c r="K85" s="160"/>
      <c r="M85" s="160"/>
    </row>
    <row r="86">
      <c r="G86" s="160"/>
      <c r="I86" s="160"/>
      <c r="K86" s="160"/>
      <c r="M86" s="160"/>
    </row>
    <row r="87">
      <c r="G87" s="160"/>
      <c r="I87" s="160"/>
      <c r="K87" s="160"/>
      <c r="M87" s="160"/>
    </row>
    <row r="88">
      <c r="G88" s="160"/>
      <c r="I88" s="160"/>
      <c r="K88" s="160"/>
      <c r="M88" s="160"/>
    </row>
    <row r="89">
      <c r="G89" s="160"/>
      <c r="I89" s="160"/>
      <c r="K89" s="160"/>
      <c r="M89" s="160"/>
    </row>
    <row r="90">
      <c r="G90" s="160"/>
      <c r="I90" s="160"/>
      <c r="K90" s="160"/>
      <c r="M90" s="160"/>
    </row>
    <row r="91">
      <c r="G91" s="160"/>
      <c r="I91" s="160"/>
      <c r="K91" s="160"/>
      <c r="M91" s="160"/>
    </row>
    <row r="92">
      <c r="G92" s="160"/>
      <c r="I92" s="160"/>
      <c r="K92" s="160"/>
      <c r="M92" s="160"/>
    </row>
    <row r="93">
      <c r="G93" s="160"/>
      <c r="I93" s="160"/>
      <c r="K93" s="160"/>
      <c r="M93" s="160"/>
    </row>
    <row r="94">
      <c r="G94" s="160"/>
      <c r="I94" s="160"/>
      <c r="K94" s="160"/>
      <c r="M94" s="160"/>
    </row>
    <row r="95">
      <c r="G95" s="160"/>
      <c r="I95" s="160"/>
      <c r="K95" s="160"/>
      <c r="M95" s="160"/>
    </row>
    <row r="96">
      <c r="G96" s="160"/>
      <c r="I96" s="160"/>
      <c r="K96" s="160"/>
      <c r="M96" s="160"/>
    </row>
    <row r="97">
      <c r="G97" s="160"/>
      <c r="I97" s="160"/>
      <c r="K97" s="160"/>
      <c r="M97" s="160"/>
    </row>
    <row r="98">
      <c r="G98" s="160"/>
      <c r="I98" s="160"/>
      <c r="K98" s="160"/>
      <c r="M98" s="160"/>
    </row>
    <row r="99">
      <c r="G99" s="160"/>
      <c r="I99" s="160"/>
      <c r="K99" s="160"/>
      <c r="M99" s="160"/>
    </row>
    <row r="100">
      <c r="G100" s="160"/>
      <c r="I100" s="160"/>
      <c r="K100" s="160"/>
      <c r="M100" s="160"/>
    </row>
    <row r="101">
      <c r="G101" s="160"/>
      <c r="I101" s="160"/>
      <c r="K101" s="160"/>
      <c r="M101" s="160"/>
    </row>
    <row r="102">
      <c r="G102" s="160"/>
      <c r="I102" s="160"/>
      <c r="K102" s="160"/>
      <c r="M102" s="160"/>
    </row>
    <row r="103">
      <c r="G103" s="160"/>
      <c r="I103" s="160"/>
      <c r="K103" s="160"/>
      <c r="M103" s="160"/>
    </row>
    <row r="104">
      <c r="G104" s="160"/>
      <c r="I104" s="160"/>
      <c r="K104" s="160"/>
      <c r="M104" s="160"/>
    </row>
    <row r="105">
      <c r="G105" s="160"/>
      <c r="I105" s="160"/>
      <c r="K105" s="160"/>
      <c r="M105" s="160"/>
    </row>
    <row r="106">
      <c r="G106" s="160"/>
      <c r="I106" s="160"/>
      <c r="K106" s="160"/>
      <c r="M106" s="160"/>
    </row>
    <row r="107">
      <c r="G107" s="160"/>
      <c r="I107" s="160"/>
      <c r="K107" s="160"/>
      <c r="M107" s="160"/>
    </row>
    <row r="108">
      <c r="G108" s="160"/>
      <c r="I108" s="160"/>
      <c r="K108" s="160"/>
      <c r="M108" s="160"/>
    </row>
    <row r="109">
      <c r="G109" s="160"/>
      <c r="I109" s="160"/>
      <c r="K109" s="160"/>
      <c r="M109" s="160"/>
    </row>
    <row r="110">
      <c r="G110" s="160"/>
      <c r="I110" s="160"/>
      <c r="K110" s="160"/>
      <c r="M110" s="160"/>
    </row>
    <row r="111">
      <c r="G111" s="160"/>
      <c r="I111" s="160"/>
      <c r="K111" s="160"/>
      <c r="M111" s="160"/>
    </row>
    <row r="112">
      <c r="G112" s="160"/>
      <c r="I112" s="160"/>
      <c r="K112" s="160"/>
      <c r="M112" s="160"/>
    </row>
    <row r="113">
      <c r="G113" s="160"/>
      <c r="I113" s="160"/>
      <c r="K113" s="160"/>
      <c r="M113" s="160"/>
    </row>
    <row r="114">
      <c r="G114" s="160"/>
      <c r="I114" s="160"/>
      <c r="K114" s="160"/>
      <c r="M114" s="160"/>
    </row>
    <row r="115">
      <c r="G115" s="160"/>
      <c r="I115" s="160"/>
      <c r="K115" s="160"/>
      <c r="M115" s="160"/>
    </row>
    <row r="116">
      <c r="G116" s="160"/>
      <c r="I116" s="160"/>
      <c r="K116" s="160"/>
      <c r="M116" s="160"/>
    </row>
    <row r="117">
      <c r="G117" s="160"/>
      <c r="I117" s="160"/>
      <c r="K117" s="160"/>
      <c r="M117" s="160"/>
    </row>
    <row r="118">
      <c r="G118" s="160"/>
      <c r="I118" s="160"/>
      <c r="K118" s="160"/>
      <c r="M118" s="160"/>
    </row>
    <row r="119">
      <c r="G119" s="160"/>
      <c r="I119" s="160"/>
      <c r="K119" s="160"/>
      <c r="M119" s="160"/>
    </row>
    <row r="120">
      <c r="G120" s="160"/>
      <c r="I120" s="160"/>
      <c r="K120" s="160"/>
      <c r="M120" s="160"/>
    </row>
    <row r="121">
      <c r="G121" s="160"/>
      <c r="I121" s="160"/>
      <c r="K121" s="160"/>
      <c r="M121" s="160"/>
    </row>
    <row r="122">
      <c r="G122" s="160"/>
      <c r="I122" s="160"/>
      <c r="K122" s="160"/>
      <c r="M122" s="160"/>
    </row>
    <row r="123">
      <c r="G123" s="160"/>
      <c r="I123" s="160"/>
      <c r="K123" s="160"/>
      <c r="M123" s="160"/>
    </row>
    <row r="124">
      <c r="G124" s="160"/>
      <c r="I124" s="160"/>
      <c r="K124" s="160"/>
      <c r="M124" s="160"/>
    </row>
    <row r="125">
      <c r="G125" s="160"/>
      <c r="I125" s="160"/>
      <c r="K125" s="160"/>
      <c r="M125" s="160"/>
    </row>
    <row r="126">
      <c r="G126" s="160"/>
      <c r="I126" s="160"/>
      <c r="K126" s="160"/>
      <c r="M126" s="160"/>
    </row>
    <row r="127">
      <c r="G127" s="160"/>
      <c r="I127" s="160"/>
      <c r="K127" s="160"/>
      <c r="M127" s="160"/>
    </row>
    <row r="128">
      <c r="G128" s="160"/>
      <c r="I128" s="160"/>
      <c r="K128" s="160"/>
      <c r="M128" s="160"/>
    </row>
    <row r="129">
      <c r="G129" s="160"/>
      <c r="I129" s="160"/>
      <c r="K129" s="160"/>
      <c r="M129" s="160"/>
    </row>
    <row r="130">
      <c r="G130" s="160"/>
      <c r="I130" s="160"/>
      <c r="K130" s="160"/>
      <c r="M130" s="160"/>
    </row>
    <row r="131">
      <c r="G131" s="160"/>
      <c r="I131" s="160"/>
      <c r="K131" s="160"/>
      <c r="M131" s="160"/>
    </row>
    <row r="132">
      <c r="G132" s="160"/>
      <c r="I132" s="160"/>
      <c r="K132" s="160"/>
      <c r="M132" s="160"/>
    </row>
    <row r="133">
      <c r="G133" s="160"/>
      <c r="I133" s="160"/>
      <c r="K133" s="160"/>
      <c r="M133" s="160"/>
    </row>
    <row r="134">
      <c r="G134" s="160"/>
      <c r="I134" s="160"/>
      <c r="K134" s="160"/>
      <c r="M134" s="160"/>
    </row>
    <row r="135">
      <c r="G135" s="160"/>
      <c r="I135" s="160"/>
      <c r="K135" s="160"/>
      <c r="M135" s="160"/>
    </row>
    <row r="136">
      <c r="G136" s="160"/>
      <c r="I136" s="160"/>
      <c r="K136" s="160"/>
      <c r="M136" s="160"/>
    </row>
    <row r="137">
      <c r="G137" s="160"/>
      <c r="I137" s="160"/>
      <c r="K137" s="160"/>
      <c r="M137" s="160"/>
    </row>
    <row r="138">
      <c r="G138" s="160"/>
      <c r="I138" s="160"/>
      <c r="K138" s="160"/>
      <c r="M138" s="160"/>
    </row>
    <row r="139">
      <c r="G139" s="160"/>
      <c r="I139" s="160"/>
      <c r="K139" s="160"/>
      <c r="M139" s="160"/>
    </row>
    <row r="140">
      <c r="G140" s="160"/>
      <c r="I140" s="160"/>
      <c r="K140" s="160"/>
      <c r="M140" s="160"/>
    </row>
    <row r="141">
      <c r="G141" s="160"/>
      <c r="I141" s="160"/>
      <c r="K141" s="160"/>
      <c r="M141" s="160"/>
    </row>
    <row r="142">
      <c r="G142" s="160"/>
      <c r="I142" s="160"/>
      <c r="K142" s="160"/>
      <c r="M142" s="160"/>
    </row>
    <row r="143">
      <c r="G143" s="160"/>
      <c r="I143" s="160"/>
      <c r="K143" s="160"/>
      <c r="M143" s="160"/>
    </row>
    <row r="144">
      <c r="G144" s="160"/>
      <c r="I144" s="160"/>
      <c r="K144" s="160"/>
      <c r="M144" s="160"/>
    </row>
    <row r="145">
      <c r="G145" s="160"/>
      <c r="I145" s="160"/>
      <c r="K145" s="160"/>
      <c r="M145" s="160"/>
    </row>
    <row r="146">
      <c r="G146" s="160"/>
      <c r="I146" s="160"/>
      <c r="K146" s="160"/>
      <c r="M146" s="160"/>
    </row>
    <row r="147">
      <c r="G147" s="160"/>
      <c r="I147" s="160"/>
      <c r="K147" s="160"/>
      <c r="M147" s="160"/>
    </row>
    <row r="148">
      <c r="G148" s="160"/>
      <c r="I148" s="160"/>
      <c r="K148" s="160"/>
      <c r="M148" s="160"/>
    </row>
    <row r="149">
      <c r="G149" s="160"/>
      <c r="I149" s="160"/>
      <c r="K149" s="160"/>
      <c r="M149" s="160"/>
    </row>
    <row r="150">
      <c r="G150" s="160"/>
      <c r="I150" s="160"/>
      <c r="K150" s="160"/>
      <c r="M150" s="160"/>
    </row>
    <row r="151">
      <c r="G151" s="160"/>
      <c r="I151" s="160"/>
      <c r="K151" s="160"/>
      <c r="M151" s="160"/>
    </row>
    <row r="152">
      <c r="G152" s="160"/>
      <c r="I152" s="160"/>
      <c r="K152" s="160"/>
      <c r="M152" s="160"/>
    </row>
    <row r="153">
      <c r="G153" s="160"/>
      <c r="I153" s="160"/>
      <c r="K153" s="160"/>
      <c r="M153" s="160"/>
    </row>
    <row r="154">
      <c r="G154" s="160"/>
      <c r="I154" s="160"/>
      <c r="K154" s="160"/>
      <c r="M154" s="160"/>
    </row>
    <row r="155">
      <c r="G155" s="160"/>
      <c r="I155" s="160"/>
      <c r="K155" s="160"/>
      <c r="M155" s="160"/>
    </row>
    <row r="156">
      <c r="G156" s="160"/>
      <c r="I156" s="160"/>
      <c r="K156" s="160"/>
      <c r="M156" s="160"/>
    </row>
    <row r="157">
      <c r="G157" s="160"/>
      <c r="I157" s="160"/>
      <c r="K157" s="160"/>
      <c r="M157" s="160"/>
    </row>
    <row r="158">
      <c r="G158" s="160"/>
      <c r="I158" s="160"/>
      <c r="K158" s="160"/>
      <c r="M158" s="160"/>
    </row>
    <row r="159">
      <c r="G159" s="160"/>
      <c r="I159" s="160"/>
      <c r="K159" s="160"/>
      <c r="M159" s="160"/>
    </row>
    <row r="160">
      <c r="G160" s="160"/>
      <c r="I160" s="160"/>
      <c r="K160" s="160"/>
      <c r="M160" s="160"/>
    </row>
    <row r="161">
      <c r="G161" s="160"/>
      <c r="I161" s="160"/>
      <c r="K161" s="160"/>
      <c r="M161" s="160"/>
    </row>
    <row r="162">
      <c r="G162" s="160"/>
      <c r="I162" s="160"/>
      <c r="K162" s="160"/>
      <c r="M162" s="160"/>
    </row>
    <row r="163">
      <c r="G163" s="160"/>
      <c r="I163" s="160"/>
      <c r="K163" s="160"/>
      <c r="M163" s="160"/>
    </row>
    <row r="164">
      <c r="G164" s="160"/>
      <c r="I164" s="160"/>
      <c r="K164" s="160"/>
      <c r="M164" s="160"/>
    </row>
    <row r="165">
      <c r="G165" s="160"/>
      <c r="I165" s="160"/>
      <c r="K165" s="160"/>
      <c r="M165" s="160"/>
    </row>
    <row r="166">
      <c r="G166" s="160"/>
      <c r="I166" s="160"/>
      <c r="K166" s="160"/>
      <c r="M166" s="160"/>
    </row>
    <row r="167">
      <c r="G167" s="160"/>
      <c r="I167" s="160"/>
      <c r="K167" s="160"/>
      <c r="M167" s="160"/>
    </row>
    <row r="168">
      <c r="G168" s="160"/>
      <c r="I168" s="160"/>
      <c r="K168" s="160"/>
      <c r="M168" s="160"/>
    </row>
    <row r="169">
      <c r="G169" s="160"/>
      <c r="I169" s="160"/>
      <c r="K169" s="160"/>
      <c r="M169" s="160"/>
    </row>
    <row r="170">
      <c r="G170" s="160"/>
      <c r="I170" s="160"/>
      <c r="K170" s="160"/>
      <c r="M170" s="160"/>
    </row>
    <row r="171">
      <c r="G171" s="160"/>
      <c r="I171" s="160"/>
      <c r="K171" s="160"/>
      <c r="M171" s="160"/>
    </row>
    <row r="172">
      <c r="G172" s="160"/>
      <c r="I172" s="160"/>
      <c r="K172" s="160"/>
      <c r="M172" s="160"/>
    </row>
    <row r="173">
      <c r="G173" s="160"/>
      <c r="I173" s="160"/>
      <c r="K173" s="160"/>
      <c r="M173" s="160"/>
    </row>
    <row r="174">
      <c r="G174" s="160"/>
      <c r="I174" s="160"/>
      <c r="K174" s="160"/>
      <c r="M174" s="160"/>
    </row>
    <row r="175">
      <c r="G175" s="160"/>
      <c r="I175" s="160"/>
      <c r="K175" s="160"/>
      <c r="M175" s="160"/>
    </row>
    <row r="176">
      <c r="G176" s="160"/>
      <c r="I176" s="160"/>
      <c r="K176" s="160"/>
      <c r="M176" s="160"/>
    </row>
    <row r="177">
      <c r="G177" s="160"/>
      <c r="I177" s="160"/>
      <c r="K177" s="160"/>
      <c r="M177" s="160"/>
    </row>
    <row r="178">
      <c r="G178" s="160"/>
      <c r="I178" s="160"/>
      <c r="K178" s="160"/>
      <c r="M178" s="160"/>
    </row>
    <row r="179">
      <c r="G179" s="160"/>
      <c r="I179" s="160"/>
      <c r="K179" s="160"/>
      <c r="M179" s="160"/>
    </row>
    <row r="180">
      <c r="G180" s="160"/>
      <c r="I180" s="160"/>
      <c r="K180" s="160"/>
      <c r="M180" s="160"/>
    </row>
    <row r="181">
      <c r="G181" s="160"/>
      <c r="I181" s="160"/>
      <c r="K181" s="160"/>
      <c r="M181" s="160"/>
    </row>
    <row r="182">
      <c r="G182" s="160"/>
      <c r="I182" s="160"/>
      <c r="K182" s="160"/>
      <c r="M182" s="160"/>
    </row>
    <row r="183">
      <c r="G183" s="160"/>
      <c r="I183" s="160"/>
      <c r="K183" s="160"/>
      <c r="M183" s="160"/>
    </row>
    <row r="184">
      <c r="G184" s="160"/>
      <c r="I184" s="160"/>
      <c r="K184" s="160"/>
      <c r="M184" s="160"/>
    </row>
    <row r="185">
      <c r="G185" s="160"/>
      <c r="I185" s="160"/>
      <c r="K185" s="160"/>
      <c r="M185" s="160"/>
    </row>
    <row r="186">
      <c r="G186" s="160"/>
      <c r="I186" s="160"/>
      <c r="K186" s="160"/>
      <c r="M186" s="160"/>
    </row>
    <row r="187">
      <c r="G187" s="160"/>
      <c r="I187" s="160"/>
      <c r="K187" s="160"/>
      <c r="M187" s="160"/>
    </row>
    <row r="188">
      <c r="G188" s="160"/>
      <c r="I188" s="160"/>
      <c r="K188" s="160"/>
      <c r="M188" s="160"/>
    </row>
    <row r="189">
      <c r="G189" s="160"/>
      <c r="I189" s="160"/>
      <c r="K189" s="160"/>
      <c r="M189" s="160"/>
    </row>
    <row r="190">
      <c r="G190" s="160"/>
      <c r="I190" s="160"/>
      <c r="K190" s="160"/>
      <c r="M190" s="160"/>
    </row>
    <row r="191">
      <c r="G191" s="160"/>
      <c r="I191" s="160"/>
      <c r="K191" s="160"/>
      <c r="M191" s="160"/>
    </row>
    <row r="192">
      <c r="G192" s="160"/>
      <c r="I192" s="160"/>
      <c r="K192" s="160"/>
      <c r="M192" s="160"/>
    </row>
    <row r="193">
      <c r="G193" s="160"/>
      <c r="I193" s="160"/>
      <c r="K193" s="160"/>
      <c r="M193" s="160"/>
    </row>
    <row r="194">
      <c r="G194" s="160"/>
      <c r="I194" s="160"/>
      <c r="K194" s="160"/>
      <c r="M194" s="160"/>
    </row>
    <row r="195">
      <c r="G195" s="160"/>
      <c r="I195" s="160"/>
      <c r="K195" s="160"/>
      <c r="M195" s="160"/>
    </row>
    <row r="196">
      <c r="G196" s="160"/>
      <c r="I196" s="160"/>
      <c r="K196" s="160"/>
      <c r="M196" s="160"/>
    </row>
    <row r="197">
      <c r="G197" s="160"/>
      <c r="I197" s="160"/>
      <c r="K197" s="160"/>
      <c r="M197" s="160"/>
    </row>
    <row r="198">
      <c r="G198" s="160"/>
      <c r="I198" s="160"/>
      <c r="K198" s="160"/>
      <c r="M198" s="160"/>
    </row>
    <row r="199">
      <c r="G199" s="160"/>
      <c r="I199" s="160"/>
      <c r="K199" s="160"/>
      <c r="M199" s="160"/>
    </row>
    <row r="200">
      <c r="G200" s="160"/>
      <c r="I200" s="160"/>
      <c r="K200" s="160"/>
      <c r="M200" s="160"/>
    </row>
    <row r="201">
      <c r="G201" s="160"/>
      <c r="I201" s="160"/>
      <c r="K201" s="160"/>
      <c r="M201" s="160"/>
    </row>
    <row r="202">
      <c r="G202" s="160"/>
      <c r="I202" s="160"/>
      <c r="K202" s="160"/>
      <c r="M202" s="160"/>
    </row>
    <row r="203">
      <c r="G203" s="160"/>
      <c r="I203" s="160"/>
      <c r="K203" s="160"/>
      <c r="M203" s="160"/>
    </row>
    <row r="204">
      <c r="G204" s="160"/>
      <c r="I204" s="160"/>
      <c r="K204" s="160"/>
      <c r="M204" s="160"/>
    </row>
    <row r="205">
      <c r="G205" s="160"/>
      <c r="I205" s="160"/>
      <c r="K205" s="160"/>
      <c r="M205" s="160"/>
    </row>
    <row r="206">
      <c r="G206" s="160"/>
      <c r="I206" s="160"/>
      <c r="K206" s="160"/>
      <c r="M206" s="160"/>
    </row>
    <row r="207">
      <c r="G207" s="160"/>
      <c r="I207" s="160"/>
      <c r="K207" s="160"/>
      <c r="M207" s="160"/>
    </row>
    <row r="208">
      <c r="G208" s="160"/>
      <c r="I208" s="160"/>
      <c r="K208" s="160"/>
      <c r="M208" s="160"/>
    </row>
    <row r="209">
      <c r="G209" s="160"/>
      <c r="I209" s="160"/>
      <c r="K209" s="160"/>
      <c r="M209" s="160"/>
    </row>
    <row r="210">
      <c r="G210" s="160"/>
      <c r="I210" s="160"/>
      <c r="K210" s="160"/>
      <c r="M210" s="160"/>
    </row>
    <row r="211">
      <c r="G211" s="160"/>
      <c r="I211" s="160"/>
      <c r="K211" s="160"/>
      <c r="M211" s="160"/>
    </row>
    <row r="212">
      <c r="G212" s="160"/>
      <c r="I212" s="160"/>
      <c r="K212" s="160"/>
      <c r="M212" s="160"/>
    </row>
    <row r="213">
      <c r="G213" s="160"/>
      <c r="I213" s="160"/>
      <c r="K213" s="160"/>
      <c r="M213" s="160"/>
    </row>
    <row r="214">
      <c r="G214" s="160"/>
      <c r="I214" s="160"/>
      <c r="K214" s="160"/>
      <c r="M214" s="160"/>
    </row>
    <row r="215">
      <c r="G215" s="160"/>
      <c r="I215" s="160"/>
      <c r="K215" s="160"/>
      <c r="M215" s="160"/>
    </row>
    <row r="216">
      <c r="G216" s="160"/>
      <c r="I216" s="160"/>
      <c r="K216" s="160"/>
      <c r="M216" s="160"/>
    </row>
    <row r="217">
      <c r="G217" s="160"/>
      <c r="I217" s="160"/>
      <c r="K217" s="160"/>
      <c r="M217" s="160"/>
    </row>
    <row r="218">
      <c r="G218" s="160"/>
      <c r="I218" s="160"/>
      <c r="K218" s="160"/>
      <c r="M218" s="160"/>
    </row>
    <row r="219">
      <c r="G219" s="160"/>
      <c r="I219" s="160"/>
      <c r="K219" s="160"/>
      <c r="M219" s="160"/>
    </row>
    <row r="220">
      <c r="G220" s="160"/>
      <c r="I220" s="160"/>
      <c r="K220" s="160"/>
      <c r="M220" s="160"/>
    </row>
    <row r="221">
      <c r="G221" s="160"/>
      <c r="I221" s="160"/>
      <c r="K221" s="160"/>
      <c r="M221" s="160"/>
    </row>
    <row r="222">
      <c r="G222" s="160"/>
      <c r="I222" s="160"/>
      <c r="K222" s="160"/>
      <c r="M222" s="160"/>
    </row>
    <row r="223">
      <c r="G223" s="160"/>
      <c r="I223" s="160"/>
      <c r="K223" s="160"/>
      <c r="M223" s="160"/>
    </row>
    <row r="224">
      <c r="G224" s="160"/>
      <c r="I224" s="160"/>
      <c r="K224" s="160"/>
      <c r="M224" s="160"/>
    </row>
    <row r="225">
      <c r="G225" s="160"/>
      <c r="I225" s="160"/>
      <c r="K225" s="160"/>
      <c r="M225" s="160"/>
    </row>
    <row r="226">
      <c r="G226" s="160"/>
      <c r="I226" s="160"/>
      <c r="K226" s="160"/>
      <c r="M226" s="160"/>
    </row>
    <row r="227">
      <c r="G227" s="160"/>
      <c r="I227" s="160"/>
      <c r="K227" s="160"/>
      <c r="M227" s="160"/>
    </row>
    <row r="228">
      <c r="G228" s="160"/>
      <c r="I228" s="160"/>
      <c r="K228" s="160"/>
      <c r="M228" s="160"/>
    </row>
    <row r="229">
      <c r="G229" s="160"/>
      <c r="I229" s="160"/>
      <c r="K229" s="160"/>
      <c r="M229" s="160"/>
    </row>
    <row r="230">
      <c r="G230" s="160"/>
      <c r="I230" s="160"/>
      <c r="K230" s="160"/>
      <c r="M230" s="160"/>
    </row>
    <row r="231">
      <c r="G231" s="160"/>
      <c r="I231" s="160"/>
      <c r="K231" s="160"/>
      <c r="M231" s="160"/>
    </row>
    <row r="232">
      <c r="G232" s="160"/>
      <c r="I232" s="160"/>
      <c r="K232" s="160"/>
      <c r="M232" s="160"/>
    </row>
    <row r="233">
      <c r="G233" s="160"/>
      <c r="I233" s="160"/>
      <c r="K233" s="160"/>
      <c r="M233" s="160"/>
    </row>
    <row r="234">
      <c r="G234" s="160"/>
      <c r="I234" s="160"/>
      <c r="K234" s="160"/>
      <c r="M234" s="160"/>
    </row>
    <row r="235">
      <c r="G235" s="160"/>
      <c r="I235" s="160"/>
      <c r="K235" s="160"/>
      <c r="M235" s="160"/>
    </row>
    <row r="236">
      <c r="G236" s="160"/>
      <c r="I236" s="160"/>
      <c r="K236" s="160"/>
      <c r="M236" s="160"/>
    </row>
    <row r="237">
      <c r="G237" s="160"/>
      <c r="I237" s="160"/>
      <c r="K237" s="160"/>
      <c r="M237" s="160"/>
    </row>
    <row r="238">
      <c r="G238" s="160"/>
      <c r="I238" s="160"/>
      <c r="K238" s="160"/>
      <c r="M238" s="160"/>
    </row>
    <row r="239">
      <c r="G239" s="160"/>
      <c r="I239" s="160"/>
      <c r="K239" s="160"/>
      <c r="M239" s="160"/>
    </row>
    <row r="240">
      <c r="G240" s="160"/>
      <c r="I240" s="160"/>
      <c r="K240" s="160"/>
      <c r="M240" s="160"/>
    </row>
    <row r="241">
      <c r="G241" s="160"/>
      <c r="I241" s="160"/>
      <c r="K241" s="160"/>
      <c r="M241" s="160"/>
    </row>
    <row r="242">
      <c r="G242" s="160"/>
      <c r="I242" s="160"/>
      <c r="K242" s="160"/>
      <c r="M242" s="160"/>
    </row>
    <row r="243">
      <c r="G243" s="160"/>
      <c r="I243" s="160"/>
      <c r="K243" s="160"/>
      <c r="M243" s="160"/>
    </row>
    <row r="244">
      <c r="G244" s="160"/>
      <c r="I244" s="160"/>
      <c r="K244" s="160"/>
      <c r="M244" s="160"/>
    </row>
    <row r="245">
      <c r="G245" s="160"/>
      <c r="I245" s="160"/>
      <c r="K245" s="160"/>
      <c r="M245" s="160"/>
    </row>
    <row r="246">
      <c r="G246" s="160"/>
      <c r="I246" s="160"/>
      <c r="K246" s="160"/>
      <c r="M246" s="160"/>
    </row>
    <row r="247">
      <c r="G247" s="160"/>
      <c r="I247" s="160"/>
      <c r="K247" s="160"/>
      <c r="M247" s="160"/>
    </row>
    <row r="248">
      <c r="G248" s="160"/>
      <c r="I248" s="160"/>
      <c r="K248" s="160"/>
      <c r="M248" s="160"/>
    </row>
    <row r="249">
      <c r="G249" s="160"/>
      <c r="I249" s="160"/>
      <c r="K249" s="160"/>
      <c r="M249" s="160"/>
    </row>
    <row r="250">
      <c r="G250" s="160"/>
      <c r="I250" s="160"/>
      <c r="K250" s="160"/>
      <c r="M250" s="160"/>
    </row>
    <row r="251">
      <c r="G251" s="160"/>
      <c r="I251" s="160"/>
      <c r="K251" s="160"/>
      <c r="M251" s="160"/>
    </row>
    <row r="252">
      <c r="G252" s="160"/>
      <c r="I252" s="160"/>
      <c r="K252" s="160"/>
      <c r="M252" s="160"/>
    </row>
    <row r="253">
      <c r="G253" s="160"/>
      <c r="I253" s="160"/>
      <c r="K253" s="160"/>
      <c r="M253" s="160"/>
    </row>
    <row r="254">
      <c r="G254" s="160"/>
      <c r="I254" s="160"/>
      <c r="K254" s="160"/>
      <c r="M254" s="160"/>
    </row>
    <row r="255">
      <c r="G255" s="160"/>
      <c r="I255" s="160"/>
      <c r="K255" s="160"/>
      <c r="M255" s="160"/>
    </row>
    <row r="256">
      <c r="G256" s="160"/>
      <c r="I256" s="160"/>
      <c r="K256" s="160"/>
      <c r="M256" s="160"/>
    </row>
    <row r="257">
      <c r="G257" s="160"/>
      <c r="I257" s="160"/>
      <c r="K257" s="160"/>
      <c r="M257" s="160"/>
    </row>
    <row r="258">
      <c r="G258" s="160"/>
      <c r="I258" s="160"/>
      <c r="K258" s="160"/>
      <c r="M258" s="160"/>
    </row>
    <row r="259">
      <c r="G259" s="160"/>
      <c r="I259" s="160"/>
      <c r="K259" s="160"/>
      <c r="M259" s="160"/>
    </row>
    <row r="260">
      <c r="G260" s="160"/>
      <c r="I260" s="160"/>
      <c r="K260" s="160"/>
      <c r="M260" s="160"/>
    </row>
    <row r="261">
      <c r="G261" s="160"/>
      <c r="I261" s="160"/>
      <c r="K261" s="160"/>
      <c r="M261" s="160"/>
    </row>
    <row r="262">
      <c r="G262" s="160"/>
      <c r="I262" s="160"/>
      <c r="K262" s="160"/>
      <c r="M262" s="160"/>
    </row>
    <row r="263">
      <c r="G263" s="160"/>
      <c r="I263" s="160"/>
      <c r="K263" s="160"/>
      <c r="M263" s="160"/>
    </row>
    <row r="264">
      <c r="G264" s="160"/>
      <c r="I264" s="160"/>
      <c r="K264" s="160"/>
      <c r="M264" s="160"/>
    </row>
    <row r="265">
      <c r="G265" s="160"/>
      <c r="I265" s="160"/>
      <c r="K265" s="160"/>
      <c r="M265" s="160"/>
    </row>
    <row r="266">
      <c r="G266" s="160"/>
      <c r="I266" s="160"/>
      <c r="K266" s="160"/>
      <c r="M266" s="160"/>
    </row>
    <row r="267">
      <c r="G267" s="160"/>
      <c r="I267" s="160"/>
      <c r="K267" s="160"/>
      <c r="M267" s="160"/>
    </row>
    <row r="268">
      <c r="G268" s="160"/>
      <c r="I268" s="160"/>
      <c r="K268" s="160"/>
      <c r="M268" s="160"/>
    </row>
    <row r="269">
      <c r="G269" s="160"/>
      <c r="I269" s="160"/>
      <c r="K269" s="160"/>
      <c r="M269" s="160"/>
    </row>
    <row r="270">
      <c r="G270" s="160"/>
      <c r="I270" s="160"/>
      <c r="K270" s="160"/>
      <c r="M270" s="160"/>
    </row>
    <row r="271">
      <c r="G271" s="160"/>
      <c r="I271" s="160"/>
      <c r="K271" s="160"/>
      <c r="M271" s="160"/>
    </row>
    <row r="272">
      <c r="G272" s="160"/>
      <c r="I272" s="160"/>
      <c r="K272" s="160"/>
      <c r="M272" s="160"/>
    </row>
    <row r="273">
      <c r="G273" s="160"/>
      <c r="I273" s="160"/>
      <c r="K273" s="160"/>
      <c r="M273" s="160"/>
    </row>
    <row r="274">
      <c r="G274" s="160"/>
      <c r="I274" s="160"/>
      <c r="K274" s="160"/>
      <c r="M274" s="160"/>
    </row>
    <row r="275">
      <c r="G275" s="160"/>
      <c r="I275" s="160"/>
      <c r="K275" s="160"/>
      <c r="M275" s="160"/>
    </row>
    <row r="276">
      <c r="G276" s="160"/>
      <c r="I276" s="160"/>
      <c r="K276" s="160"/>
      <c r="M276" s="160"/>
    </row>
    <row r="277">
      <c r="G277" s="160"/>
      <c r="I277" s="160"/>
      <c r="K277" s="160"/>
      <c r="M277" s="160"/>
    </row>
    <row r="278">
      <c r="G278" s="160"/>
      <c r="I278" s="160"/>
      <c r="K278" s="160"/>
      <c r="M278" s="160"/>
    </row>
    <row r="279">
      <c r="G279" s="160"/>
      <c r="I279" s="160"/>
      <c r="K279" s="160"/>
      <c r="M279" s="160"/>
    </row>
    <row r="280">
      <c r="G280" s="160"/>
      <c r="I280" s="160"/>
      <c r="K280" s="160"/>
      <c r="M280" s="160"/>
    </row>
    <row r="281">
      <c r="G281" s="160"/>
      <c r="I281" s="160"/>
      <c r="K281" s="160"/>
      <c r="M281" s="160"/>
    </row>
    <row r="282">
      <c r="G282" s="160"/>
      <c r="I282" s="160"/>
      <c r="K282" s="160"/>
      <c r="M282" s="160"/>
    </row>
    <row r="283">
      <c r="G283" s="160"/>
      <c r="I283" s="160"/>
      <c r="K283" s="160"/>
      <c r="M283" s="160"/>
    </row>
    <row r="284">
      <c r="G284" s="160"/>
      <c r="I284" s="160"/>
      <c r="K284" s="160"/>
      <c r="M284" s="160"/>
    </row>
    <row r="285">
      <c r="G285" s="160"/>
      <c r="I285" s="160"/>
      <c r="K285" s="160"/>
      <c r="M285" s="160"/>
    </row>
    <row r="286">
      <c r="G286" s="160"/>
      <c r="I286" s="160"/>
      <c r="K286" s="160"/>
      <c r="M286" s="160"/>
    </row>
    <row r="287">
      <c r="G287" s="160"/>
      <c r="I287" s="160"/>
      <c r="K287" s="160"/>
      <c r="M287" s="160"/>
    </row>
    <row r="288">
      <c r="G288" s="160"/>
      <c r="I288" s="160"/>
      <c r="K288" s="160"/>
      <c r="M288" s="160"/>
    </row>
    <row r="289">
      <c r="G289" s="160"/>
      <c r="I289" s="160"/>
      <c r="K289" s="160"/>
      <c r="M289" s="160"/>
    </row>
    <row r="290">
      <c r="G290" s="160"/>
      <c r="I290" s="160"/>
      <c r="K290" s="160"/>
      <c r="M290" s="160"/>
    </row>
    <row r="291">
      <c r="G291" s="160"/>
      <c r="I291" s="160"/>
      <c r="K291" s="160"/>
      <c r="M291" s="160"/>
    </row>
    <row r="292">
      <c r="G292" s="160"/>
      <c r="I292" s="160"/>
      <c r="K292" s="160"/>
      <c r="M292" s="160"/>
    </row>
    <row r="293">
      <c r="G293" s="160"/>
      <c r="I293" s="160"/>
      <c r="K293" s="160"/>
      <c r="M293" s="160"/>
    </row>
    <row r="294">
      <c r="G294" s="160"/>
      <c r="I294" s="160"/>
      <c r="K294" s="160"/>
      <c r="M294" s="160"/>
    </row>
    <row r="295">
      <c r="G295" s="160"/>
      <c r="I295" s="160"/>
      <c r="K295" s="160"/>
      <c r="M295" s="160"/>
    </row>
    <row r="296">
      <c r="G296" s="160"/>
      <c r="I296" s="160"/>
      <c r="K296" s="160"/>
      <c r="M296" s="160"/>
    </row>
    <row r="297">
      <c r="G297" s="160"/>
      <c r="I297" s="160"/>
      <c r="K297" s="160"/>
      <c r="M297" s="160"/>
    </row>
    <row r="298">
      <c r="G298" s="160"/>
      <c r="I298" s="160"/>
      <c r="K298" s="160"/>
      <c r="M298" s="160"/>
    </row>
    <row r="299">
      <c r="G299" s="160"/>
      <c r="I299" s="160"/>
      <c r="K299" s="160"/>
      <c r="M299" s="160"/>
    </row>
    <row r="300">
      <c r="G300" s="160"/>
      <c r="I300" s="160"/>
      <c r="K300" s="160"/>
      <c r="M300" s="160"/>
    </row>
    <row r="301">
      <c r="G301" s="160"/>
      <c r="I301" s="160"/>
      <c r="K301" s="160"/>
      <c r="M301" s="160"/>
    </row>
    <row r="302">
      <c r="G302" s="160"/>
      <c r="I302" s="160"/>
      <c r="K302" s="160"/>
      <c r="M302" s="160"/>
    </row>
    <row r="303">
      <c r="G303" s="160"/>
      <c r="I303" s="160"/>
      <c r="K303" s="160"/>
      <c r="M303" s="160"/>
    </row>
    <row r="304">
      <c r="G304" s="160"/>
      <c r="I304" s="160"/>
      <c r="K304" s="160"/>
      <c r="M304" s="160"/>
    </row>
    <row r="305">
      <c r="G305" s="160"/>
      <c r="I305" s="160"/>
      <c r="K305" s="160"/>
      <c r="M305" s="160"/>
    </row>
    <row r="306">
      <c r="G306" s="160"/>
      <c r="I306" s="160"/>
      <c r="K306" s="160"/>
      <c r="M306" s="160"/>
    </row>
    <row r="307">
      <c r="G307" s="160"/>
      <c r="I307" s="160"/>
      <c r="K307" s="160"/>
      <c r="M307" s="160"/>
    </row>
    <row r="308">
      <c r="G308" s="160"/>
      <c r="I308" s="160"/>
      <c r="K308" s="160"/>
      <c r="M308" s="160"/>
    </row>
    <row r="309">
      <c r="G309" s="160"/>
      <c r="I309" s="160"/>
      <c r="K309" s="160"/>
      <c r="M309" s="160"/>
    </row>
    <row r="310">
      <c r="G310" s="160"/>
      <c r="I310" s="160"/>
      <c r="K310" s="160"/>
      <c r="M310" s="160"/>
    </row>
    <row r="311">
      <c r="G311" s="160"/>
      <c r="I311" s="160"/>
      <c r="K311" s="160"/>
      <c r="M311" s="160"/>
    </row>
    <row r="312">
      <c r="G312" s="160"/>
      <c r="I312" s="160"/>
      <c r="K312" s="160"/>
      <c r="M312" s="160"/>
    </row>
    <row r="313">
      <c r="G313" s="160"/>
      <c r="I313" s="160"/>
      <c r="K313" s="160"/>
      <c r="M313" s="160"/>
    </row>
    <row r="314">
      <c r="G314" s="160"/>
      <c r="I314" s="160"/>
      <c r="K314" s="160"/>
      <c r="M314" s="160"/>
    </row>
    <row r="315">
      <c r="G315" s="160"/>
      <c r="I315" s="160"/>
      <c r="K315" s="160"/>
      <c r="M315" s="160"/>
    </row>
    <row r="316">
      <c r="G316" s="160"/>
      <c r="I316" s="160"/>
      <c r="K316" s="160"/>
      <c r="M316" s="160"/>
    </row>
    <row r="317">
      <c r="G317" s="160"/>
      <c r="I317" s="160"/>
      <c r="K317" s="160"/>
      <c r="M317" s="160"/>
    </row>
    <row r="318">
      <c r="G318" s="160"/>
      <c r="I318" s="160"/>
      <c r="K318" s="160"/>
      <c r="M318" s="160"/>
    </row>
    <row r="319">
      <c r="G319" s="160"/>
      <c r="I319" s="160"/>
      <c r="K319" s="160"/>
      <c r="M319" s="160"/>
    </row>
    <row r="320">
      <c r="G320" s="160"/>
      <c r="I320" s="160"/>
      <c r="K320" s="160"/>
      <c r="M320" s="160"/>
    </row>
    <row r="321">
      <c r="G321" s="160"/>
      <c r="I321" s="160"/>
      <c r="K321" s="160"/>
      <c r="M321" s="160"/>
    </row>
    <row r="322">
      <c r="G322" s="160"/>
      <c r="I322" s="160"/>
      <c r="K322" s="160"/>
      <c r="M322" s="160"/>
    </row>
    <row r="323">
      <c r="G323" s="160"/>
      <c r="I323" s="160"/>
      <c r="K323" s="160"/>
      <c r="M323" s="160"/>
    </row>
    <row r="324">
      <c r="G324" s="160"/>
      <c r="I324" s="160"/>
      <c r="K324" s="160"/>
      <c r="M324" s="160"/>
    </row>
    <row r="325">
      <c r="G325" s="160"/>
      <c r="I325" s="160"/>
      <c r="K325" s="160"/>
      <c r="M325" s="160"/>
    </row>
    <row r="326">
      <c r="G326" s="160"/>
      <c r="I326" s="160"/>
      <c r="K326" s="160"/>
      <c r="M326" s="160"/>
    </row>
    <row r="327">
      <c r="G327" s="160"/>
      <c r="I327" s="160"/>
      <c r="K327" s="160"/>
      <c r="M327" s="160"/>
    </row>
    <row r="328">
      <c r="G328" s="160"/>
      <c r="I328" s="160"/>
      <c r="K328" s="160"/>
      <c r="M328" s="160"/>
    </row>
    <row r="329">
      <c r="G329" s="160"/>
      <c r="I329" s="160"/>
      <c r="K329" s="160"/>
      <c r="M329" s="160"/>
    </row>
    <row r="330">
      <c r="G330" s="160"/>
      <c r="I330" s="160"/>
      <c r="K330" s="160"/>
      <c r="M330" s="160"/>
    </row>
    <row r="331">
      <c r="G331" s="160"/>
      <c r="I331" s="160"/>
      <c r="K331" s="160"/>
      <c r="M331" s="160"/>
    </row>
    <row r="332">
      <c r="G332" s="160"/>
      <c r="I332" s="160"/>
      <c r="K332" s="160"/>
      <c r="M332" s="160"/>
    </row>
    <row r="333">
      <c r="G333" s="160"/>
      <c r="I333" s="160"/>
      <c r="K333" s="160"/>
      <c r="M333" s="160"/>
    </row>
    <row r="334">
      <c r="G334" s="160"/>
      <c r="I334" s="160"/>
      <c r="K334" s="160"/>
      <c r="M334" s="160"/>
    </row>
    <row r="335">
      <c r="G335" s="160"/>
      <c r="I335" s="160"/>
      <c r="K335" s="160"/>
      <c r="M335" s="160"/>
    </row>
    <row r="336">
      <c r="G336" s="160"/>
      <c r="I336" s="160"/>
      <c r="K336" s="160"/>
      <c r="M336" s="160"/>
    </row>
    <row r="337">
      <c r="G337" s="160"/>
      <c r="I337" s="160"/>
      <c r="K337" s="160"/>
      <c r="M337" s="160"/>
    </row>
    <row r="338">
      <c r="G338" s="160"/>
      <c r="I338" s="160"/>
      <c r="K338" s="160"/>
      <c r="M338" s="160"/>
    </row>
    <row r="339">
      <c r="G339" s="160"/>
      <c r="I339" s="160"/>
      <c r="K339" s="160"/>
      <c r="M339" s="160"/>
    </row>
    <row r="340">
      <c r="G340" s="160"/>
      <c r="I340" s="160"/>
      <c r="K340" s="160"/>
      <c r="M340" s="160"/>
    </row>
    <row r="341">
      <c r="G341" s="160"/>
      <c r="I341" s="160"/>
      <c r="K341" s="160"/>
      <c r="M341" s="160"/>
    </row>
    <row r="342">
      <c r="G342" s="160"/>
      <c r="I342" s="160"/>
      <c r="K342" s="160"/>
      <c r="M342" s="160"/>
    </row>
    <row r="343">
      <c r="G343" s="160"/>
      <c r="I343" s="160"/>
      <c r="K343" s="160"/>
      <c r="M343" s="160"/>
    </row>
    <row r="344">
      <c r="G344" s="160"/>
      <c r="I344" s="160"/>
      <c r="K344" s="160"/>
      <c r="M344" s="160"/>
    </row>
    <row r="345">
      <c r="G345" s="160"/>
      <c r="I345" s="160"/>
      <c r="K345" s="160"/>
      <c r="M345" s="160"/>
    </row>
    <row r="346">
      <c r="G346" s="160"/>
      <c r="I346" s="160"/>
      <c r="K346" s="160"/>
      <c r="M346" s="160"/>
    </row>
    <row r="347">
      <c r="G347" s="160"/>
      <c r="I347" s="160"/>
      <c r="K347" s="160"/>
      <c r="M347" s="160"/>
    </row>
    <row r="348">
      <c r="G348" s="160"/>
      <c r="I348" s="160"/>
      <c r="K348" s="160"/>
      <c r="M348" s="160"/>
    </row>
    <row r="349">
      <c r="G349" s="160"/>
      <c r="I349" s="160"/>
      <c r="K349" s="160"/>
      <c r="M349" s="160"/>
    </row>
    <row r="350">
      <c r="G350" s="160"/>
      <c r="I350" s="160"/>
      <c r="K350" s="160"/>
      <c r="M350" s="160"/>
    </row>
    <row r="351">
      <c r="G351" s="160"/>
      <c r="I351" s="160"/>
      <c r="K351" s="160"/>
      <c r="M351" s="160"/>
    </row>
    <row r="352">
      <c r="G352" s="160"/>
      <c r="I352" s="160"/>
      <c r="K352" s="160"/>
      <c r="M352" s="160"/>
    </row>
    <row r="353">
      <c r="G353" s="160"/>
      <c r="I353" s="160"/>
      <c r="K353" s="160"/>
      <c r="M353" s="160"/>
    </row>
    <row r="354">
      <c r="G354" s="160"/>
      <c r="I354" s="160"/>
      <c r="K354" s="160"/>
      <c r="M354" s="160"/>
    </row>
    <row r="355">
      <c r="G355" s="160"/>
      <c r="I355" s="160"/>
      <c r="K355" s="160"/>
      <c r="M355" s="160"/>
    </row>
    <row r="356">
      <c r="G356" s="160"/>
      <c r="I356" s="160"/>
      <c r="K356" s="160"/>
      <c r="M356" s="160"/>
    </row>
    <row r="357">
      <c r="G357" s="160"/>
      <c r="I357" s="160"/>
      <c r="K357" s="160"/>
      <c r="M357" s="160"/>
    </row>
    <row r="358">
      <c r="G358" s="160"/>
      <c r="I358" s="160"/>
      <c r="K358" s="160"/>
      <c r="M358" s="160"/>
    </row>
    <row r="359">
      <c r="G359" s="160"/>
      <c r="I359" s="160"/>
      <c r="K359" s="160"/>
      <c r="M359" s="160"/>
    </row>
    <row r="360">
      <c r="G360" s="160"/>
      <c r="I360" s="160"/>
      <c r="K360" s="160"/>
      <c r="M360" s="160"/>
    </row>
    <row r="361">
      <c r="G361" s="160"/>
      <c r="I361" s="160"/>
      <c r="K361" s="160"/>
      <c r="M361" s="160"/>
    </row>
    <row r="362">
      <c r="G362" s="160"/>
      <c r="I362" s="160"/>
      <c r="K362" s="160"/>
      <c r="M362" s="160"/>
    </row>
    <row r="363">
      <c r="G363" s="160"/>
      <c r="I363" s="160"/>
      <c r="K363" s="160"/>
      <c r="M363" s="160"/>
    </row>
    <row r="364">
      <c r="G364" s="160"/>
      <c r="I364" s="160"/>
      <c r="K364" s="160"/>
      <c r="M364" s="160"/>
    </row>
    <row r="365">
      <c r="G365" s="160"/>
      <c r="I365" s="160"/>
      <c r="K365" s="160"/>
      <c r="M365" s="160"/>
    </row>
    <row r="366">
      <c r="G366" s="160"/>
      <c r="I366" s="160"/>
      <c r="K366" s="160"/>
      <c r="M366" s="160"/>
    </row>
    <row r="367">
      <c r="G367" s="160"/>
      <c r="I367" s="160"/>
      <c r="K367" s="160"/>
      <c r="M367" s="160"/>
    </row>
    <row r="368">
      <c r="G368" s="160"/>
      <c r="I368" s="160"/>
      <c r="K368" s="160"/>
      <c r="M368" s="160"/>
    </row>
    <row r="369">
      <c r="G369" s="160"/>
      <c r="I369" s="160"/>
      <c r="K369" s="160"/>
      <c r="M369" s="160"/>
    </row>
    <row r="370">
      <c r="G370" s="160"/>
      <c r="I370" s="160"/>
      <c r="K370" s="160"/>
      <c r="M370" s="160"/>
    </row>
    <row r="371">
      <c r="G371" s="160"/>
      <c r="I371" s="160"/>
      <c r="K371" s="160"/>
      <c r="M371" s="160"/>
    </row>
    <row r="372">
      <c r="G372" s="160"/>
      <c r="I372" s="160"/>
      <c r="K372" s="160"/>
      <c r="M372" s="160"/>
    </row>
    <row r="373">
      <c r="G373" s="160"/>
      <c r="I373" s="160"/>
      <c r="K373" s="160"/>
      <c r="M373" s="160"/>
    </row>
    <row r="374">
      <c r="G374" s="160"/>
      <c r="I374" s="160"/>
      <c r="K374" s="160"/>
      <c r="M374" s="160"/>
    </row>
    <row r="375">
      <c r="G375" s="160"/>
      <c r="I375" s="160"/>
      <c r="K375" s="160"/>
      <c r="M375" s="160"/>
    </row>
    <row r="376">
      <c r="G376" s="160"/>
      <c r="I376" s="160"/>
      <c r="K376" s="160"/>
      <c r="M376" s="160"/>
    </row>
    <row r="377">
      <c r="G377" s="160"/>
      <c r="I377" s="160"/>
      <c r="K377" s="160"/>
      <c r="M377" s="160"/>
    </row>
    <row r="378">
      <c r="G378" s="160"/>
      <c r="I378" s="160"/>
      <c r="K378" s="160"/>
      <c r="M378" s="160"/>
    </row>
    <row r="379">
      <c r="G379" s="160"/>
      <c r="I379" s="160"/>
      <c r="K379" s="160"/>
      <c r="M379" s="160"/>
    </row>
    <row r="380">
      <c r="G380" s="160"/>
      <c r="I380" s="160"/>
      <c r="K380" s="160"/>
      <c r="M380" s="160"/>
    </row>
    <row r="381">
      <c r="G381" s="160"/>
      <c r="I381" s="160"/>
      <c r="K381" s="160"/>
      <c r="M381" s="160"/>
    </row>
    <row r="382">
      <c r="G382" s="160"/>
      <c r="I382" s="160"/>
      <c r="K382" s="160"/>
      <c r="M382" s="160"/>
    </row>
    <row r="383">
      <c r="G383" s="160"/>
      <c r="I383" s="160"/>
      <c r="K383" s="160"/>
      <c r="M383" s="160"/>
    </row>
    <row r="384">
      <c r="G384" s="160"/>
      <c r="I384" s="160"/>
      <c r="K384" s="160"/>
      <c r="M384" s="160"/>
    </row>
    <row r="385">
      <c r="G385" s="160"/>
      <c r="I385" s="160"/>
      <c r="K385" s="160"/>
      <c r="M385" s="160"/>
    </row>
    <row r="386">
      <c r="G386" s="160"/>
      <c r="I386" s="160"/>
      <c r="K386" s="160"/>
      <c r="M386" s="160"/>
    </row>
    <row r="387">
      <c r="G387" s="160"/>
      <c r="I387" s="160"/>
      <c r="K387" s="160"/>
      <c r="M387" s="160"/>
    </row>
    <row r="388">
      <c r="G388" s="160"/>
      <c r="I388" s="160"/>
      <c r="K388" s="160"/>
      <c r="M388" s="160"/>
    </row>
    <row r="389">
      <c r="G389" s="160"/>
      <c r="I389" s="160"/>
      <c r="K389" s="160"/>
      <c r="M389" s="160"/>
    </row>
    <row r="390">
      <c r="G390" s="160"/>
      <c r="I390" s="160"/>
      <c r="K390" s="160"/>
      <c r="M390" s="160"/>
    </row>
    <row r="391">
      <c r="G391" s="160"/>
      <c r="I391" s="160"/>
      <c r="K391" s="160"/>
      <c r="M391" s="160"/>
    </row>
    <row r="392">
      <c r="G392" s="160"/>
      <c r="I392" s="160"/>
      <c r="K392" s="160"/>
      <c r="M392" s="160"/>
    </row>
    <row r="393">
      <c r="G393" s="160"/>
      <c r="I393" s="160"/>
      <c r="K393" s="160"/>
      <c r="M393" s="160"/>
    </row>
    <row r="394">
      <c r="G394" s="160"/>
      <c r="I394" s="160"/>
      <c r="K394" s="160"/>
      <c r="M394" s="160"/>
    </row>
    <row r="395">
      <c r="G395" s="160"/>
      <c r="I395" s="160"/>
      <c r="K395" s="160"/>
      <c r="M395" s="160"/>
    </row>
    <row r="396">
      <c r="G396" s="160"/>
      <c r="I396" s="160"/>
      <c r="K396" s="160"/>
      <c r="M396" s="160"/>
    </row>
    <row r="397">
      <c r="G397" s="160"/>
      <c r="I397" s="160"/>
      <c r="K397" s="160"/>
      <c r="M397" s="160"/>
    </row>
    <row r="398">
      <c r="G398" s="160"/>
      <c r="I398" s="160"/>
      <c r="K398" s="160"/>
      <c r="M398" s="160"/>
    </row>
    <row r="399">
      <c r="G399" s="160"/>
      <c r="I399" s="160"/>
      <c r="K399" s="160"/>
      <c r="M399" s="160"/>
    </row>
    <row r="400">
      <c r="G400" s="160"/>
      <c r="I400" s="160"/>
      <c r="K400" s="160"/>
      <c r="M400" s="160"/>
    </row>
    <row r="401">
      <c r="G401" s="160"/>
      <c r="I401" s="160"/>
      <c r="K401" s="160"/>
      <c r="M401" s="160"/>
    </row>
    <row r="402">
      <c r="G402" s="160"/>
      <c r="I402" s="160"/>
      <c r="K402" s="160"/>
      <c r="M402" s="160"/>
    </row>
    <row r="403">
      <c r="G403" s="160"/>
      <c r="I403" s="160"/>
      <c r="K403" s="160"/>
      <c r="M403" s="160"/>
    </row>
    <row r="404">
      <c r="G404" s="160"/>
      <c r="I404" s="160"/>
      <c r="K404" s="160"/>
      <c r="M404" s="160"/>
    </row>
    <row r="405">
      <c r="G405" s="160"/>
      <c r="I405" s="160"/>
      <c r="K405" s="160"/>
      <c r="M405" s="160"/>
    </row>
    <row r="406">
      <c r="G406" s="160"/>
      <c r="I406" s="160"/>
      <c r="K406" s="160"/>
      <c r="M406" s="160"/>
    </row>
    <row r="407">
      <c r="G407" s="160"/>
      <c r="I407" s="160"/>
      <c r="K407" s="160"/>
      <c r="M407" s="160"/>
    </row>
    <row r="408">
      <c r="G408" s="160"/>
      <c r="I408" s="160"/>
      <c r="K408" s="160"/>
      <c r="M408" s="160"/>
    </row>
    <row r="409">
      <c r="G409" s="160"/>
      <c r="I409" s="160"/>
      <c r="K409" s="160"/>
      <c r="M409" s="160"/>
    </row>
    <row r="410">
      <c r="G410" s="160"/>
      <c r="I410" s="160"/>
      <c r="K410" s="160"/>
      <c r="M410" s="160"/>
    </row>
    <row r="411">
      <c r="G411" s="160"/>
      <c r="I411" s="160"/>
      <c r="K411" s="160"/>
      <c r="M411" s="160"/>
    </row>
    <row r="412">
      <c r="G412" s="160"/>
      <c r="I412" s="160"/>
      <c r="K412" s="160"/>
      <c r="M412" s="160"/>
    </row>
    <row r="413">
      <c r="G413" s="160"/>
      <c r="I413" s="160"/>
      <c r="K413" s="160"/>
      <c r="M413" s="160"/>
    </row>
    <row r="414">
      <c r="G414" s="160"/>
      <c r="I414" s="160"/>
      <c r="K414" s="160"/>
      <c r="M414" s="160"/>
    </row>
    <row r="415">
      <c r="G415" s="160"/>
      <c r="I415" s="160"/>
      <c r="K415" s="160"/>
      <c r="M415" s="160"/>
    </row>
    <row r="416">
      <c r="G416" s="160"/>
      <c r="I416" s="160"/>
      <c r="K416" s="160"/>
      <c r="M416" s="160"/>
    </row>
    <row r="417">
      <c r="G417" s="160"/>
      <c r="I417" s="160"/>
      <c r="K417" s="160"/>
      <c r="M417" s="160"/>
    </row>
    <row r="418">
      <c r="G418" s="160"/>
      <c r="I418" s="160"/>
      <c r="K418" s="160"/>
      <c r="M418" s="160"/>
    </row>
    <row r="419">
      <c r="G419" s="160"/>
      <c r="I419" s="160"/>
      <c r="K419" s="160"/>
      <c r="M419" s="160"/>
    </row>
    <row r="420">
      <c r="G420" s="160"/>
      <c r="I420" s="160"/>
      <c r="K420" s="160"/>
      <c r="M420" s="160"/>
    </row>
    <row r="421">
      <c r="G421" s="160"/>
      <c r="I421" s="160"/>
      <c r="K421" s="160"/>
      <c r="M421" s="160"/>
    </row>
    <row r="422">
      <c r="G422" s="160"/>
      <c r="I422" s="160"/>
      <c r="K422" s="160"/>
      <c r="M422" s="160"/>
    </row>
    <row r="423">
      <c r="G423" s="160"/>
      <c r="I423" s="160"/>
      <c r="K423" s="160"/>
      <c r="M423" s="160"/>
    </row>
    <row r="424">
      <c r="G424" s="160"/>
      <c r="I424" s="160"/>
      <c r="K424" s="160"/>
      <c r="M424" s="160"/>
    </row>
    <row r="425">
      <c r="G425" s="160"/>
      <c r="I425" s="160"/>
      <c r="K425" s="160"/>
      <c r="M425" s="160"/>
    </row>
    <row r="426">
      <c r="G426" s="160"/>
      <c r="I426" s="160"/>
      <c r="K426" s="160"/>
      <c r="M426" s="160"/>
    </row>
    <row r="427">
      <c r="G427" s="160"/>
      <c r="I427" s="160"/>
      <c r="K427" s="160"/>
      <c r="M427" s="160"/>
    </row>
    <row r="428">
      <c r="G428" s="160"/>
      <c r="I428" s="160"/>
      <c r="K428" s="160"/>
      <c r="M428" s="160"/>
    </row>
    <row r="429">
      <c r="G429" s="160"/>
      <c r="I429" s="160"/>
      <c r="K429" s="160"/>
      <c r="M429" s="160"/>
    </row>
    <row r="430">
      <c r="G430" s="160"/>
      <c r="I430" s="160"/>
      <c r="K430" s="160"/>
      <c r="M430" s="160"/>
    </row>
    <row r="431">
      <c r="G431" s="160"/>
      <c r="I431" s="160"/>
      <c r="K431" s="160"/>
      <c r="M431" s="160"/>
    </row>
    <row r="432">
      <c r="G432" s="160"/>
      <c r="I432" s="160"/>
      <c r="K432" s="160"/>
      <c r="M432" s="160"/>
    </row>
    <row r="433">
      <c r="G433" s="160"/>
      <c r="I433" s="160"/>
      <c r="K433" s="160"/>
      <c r="M433" s="160"/>
    </row>
    <row r="434">
      <c r="G434" s="160"/>
      <c r="I434" s="160"/>
      <c r="K434" s="160"/>
      <c r="M434" s="160"/>
    </row>
    <row r="435">
      <c r="G435" s="160"/>
      <c r="I435" s="160"/>
      <c r="K435" s="160"/>
      <c r="M435" s="160"/>
    </row>
    <row r="436">
      <c r="G436" s="160"/>
      <c r="I436" s="160"/>
      <c r="K436" s="160"/>
      <c r="M436" s="160"/>
    </row>
    <row r="437">
      <c r="G437" s="160"/>
      <c r="I437" s="160"/>
      <c r="K437" s="160"/>
      <c r="M437" s="160"/>
    </row>
    <row r="438">
      <c r="G438" s="160"/>
      <c r="I438" s="160"/>
      <c r="K438" s="160"/>
      <c r="M438" s="160"/>
    </row>
    <row r="439">
      <c r="G439" s="160"/>
      <c r="I439" s="160"/>
      <c r="K439" s="160"/>
      <c r="M439" s="160"/>
    </row>
    <row r="440">
      <c r="G440" s="160"/>
      <c r="I440" s="160"/>
      <c r="K440" s="160"/>
      <c r="M440" s="160"/>
    </row>
    <row r="441">
      <c r="G441" s="160"/>
      <c r="I441" s="160"/>
      <c r="K441" s="160"/>
      <c r="M441" s="160"/>
    </row>
    <row r="442">
      <c r="G442" s="160"/>
      <c r="I442" s="160"/>
      <c r="K442" s="160"/>
      <c r="M442" s="160"/>
    </row>
    <row r="443">
      <c r="G443" s="160"/>
      <c r="I443" s="160"/>
      <c r="K443" s="160"/>
      <c r="M443" s="160"/>
    </row>
    <row r="444">
      <c r="G444" s="160"/>
      <c r="I444" s="160"/>
      <c r="K444" s="160"/>
      <c r="M444" s="160"/>
    </row>
    <row r="445">
      <c r="G445" s="160"/>
      <c r="I445" s="160"/>
      <c r="K445" s="160"/>
      <c r="M445" s="160"/>
    </row>
    <row r="446">
      <c r="G446" s="160"/>
      <c r="I446" s="160"/>
      <c r="K446" s="160"/>
      <c r="M446" s="160"/>
    </row>
    <row r="447">
      <c r="G447" s="160"/>
      <c r="I447" s="160"/>
      <c r="K447" s="160"/>
      <c r="M447" s="160"/>
    </row>
    <row r="448">
      <c r="G448" s="160"/>
      <c r="I448" s="160"/>
      <c r="K448" s="160"/>
      <c r="M448" s="160"/>
    </row>
    <row r="449">
      <c r="G449" s="160"/>
      <c r="I449" s="160"/>
      <c r="K449" s="160"/>
      <c r="M449" s="160"/>
    </row>
    <row r="450">
      <c r="G450" s="160"/>
      <c r="I450" s="160"/>
      <c r="K450" s="160"/>
      <c r="M450" s="160"/>
    </row>
    <row r="451">
      <c r="G451" s="160"/>
      <c r="I451" s="160"/>
      <c r="K451" s="160"/>
      <c r="M451" s="160"/>
    </row>
    <row r="452">
      <c r="G452" s="160"/>
      <c r="I452" s="160"/>
      <c r="K452" s="160"/>
      <c r="M452" s="160"/>
    </row>
    <row r="453">
      <c r="G453" s="160"/>
      <c r="I453" s="160"/>
      <c r="K453" s="160"/>
      <c r="M453" s="160"/>
    </row>
    <row r="454">
      <c r="G454" s="160"/>
      <c r="I454" s="160"/>
      <c r="K454" s="160"/>
      <c r="M454" s="160"/>
    </row>
    <row r="455">
      <c r="G455" s="160"/>
      <c r="I455" s="160"/>
      <c r="K455" s="160"/>
      <c r="M455" s="160"/>
    </row>
    <row r="456">
      <c r="G456" s="160"/>
      <c r="I456" s="160"/>
      <c r="K456" s="160"/>
      <c r="M456" s="160"/>
    </row>
    <row r="457">
      <c r="G457" s="160"/>
      <c r="I457" s="160"/>
      <c r="K457" s="160"/>
      <c r="M457" s="160"/>
    </row>
    <row r="458">
      <c r="G458" s="160"/>
      <c r="I458" s="160"/>
      <c r="K458" s="160"/>
      <c r="M458" s="160"/>
    </row>
    <row r="459">
      <c r="G459" s="160"/>
      <c r="I459" s="160"/>
      <c r="K459" s="160"/>
      <c r="M459" s="160"/>
    </row>
    <row r="460">
      <c r="G460" s="160"/>
      <c r="I460" s="160"/>
      <c r="K460" s="160"/>
      <c r="M460" s="160"/>
    </row>
    <row r="461">
      <c r="G461" s="160"/>
      <c r="I461" s="160"/>
      <c r="K461" s="160"/>
      <c r="M461" s="160"/>
    </row>
    <row r="462">
      <c r="G462" s="160"/>
      <c r="I462" s="160"/>
      <c r="K462" s="160"/>
      <c r="M462" s="160"/>
    </row>
    <row r="463">
      <c r="G463" s="160"/>
      <c r="I463" s="160"/>
      <c r="K463" s="160"/>
      <c r="M463" s="160"/>
    </row>
    <row r="464">
      <c r="G464" s="160"/>
      <c r="I464" s="160"/>
      <c r="K464" s="160"/>
      <c r="M464" s="160"/>
    </row>
    <row r="465">
      <c r="G465" s="160"/>
      <c r="I465" s="160"/>
      <c r="K465" s="160"/>
      <c r="M465" s="160"/>
    </row>
    <row r="466">
      <c r="G466" s="160"/>
      <c r="I466" s="160"/>
      <c r="K466" s="160"/>
      <c r="M466" s="160"/>
    </row>
    <row r="467">
      <c r="G467" s="160"/>
      <c r="I467" s="160"/>
      <c r="K467" s="160"/>
      <c r="M467" s="160"/>
    </row>
    <row r="468">
      <c r="G468" s="160"/>
      <c r="I468" s="160"/>
      <c r="K468" s="160"/>
      <c r="M468" s="160"/>
    </row>
    <row r="469">
      <c r="G469" s="160"/>
      <c r="I469" s="160"/>
      <c r="K469" s="160"/>
      <c r="M469" s="160"/>
    </row>
    <row r="470">
      <c r="G470" s="160"/>
      <c r="I470" s="160"/>
      <c r="K470" s="160"/>
      <c r="M470" s="160"/>
    </row>
    <row r="471">
      <c r="G471" s="160"/>
      <c r="I471" s="160"/>
      <c r="K471" s="160"/>
      <c r="M471" s="160"/>
    </row>
    <row r="472">
      <c r="G472" s="160"/>
      <c r="I472" s="160"/>
      <c r="K472" s="160"/>
      <c r="M472" s="160"/>
    </row>
    <row r="473">
      <c r="G473" s="160"/>
      <c r="I473" s="160"/>
      <c r="K473" s="160"/>
      <c r="M473" s="160"/>
    </row>
    <row r="474">
      <c r="G474" s="160"/>
      <c r="I474" s="160"/>
      <c r="K474" s="160"/>
      <c r="M474" s="160"/>
    </row>
    <row r="475">
      <c r="G475" s="160"/>
      <c r="I475" s="160"/>
      <c r="K475" s="160"/>
      <c r="M475" s="160"/>
    </row>
    <row r="476">
      <c r="G476" s="160"/>
      <c r="I476" s="160"/>
      <c r="K476" s="160"/>
      <c r="M476" s="160"/>
    </row>
    <row r="477">
      <c r="G477" s="160"/>
      <c r="I477" s="160"/>
      <c r="K477" s="160"/>
      <c r="M477" s="160"/>
    </row>
    <row r="478">
      <c r="G478" s="160"/>
      <c r="I478" s="160"/>
      <c r="K478" s="160"/>
      <c r="M478" s="160"/>
    </row>
    <row r="479">
      <c r="G479" s="160"/>
      <c r="I479" s="160"/>
      <c r="K479" s="160"/>
      <c r="M479" s="160"/>
    </row>
    <row r="480">
      <c r="G480" s="160"/>
      <c r="I480" s="160"/>
      <c r="K480" s="160"/>
      <c r="M480" s="160"/>
    </row>
    <row r="481">
      <c r="G481" s="160"/>
      <c r="I481" s="160"/>
      <c r="K481" s="160"/>
      <c r="M481" s="160"/>
    </row>
    <row r="482">
      <c r="G482" s="160"/>
      <c r="I482" s="160"/>
      <c r="K482" s="160"/>
      <c r="M482" s="160"/>
    </row>
    <row r="483">
      <c r="G483" s="160"/>
      <c r="I483" s="160"/>
      <c r="K483" s="160"/>
      <c r="M483" s="160"/>
    </row>
    <row r="484">
      <c r="G484" s="160"/>
      <c r="I484" s="160"/>
      <c r="K484" s="160"/>
      <c r="M484" s="160"/>
    </row>
    <row r="485">
      <c r="G485" s="160"/>
      <c r="I485" s="160"/>
      <c r="K485" s="160"/>
      <c r="M485" s="160"/>
    </row>
    <row r="486">
      <c r="G486" s="160"/>
      <c r="I486" s="160"/>
      <c r="K486" s="160"/>
      <c r="M486" s="160"/>
    </row>
    <row r="487">
      <c r="G487" s="160"/>
      <c r="I487" s="160"/>
      <c r="K487" s="160"/>
      <c r="M487" s="160"/>
    </row>
    <row r="488">
      <c r="G488" s="160"/>
      <c r="I488" s="160"/>
      <c r="K488" s="160"/>
      <c r="M488" s="160"/>
    </row>
    <row r="489">
      <c r="G489" s="160"/>
      <c r="I489" s="160"/>
      <c r="K489" s="160"/>
      <c r="M489" s="160"/>
    </row>
    <row r="490">
      <c r="G490" s="160"/>
      <c r="I490" s="160"/>
      <c r="K490" s="160"/>
      <c r="M490" s="160"/>
    </row>
    <row r="491">
      <c r="G491" s="160"/>
      <c r="I491" s="160"/>
      <c r="K491" s="160"/>
      <c r="M491" s="160"/>
    </row>
    <row r="492">
      <c r="G492" s="160"/>
      <c r="I492" s="160"/>
      <c r="K492" s="160"/>
      <c r="M492" s="160"/>
    </row>
    <row r="493">
      <c r="G493" s="160"/>
      <c r="I493" s="160"/>
      <c r="K493" s="160"/>
      <c r="M493" s="160"/>
    </row>
    <row r="494">
      <c r="G494" s="160"/>
      <c r="I494" s="160"/>
      <c r="K494" s="160"/>
      <c r="M494" s="160"/>
    </row>
    <row r="495">
      <c r="G495" s="160"/>
      <c r="I495" s="160"/>
      <c r="K495" s="160"/>
      <c r="M495" s="160"/>
    </row>
    <row r="496">
      <c r="G496" s="160"/>
      <c r="I496" s="160"/>
      <c r="K496" s="160"/>
      <c r="M496" s="160"/>
    </row>
    <row r="497">
      <c r="G497" s="160"/>
      <c r="I497" s="160"/>
      <c r="K497" s="160"/>
      <c r="M497" s="160"/>
    </row>
    <row r="498">
      <c r="G498" s="160"/>
      <c r="I498" s="160"/>
      <c r="K498" s="160"/>
      <c r="M498" s="160"/>
    </row>
    <row r="499">
      <c r="G499" s="160"/>
      <c r="I499" s="160"/>
      <c r="K499" s="160"/>
      <c r="M499" s="160"/>
    </row>
    <row r="500">
      <c r="G500" s="160"/>
      <c r="I500" s="160"/>
      <c r="K500" s="160"/>
      <c r="M500" s="160"/>
    </row>
    <row r="501">
      <c r="G501" s="160"/>
      <c r="I501" s="160"/>
      <c r="K501" s="160"/>
      <c r="M501" s="160"/>
    </row>
    <row r="502">
      <c r="G502" s="160"/>
      <c r="I502" s="160"/>
      <c r="K502" s="160"/>
      <c r="M502" s="160"/>
    </row>
    <row r="503">
      <c r="G503" s="160"/>
      <c r="I503" s="160"/>
      <c r="K503" s="160"/>
      <c r="M503" s="160"/>
    </row>
    <row r="504">
      <c r="G504" s="160"/>
      <c r="I504" s="160"/>
      <c r="K504" s="160"/>
      <c r="M504" s="160"/>
    </row>
    <row r="505">
      <c r="G505" s="160"/>
      <c r="I505" s="160"/>
      <c r="K505" s="160"/>
      <c r="M505" s="160"/>
    </row>
    <row r="506">
      <c r="G506" s="160"/>
      <c r="I506" s="160"/>
      <c r="K506" s="160"/>
      <c r="M506" s="160"/>
    </row>
    <row r="507">
      <c r="G507" s="160"/>
      <c r="I507" s="160"/>
      <c r="K507" s="160"/>
      <c r="M507" s="160"/>
    </row>
    <row r="508">
      <c r="G508" s="160"/>
      <c r="I508" s="160"/>
      <c r="K508" s="160"/>
      <c r="M508" s="160"/>
    </row>
    <row r="509">
      <c r="G509" s="160"/>
      <c r="I509" s="160"/>
      <c r="K509" s="160"/>
      <c r="M509" s="160"/>
    </row>
    <row r="510">
      <c r="G510" s="160"/>
      <c r="I510" s="160"/>
      <c r="K510" s="160"/>
      <c r="M510" s="160"/>
    </row>
    <row r="511">
      <c r="G511" s="160"/>
      <c r="I511" s="160"/>
      <c r="K511" s="160"/>
      <c r="M511" s="160"/>
    </row>
    <row r="512">
      <c r="G512" s="160"/>
      <c r="I512" s="160"/>
      <c r="K512" s="160"/>
      <c r="M512" s="160"/>
    </row>
    <row r="513">
      <c r="G513" s="160"/>
      <c r="I513" s="160"/>
      <c r="K513" s="160"/>
      <c r="M513" s="160"/>
    </row>
    <row r="514">
      <c r="G514" s="160"/>
      <c r="I514" s="160"/>
      <c r="K514" s="160"/>
      <c r="M514" s="160"/>
    </row>
    <row r="515">
      <c r="G515" s="160"/>
      <c r="I515" s="160"/>
      <c r="K515" s="160"/>
      <c r="M515" s="160"/>
    </row>
    <row r="516">
      <c r="G516" s="160"/>
      <c r="I516" s="160"/>
      <c r="K516" s="160"/>
      <c r="M516" s="160"/>
    </row>
    <row r="517">
      <c r="G517" s="160"/>
      <c r="I517" s="160"/>
      <c r="K517" s="160"/>
      <c r="M517" s="160"/>
    </row>
    <row r="518">
      <c r="G518" s="160"/>
      <c r="I518" s="160"/>
      <c r="K518" s="160"/>
      <c r="M518" s="160"/>
    </row>
    <row r="519">
      <c r="G519" s="160"/>
      <c r="I519" s="160"/>
      <c r="K519" s="160"/>
      <c r="M519" s="160"/>
    </row>
    <row r="520">
      <c r="G520" s="160"/>
      <c r="I520" s="160"/>
      <c r="K520" s="160"/>
      <c r="M520" s="160"/>
    </row>
    <row r="521">
      <c r="G521" s="160"/>
      <c r="I521" s="160"/>
      <c r="K521" s="160"/>
      <c r="M521" s="160"/>
    </row>
    <row r="522">
      <c r="G522" s="160"/>
      <c r="I522" s="160"/>
      <c r="K522" s="160"/>
      <c r="M522" s="160"/>
    </row>
    <row r="523">
      <c r="G523" s="160"/>
      <c r="I523" s="160"/>
      <c r="K523" s="160"/>
      <c r="M523" s="160"/>
    </row>
    <row r="524">
      <c r="G524" s="160"/>
      <c r="I524" s="160"/>
      <c r="K524" s="160"/>
      <c r="M524" s="160"/>
    </row>
    <row r="525">
      <c r="G525" s="160"/>
      <c r="I525" s="160"/>
      <c r="K525" s="160"/>
      <c r="M525" s="160"/>
    </row>
    <row r="526">
      <c r="G526" s="160"/>
      <c r="I526" s="160"/>
      <c r="K526" s="160"/>
      <c r="M526" s="160"/>
    </row>
    <row r="527">
      <c r="G527" s="160"/>
      <c r="I527" s="160"/>
      <c r="K527" s="160"/>
      <c r="M527" s="160"/>
    </row>
    <row r="528">
      <c r="G528" s="160"/>
      <c r="I528" s="160"/>
      <c r="K528" s="160"/>
      <c r="M528" s="160"/>
    </row>
    <row r="529">
      <c r="G529" s="160"/>
      <c r="I529" s="160"/>
      <c r="K529" s="160"/>
      <c r="M529" s="160"/>
    </row>
    <row r="530">
      <c r="G530" s="160"/>
      <c r="I530" s="160"/>
      <c r="K530" s="160"/>
      <c r="M530" s="160"/>
    </row>
    <row r="531">
      <c r="G531" s="160"/>
      <c r="I531" s="160"/>
      <c r="K531" s="160"/>
      <c r="M531" s="160"/>
    </row>
    <row r="532">
      <c r="G532" s="160"/>
      <c r="I532" s="160"/>
      <c r="K532" s="160"/>
      <c r="M532" s="160"/>
    </row>
    <row r="533">
      <c r="G533" s="160"/>
      <c r="I533" s="160"/>
      <c r="K533" s="160"/>
      <c r="M533" s="160"/>
    </row>
    <row r="534">
      <c r="G534" s="160"/>
      <c r="I534" s="160"/>
      <c r="K534" s="160"/>
      <c r="M534" s="160"/>
    </row>
    <row r="535">
      <c r="G535" s="160"/>
      <c r="I535" s="160"/>
      <c r="K535" s="160"/>
      <c r="M535" s="160"/>
    </row>
    <row r="536">
      <c r="G536" s="160"/>
      <c r="I536" s="160"/>
      <c r="K536" s="160"/>
      <c r="M536" s="160"/>
    </row>
    <row r="537">
      <c r="G537" s="160"/>
      <c r="I537" s="160"/>
      <c r="K537" s="160"/>
      <c r="M537" s="160"/>
    </row>
    <row r="538">
      <c r="G538" s="160"/>
      <c r="I538" s="160"/>
      <c r="K538" s="160"/>
      <c r="M538" s="160"/>
    </row>
    <row r="539">
      <c r="G539" s="160"/>
      <c r="I539" s="160"/>
      <c r="K539" s="160"/>
      <c r="M539" s="160"/>
    </row>
    <row r="540">
      <c r="G540" s="160"/>
      <c r="I540" s="160"/>
      <c r="K540" s="160"/>
      <c r="M540" s="160"/>
    </row>
    <row r="541">
      <c r="G541" s="160"/>
      <c r="I541" s="160"/>
      <c r="K541" s="160"/>
      <c r="M541" s="160"/>
    </row>
    <row r="542">
      <c r="G542" s="160"/>
      <c r="I542" s="160"/>
      <c r="K542" s="160"/>
      <c r="M542" s="160"/>
    </row>
    <row r="543">
      <c r="G543" s="160"/>
      <c r="I543" s="160"/>
      <c r="K543" s="160"/>
      <c r="M543" s="160"/>
    </row>
    <row r="544">
      <c r="G544" s="160"/>
      <c r="I544" s="160"/>
      <c r="K544" s="160"/>
      <c r="M544" s="160"/>
    </row>
    <row r="545">
      <c r="G545" s="160"/>
      <c r="I545" s="160"/>
      <c r="K545" s="160"/>
      <c r="M545" s="160"/>
    </row>
    <row r="546">
      <c r="G546" s="160"/>
      <c r="I546" s="160"/>
      <c r="K546" s="160"/>
      <c r="M546" s="160"/>
    </row>
    <row r="547">
      <c r="G547" s="160"/>
      <c r="I547" s="160"/>
      <c r="K547" s="160"/>
      <c r="M547" s="160"/>
    </row>
    <row r="548">
      <c r="G548" s="160"/>
      <c r="I548" s="160"/>
      <c r="K548" s="160"/>
      <c r="M548" s="160"/>
    </row>
    <row r="549">
      <c r="G549" s="160"/>
      <c r="I549" s="160"/>
      <c r="K549" s="160"/>
      <c r="M549" s="160"/>
    </row>
    <row r="550">
      <c r="G550" s="160"/>
      <c r="I550" s="160"/>
      <c r="K550" s="160"/>
      <c r="M550" s="160"/>
    </row>
    <row r="551">
      <c r="G551" s="160"/>
      <c r="I551" s="160"/>
      <c r="K551" s="160"/>
      <c r="M551" s="160"/>
    </row>
    <row r="552">
      <c r="G552" s="160"/>
      <c r="I552" s="160"/>
      <c r="K552" s="160"/>
      <c r="M552" s="160"/>
    </row>
    <row r="553">
      <c r="G553" s="160"/>
      <c r="I553" s="160"/>
      <c r="K553" s="160"/>
      <c r="M553" s="160"/>
    </row>
    <row r="554">
      <c r="G554" s="160"/>
      <c r="I554" s="160"/>
      <c r="K554" s="160"/>
      <c r="M554" s="160"/>
    </row>
    <row r="555">
      <c r="G555" s="160"/>
      <c r="I555" s="160"/>
      <c r="K555" s="160"/>
      <c r="M555" s="160"/>
    </row>
    <row r="556">
      <c r="G556" s="160"/>
      <c r="I556" s="160"/>
      <c r="K556" s="160"/>
      <c r="M556" s="160"/>
    </row>
    <row r="557">
      <c r="G557" s="160"/>
      <c r="I557" s="160"/>
      <c r="K557" s="160"/>
      <c r="M557" s="160"/>
    </row>
    <row r="558">
      <c r="G558" s="160"/>
      <c r="I558" s="160"/>
      <c r="K558" s="160"/>
      <c r="M558" s="160"/>
    </row>
    <row r="559">
      <c r="G559" s="160"/>
      <c r="I559" s="160"/>
      <c r="K559" s="160"/>
      <c r="M559" s="160"/>
    </row>
    <row r="560">
      <c r="G560" s="160"/>
      <c r="I560" s="160"/>
      <c r="K560" s="160"/>
      <c r="M560" s="160"/>
    </row>
    <row r="561">
      <c r="G561" s="160"/>
      <c r="I561" s="160"/>
      <c r="K561" s="160"/>
      <c r="M561" s="160"/>
    </row>
    <row r="562">
      <c r="G562" s="160"/>
      <c r="I562" s="160"/>
      <c r="K562" s="160"/>
      <c r="M562" s="160"/>
    </row>
    <row r="563">
      <c r="G563" s="160"/>
      <c r="I563" s="160"/>
      <c r="K563" s="160"/>
      <c r="M563" s="160"/>
    </row>
    <row r="564">
      <c r="G564" s="160"/>
      <c r="I564" s="160"/>
      <c r="K564" s="160"/>
      <c r="M564" s="160"/>
    </row>
    <row r="565">
      <c r="G565" s="160"/>
      <c r="I565" s="160"/>
      <c r="K565" s="160"/>
      <c r="M565" s="160"/>
    </row>
    <row r="566">
      <c r="G566" s="160"/>
      <c r="I566" s="160"/>
      <c r="K566" s="160"/>
      <c r="M566" s="160"/>
    </row>
    <row r="567">
      <c r="G567" s="160"/>
      <c r="I567" s="160"/>
      <c r="K567" s="160"/>
      <c r="M567" s="160"/>
    </row>
    <row r="568">
      <c r="G568" s="160"/>
      <c r="I568" s="160"/>
      <c r="K568" s="160"/>
      <c r="M568" s="160"/>
    </row>
    <row r="569">
      <c r="G569" s="160"/>
      <c r="I569" s="160"/>
      <c r="K569" s="160"/>
      <c r="M569" s="160"/>
    </row>
    <row r="570">
      <c r="G570" s="160"/>
      <c r="I570" s="160"/>
      <c r="K570" s="160"/>
      <c r="M570" s="160"/>
    </row>
    <row r="571">
      <c r="G571" s="160"/>
      <c r="I571" s="160"/>
      <c r="K571" s="160"/>
      <c r="M571" s="160"/>
    </row>
    <row r="572">
      <c r="G572" s="160"/>
      <c r="I572" s="160"/>
      <c r="K572" s="160"/>
      <c r="M572" s="160"/>
    </row>
    <row r="573">
      <c r="G573" s="160"/>
      <c r="I573" s="160"/>
      <c r="K573" s="160"/>
      <c r="M573" s="160"/>
    </row>
    <row r="574">
      <c r="G574" s="160"/>
      <c r="I574" s="160"/>
      <c r="K574" s="160"/>
      <c r="M574" s="160"/>
    </row>
    <row r="575">
      <c r="G575" s="160"/>
      <c r="I575" s="160"/>
      <c r="K575" s="160"/>
      <c r="M575" s="160"/>
    </row>
    <row r="576">
      <c r="G576" s="160"/>
      <c r="I576" s="160"/>
      <c r="K576" s="160"/>
      <c r="M576" s="160"/>
    </row>
    <row r="577">
      <c r="G577" s="160"/>
      <c r="I577" s="160"/>
      <c r="K577" s="160"/>
      <c r="M577" s="160"/>
    </row>
    <row r="578">
      <c r="G578" s="160"/>
      <c r="I578" s="160"/>
      <c r="K578" s="160"/>
      <c r="M578" s="160"/>
    </row>
    <row r="579">
      <c r="G579" s="160"/>
      <c r="I579" s="160"/>
      <c r="K579" s="160"/>
      <c r="M579" s="160"/>
    </row>
    <row r="580">
      <c r="G580" s="160"/>
      <c r="I580" s="160"/>
      <c r="K580" s="160"/>
      <c r="M580" s="160"/>
    </row>
    <row r="581">
      <c r="G581" s="160"/>
      <c r="I581" s="160"/>
      <c r="K581" s="160"/>
      <c r="M581" s="160"/>
    </row>
    <row r="582">
      <c r="G582" s="160"/>
      <c r="I582" s="160"/>
      <c r="K582" s="160"/>
      <c r="M582" s="160"/>
    </row>
    <row r="583">
      <c r="G583" s="160"/>
      <c r="I583" s="160"/>
      <c r="K583" s="160"/>
      <c r="M583" s="160"/>
    </row>
    <row r="584">
      <c r="G584" s="160"/>
      <c r="I584" s="160"/>
      <c r="K584" s="160"/>
      <c r="M584" s="160"/>
    </row>
    <row r="585">
      <c r="G585" s="160"/>
      <c r="I585" s="160"/>
      <c r="K585" s="160"/>
      <c r="M585" s="160"/>
    </row>
    <row r="586">
      <c r="G586" s="160"/>
      <c r="I586" s="160"/>
      <c r="K586" s="160"/>
      <c r="M586" s="160"/>
    </row>
    <row r="587">
      <c r="G587" s="160"/>
      <c r="I587" s="160"/>
      <c r="K587" s="160"/>
      <c r="M587" s="160"/>
    </row>
    <row r="588">
      <c r="G588" s="160"/>
      <c r="I588" s="160"/>
      <c r="K588" s="160"/>
      <c r="M588" s="160"/>
    </row>
    <row r="589">
      <c r="G589" s="160"/>
      <c r="I589" s="160"/>
      <c r="K589" s="160"/>
      <c r="M589" s="160"/>
    </row>
    <row r="590">
      <c r="G590" s="160"/>
      <c r="I590" s="160"/>
      <c r="K590" s="160"/>
      <c r="M590" s="160"/>
    </row>
    <row r="591">
      <c r="G591" s="160"/>
      <c r="I591" s="160"/>
      <c r="K591" s="160"/>
      <c r="M591" s="160"/>
    </row>
    <row r="592">
      <c r="G592" s="160"/>
      <c r="I592" s="160"/>
      <c r="K592" s="160"/>
      <c r="M592" s="160"/>
    </row>
    <row r="593">
      <c r="G593" s="160"/>
      <c r="I593" s="160"/>
      <c r="K593" s="160"/>
      <c r="M593" s="160"/>
    </row>
    <row r="594">
      <c r="G594" s="160"/>
      <c r="I594" s="160"/>
      <c r="K594" s="160"/>
      <c r="M594" s="160"/>
    </row>
    <row r="595">
      <c r="G595" s="160"/>
      <c r="I595" s="160"/>
      <c r="K595" s="160"/>
      <c r="M595" s="160"/>
    </row>
    <row r="596">
      <c r="G596" s="160"/>
      <c r="I596" s="160"/>
      <c r="K596" s="160"/>
      <c r="M596" s="160"/>
    </row>
    <row r="597">
      <c r="G597" s="160"/>
      <c r="I597" s="160"/>
      <c r="K597" s="160"/>
      <c r="M597" s="160"/>
    </row>
    <row r="598">
      <c r="G598" s="160"/>
      <c r="I598" s="160"/>
      <c r="K598" s="160"/>
      <c r="M598" s="160"/>
    </row>
    <row r="599">
      <c r="G599" s="160"/>
      <c r="I599" s="160"/>
      <c r="K599" s="160"/>
      <c r="M599" s="160"/>
    </row>
    <row r="600">
      <c r="G600" s="160"/>
      <c r="I600" s="160"/>
      <c r="K600" s="160"/>
      <c r="M600" s="160"/>
    </row>
    <row r="601">
      <c r="G601" s="160"/>
      <c r="I601" s="160"/>
      <c r="K601" s="160"/>
      <c r="M601" s="160"/>
    </row>
    <row r="602">
      <c r="G602" s="160"/>
      <c r="I602" s="160"/>
      <c r="K602" s="160"/>
      <c r="M602" s="160"/>
    </row>
    <row r="603">
      <c r="G603" s="160"/>
      <c r="I603" s="160"/>
      <c r="K603" s="160"/>
      <c r="M603" s="160"/>
    </row>
    <row r="604">
      <c r="G604" s="160"/>
      <c r="I604" s="160"/>
      <c r="K604" s="160"/>
      <c r="M604" s="160"/>
    </row>
    <row r="605">
      <c r="G605" s="160"/>
      <c r="I605" s="160"/>
      <c r="K605" s="160"/>
      <c r="M605" s="160"/>
    </row>
    <row r="606">
      <c r="G606" s="160"/>
      <c r="I606" s="160"/>
      <c r="K606" s="160"/>
      <c r="M606" s="160"/>
    </row>
    <row r="607">
      <c r="G607" s="160"/>
      <c r="I607" s="160"/>
      <c r="K607" s="160"/>
      <c r="M607" s="160"/>
    </row>
    <row r="608">
      <c r="G608" s="160"/>
      <c r="I608" s="160"/>
      <c r="K608" s="160"/>
      <c r="M608" s="160"/>
    </row>
    <row r="609">
      <c r="G609" s="160"/>
      <c r="I609" s="160"/>
      <c r="K609" s="160"/>
      <c r="M609" s="160"/>
    </row>
    <row r="610">
      <c r="G610" s="160"/>
      <c r="I610" s="160"/>
      <c r="K610" s="160"/>
      <c r="M610" s="160"/>
    </row>
    <row r="611">
      <c r="G611" s="160"/>
      <c r="I611" s="160"/>
      <c r="K611" s="160"/>
      <c r="M611" s="160"/>
    </row>
    <row r="612">
      <c r="G612" s="160"/>
      <c r="I612" s="160"/>
      <c r="K612" s="160"/>
      <c r="M612" s="160"/>
    </row>
    <row r="613">
      <c r="G613" s="160"/>
      <c r="I613" s="160"/>
      <c r="K613" s="160"/>
      <c r="M613" s="160"/>
    </row>
    <row r="614">
      <c r="G614" s="160"/>
      <c r="I614" s="160"/>
      <c r="K614" s="160"/>
      <c r="M614" s="160"/>
    </row>
    <row r="615">
      <c r="G615" s="160"/>
      <c r="I615" s="160"/>
      <c r="K615" s="160"/>
      <c r="M615" s="160"/>
    </row>
    <row r="616">
      <c r="G616" s="160"/>
      <c r="I616" s="160"/>
      <c r="K616" s="160"/>
      <c r="M616" s="160"/>
    </row>
    <row r="617">
      <c r="G617" s="160"/>
      <c r="I617" s="160"/>
      <c r="K617" s="160"/>
      <c r="M617" s="160"/>
    </row>
    <row r="618">
      <c r="G618" s="160"/>
      <c r="I618" s="160"/>
      <c r="K618" s="160"/>
      <c r="M618" s="160"/>
    </row>
    <row r="619">
      <c r="G619" s="160"/>
      <c r="I619" s="160"/>
      <c r="K619" s="160"/>
      <c r="M619" s="160"/>
    </row>
    <row r="620">
      <c r="G620" s="160"/>
      <c r="I620" s="160"/>
      <c r="K620" s="160"/>
      <c r="M620" s="160"/>
    </row>
    <row r="621">
      <c r="G621" s="160"/>
      <c r="I621" s="160"/>
      <c r="K621" s="160"/>
      <c r="M621" s="160"/>
    </row>
    <row r="622">
      <c r="G622" s="160"/>
      <c r="I622" s="160"/>
      <c r="K622" s="160"/>
      <c r="M622" s="160"/>
    </row>
    <row r="623">
      <c r="G623" s="160"/>
      <c r="I623" s="160"/>
      <c r="K623" s="160"/>
      <c r="M623" s="160"/>
    </row>
    <row r="624">
      <c r="G624" s="160"/>
      <c r="I624" s="160"/>
      <c r="K624" s="160"/>
      <c r="M624" s="160"/>
    </row>
    <row r="625">
      <c r="G625" s="160"/>
      <c r="I625" s="160"/>
      <c r="K625" s="160"/>
      <c r="M625" s="160"/>
    </row>
    <row r="626">
      <c r="G626" s="160"/>
      <c r="I626" s="160"/>
      <c r="K626" s="160"/>
      <c r="M626" s="160"/>
    </row>
    <row r="627">
      <c r="G627" s="160"/>
      <c r="I627" s="160"/>
      <c r="K627" s="160"/>
      <c r="M627" s="160"/>
    </row>
    <row r="628">
      <c r="G628" s="160"/>
      <c r="I628" s="160"/>
      <c r="K628" s="160"/>
      <c r="M628" s="160"/>
    </row>
    <row r="629">
      <c r="G629" s="160"/>
      <c r="I629" s="160"/>
      <c r="K629" s="160"/>
      <c r="M629" s="160"/>
    </row>
    <row r="630">
      <c r="G630" s="160"/>
      <c r="I630" s="160"/>
      <c r="K630" s="160"/>
      <c r="M630" s="160"/>
    </row>
    <row r="631">
      <c r="G631" s="160"/>
      <c r="I631" s="160"/>
      <c r="K631" s="160"/>
      <c r="M631" s="160"/>
    </row>
    <row r="632">
      <c r="G632" s="160"/>
      <c r="I632" s="160"/>
      <c r="K632" s="160"/>
      <c r="M632" s="160"/>
    </row>
    <row r="633">
      <c r="G633" s="160"/>
      <c r="I633" s="160"/>
      <c r="K633" s="160"/>
      <c r="M633" s="160"/>
    </row>
    <row r="634">
      <c r="G634" s="160"/>
      <c r="I634" s="160"/>
      <c r="K634" s="160"/>
      <c r="M634" s="160"/>
    </row>
    <row r="635">
      <c r="G635" s="160"/>
      <c r="I635" s="160"/>
      <c r="K635" s="160"/>
      <c r="M635" s="160"/>
    </row>
    <row r="636">
      <c r="G636" s="160"/>
      <c r="I636" s="160"/>
      <c r="K636" s="160"/>
      <c r="M636" s="160"/>
    </row>
    <row r="637">
      <c r="G637" s="160"/>
      <c r="I637" s="160"/>
      <c r="K637" s="160"/>
      <c r="M637" s="160"/>
    </row>
    <row r="638">
      <c r="G638" s="160"/>
      <c r="I638" s="160"/>
      <c r="K638" s="160"/>
      <c r="M638" s="160"/>
    </row>
    <row r="639">
      <c r="G639" s="160"/>
      <c r="I639" s="160"/>
      <c r="K639" s="160"/>
      <c r="M639" s="160"/>
    </row>
    <row r="640">
      <c r="G640" s="160"/>
      <c r="I640" s="160"/>
      <c r="K640" s="160"/>
      <c r="M640" s="160"/>
    </row>
    <row r="641">
      <c r="G641" s="160"/>
      <c r="I641" s="160"/>
      <c r="K641" s="160"/>
      <c r="M641" s="160"/>
    </row>
    <row r="642">
      <c r="G642" s="160"/>
      <c r="I642" s="160"/>
      <c r="K642" s="160"/>
      <c r="M642" s="160"/>
    </row>
    <row r="643">
      <c r="G643" s="160"/>
      <c r="I643" s="160"/>
      <c r="K643" s="160"/>
      <c r="M643" s="160"/>
    </row>
    <row r="644">
      <c r="G644" s="160"/>
      <c r="I644" s="160"/>
      <c r="K644" s="160"/>
      <c r="M644" s="160"/>
    </row>
    <row r="645">
      <c r="G645" s="160"/>
      <c r="I645" s="160"/>
      <c r="K645" s="160"/>
      <c r="M645" s="160"/>
    </row>
    <row r="646">
      <c r="G646" s="160"/>
      <c r="I646" s="160"/>
      <c r="K646" s="160"/>
      <c r="M646" s="160"/>
    </row>
    <row r="647">
      <c r="G647" s="160"/>
      <c r="I647" s="160"/>
      <c r="K647" s="160"/>
      <c r="M647" s="160"/>
    </row>
    <row r="648">
      <c r="G648" s="160"/>
      <c r="I648" s="160"/>
      <c r="K648" s="160"/>
      <c r="M648" s="160"/>
    </row>
    <row r="649">
      <c r="G649" s="160"/>
      <c r="I649" s="160"/>
      <c r="K649" s="160"/>
      <c r="M649" s="160"/>
    </row>
    <row r="650">
      <c r="G650" s="160"/>
      <c r="I650" s="160"/>
      <c r="K650" s="160"/>
      <c r="M650" s="160"/>
    </row>
    <row r="651">
      <c r="G651" s="160"/>
      <c r="I651" s="160"/>
      <c r="K651" s="160"/>
      <c r="M651" s="160"/>
    </row>
    <row r="652">
      <c r="G652" s="160"/>
      <c r="I652" s="160"/>
      <c r="K652" s="160"/>
      <c r="M652" s="160"/>
    </row>
    <row r="653">
      <c r="G653" s="160"/>
      <c r="I653" s="160"/>
      <c r="K653" s="160"/>
      <c r="M653" s="160"/>
    </row>
    <row r="654">
      <c r="G654" s="160"/>
      <c r="I654" s="160"/>
      <c r="K654" s="160"/>
      <c r="M654" s="160"/>
    </row>
    <row r="655">
      <c r="G655" s="160"/>
      <c r="I655" s="160"/>
      <c r="K655" s="160"/>
      <c r="M655" s="160"/>
    </row>
    <row r="656">
      <c r="G656" s="160"/>
      <c r="I656" s="160"/>
      <c r="K656" s="160"/>
      <c r="M656" s="160"/>
    </row>
    <row r="657">
      <c r="G657" s="160"/>
      <c r="I657" s="160"/>
      <c r="K657" s="160"/>
      <c r="M657" s="160"/>
    </row>
    <row r="658">
      <c r="G658" s="160"/>
      <c r="I658" s="160"/>
      <c r="K658" s="160"/>
      <c r="M658" s="160"/>
    </row>
    <row r="659">
      <c r="G659" s="160"/>
      <c r="I659" s="160"/>
      <c r="K659" s="160"/>
      <c r="M659" s="160"/>
    </row>
    <row r="660">
      <c r="G660" s="160"/>
      <c r="I660" s="160"/>
      <c r="K660" s="160"/>
      <c r="M660" s="160"/>
    </row>
    <row r="661">
      <c r="G661" s="160"/>
      <c r="I661" s="160"/>
      <c r="K661" s="160"/>
      <c r="M661" s="160"/>
    </row>
    <row r="662">
      <c r="G662" s="160"/>
      <c r="I662" s="160"/>
      <c r="K662" s="160"/>
      <c r="M662" s="160"/>
    </row>
    <row r="663">
      <c r="G663" s="160"/>
      <c r="I663" s="160"/>
      <c r="K663" s="160"/>
      <c r="M663" s="160"/>
    </row>
    <row r="664">
      <c r="G664" s="160"/>
      <c r="I664" s="160"/>
      <c r="K664" s="160"/>
      <c r="M664" s="160"/>
    </row>
    <row r="665">
      <c r="G665" s="160"/>
      <c r="I665" s="160"/>
      <c r="K665" s="160"/>
      <c r="M665" s="160"/>
    </row>
    <row r="666">
      <c r="G666" s="160"/>
      <c r="I666" s="160"/>
      <c r="K666" s="160"/>
      <c r="M666" s="160"/>
    </row>
    <row r="667">
      <c r="G667" s="160"/>
      <c r="I667" s="160"/>
      <c r="K667" s="160"/>
      <c r="M667" s="160"/>
    </row>
    <row r="668">
      <c r="G668" s="160"/>
      <c r="I668" s="160"/>
      <c r="K668" s="160"/>
      <c r="M668" s="160"/>
    </row>
    <row r="669">
      <c r="G669" s="160"/>
      <c r="I669" s="160"/>
      <c r="K669" s="160"/>
      <c r="M669" s="160"/>
    </row>
    <row r="670">
      <c r="G670" s="160"/>
      <c r="I670" s="160"/>
      <c r="K670" s="160"/>
      <c r="M670" s="160"/>
    </row>
    <row r="671">
      <c r="G671" s="160"/>
      <c r="I671" s="160"/>
      <c r="K671" s="160"/>
      <c r="M671" s="160"/>
    </row>
    <row r="672">
      <c r="G672" s="160"/>
      <c r="I672" s="160"/>
      <c r="K672" s="160"/>
      <c r="M672" s="160"/>
    </row>
    <row r="673">
      <c r="G673" s="160"/>
      <c r="I673" s="160"/>
      <c r="K673" s="160"/>
      <c r="M673" s="160"/>
    </row>
    <row r="674">
      <c r="G674" s="160"/>
      <c r="I674" s="160"/>
      <c r="K674" s="160"/>
      <c r="M674" s="160"/>
    </row>
    <row r="675">
      <c r="G675" s="160"/>
      <c r="I675" s="160"/>
      <c r="K675" s="160"/>
      <c r="M675" s="160"/>
    </row>
    <row r="676">
      <c r="G676" s="160"/>
      <c r="I676" s="160"/>
      <c r="K676" s="160"/>
      <c r="M676" s="160"/>
    </row>
    <row r="677">
      <c r="G677" s="160"/>
      <c r="I677" s="160"/>
      <c r="K677" s="160"/>
      <c r="M677" s="160"/>
    </row>
    <row r="678">
      <c r="G678" s="160"/>
      <c r="I678" s="160"/>
      <c r="K678" s="160"/>
      <c r="M678" s="160"/>
    </row>
    <row r="679">
      <c r="G679" s="160"/>
      <c r="I679" s="160"/>
      <c r="K679" s="160"/>
      <c r="M679" s="160"/>
    </row>
    <row r="680">
      <c r="G680" s="160"/>
      <c r="I680" s="160"/>
      <c r="K680" s="160"/>
      <c r="M680" s="160"/>
    </row>
    <row r="681">
      <c r="G681" s="160"/>
      <c r="I681" s="160"/>
      <c r="K681" s="160"/>
      <c r="M681" s="160"/>
    </row>
    <row r="682">
      <c r="G682" s="160"/>
      <c r="I682" s="160"/>
      <c r="K682" s="160"/>
      <c r="M682" s="160"/>
    </row>
    <row r="683">
      <c r="G683" s="160"/>
      <c r="I683" s="160"/>
      <c r="K683" s="160"/>
      <c r="M683" s="160"/>
    </row>
    <row r="684">
      <c r="G684" s="160"/>
      <c r="I684" s="160"/>
      <c r="K684" s="160"/>
      <c r="M684" s="160"/>
    </row>
    <row r="685">
      <c r="G685" s="160"/>
      <c r="I685" s="160"/>
      <c r="K685" s="160"/>
      <c r="M685" s="160"/>
    </row>
    <row r="686">
      <c r="G686" s="160"/>
      <c r="I686" s="160"/>
      <c r="K686" s="160"/>
      <c r="M686" s="160"/>
    </row>
    <row r="687">
      <c r="G687" s="160"/>
      <c r="I687" s="160"/>
      <c r="K687" s="160"/>
      <c r="M687" s="160"/>
    </row>
    <row r="688">
      <c r="G688" s="160"/>
      <c r="I688" s="160"/>
      <c r="K688" s="160"/>
      <c r="M688" s="160"/>
    </row>
    <row r="689">
      <c r="G689" s="160"/>
      <c r="I689" s="160"/>
      <c r="K689" s="160"/>
      <c r="M689" s="160"/>
    </row>
    <row r="690">
      <c r="G690" s="160"/>
      <c r="I690" s="160"/>
      <c r="K690" s="160"/>
      <c r="M690" s="160"/>
    </row>
    <row r="691">
      <c r="G691" s="160"/>
      <c r="I691" s="160"/>
      <c r="K691" s="160"/>
      <c r="M691" s="160"/>
    </row>
    <row r="692">
      <c r="G692" s="160"/>
      <c r="I692" s="160"/>
      <c r="K692" s="160"/>
      <c r="M692" s="160"/>
    </row>
    <row r="693">
      <c r="G693" s="160"/>
      <c r="I693" s="160"/>
      <c r="K693" s="160"/>
      <c r="M693" s="160"/>
    </row>
    <row r="694">
      <c r="G694" s="160"/>
      <c r="I694" s="160"/>
      <c r="K694" s="160"/>
      <c r="M694" s="160"/>
    </row>
    <row r="695">
      <c r="G695" s="160"/>
      <c r="I695" s="160"/>
      <c r="K695" s="160"/>
      <c r="M695" s="160"/>
    </row>
    <row r="696">
      <c r="G696" s="160"/>
      <c r="I696" s="160"/>
      <c r="K696" s="160"/>
      <c r="M696" s="160"/>
    </row>
    <row r="697">
      <c r="G697" s="160"/>
      <c r="I697" s="160"/>
      <c r="K697" s="160"/>
      <c r="M697" s="160"/>
    </row>
    <row r="698">
      <c r="G698" s="160"/>
      <c r="I698" s="160"/>
      <c r="K698" s="160"/>
      <c r="M698" s="160"/>
    </row>
    <row r="699">
      <c r="G699" s="160"/>
      <c r="I699" s="160"/>
      <c r="K699" s="160"/>
      <c r="M699" s="160"/>
    </row>
    <row r="700">
      <c r="G700" s="160"/>
      <c r="I700" s="160"/>
      <c r="K700" s="160"/>
      <c r="M700" s="160"/>
    </row>
    <row r="701">
      <c r="G701" s="160"/>
      <c r="I701" s="160"/>
      <c r="K701" s="160"/>
      <c r="M701" s="160"/>
    </row>
    <row r="702">
      <c r="G702" s="160"/>
      <c r="I702" s="160"/>
      <c r="K702" s="160"/>
      <c r="M702" s="160"/>
    </row>
    <row r="703">
      <c r="G703" s="160"/>
      <c r="I703" s="160"/>
      <c r="K703" s="160"/>
      <c r="M703" s="160"/>
    </row>
    <row r="704">
      <c r="G704" s="160"/>
      <c r="I704" s="160"/>
      <c r="K704" s="160"/>
      <c r="M704" s="160"/>
    </row>
    <row r="705">
      <c r="G705" s="160"/>
      <c r="I705" s="160"/>
      <c r="K705" s="160"/>
      <c r="M705" s="160"/>
    </row>
    <row r="706">
      <c r="G706" s="160"/>
      <c r="I706" s="160"/>
      <c r="K706" s="160"/>
      <c r="M706" s="160"/>
    </row>
    <row r="707">
      <c r="G707" s="160"/>
      <c r="I707" s="160"/>
      <c r="K707" s="160"/>
      <c r="M707" s="160"/>
    </row>
    <row r="708">
      <c r="G708" s="160"/>
      <c r="I708" s="160"/>
      <c r="K708" s="160"/>
      <c r="M708" s="160"/>
    </row>
    <row r="709">
      <c r="G709" s="160"/>
      <c r="I709" s="160"/>
      <c r="K709" s="160"/>
      <c r="M709" s="160"/>
    </row>
    <row r="710">
      <c r="G710" s="160"/>
      <c r="I710" s="160"/>
      <c r="K710" s="160"/>
      <c r="M710" s="160"/>
    </row>
    <row r="711">
      <c r="G711" s="160"/>
      <c r="I711" s="160"/>
      <c r="K711" s="160"/>
      <c r="M711" s="160"/>
    </row>
    <row r="712">
      <c r="G712" s="160"/>
      <c r="I712" s="160"/>
      <c r="K712" s="160"/>
      <c r="M712" s="160"/>
    </row>
    <row r="713">
      <c r="G713" s="160"/>
      <c r="I713" s="160"/>
      <c r="K713" s="160"/>
      <c r="M713" s="160"/>
    </row>
    <row r="714">
      <c r="G714" s="160"/>
      <c r="I714" s="160"/>
      <c r="K714" s="160"/>
      <c r="M714" s="160"/>
    </row>
    <row r="715">
      <c r="G715" s="160"/>
      <c r="I715" s="160"/>
      <c r="K715" s="160"/>
      <c r="M715" s="160"/>
    </row>
    <row r="716">
      <c r="G716" s="160"/>
      <c r="I716" s="160"/>
      <c r="K716" s="160"/>
      <c r="M716" s="160"/>
    </row>
    <row r="717">
      <c r="G717" s="160"/>
      <c r="I717" s="160"/>
      <c r="K717" s="160"/>
      <c r="M717" s="160"/>
    </row>
    <row r="718">
      <c r="G718" s="160"/>
      <c r="I718" s="160"/>
      <c r="K718" s="160"/>
      <c r="M718" s="160"/>
    </row>
    <row r="719">
      <c r="G719" s="160"/>
      <c r="I719" s="160"/>
      <c r="K719" s="160"/>
      <c r="M719" s="160"/>
    </row>
    <row r="720">
      <c r="G720" s="160"/>
      <c r="I720" s="160"/>
      <c r="K720" s="160"/>
      <c r="M720" s="160"/>
    </row>
    <row r="721">
      <c r="G721" s="160"/>
      <c r="I721" s="160"/>
      <c r="K721" s="160"/>
      <c r="M721" s="160"/>
    </row>
    <row r="722">
      <c r="G722" s="160"/>
      <c r="I722" s="160"/>
      <c r="K722" s="160"/>
      <c r="M722" s="160"/>
    </row>
    <row r="723">
      <c r="G723" s="160"/>
      <c r="I723" s="160"/>
      <c r="K723" s="160"/>
      <c r="M723" s="160"/>
    </row>
    <row r="724">
      <c r="G724" s="160"/>
      <c r="I724" s="160"/>
      <c r="K724" s="160"/>
      <c r="M724" s="160"/>
    </row>
    <row r="725">
      <c r="G725" s="160"/>
      <c r="I725" s="160"/>
      <c r="K725" s="160"/>
      <c r="M725" s="160"/>
    </row>
    <row r="726">
      <c r="G726" s="160"/>
      <c r="I726" s="160"/>
      <c r="K726" s="160"/>
      <c r="M726" s="160"/>
    </row>
    <row r="727">
      <c r="G727" s="160"/>
      <c r="I727" s="160"/>
      <c r="K727" s="160"/>
      <c r="M727" s="160"/>
    </row>
    <row r="728">
      <c r="G728" s="160"/>
      <c r="I728" s="160"/>
      <c r="K728" s="160"/>
      <c r="M728" s="160"/>
    </row>
    <row r="729">
      <c r="G729" s="160"/>
      <c r="I729" s="160"/>
      <c r="K729" s="160"/>
      <c r="M729" s="160"/>
    </row>
    <row r="730">
      <c r="G730" s="160"/>
      <c r="I730" s="160"/>
      <c r="K730" s="160"/>
      <c r="M730" s="160"/>
    </row>
    <row r="731">
      <c r="G731" s="160"/>
      <c r="I731" s="160"/>
      <c r="K731" s="160"/>
      <c r="M731" s="160"/>
    </row>
    <row r="732">
      <c r="G732" s="160"/>
      <c r="I732" s="160"/>
      <c r="K732" s="160"/>
      <c r="M732" s="160"/>
    </row>
    <row r="733">
      <c r="G733" s="160"/>
      <c r="I733" s="160"/>
      <c r="K733" s="160"/>
      <c r="M733" s="160"/>
    </row>
    <row r="734">
      <c r="G734" s="160"/>
      <c r="I734" s="160"/>
      <c r="K734" s="160"/>
      <c r="M734" s="160"/>
    </row>
    <row r="735">
      <c r="G735" s="160"/>
      <c r="I735" s="160"/>
      <c r="K735" s="160"/>
      <c r="M735" s="160"/>
    </row>
    <row r="736">
      <c r="G736" s="160"/>
      <c r="I736" s="160"/>
      <c r="K736" s="160"/>
      <c r="M736" s="160"/>
    </row>
    <row r="737">
      <c r="G737" s="160"/>
      <c r="I737" s="160"/>
      <c r="K737" s="160"/>
      <c r="M737" s="160"/>
    </row>
    <row r="738">
      <c r="G738" s="160"/>
      <c r="I738" s="160"/>
      <c r="K738" s="160"/>
      <c r="M738" s="160"/>
    </row>
    <row r="739">
      <c r="G739" s="160"/>
      <c r="I739" s="160"/>
      <c r="K739" s="160"/>
      <c r="M739" s="160"/>
    </row>
    <row r="740">
      <c r="G740" s="160"/>
      <c r="I740" s="160"/>
      <c r="K740" s="160"/>
      <c r="M740" s="160"/>
    </row>
    <row r="741">
      <c r="G741" s="160"/>
      <c r="I741" s="160"/>
      <c r="K741" s="160"/>
      <c r="M741" s="160"/>
    </row>
    <row r="742">
      <c r="G742" s="160"/>
      <c r="I742" s="160"/>
      <c r="K742" s="160"/>
      <c r="M742" s="160"/>
    </row>
    <row r="743">
      <c r="G743" s="160"/>
      <c r="I743" s="160"/>
      <c r="K743" s="160"/>
      <c r="M743" s="160"/>
    </row>
    <row r="744">
      <c r="G744" s="160"/>
      <c r="I744" s="160"/>
      <c r="K744" s="160"/>
      <c r="M744" s="160"/>
    </row>
    <row r="745">
      <c r="G745" s="160"/>
      <c r="I745" s="160"/>
      <c r="K745" s="160"/>
      <c r="M745" s="160"/>
    </row>
    <row r="746">
      <c r="G746" s="160"/>
      <c r="I746" s="160"/>
      <c r="K746" s="160"/>
      <c r="M746" s="160"/>
    </row>
    <row r="747">
      <c r="G747" s="160"/>
      <c r="I747" s="160"/>
      <c r="K747" s="160"/>
      <c r="M747" s="160"/>
    </row>
    <row r="748">
      <c r="G748" s="160"/>
      <c r="I748" s="160"/>
      <c r="K748" s="160"/>
      <c r="M748" s="160"/>
    </row>
    <row r="749">
      <c r="G749" s="160"/>
      <c r="I749" s="160"/>
      <c r="K749" s="160"/>
      <c r="M749" s="160"/>
    </row>
    <row r="750">
      <c r="G750" s="160"/>
      <c r="I750" s="160"/>
      <c r="K750" s="160"/>
      <c r="M750" s="160"/>
    </row>
    <row r="751">
      <c r="G751" s="160"/>
      <c r="I751" s="160"/>
      <c r="K751" s="160"/>
      <c r="M751" s="160"/>
    </row>
    <row r="752">
      <c r="G752" s="160"/>
      <c r="I752" s="160"/>
      <c r="K752" s="160"/>
      <c r="M752" s="160"/>
    </row>
    <row r="753">
      <c r="G753" s="160"/>
      <c r="I753" s="160"/>
      <c r="K753" s="160"/>
      <c r="M753" s="160"/>
    </row>
    <row r="754">
      <c r="G754" s="160"/>
      <c r="I754" s="160"/>
      <c r="K754" s="160"/>
      <c r="M754" s="160"/>
    </row>
    <row r="755">
      <c r="G755" s="160"/>
      <c r="I755" s="160"/>
      <c r="K755" s="160"/>
      <c r="M755" s="160"/>
    </row>
    <row r="756">
      <c r="G756" s="160"/>
      <c r="I756" s="160"/>
      <c r="K756" s="160"/>
      <c r="M756" s="160"/>
    </row>
    <row r="757">
      <c r="G757" s="160"/>
      <c r="I757" s="160"/>
      <c r="K757" s="160"/>
      <c r="M757" s="160"/>
    </row>
    <row r="758">
      <c r="G758" s="160"/>
      <c r="I758" s="160"/>
      <c r="K758" s="160"/>
      <c r="M758" s="160"/>
    </row>
    <row r="759">
      <c r="G759" s="160"/>
      <c r="I759" s="160"/>
      <c r="K759" s="160"/>
      <c r="M759" s="160"/>
    </row>
    <row r="760">
      <c r="G760" s="160"/>
      <c r="I760" s="160"/>
      <c r="K760" s="160"/>
      <c r="M760" s="160"/>
    </row>
    <row r="761">
      <c r="G761" s="160"/>
      <c r="I761" s="160"/>
      <c r="K761" s="160"/>
      <c r="M761" s="160"/>
    </row>
    <row r="762">
      <c r="G762" s="160"/>
      <c r="I762" s="160"/>
      <c r="K762" s="160"/>
      <c r="M762" s="160"/>
    </row>
    <row r="763">
      <c r="G763" s="160"/>
      <c r="I763" s="160"/>
      <c r="K763" s="160"/>
      <c r="M763" s="160"/>
    </row>
    <row r="764">
      <c r="G764" s="160"/>
      <c r="I764" s="160"/>
      <c r="K764" s="160"/>
      <c r="M764" s="160"/>
    </row>
    <row r="765">
      <c r="G765" s="160"/>
      <c r="I765" s="160"/>
      <c r="K765" s="160"/>
      <c r="M765" s="160"/>
    </row>
    <row r="766">
      <c r="G766" s="160"/>
      <c r="I766" s="160"/>
      <c r="K766" s="160"/>
      <c r="M766" s="160"/>
    </row>
    <row r="767">
      <c r="G767" s="160"/>
      <c r="I767" s="160"/>
      <c r="K767" s="160"/>
      <c r="M767" s="160"/>
    </row>
    <row r="768">
      <c r="G768" s="160"/>
      <c r="I768" s="160"/>
      <c r="K768" s="160"/>
      <c r="M768" s="160"/>
    </row>
    <row r="769">
      <c r="G769" s="160"/>
      <c r="I769" s="160"/>
      <c r="K769" s="160"/>
      <c r="M769" s="160"/>
    </row>
    <row r="770">
      <c r="G770" s="160"/>
      <c r="I770" s="160"/>
      <c r="K770" s="160"/>
      <c r="M770" s="160"/>
    </row>
    <row r="771">
      <c r="G771" s="160"/>
      <c r="I771" s="160"/>
      <c r="K771" s="160"/>
      <c r="M771" s="160"/>
    </row>
    <row r="772">
      <c r="G772" s="160"/>
      <c r="I772" s="160"/>
      <c r="K772" s="160"/>
      <c r="M772" s="160"/>
    </row>
    <row r="773">
      <c r="G773" s="160"/>
      <c r="I773" s="160"/>
      <c r="K773" s="160"/>
      <c r="M773" s="160"/>
    </row>
    <row r="774">
      <c r="G774" s="160"/>
      <c r="I774" s="160"/>
      <c r="K774" s="160"/>
      <c r="M774" s="160"/>
    </row>
    <row r="775">
      <c r="G775" s="160"/>
      <c r="I775" s="160"/>
      <c r="K775" s="160"/>
      <c r="M775" s="160"/>
    </row>
    <row r="776">
      <c r="G776" s="160"/>
      <c r="I776" s="160"/>
      <c r="K776" s="160"/>
      <c r="M776" s="160"/>
    </row>
    <row r="777">
      <c r="G777" s="160"/>
      <c r="I777" s="160"/>
      <c r="K777" s="160"/>
      <c r="M777" s="160"/>
    </row>
    <row r="778">
      <c r="G778" s="160"/>
      <c r="I778" s="160"/>
      <c r="K778" s="160"/>
      <c r="M778" s="160"/>
    </row>
    <row r="779">
      <c r="G779" s="160"/>
      <c r="I779" s="160"/>
      <c r="K779" s="160"/>
      <c r="M779" s="160"/>
    </row>
    <row r="780">
      <c r="G780" s="160"/>
      <c r="I780" s="160"/>
      <c r="K780" s="160"/>
      <c r="M780" s="160"/>
    </row>
    <row r="781">
      <c r="G781" s="160"/>
      <c r="I781" s="160"/>
      <c r="K781" s="160"/>
      <c r="M781" s="160"/>
    </row>
    <row r="782">
      <c r="G782" s="160"/>
      <c r="I782" s="160"/>
      <c r="K782" s="160"/>
      <c r="M782" s="160"/>
    </row>
    <row r="783">
      <c r="G783" s="160"/>
      <c r="I783" s="160"/>
      <c r="K783" s="160"/>
      <c r="M783" s="160"/>
    </row>
    <row r="784">
      <c r="G784" s="160"/>
      <c r="I784" s="160"/>
      <c r="K784" s="160"/>
      <c r="M784" s="160"/>
    </row>
    <row r="785">
      <c r="G785" s="160"/>
      <c r="I785" s="160"/>
      <c r="K785" s="160"/>
      <c r="M785" s="160"/>
    </row>
    <row r="786">
      <c r="G786" s="160"/>
      <c r="I786" s="160"/>
      <c r="K786" s="160"/>
      <c r="M786" s="160"/>
    </row>
    <row r="787">
      <c r="G787" s="160"/>
      <c r="I787" s="160"/>
      <c r="K787" s="160"/>
      <c r="M787" s="160"/>
    </row>
    <row r="788">
      <c r="G788" s="160"/>
      <c r="I788" s="160"/>
      <c r="K788" s="160"/>
      <c r="M788" s="160"/>
    </row>
    <row r="789">
      <c r="G789" s="160"/>
      <c r="I789" s="160"/>
      <c r="K789" s="160"/>
      <c r="M789" s="160"/>
    </row>
    <row r="790">
      <c r="G790" s="160"/>
      <c r="I790" s="160"/>
      <c r="K790" s="160"/>
      <c r="M790" s="160"/>
    </row>
    <row r="791">
      <c r="G791" s="160"/>
      <c r="I791" s="160"/>
      <c r="K791" s="160"/>
      <c r="M791" s="160"/>
    </row>
    <row r="792">
      <c r="G792" s="160"/>
      <c r="I792" s="160"/>
      <c r="K792" s="160"/>
      <c r="M792" s="160"/>
    </row>
    <row r="793">
      <c r="G793" s="160"/>
      <c r="I793" s="160"/>
      <c r="K793" s="160"/>
      <c r="M793" s="160"/>
    </row>
    <row r="794">
      <c r="G794" s="160"/>
      <c r="I794" s="160"/>
      <c r="K794" s="160"/>
      <c r="M794" s="160"/>
    </row>
    <row r="795">
      <c r="G795" s="160"/>
      <c r="I795" s="160"/>
      <c r="K795" s="160"/>
      <c r="M795" s="160"/>
    </row>
    <row r="796">
      <c r="G796" s="160"/>
      <c r="I796" s="160"/>
      <c r="K796" s="160"/>
      <c r="M796" s="160"/>
    </row>
    <row r="797">
      <c r="G797" s="160"/>
      <c r="I797" s="160"/>
      <c r="K797" s="160"/>
      <c r="M797" s="160"/>
    </row>
    <row r="798">
      <c r="G798" s="160"/>
      <c r="I798" s="160"/>
      <c r="K798" s="160"/>
      <c r="M798" s="160"/>
    </row>
    <row r="799">
      <c r="G799" s="160"/>
      <c r="I799" s="160"/>
      <c r="K799" s="160"/>
      <c r="M799" s="160"/>
    </row>
    <row r="800">
      <c r="G800" s="160"/>
      <c r="I800" s="160"/>
      <c r="K800" s="160"/>
      <c r="M800" s="160"/>
    </row>
    <row r="801">
      <c r="G801" s="160"/>
      <c r="I801" s="160"/>
      <c r="K801" s="160"/>
      <c r="M801" s="160"/>
    </row>
    <row r="802">
      <c r="G802" s="160"/>
      <c r="I802" s="160"/>
      <c r="K802" s="160"/>
      <c r="M802" s="160"/>
    </row>
    <row r="803">
      <c r="G803" s="160"/>
      <c r="I803" s="160"/>
      <c r="K803" s="160"/>
      <c r="M803" s="160"/>
    </row>
    <row r="804">
      <c r="G804" s="160"/>
      <c r="I804" s="160"/>
      <c r="K804" s="160"/>
      <c r="M804" s="160"/>
    </row>
    <row r="805">
      <c r="G805" s="160"/>
      <c r="I805" s="160"/>
      <c r="K805" s="160"/>
      <c r="M805" s="160"/>
    </row>
    <row r="806">
      <c r="G806" s="160"/>
      <c r="I806" s="160"/>
      <c r="K806" s="160"/>
      <c r="M806" s="160"/>
    </row>
    <row r="807">
      <c r="G807" s="160"/>
      <c r="I807" s="160"/>
      <c r="K807" s="160"/>
      <c r="M807" s="160"/>
    </row>
    <row r="808">
      <c r="G808" s="160"/>
      <c r="I808" s="160"/>
      <c r="K808" s="160"/>
      <c r="M808" s="160"/>
    </row>
    <row r="809">
      <c r="G809" s="160"/>
      <c r="I809" s="160"/>
      <c r="K809" s="160"/>
      <c r="M809" s="160"/>
    </row>
    <row r="810">
      <c r="G810" s="160"/>
      <c r="I810" s="160"/>
      <c r="K810" s="160"/>
      <c r="M810" s="160"/>
    </row>
    <row r="811">
      <c r="G811" s="160"/>
      <c r="I811" s="160"/>
      <c r="K811" s="160"/>
      <c r="M811" s="160"/>
    </row>
    <row r="812">
      <c r="G812" s="160"/>
      <c r="I812" s="160"/>
      <c r="K812" s="160"/>
      <c r="M812" s="160"/>
    </row>
    <row r="813">
      <c r="G813" s="160"/>
      <c r="I813" s="160"/>
      <c r="K813" s="160"/>
      <c r="M813" s="160"/>
    </row>
    <row r="814">
      <c r="G814" s="160"/>
      <c r="I814" s="160"/>
      <c r="K814" s="160"/>
      <c r="M814" s="160"/>
    </row>
    <row r="815">
      <c r="G815" s="160"/>
      <c r="I815" s="160"/>
      <c r="K815" s="160"/>
      <c r="M815" s="160"/>
    </row>
    <row r="816">
      <c r="G816" s="160"/>
      <c r="I816" s="160"/>
      <c r="K816" s="160"/>
      <c r="M816" s="160"/>
    </row>
    <row r="817">
      <c r="G817" s="160"/>
      <c r="I817" s="160"/>
      <c r="K817" s="160"/>
      <c r="M817" s="160"/>
    </row>
    <row r="818">
      <c r="G818" s="160"/>
      <c r="I818" s="160"/>
      <c r="K818" s="160"/>
      <c r="M818" s="160"/>
    </row>
    <row r="819">
      <c r="G819" s="160"/>
      <c r="I819" s="160"/>
      <c r="K819" s="160"/>
      <c r="M819" s="160"/>
    </row>
    <row r="820">
      <c r="G820" s="160"/>
      <c r="I820" s="160"/>
      <c r="K820" s="160"/>
      <c r="M820" s="160"/>
    </row>
    <row r="821">
      <c r="G821" s="160"/>
      <c r="I821" s="160"/>
      <c r="K821" s="160"/>
      <c r="M821" s="160"/>
    </row>
    <row r="822">
      <c r="G822" s="160"/>
      <c r="I822" s="160"/>
      <c r="K822" s="160"/>
      <c r="M822" s="160"/>
    </row>
    <row r="823">
      <c r="G823" s="160"/>
      <c r="I823" s="160"/>
      <c r="K823" s="160"/>
      <c r="M823" s="160"/>
    </row>
    <row r="824">
      <c r="G824" s="160"/>
      <c r="I824" s="160"/>
      <c r="K824" s="160"/>
      <c r="M824" s="160"/>
    </row>
    <row r="825">
      <c r="G825" s="160"/>
      <c r="I825" s="160"/>
      <c r="K825" s="160"/>
      <c r="M825" s="160"/>
    </row>
    <row r="826">
      <c r="G826" s="160"/>
      <c r="I826" s="160"/>
      <c r="K826" s="160"/>
      <c r="M826" s="160"/>
    </row>
    <row r="827">
      <c r="G827" s="160"/>
      <c r="I827" s="160"/>
      <c r="K827" s="160"/>
      <c r="M827" s="160"/>
    </row>
    <row r="828">
      <c r="G828" s="160"/>
      <c r="I828" s="160"/>
      <c r="K828" s="160"/>
      <c r="M828" s="160"/>
    </row>
    <row r="829">
      <c r="G829" s="160"/>
      <c r="I829" s="160"/>
      <c r="K829" s="160"/>
      <c r="M829" s="160"/>
    </row>
    <row r="830">
      <c r="G830" s="160"/>
      <c r="I830" s="160"/>
      <c r="K830" s="160"/>
      <c r="M830" s="160"/>
    </row>
    <row r="831">
      <c r="G831" s="160"/>
      <c r="I831" s="160"/>
      <c r="K831" s="160"/>
      <c r="M831" s="160"/>
    </row>
    <row r="832">
      <c r="G832" s="160"/>
      <c r="I832" s="160"/>
      <c r="K832" s="160"/>
      <c r="M832" s="160"/>
    </row>
    <row r="833">
      <c r="G833" s="160"/>
      <c r="I833" s="160"/>
      <c r="K833" s="160"/>
      <c r="M833" s="160"/>
    </row>
    <row r="834">
      <c r="G834" s="160"/>
      <c r="I834" s="160"/>
      <c r="K834" s="160"/>
      <c r="M834" s="160"/>
    </row>
    <row r="835">
      <c r="G835" s="160"/>
      <c r="I835" s="160"/>
      <c r="K835" s="160"/>
      <c r="M835" s="160"/>
    </row>
    <row r="836">
      <c r="G836" s="160"/>
      <c r="I836" s="160"/>
      <c r="K836" s="160"/>
      <c r="M836" s="160"/>
    </row>
    <row r="837">
      <c r="G837" s="160"/>
      <c r="I837" s="160"/>
      <c r="K837" s="160"/>
      <c r="M837" s="160"/>
    </row>
    <row r="838">
      <c r="G838" s="160"/>
      <c r="I838" s="160"/>
      <c r="K838" s="160"/>
      <c r="M838" s="160"/>
    </row>
    <row r="839">
      <c r="G839" s="160"/>
      <c r="I839" s="160"/>
      <c r="K839" s="160"/>
      <c r="M839" s="160"/>
    </row>
    <row r="840">
      <c r="G840" s="160"/>
      <c r="I840" s="160"/>
      <c r="K840" s="160"/>
      <c r="M840" s="160"/>
    </row>
    <row r="841">
      <c r="G841" s="160"/>
      <c r="I841" s="160"/>
      <c r="K841" s="160"/>
      <c r="M841" s="160"/>
    </row>
    <row r="842">
      <c r="G842" s="160"/>
      <c r="I842" s="160"/>
      <c r="K842" s="160"/>
      <c r="M842" s="160"/>
    </row>
    <row r="843">
      <c r="G843" s="160"/>
      <c r="I843" s="160"/>
      <c r="K843" s="160"/>
      <c r="M843" s="160"/>
    </row>
    <row r="844">
      <c r="G844" s="160"/>
      <c r="I844" s="160"/>
      <c r="K844" s="160"/>
      <c r="M844" s="160"/>
    </row>
    <row r="845">
      <c r="G845" s="160"/>
      <c r="I845" s="160"/>
      <c r="K845" s="160"/>
      <c r="M845" s="160"/>
    </row>
    <row r="846">
      <c r="G846" s="160"/>
      <c r="I846" s="160"/>
      <c r="K846" s="160"/>
      <c r="M846" s="160"/>
    </row>
    <row r="847">
      <c r="G847" s="160"/>
      <c r="I847" s="160"/>
      <c r="K847" s="160"/>
      <c r="M847" s="160"/>
    </row>
    <row r="848">
      <c r="G848" s="160"/>
      <c r="I848" s="160"/>
      <c r="K848" s="160"/>
      <c r="M848" s="160"/>
    </row>
    <row r="849">
      <c r="G849" s="160"/>
      <c r="I849" s="160"/>
      <c r="K849" s="160"/>
      <c r="M849" s="160"/>
    </row>
    <row r="850">
      <c r="G850" s="160"/>
      <c r="I850" s="160"/>
      <c r="K850" s="160"/>
      <c r="M850" s="160"/>
    </row>
    <row r="851">
      <c r="G851" s="160"/>
      <c r="I851" s="160"/>
      <c r="K851" s="160"/>
      <c r="M851" s="160"/>
    </row>
    <row r="852">
      <c r="G852" s="160"/>
      <c r="I852" s="160"/>
      <c r="K852" s="160"/>
      <c r="M852" s="160"/>
    </row>
    <row r="853">
      <c r="G853" s="160"/>
      <c r="I853" s="160"/>
      <c r="K853" s="160"/>
      <c r="M853" s="160"/>
    </row>
    <row r="854">
      <c r="G854" s="160"/>
      <c r="I854" s="160"/>
      <c r="K854" s="160"/>
      <c r="M854" s="160"/>
    </row>
    <row r="855">
      <c r="G855" s="160"/>
      <c r="I855" s="160"/>
      <c r="K855" s="160"/>
      <c r="M855" s="160"/>
    </row>
    <row r="856">
      <c r="G856" s="160"/>
      <c r="I856" s="160"/>
      <c r="K856" s="160"/>
      <c r="M856" s="160"/>
    </row>
    <row r="857">
      <c r="G857" s="160"/>
      <c r="I857" s="160"/>
      <c r="K857" s="160"/>
      <c r="M857" s="160"/>
    </row>
    <row r="858">
      <c r="G858" s="160"/>
      <c r="I858" s="160"/>
      <c r="K858" s="160"/>
      <c r="M858" s="160"/>
    </row>
    <row r="859">
      <c r="G859" s="160"/>
      <c r="I859" s="160"/>
      <c r="K859" s="160"/>
      <c r="M859" s="160"/>
    </row>
    <row r="860">
      <c r="G860" s="160"/>
      <c r="I860" s="160"/>
      <c r="K860" s="160"/>
      <c r="M860" s="160"/>
    </row>
    <row r="861">
      <c r="G861" s="160"/>
      <c r="I861" s="160"/>
      <c r="K861" s="160"/>
      <c r="M861" s="160"/>
    </row>
    <row r="862">
      <c r="G862" s="160"/>
      <c r="I862" s="160"/>
      <c r="K862" s="160"/>
      <c r="M862" s="160"/>
    </row>
    <row r="863">
      <c r="G863" s="160"/>
      <c r="I863" s="160"/>
      <c r="K863" s="160"/>
      <c r="M863" s="160"/>
    </row>
    <row r="864">
      <c r="G864" s="160"/>
      <c r="I864" s="160"/>
      <c r="K864" s="160"/>
      <c r="M864" s="160"/>
    </row>
    <row r="865">
      <c r="G865" s="160"/>
      <c r="I865" s="160"/>
      <c r="K865" s="160"/>
      <c r="M865" s="160"/>
    </row>
    <row r="866">
      <c r="G866" s="160"/>
      <c r="I866" s="160"/>
      <c r="K866" s="160"/>
      <c r="M866" s="160"/>
    </row>
    <row r="867">
      <c r="G867" s="160"/>
      <c r="I867" s="160"/>
      <c r="K867" s="160"/>
      <c r="M867" s="160"/>
    </row>
    <row r="868">
      <c r="G868" s="160"/>
      <c r="I868" s="160"/>
      <c r="K868" s="160"/>
      <c r="M868" s="160"/>
    </row>
    <row r="869">
      <c r="G869" s="160"/>
      <c r="I869" s="160"/>
      <c r="K869" s="160"/>
      <c r="M869" s="160"/>
    </row>
    <row r="870">
      <c r="G870" s="160"/>
      <c r="I870" s="160"/>
      <c r="K870" s="160"/>
      <c r="M870" s="160"/>
    </row>
    <row r="871">
      <c r="G871" s="160"/>
      <c r="I871" s="160"/>
      <c r="K871" s="160"/>
      <c r="M871" s="160"/>
    </row>
    <row r="872">
      <c r="G872" s="160"/>
      <c r="I872" s="160"/>
      <c r="K872" s="160"/>
      <c r="M872" s="160"/>
    </row>
    <row r="873">
      <c r="G873" s="160"/>
      <c r="I873" s="160"/>
      <c r="K873" s="160"/>
      <c r="M873" s="160"/>
    </row>
    <row r="874">
      <c r="G874" s="160"/>
      <c r="I874" s="160"/>
      <c r="K874" s="160"/>
      <c r="M874" s="160"/>
    </row>
    <row r="875">
      <c r="G875" s="160"/>
      <c r="I875" s="160"/>
      <c r="K875" s="160"/>
      <c r="M875" s="160"/>
    </row>
    <row r="876">
      <c r="G876" s="160"/>
      <c r="I876" s="160"/>
      <c r="K876" s="160"/>
      <c r="M876" s="160"/>
    </row>
    <row r="877">
      <c r="G877" s="160"/>
      <c r="I877" s="160"/>
      <c r="K877" s="160"/>
      <c r="M877" s="160"/>
    </row>
    <row r="878">
      <c r="G878" s="160"/>
      <c r="I878" s="160"/>
      <c r="K878" s="160"/>
      <c r="M878" s="160"/>
    </row>
    <row r="879">
      <c r="G879" s="160"/>
      <c r="I879" s="160"/>
      <c r="K879" s="160"/>
      <c r="M879" s="160"/>
    </row>
    <row r="880">
      <c r="G880" s="160"/>
      <c r="I880" s="160"/>
      <c r="K880" s="160"/>
      <c r="M880" s="160"/>
    </row>
    <row r="881">
      <c r="G881" s="160"/>
      <c r="I881" s="160"/>
      <c r="K881" s="160"/>
      <c r="M881" s="160"/>
    </row>
    <row r="882">
      <c r="G882" s="160"/>
      <c r="I882" s="160"/>
      <c r="K882" s="160"/>
      <c r="M882" s="160"/>
    </row>
    <row r="883">
      <c r="G883" s="160"/>
      <c r="I883" s="160"/>
      <c r="K883" s="160"/>
      <c r="M883" s="160"/>
    </row>
    <row r="884">
      <c r="G884" s="160"/>
      <c r="I884" s="160"/>
      <c r="K884" s="160"/>
      <c r="M884" s="160"/>
    </row>
    <row r="885">
      <c r="G885" s="160"/>
      <c r="I885" s="160"/>
      <c r="K885" s="160"/>
      <c r="M885" s="160"/>
    </row>
    <row r="886">
      <c r="G886" s="160"/>
      <c r="I886" s="160"/>
      <c r="K886" s="160"/>
      <c r="M886" s="160"/>
    </row>
    <row r="887">
      <c r="G887" s="160"/>
      <c r="I887" s="160"/>
      <c r="K887" s="160"/>
      <c r="M887" s="160"/>
    </row>
    <row r="888">
      <c r="G888" s="160"/>
      <c r="I888" s="160"/>
      <c r="K888" s="160"/>
      <c r="M888" s="160"/>
    </row>
    <row r="889">
      <c r="G889" s="160"/>
      <c r="I889" s="160"/>
      <c r="K889" s="160"/>
      <c r="M889" s="160"/>
    </row>
    <row r="890">
      <c r="G890" s="160"/>
      <c r="I890" s="160"/>
      <c r="K890" s="160"/>
      <c r="M890" s="160"/>
    </row>
    <row r="891">
      <c r="G891" s="160"/>
      <c r="I891" s="160"/>
      <c r="K891" s="160"/>
      <c r="M891" s="160"/>
    </row>
    <row r="892">
      <c r="G892" s="160"/>
      <c r="I892" s="160"/>
      <c r="K892" s="160"/>
      <c r="M892" s="160"/>
    </row>
    <row r="893">
      <c r="G893" s="160"/>
      <c r="I893" s="160"/>
      <c r="K893" s="160"/>
      <c r="M893" s="160"/>
    </row>
    <row r="894">
      <c r="G894" s="160"/>
      <c r="I894" s="160"/>
      <c r="K894" s="160"/>
      <c r="M894" s="160"/>
    </row>
    <row r="895">
      <c r="G895" s="160"/>
      <c r="I895" s="160"/>
      <c r="K895" s="160"/>
      <c r="M895" s="160"/>
    </row>
    <row r="896">
      <c r="G896" s="160"/>
      <c r="I896" s="160"/>
      <c r="K896" s="160"/>
      <c r="M896" s="160"/>
    </row>
    <row r="897">
      <c r="G897" s="160"/>
      <c r="I897" s="160"/>
      <c r="K897" s="160"/>
      <c r="M897" s="160"/>
    </row>
    <row r="898">
      <c r="G898" s="160"/>
      <c r="I898" s="160"/>
      <c r="K898" s="160"/>
      <c r="M898" s="160"/>
    </row>
    <row r="899">
      <c r="G899" s="160"/>
      <c r="I899" s="160"/>
      <c r="K899" s="160"/>
      <c r="M899" s="160"/>
    </row>
    <row r="900">
      <c r="G900" s="160"/>
      <c r="I900" s="160"/>
      <c r="K900" s="160"/>
      <c r="M900" s="160"/>
    </row>
    <row r="901">
      <c r="G901" s="160"/>
      <c r="I901" s="160"/>
      <c r="K901" s="160"/>
      <c r="M901" s="160"/>
    </row>
    <row r="902">
      <c r="G902" s="160"/>
      <c r="I902" s="160"/>
      <c r="K902" s="160"/>
      <c r="M902" s="160"/>
    </row>
    <row r="903">
      <c r="G903" s="160"/>
      <c r="I903" s="160"/>
      <c r="K903" s="160"/>
      <c r="M903" s="160"/>
    </row>
    <row r="904">
      <c r="G904" s="160"/>
      <c r="I904" s="160"/>
      <c r="K904" s="160"/>
      <c r="M904" s="160"/>
    </row>
    <row r="905">
      <c r="G905" s="160"/>
      <c r="I905" s="160"/>
      <c r="K905" s="160"/>
      <c r="M905" s="160"/>
    </row>
    <row r="906">
      <c r="G906" s="160"/>
      <c r="I906" s="160"/>
      <c r="K906" s="160"/>
      <c r="M906" s="160"/>
    </row>
    <row r="907">
      <c r="G907" s="160"/>
      <c r="I907" s="160"/>
      <c r="K907" s="160"/>
      <c r="M907" s="160"/>
    </row>
    <row r="908">
      <c r="G908" s="160"/>
      <c r="I908" s="160"/>
      <c r="K908" s="160"/>
      <c r="M908" s="160"/>
    </row>
    <row r="909">
      <c r="G909" s="160"/>
      <c r="I909" s="160"/>
      <c r="K909" s="160"/>
      <c r="M909" s="160"/>
    </row>
    <row r="910">
      <c r="G910" s="160"/>
      <c r="I910" s="160"/>
      <c r="K910" s="160"/>
      <c r="M910" s="160"/>
    </row>
    <row r="911">
      <c r="G911" s="160"/>
      <c r="I911" s="160"/>
      <c r="K911" s="160"/>
      <c r="M911" s="160"/>
    </row>
    <row r="912">
      <c r="G912" s="160"/>
      <c r="I912" s="160"/>
      <c r="K912" s="160"/>
      <c r="M912" s="160"/>
    </row>
    <row r="913">
      <c r="G913" s="160"/>
      <c r="I913" s="160"/>
      <c r="K913" s="160"/>
      <c r="M913" s="160"/>
    </row>
    <row r="914">
      <c r="G914" s="160"/>
      <c r="I914" s="160"/>
      <c r="K914" s="160"/>
      <c r="M914" s="160"/>
    </row>
    <row r="915">
      <c r="G915" s="160"/>
      <c r="I915" s="160"/>
      <c r="K915" s="160"/>
      <c r="M915" s="160"/>
    </row>
    <row r="916">
      <c r="G916" s="160"/>
      <c r="I916" s="160"/>
      <c r="K916" s="160"/>
      <c r="M916" s="160"/>
    </row>
    <row r="917">
      <c r="G917" s="160"/>
      <c r="I917" s="160"/>
      <c r="K917" s="160"/>
      <c r="M917" s="160"/>
    </row>
    <row r="918">
      <c r="G918" s="160"/>
      <c r="I918" s="160"/>
      <c r="K918" s="160"/>
      <c r="M918" s="160"/>
    </row>
    <row r="919">
      <c r="G919" s="160"/>
      <c r="I919" s="160"/>
      <c r="K919" s="160"/>
      <c r="M919" s="160"/>
    </row>
    <row r="920">
      <c r="G920" s="160"/>
      <c r="I920" s="160"/>
      <c r="K920" s="160"/>
      <c r="M920" s="160"/>
    </row>
    <row r="921">
      <c r="G921" s="160"/>
      <c r="I921" s="160"/>
      <c r="K921" s="160"/>
      <c r="M921" s="160"/>
    </row>
    <row r="922">
      <c r="G922" s="160"/>
      <c r="I922" s="160"/>
      <c r="K922" s="160"/>
      <c r="M922" s="160"/>
    </row>
    <row r="923">
      <c r="G923" s="160"/>
      <c r="I923" s="160"/>
      <c r="K923" s="160"/>
      <c r="M923" s="160"/>
    </row>
    <row r="924">
      <c r="G924" s="160"/>
      <c r="I924" s="160"/>
      <c r="K924" s="160"/>
      <c r="M924" s="160"/>
    </row>
    <row r="925">
      <c r="G925" s="160"/>
      <c r="I925" s="160"/>
      <c r="K925" s="160"/>
      <c r="M925" s="160"/>
    </row>
    <row r="926">
      <c r="G926" s="160"/>
      <c r="I926" s="160"/>
      <c r="K926" s="160"/>
      <c r="M926" s="160"/>
    </row>
    <row r="927">
      <c r="G927" s="160"/>
      <c r="I927" s="160"/>
      <c r="K927" s="160"/>
      <c r="M927" s="160"/>
    </row>
    <row r="928">
      <c r="G928" s="160"/>
      <c r="I928" s="160"/>
      <c r="K928" s="160"/>
      <c r="M928" s="160"/>
    </row>
    <row r="929">
      <c r="G929" s="160"/>
      <c r="I929" s="160"/>
      <c r="K929" s="160"/>
      <c r="M929" s="160"/>
    </row>
    <row r="930">
      <c r="G930" s="160"/>
      <c r="I930" s="160"/>
      <c r="K930" s="160"/>
      <c r="M930" s="160"/>
    </row>
    <row r="931">
      <c r="G931" s="160"/>
      <c r="I931" s="160"/>
      <c r="K931" s="160"/>
      <c r="M931" s="160"/>
    </row>
    <row r="932">
      <c r="G932" s="160"/>
      <c r="I932" s="160"/>
      <c r="K932" s="160"/>
      <c r="M932" s="160"/>
    </row>
    <row r="933">
      <c r="G933" s="160"/>
      <c r="I933" s="160"/>
      <c r="K933" s="160"/>
      <c r="M933" s="160"/>
    </row>
    <row r="934">
      <c r="G934" s="160"/>
      <c r="I934" s="160"/>
      <c r="K934" s="160"/>
      <c r="M934" s="160"/>
    </row>
    <row r="935">
      <c r="G935" s="160"/>
      <c r="I935" s="160"/>
      <c r="K935" s="160"/>
      <c r="M935" s="160"/>
    </row>
    <row r="936">
      <c r="G936" s="160"/>
      <c r="I936" s="160"/>
      <c r="K936" s="160"/>
      <c r="M936" s="160"/>
    </row>
    <row r="937">
      <c r="G937" s="160"/>
      <c r="I937" s="160"/>
      <c r="K937" s="160"/>
      <c r="M937" s="160"/>
    </row>
    <row r="938">
      <c r="G938" s="160"/>
      <c r="I938" s="160"/>
      <c r="K938" s="160"/>
      <c r="M938" s="160"/>
    </row>
    <row r="939">
      <c r="G939" s="160"/>
      <c r="I939" s="160"/>
      <c r="K939" s="160"/>
      <c r="M939" s="160"/>
    </row>
    <row r="940">
      <c r="G940" s="160"/>
      <c r="I940" s="160"/>
      <c r="K940" s="160"/>
      <c r="M940" s="160"/>
    </row>
    <row r="941">
      <c r="G941" s="160"/>
      <c r="I941" s="160"/>
      <c r="K941" s="160"/>
      <c r="M941" s="160"/>
    </row>
    <row r="942">
      <c r="G942" s="160"/>
      <c r="I942" s="160"/>
      <c r="K942" s="160"/>
      <c r="M942" s="160"/>
    </row>
    <row r="943">
      <c r="G943" s="160"/>
      <c r="I943" s="160"/>
      <c r="K943" s="160"/>
      <c r="M943" s="160"/>
    </row>
    <row r="944">
      <c r="G944" s="160"/>
      <c r="I944" s="160"/>
      <c r="K944" s="160"/>
      <c r="M944" s="160"/>
    </row>
    <row r="945">
      <c r="G945" s="160"/>
      <c r="I945" s="160"/>
      <c r="K945" s="160"/>
      <c r="M945" s="160"/>
    </row>
    <row r="946">
      <c r="G946" s="160"/>
      <c r="I946" s="160"/>
      <c r="K946" s="160"/>
      <c r="M946" s="160"/>
    </row>
    <row r="947">
      <c r="G947" s="160"/>
      <c r="I947" s="160"/>
      <c r="K947" s="160"/>
      <c r="M947" s="160"/>
    </row>
    <row r="948">
      <c r="G948" s="160"/>
      <c r="I948" s="160"/>
      <c r="K948" s="160"/>
      <c r="M948" s="160"/>
    </row>
    <row r="949">
      <c r="G949" s="160"/>
      <c r="I949" s="160"/>
      <c r="K949" s="160"/>
      <c r="M949" s="160"/>
    </row>
    <row r="950">
      <c r="G950" s="160"/>
      <c r="I950" s="160"/>
      <c r="K950" s="160"/>
      <c r="M950" s="160"/>
    </row>
    <row r="951">
      <c r="G951" s="160"/>
      <c r="I951" s="160"/>
      <c r="K951" s="160"/>
      <c r="M951" s="160"/>
    </row>
    <row r="952">
      <c r="G952" s="160"/>
      <c r="I952" s="160"/>
      <c r="K952" s="160"/>
      <c r="M952" s="160"/>
    </row>
    <row r="953">
      <c r="G953" s="160"/>
      <c r="I953" s="160"/>
      <c r="K953" s="160"/>
      <c r="M953" s="160"/>
    </row>
    <row r="954">
      <c r="G954" s="160"/>
      <c r="I954" s="160"/>
      <c r="K954" s="160"/>
      <c r="M954" s="160"/>
    </row>
    <row r="955">
      <c r="G955" s="160"/>
      <c r="I955" s="160"/>
      <c r="K955" s="160"/>
      <c r="M955" s="160"/>
    </row>
    <row r="956">
      <c r="G956" s="160"/>
      <c r="I956" s="160"/>
      <c r="K956" s="160"/>
      <c r="M956" s="160"/>
    </row>
    <row r="957">
      <c r="G957" s="160"/>
      <c r="I957" s="160"/>
      <c r="K957" s="160"/>
      <c r="M957" s="160"/>
    </row>
    <row r="958">
      <c r="G958" s="160"/>
      <c r="I958" s="160"/>
      <c r="K958" s="160"/>
      <c r="M958" s="160"/>
    </row>
    <row r="959">
      <c r="G959" s="160"/>
      <c r="I959" s="160"/>
      <c r="K959" s="160"/>
      <c r="M959" s="160"/>
    </row>
    <row r="960">
      <c r="G960" s="160"/>
      <c r="I960" s="160"/>
      <c r="K960" s="160"/>
      <c r="M960" s="160"/>
    </row>
    <row r="961">
      <c r="G961" s="160"/>
      <c r="I961" s="160"/>
      <c r="K961" s="160"/>
      <c r="M961" s="160"/>
    </row>
    <row r="962">
      <c r="G962" s="160"/>
      <c r="I962" s="160"/>
      <c r="K962" s="160"/>
      <c r="M962" s="160"/>
    </row>
    <row r="963">
      <c r="G963" s="160"/>
      <c r="I963" s="160"/>
      <c r="K963" s="160"/>
      <c r="M963" s="160"/>
    </row>
    <row r="964">
      <c r="G964" s="160"/>
      <c r="I964" s="160"/>
      <c r="K964" s="160"/>
      <c r="M964" s="160"/>
    </row>
    <row r="965">
      <c r="G965" s="160"/>
      <c r="I965" s="160"/>
      <c r="K965" s="160"/>
      <c r="M965" s="160"/>
    </row>
    <row r="966">
      <c r="G966" s="160"/>
      <c r="I966" s="160"/>
      <c r="K966" s="160"/>
      <c r="M966" s="160"/>
    </row>
    <row r="967">
      <c r="G967" s="160"/>
      <c r="I967" s="160"/>
      <c r="K967" s="160"/>
      <c r="M967" s="160"/>
    </row>
    <row r="968">
      <c r="G968" s="160"/>
      <c r="I968" s="160"/>
      <c r="K968" s="160"/>
      <c r="M968" s="160"/>
    </row>
    <row r="969">
      <c r="G969" s="160"/>
      <c r="I969" s="160"/>
      <c r="K969" s="160"/>
      <c r="M969" s="160"/>
    </row>
    <row r="970">
      <c r="G970" s="160"/>
      <c r="I970" s="160"/>
      <c r="K970" s="160"/>
      <c r="M970" s="160"/>
    </row>
    <row r="971">
      <c r="G971" s="160"/>
      <c r="I971" s="160"/>
      <c r="K971" s="160"/>
      <c r="M971" s="160"/>
    </row>
    <row r="972">
      <c r="G972" s="160"/>
      <c r="I972" s="160"/>
      <c r="K972" s="160"/>
      <c r="M972" s="160"/>
    </row>
    <row r="973">
      <c r="G973" s="160"/>
      <c r="I973" s="160"/>
      <c r="K973" s="160"/>
      <c r="M973" s="160"/>
    </row>
    <row r="974">
      <c r="G974" s="160"/>
      <c r="I974" s="160"/>
      <c r="K974" s="160"/>
      <c r="M974" s="160"/>
    </row>
    <row r="975">
      <c r="G975" s="160"/>
      <c r="I975" s="160"/>
      <c r="K975" s="160"/>
      <c r="M975" s="160"/>
    </row>
    <row r="976">
      <c r="G976" s="160"/>
      <c r="I976" s="160"/>
      <c r="K976" s="160"/>
      <c r="M976" s="160"/>
    </row>
    <row r="977">
      <c r="G977" s="160"/>
      <c r="I977" s="160"/>
      <c r="K977" s="160"/>
      <c r="M977" s="160"/>
    </row>
    <row r="978">
      <c r="G978" s="160"/>
      <c r="I978" s="160"/>
      <c r="K978" s="160"/>
      <c r="M978" s="160"/>
    </row>
    <row r="979">
      <c r="G979" s="160"/>
      <c r="I979" s="160"/>
      <c r="K979" s="160"/>
      <c r="M979" s="160"/>
    </row>
    <row r="980">
      <c r="G980" s="160"/>
      <c r="I980" s="160"/>
      <c r="K980" s="160"/>
      <c r="M980" s="160"/>
    </row>
    <row r="981">
      <c r="G981" s="160"/>
      <c r="I981" s="160"/>
      <c r="K981" s="160"/>
      <c r="M981" s="160"/>
    </row>
    <row r="982">
      <c r="G982" s="160"/>
      <c r="I982" s="160"/>
      <c r="K982" s="160"/>
      <c r="M982" s="160"/>
    </row>
    <row r="983">
      <c r="G983" s="160"/>
      <c r="I983" s="160"/>
      <c r="K983" s="160"/>
      <c r="M983" s="160"/>
    </row>
    <row r="984">
      <c r="G984" s="160"/>
      <c r="I984" s="160"/>
      <c r="K984" s="160"/>
      <c r="M984" s="160"/>
    </row>
    <row r="985">
      <c r="G985" s="160"/>
      <c r="I985" s="160"/>
      <c r="K985" s="160"/>
      <c r="M985" s="160"/>
    </row>
    <row r="986">
      <c r="G986" s="160"/>
      <c r="I986" s="160"/>
      <c r="K986" s="160"/>
      <c r="M986" s="160"/>
    </row>
    <row r="987">
      <c r="G987" s="160"/>
      <c r="I987" s="160"/>
      <c r="K987" s="160"/>
      <c r="M987" s="160"/>
    </row>
    <row r="988">
      <c r="G988" s="160"/>
      <c r="I988" s="160"/>
      <c r="K988" s="160"/>
      <c r="M988" s="160"/>
    </row>
    <row r="989">
      <c r="G989" s="160"/>
      <c r="I989" s="160"/>
      <c r="K989" s="160"/>
      <c r="M989" s="160"/>
    </row>
    <row r="990">
      <c r="G990" s="160"/>
      <c r="I990" s="160"/>
      <c r="K990" s="160"/>
      <c r="M990" s="160"/>
    </row>
    <row r="991">
      <c r="G991" s="160"/>
      <c r="I991" s="160"/>
      <c r="K991" s="160"/>
      <c r="M991" s="160"/>
    </row>
    <row r="992">
      <c r="G992" s="160"/>
      <c r="I992" s="160"/>
      <c r="K992" s="160"/>
      <c r="M992" s="160"/>
    </row>
    <row r="993">
      <c r="G993" s="160"/>
      <c r="I993" s="160"/>
      <c r="K993" s="160"/>
      <c r="M993" s="160"/>
    </row>
    <row r="994">
      <c r="G994" s="160"/>
      <c r="I994" s="160"/>
      <c r="K994" s="160"/>
      <c r="M994" s="160"/>
    </row>
    <row r="995">
      <c r="G995" s="160"/>
      <c r="I995" s="160"/>
      <c r="K995" s="160"/>
      <c r="M995" s="160"/>
    </row>
    <row r="996">
      <c r="G996" s="160"/>
      <c r="I996" s="160"/>
      <c r="K996" s="160"/>
      <c r="M996" s="160"/>
    </row>
    <row r="997">
      <c r="G997" s="160"/>
      <c r="I997" s="160"/>
      <c r="K997" s="160"/>
      <c r="M997" s="160"/>
    </row>
  </sheetData>
  <dataValidations>
    <dataValidation type="list" allowBlank="1" showErrorMessage="1" sqref="D2:D49">
      <formula1>registered_organizations!$B$2:$B$8</formula1>
    </dataValidation>
    <dataValidation type="list" allowBlank="1" showErrorMessage="1" sqref="C2:C49">
      <formula1>"1-All CRG Users,2--Registered Organziations,3-Specific"</formula1>
    </dataValidation>
    <dataValidation type="list" allowBlank="1" showErrorMessage="1" sqref="F2:F49 H2:H49 J2:J49 L2:L49 N2:N49 P2:P49">
      <formula1>"boldfirst,bold,italic,bullet,#B8001F,#006B84"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7.63"/>
    <col customWidth="1" min="3" max="3" width="5.13"/>
    <col customWidth="1" min="4" max="4" width="6.5"/>
    <col customWidth="1" min="5" max="5" width="5.0"/>
    <col customWidth="1" min="6" max="7" width="5.13"/>
    <col customWidth="1" min="8" max="8" width="5.88"/>
    <col customWidth="1" min="9" max="9" width="5.5"/>
    <col customWidth="1" min="10" max="10" width="4.75"/>
  </cols>
  <sheetData>
    <row r="1">
      <c r="A1" s="162"/>
      <c r="B1" s="162"/>
    </row>
    <row r="2">
      <c r="A2" s="163" t="s">
        <v>5765</v>
      </c>
      <c r="B2" s="162"/>
      <c r="D2" s="161" t="s">
        <v>266</v>
      </c>
    </row>
    <row r="3">
      <c r="A3" s="163" t="s">
        <v>4117</v>
      </c>
      <c r="B3" s="162"/>
      <c r="D3" s="161" t="s">
        <v>5834</v>
      </c>
    </row>
    <row r="4">
      <c r="A4" s="163" t="s">
        <v>1175</v>
      </c>
      <c r="B4" s="162"/>
      <c r="D4" s="161" t="s">
        <v>5835</v>
      </c>
    </row>
    <row r="5">
      <c r="A5" s="163" t="s">
        <v>253</v>
      </c>
      <c r="B5" s="162"/>
      <c r="D5" s="161" t="s">
        <v>234</v>
      </c>
    </row>
    <row r="6">
      <c r="A6" s="164" t="s">
        <v>5836</v>
      </c>
      <c r="B6" s="162"/>
      <c r="D6" s="161" t="s">
        <v>280</v>
      </c>
    </row>
    <row r="7">
      <c r="A7" s="164" t="s">
        <v>4700</v>
      </c>
      <c r="B7" s="162"/>
      <c r="D7" s="161" t="s">
        <v>5837</v>
      </c>
    </row>
    <row r="8">
      <c r="A8" s="165"/>
      <c r="B8" s="162"/>
    </row>
    <row r="9">
      <c r="A9" s="166"/>
      <c r="B9" s="165"/>
      <c r="D9" s="161" t="str">
        <f t="array" ref="D9">textjoin(", ",true,sort(unique(A9:A740)))</f>
        <v>77423, 77445, 77446, 77466, 77484, 77492</v>
      </c>
    </row>
    <row r="10">
      <c r="A10" s="167" t="s">
        <v>112</v>
      </c>
      <c r="B10" s="168" t="str">
        <f t="array" ref="B10:B16">sort(unique(A10:A740))</f>
        <v>77423</v>
      </c>
    </row>
    <row r="11">
      <c r="A11" s="165" t="s">
        <v>139</v>
      </c>
      <c r="B11" s="169" t="s">
        <v>139</v>
      </c>
    </row>
    <row r="12">
      <c r="A12" s="165" t="s">
        <v>5426</v>
      </c>
      <c r="B12" s="169" t="s">
        <v>5426</v>
      </c>
    </row>
    <row r="13">
      <c r="A13" s="165" t="s">
        <v>5460</v>
      </c>
      <c r="B13" s="169" t="s">
        <v>5460</v>
      </c>
    </row>
    <row r="14">
      <c r="A14" s="165" t="s">
        <v>4701</v>
      </c>
      <c r="B14" s="169" t="s">
        <v>4701</v>
      </c>
      <c r="D14" s="170"/>
    </row>
    <row r="15">
      <c r="A15" s="165" t="s">
        <v>5514</v>
      </c>
      <c r="B15" s="169" t="s">
        <v>5514</v>
      </c>
    </row>
    <row r="16">
      <c r="A16" s="165"/>
      <c r="B16" s="169"/>
    </row>
    <row r="17">
      <c r="A17" s="165"/>
      <c r="B17" s="169"/>
    </row>
    <row r="18">
      <c r="A18" s="165"/>
      <c r="B18" s="169"/>
      <c r="G18" s="171"/>
    </row>
    <row r="19">
      <c r="A19" s="165"/>
      <c r="B19" s="169"/>
    </row>
    <row r="20">
      <c r="A20" s="165"/>
      <c r="B20" s="169"/>
    </row>
    <row r="21">
      <c r="A21" s="165"/>
      <c r="B21" s="169"/>
    </row>
    <row r="22">
      <c r="A22" s="165"/>
      <c r="B22" s="169"/>
    </row>
    <row r="23">
      <c r="A23" s="165"/>
      <c r="B23" s="169"/>
    </row>
    <row r="24">
      <c r="A24" s="165"/>
      <c r="B24" s="165"/>
    </row>
    <row r="25">
      <c r="A25" s="165"/>
      <c r="B25" s="165"/>
    </row>
    <row r="26">
      <c r="A26" s="165"/>
      <c r="B26" s="165"/>
      <c r="D26" s="172"/>
      <c r="E26" s="172"/>
      <c r="F26" s="172"/>
      <c r="G26" s="172"/>
    </row>
    <row r="27">
      <c r="A27" s="165"/>
      <c r="B27" s="173"/>
      <c r="C27" s="174"/>
      <c r="D27" s="174" t="str">
        <f t="array" ref="D27">textjoin(", ",true,sort(unique(D2:D4)))</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77422, 77480, 77486, 77511, 77515, 77516, 77531, 77534, 77539, 77541, 77566, 77578, 77510, 77517, 77518, 77549, 77550, 77551, 77552, 77553, 77554, 77555, 77563, 77565, 77568, 77573, 77590, 77591</v>
      </c>
      <c r="E27" s="174"/>
      <c r="F27" s="174"/>
      <c r="G27" s="174"/>
    </row>
    <row r="28">
      <c r="A28" s="165"/>
      <c r="B28" s="175"/>
      <c r="C28" s="176"/>
      <c r="D28" s="176"/>
      <c r="E28" s="176"/>
      <c r="F28" s="176"/>
      <c r="G28" s="176"/>
      <c r="H28" s="177"/>
      <c r="I28" s="178"/>
    </row>
    <row r="29">
      <c r="A29" s="165"/>
      <c r="B29" s="175"/>
      <c r="C29" s="176"/>
      <c r="D29" s="176"/>
      <c r="E29" s="176"/>
      <c r="F29" s="176"/>
      <c r="G29" s="176"/>
      <c r="H29" s="177"/>
      <c r="I29" s="177"/>
    </row>
    <row r="30">
      <c r="A30" s="165"/>
      <c r="B30" s="165"/>
      <c r="C30" s="179"/>
      <c r="D30" s="179"/>
      <c r="E30" s="179"/>
      <c r="F30" s="179"/>
      <c r="G30" s="179"/>
      <c r="H30" s="180"/>
      <c r="I30" s="180"/>
    </row>
    <row r="31">
      <c r="A31" s="165"/>
      <c r="B31" s="165"/>
      <c r="D31" s="161" t="s">
        <v>266</v>
      </c>
    </row>
    <row r="32">
      <c r="A32" s="165"/>
      <c r="B32" s="165"/>
      <c r="D32" s="161" t="s">
        <v>280</v>
      </c>
    </row>
    <row r="33">
      <c r="A33" s="165"/>
      <c r="B33" s="181"/>
      <c r="C33" s="172"/>
      <c r="D33" s="161" t="s">
        <v>5837</v>
      </c>
      <c r="E33" s="172"/>
      <c r="F33" s="172"/>
      <c r="G33" s="172"/>
    </row>
    <row r="34">
      <c r="A34" s="165"/>
      <c r="B34" s="175"/>
      <c r="C34" s="176"/>
      <c r="D34" s="176"/>
      <c r="E34" s="176"/>
      <c r="F34" s="176"/>
      <c r="G34" s="176"/>
      <c r="H34" s="177"/>
      <c r="I34" s="178"/>
    </row>
    <row r="35">
      <c r="A35" s="165"/>
      <c r="B35" s="175"/>
      <c r="C35" s="176"/>
      <c r="D35" s="174" t="str">
        <f t="array" ref="D35">textjoin(", ",true,sort(unique(D31:D33)))</f>
        <v>77002, 77003, 77004, 77005, 77006, 77007, 77008, 77009, 77010, 77011, 77012, 77013, 77014, 77015, 77016, 77017, 77018, 77019, 77020, 77021, 77022, 77023, 77024, 77025, 77026, 77027, 77028, 77029, 77030, 77031, 77032, 77033, 77034, 77035, 77036, 77037, 77038, 77039, 77040, 77041, 77042, 77043, 77044, 77045, 77046, 77047, 77048, 77049, 77050, 77051, 77054, 77055, 77056, 77057, 77058, 77059, 77060, 77061, 77062, 77063, 77064, 77065, 77066, 77067, 77068, 77069, 77070, 77071, 77072, 77073, 77074, 77075, 77076, 77077, 77078, 77079, 77080, 77081, 77082, 77083, 77084, 77085, 77086, 77087, 77088, 77089, 77090, 77091, 77092, 77093, 77094, 77095, 77096, 77098, 77099, 77210, 77231, 77242, 77257, 77277, 77279, 77336, 77338, 77339, 77345, 77346, 77347, 77357, 77365, 77373, 77375, 77377, 77379, 77383, 77387, 77388, 77389, 77393, 77396, 77401, 77410, 77429, 77433, 77447, 77449, 77450, 77493, 77501, 77502, 77503, 77504, 77505, 77506, 77507, 77508, 77520, 77521, 77530, 77532, 77535, 77536, 77546, 77547, 77562, 77571, 77581, 77586, 77587, 77598, 77053, 77406, 77407, 77417, 77430, 77441, 77444, 77451, 77459, 77461, 77464, 77469, 77471, 77476, 77477, 77478, 77479, 77481, 77485, 77487, 77489, 77494, 77496, 77498, 77545, 77583, 77584, 77423, 77445, 77446, 77466, 77484, 77492</v>
      </c>
      <c r="E35" s="176"/>
      <c r="F35" s="176"/>
      <c r="G35" s="176"/>
      <c r="H35" s="177"/>
      <c r="I35" s="177"/>
    </row>
    <row r="36">
      <c r="A36" s="165"/>
      <c r="B36" s="165"/>
      <c r="C36" s="179"/>
      <c r="D36" s="179"/>
      <c r="E36" s="179"/>
      <c r="F36" s="179"/>
      <c r="G36" s="179"/>
      <c r="H36" s="180"/>
      <c r="I36" s="180"/>
    </row>
    <row r="37">
      <c r="A37" s="165"/>
      <c r="B37" s="165"/>
    </row>
    <row r="38">
      <c r="A38" s="165"/>
      <c r="B38" s="165"/>
      <c r="C38" s="165"/>
      <c r="D38" s="165"/>
      <c r="E38" s="165"/>
      <c r="F38" s="165"/>
      <c r="G38" s="165"/>
    </row>
    <row r="39">
      <c r="A39" s="165"/>
      <c r="B39" s="165"/>
      <c r="C39" s="165"/>
      <c r="D39" s="165"/>
      <c r="E39" s="165"/>
      <c r="F39" s="165"/>
      <c r="G39" s="165"/>
    </row>
    <row r="40">
      <c r="A40" s="165"/>
      <c r="B40" s="165"/>
    </row>
    <row r="41">
      <c r="A41" s="165"/>
      <c r="B41" s="165"/>
    </row>
    <row r="42">
      <c r="A42" s="165"/>
      <c r="B42" s="165"/>
      <c r="D42" s="174"/>
    </row>
    <row r="43">
      <c r="A43" s="165"/>
      <c r="B43" s="165"/>
    </row>
    <row r="44">
      <c r="A44" s="165"/>
      <c r="B44" s="165"/>
    </row>
    <row r="45">
      <c r="A45" s="165"/>
      <c r="B45" s="165"/>
    </row>
    <row r="46">
      <c r="A46" s="165"/>
      <c r="B46" s="165"/>
    </row>
    <row r="47">
      <c r="A47" s="165"/>
      <c r="B47" s="165"/>
    </row>
    <row r="48">
      <c r="A48" s="165"/>
      <c r="B48" s="165"/>
    </row>
    <row r="49">
      <c r="A49" s="165"/>
      <c r="B49" s="165"/>
    </row>
    <row r="50">
      <c r="A50" s="165"/>
      <c r="B50" s="165"/>
    </row>
    <row r="51">
      <c r="A51" s="165"/>
      <c r="B51" s="165"/>
    </row>
    <row r="52">
      <c r="A52" s="165"/>
      <c r="B52" s="165"/>
    </row>
    <row r="53">
      <c r="A53" s="165"/>
      <c r="B53" s="165"/>
    </row>
    <row r="54">
      <c r="A54" s="165"/>
      <c r="B54" s="165"/>
    </row>
    <row r="55">
      <c r="A55" s="165"/>
      <c r="B55" s="165"/>
    </row>
    <row r="56">
      <c r="A56" s="165"/>
      <c r="B56" s="165"/>
    </row>
    <row r="57">
      <c r="A57" s="165"/>
      <c r="B57" s="165"/>
    </row>
    <row r="58">
      <c r="A58" s="165"/>
      <c r="B58" s="165"/>
    </row>
    <row r="59">
      <c r="A59" s="165"/>
      <c r="B59" s="165"/>
    </row>
    <row r="60">
      <c r="A60" s="165"/>
      <c r="B60" s="165"/>
    </row>
    <row r="61">
      <c r="A61" s="165"/>
      <c r="B61" s="165"/>
    </row>
    <row r="62">
      <c r="A62" s="165"/>
      <c r="B62" s="165"/>
    </row>
    <row r="63">
      <c r="A63" s="165"/>
      <c r="B63" s="165"/>
    </row>
    <row r="64">
      <c r="A64" s="165"/>
      <c r="B64" s="165"/>
    </row>
    <row r="65">
      <c r="A65" s="165"/>
      <c r="B65" s="165"/>
    </row>
    <row r="66">
      <c r="A66" s="165"/>
      <c r="B66" s="165"/>
    </row>
    <row r="67">
      <c r="A67" s="165"/>
      <c r="B67" s="165"/>
    </row>
    <row r="68">
      <c r="A68" s="165"/>
      <c r="B68" s="165"/>
    </row>
    <row r="69">
      <c r="A69" s="165"/>
      <c r="B69" s="165"/>
    </row>
    <row r="70">
      <c r="A70" s="165"/>
      <c r="B70" s="165"/>
    </row>
    <row r="71">
      <c r="A71" s="165"/>
      <c r="B71" s="165"/>
    </row>
    <row r="72">
      <c r="A72" s="165"/>
      <c r="B72" s="165"/>
    </row>
    <row r="73">
      <c r="A73" s="165"/>
      <c r="B73" s="165"/>
    </row>
    <row r="74">
      <c r="A74" s="165"/>
      <c r="B74" s="169"/>
    </row>
    <row r="75">
      <c r="A75" s="165"/>
      <c r="B75" s="165"/>
    </row>
    <row r="76">
      <c r="A76" s="165"/>
      <c r="B76" s="165"/>
    </row>
    <row r="77">
      <c r="A77" s="165"/>
      <c r="B77" s="165"/>
    </row>
    <row r="78">
      <c r="A78" s="165"/>
      <c r="B78" s="165"/>
    </row>
    <row r="79">
      <c r="A79" s="165"/>
      <c r="B79" s="165"/>
    </row>
    <row r="80">
      <c r="A80" s="165"/>
      <c r="B80" s="165"/>
    </row>
    <row r="81">
      <c r="A81" s="165"/>
      <c r="B81" s="165"/>
    </row>
    <row r="82">
      <c r="A82" s="165"/>
      <c r="B82" s="165"/>
    </row>
    <row r="83">
      <c r="A83" s="165"/>
      <c r="B83" s="165"/>
    </row>
    <row r="84">
      <c r="A84" s="165"/>
      <c r="B84" s="165"/>
    </row>
    <row r="85">
      <c r="A85" s="165"/>
      <c r="B85" s="165"/>
    </row>
    <row r="86">
      <c r="A86" s="165"/>
      <c r="B86" s="165"/>
    </row>
    <row r="87">
      <c r="A87" s="165"/>
      <c r="B87" s="165"/>
    </row>
    <row r="88">
      <c r="A88" s="165"/>
      <c r="B88" s="165"/>
    </row>
    <row r="89">
      <c r="A89" s="165"/>
      <c r="B89" s="165"/>
    </row>
    <row r="90">
      <c r="A90" s="165"/>
      <c r="B90" s="165"/>
    </row>
    <row r="91">
      <c r="A91" s="165"/>
      <c r="B91" s="165"/>
    </row>
    <row r="92">
      <c r="A92" s="165"/>
      <c r="B92" s="165"/>
    </row>
    <row r="93">
      <c r="A93" s="165"/>
      <c r="B93" s="165"/>
    </row>
    <row r="94">
      <c r="A94" s="165"/>
      <c r="B94" s="165"/>
    </row>
    <row r="95">
      <c r="A95" s="165"/>
      <c r="B95" s="165"/>
    </row>
    <row r="96">
      <c r="A96" s="165"/>
      <c r="B96" s="165"/>
    </row>
    <row r="97">
      <c r="A97" s="165"/>
      <c r="B97" s="165"/>
    </row>
    <row r="98">
      <c r="A98" s="165"/>
      <c r="B98" s="165"/>
    </row>
    <row r="99">
      <c r="A99" s="165"/>
      <c r="B99" s="165"/>
    </row>
    <row r="100">
      <c r="A100" s="182"/>
      <c r="B100" s="168"/>
    </row>
    <row r="101">
      <c r="A101" s="165"/>
      <c r="B101" s="165"/>
    </row>
    <row r="102">
      <c r="A102" s="165"/>
      <c r="B102" s="165"/>
    </row>
    <row r="103">
      <c r="A103" s="165"/>
      <c r="B103" s="165"/>
    </row>
    <row r="104">
      <c r="A104" s="165"/>
      <c r="B104" s="165"/>
    </row>
    <row r="105">
      <c r="A105" s="165"/>
      <c r="B105" s="165"/>
    </row>
    <row r="106">
      <c r="A106" s="165"/>
      <c r="B106" s="165"/>
    </row>
    <row r="107">
      <c r="A107" s="165"/>
      <c r="B107" s="165"/>
    </row>
    <row r="108">
      <c r="A108" s="165"/>
      <c r="B108" s="165"/>
    </row>
    <row r="109">
      <c r="A109" s="165"/>
      <c r="B109" s="165"/>
    </row>
    <row r="110">
      <c r="A110" s="165"/>
      <c r="B110" s="165"/>
    </row>
    <row r="111">
      <c r="A111" s="165"/>
      <c r="B111" s="165"/>
    </row>
    <row r="112">
      <c r="A112" s="165"/>
      <c r="B112" s="165"/>
    </row>
    <row r="113">
      <c r="A113" s="165"/>
      <c r="B113" s="165"/>
    </row>
    <row r="114">
      <c r="A114" s="165"/>
      <c r="B114" s="165"/>
    </row>
    <row r="115">
      <c r="A115" s="165"/>
      <c r="B115" s="165"/>
    </row>
    <row r="116">
      <c r="A116" s="165"/>
      <c r="B116" s="165"/>
    </row>
    <row r="117">
      <c r="A117" s="165"/>
      <c r="B117" s="165"/>
    </row>
    <row r="118">
      <c r="A118" s="165"/>
      <c r="B118" s="165"/>
    </row>
    <row r="119">
      <c r="A119" s="182"/>
      <c r="B119" s="168"/>
    </row>
    <row r="120">
      <c r="A120" s="165"/>
      <c r="B120" s="165"/>
    </row>
    <row r="121">
      <c r="A121" s="165"/>
      <c r="B121" s="169"/>
    </row>
    <row r="122">
      <c r="A122" s="165"/>
      <c r="B122" s="165"/>
    </row>
    <row r="123">
      <c r="A123" s="165"/>
      <c r="B123" s="165"/>
    </row>
    <row r="124">
      <c r="A124" s="165"/>
      <c r="B124" s="165"/>
    </row>
    <row r="125">
      <c r="A125" s="165"/>
      <c r="B125" s="169"/>
    </row>
    <row r="126">
      <c r="A126" s="165"/>
      <c r="B126" s="165"/>
    </row>
    <row r="127">
      <c r="A127" s="165"/>
      <c r="B127" s="165"/>
    </row>
    <row r="128">
      <c r="A128" s="165"/>
      <c r="B128" s="165"/>
    </row>
    <row r="129">
      <c r="A129" s="165"/>
      <c r="B129" s="165"/>
    </row>
    <row r="130">
      <c r="A130" s="165"/>
      <c r="B130" s="165"/>
    </row>
    <row r="131">
      <c r="A131" s="165"/>
      <c r="B131" s="165"/>
    </row>
    <row r="132">
      <c r="A132" s="165"/>
      <c r="B132" s="165"/>
    </row>
    <row r="133">
      <c r="A133" s="165"/>
      <c r="B133" s="165"/>
    </row>
    <row r="134">
      <c r="A134" s="165"/>
      <c r="B134" s="165"/>
    </row>
    <row r="135">
      <c r="A135" s="165"/>
      <c r="B135" s="165"/>
    </row>
    <row r="136">
      <c r="A136" s="165"/>
      <c r="B136" s="165"/>
    </row>
    <row r="137">
      <c r="A137" s="165"/>
      <c r="B137" s="165"/>
    </row>
    <row r="138">
      <c r="A138" s="165"/>
      <c r="B138" s="165"/>
    </row>
    <row r="139">
      <c r="A139" s="165"/>
      <c r="B139" s="165"/>
    </row>
    <row r="140">
      <c r="A140" s="165"/>
      <c r="B140" s="165"/>
    </row>
    <row r="141">
      <c r="A141" s="165"/>
      <c r="B141" s="165"/>
    </row>
    <row r="142">
      <c r="A142" s="165"/>
      <c r="B142" s="165"/>
    </row>
    <row r="143">
      <c r="A143" s="165"/>
      <c r="B143" s="165"/>
    </row>
    <row r="144">
      <c r="A144" s="165"/>
      <c r="B144" s="165"/>
    </row>
    <row r="145">
      <c r="A145" s="165"/>
      <c r="B145" s="165"/>
    </row>
    <row r="146">
      <c r="A146" s="165"/>
      <c r="B146" s="165"/>
    </row>
    <row r="147">
      <c r="A147" s="165"/>
      <c r="B147" s="165"/>
    </row>
    <row r="148">
      <c r="A148" s="165"/>
      <c r="B148" s="165"/>
    </row>
    <row r="149">
      <c r="A149" s="165"/>
      <c r="B149" s="165"/>
    </row>
    <row r="150">
      <c r="A150" s="165"/>
      <c r="B150" s="165"/>
    </row>
    <row r="151">
      <c r="A151" s="165"/>
      <c r="B151" s="165"/>
    </row>
    <row r="152">
      <c r="A152" s="162"/>
      <c r="B152" s="162"/>
    </row>
    <row r="153">
      <c r="A153" s="162"/>
      <c r="B153" s="162"/>
    </row>
    <row r="154">
      <c r="A154" s="162"/>
      <c r="B154" s="162"/>
    </row>
    <row r="155">
      <c r="A155" s="162"/>
      <c r="B155" s="162"/>
    </row>
    <row r="156">
      <c r="A156" s="162"/>
      <c r="B156" s="162"/>
    </row>
    <row r="157">
      <c r="A157" s="162"/>
      <c r="B157" s="162"/>
    </row>
    <row r="158">
      <c r="A158" s="162"/>
      <c r="B158" s="162"/>
    </row>
    <row r="159">
      <c r="A159" s="162"/>
      <c r="B159" s="162"/>
    </row>
    <row r="160">
      <c r="A160" s="162"/>
      <c r="B160" s="162"/>
    </row>
    <row r="161">
      <c r="A161" s="162"/>
      <c r="B161" s="162"/>
    </row>
    <row r="162">
      <c r="A162" s="162"/>
      <c r="B162" s="162"/>
    </row>
    <row r="163">
      <c r="A163" s="162"/>
      <c r="B163" s="162"/>
    </row>
    <row r="164">
      <c r="A164" s="162"/>
      <c r="B164" s="162"/>
    </row>
    <row r="165">
      <c r="A165" s="162"/>
      <c r="B165" s="162"/>
    </row>
    <row r="166">
      <c r="A166" s="162"/>
      <c r="B166" s="162"/>
    </row>
    <row r="167">
      <c r="A167" s="162"/>
      <c r="B167" s="162"/>
    </row>
    <row r="168">
      <c r="A168" s="162"/>
      <c r="B168" s="162"/>
    </row>
    <row r="169">
      <c r="A169" s="162"/>
      <c r="B169" s="162"/>
    </row>
    <row r="170">
      <c r="A170" s="162"/>
      <c r="B170" s="162"/>
    </row>
    <row r="171">
      <c r="A171" s="162"/>
      <c r="B171" s="162"/>
    </row>
    <row r="172">
      <c r="A172" s="162"/>
      <c r="B172" s="162"/>
    </row>
    <row r="173">
      <c r="A173" s="162"/>
      <c r="B173" s="162"/>
    </row>
    <row r="174">
      <c r="A174" s="162"/>
      <c r="B174" s="162"/>
    </row>
    <row r="175">
      <c r="A175" s="162"/>
      <c r="B175" s="162"/>
    </row>
    <row r="176">
      <c r="A176" s="162"/>
      <c r="B176" s="162"/>
    </row>
    <row r="177">
      <c r="A177" s="162"/>
      <c r="B177" s="162"/>
    </row>
    <row r="178">
      <c r="A178" s="162"/>
      <c r="B178" s="162"/>
    </row>
    <row r="179">
      <c r="A179" s="162"/>
      <c r="B179" s="162"/>
    </row>
    <row r="180">
      <c r="A180" s="162"/>
      <c r="B180" s="162"/>
    </row>
    <row r="181">
      <c r="A181" s="162"/>
      <c r="B181" s="162"/>
    </row>
    <row r="182">
      <c r="A182" s="162"/>
      <c r="B182" s="162"/>
    </row>
    <row r="183">
      <c r="A183" s="162"/>
      <c r="B183" s="162"/>
    </row>
    <row r="184">
      <c r="A184" s="162"/>
      <c r="B184" s="162"/>
    </row>
    <row r="185">
      <c r="A185" s="162"/>
      <c r="B185" s="162"/>
    </row>
    <row r="186">
      <c r="A186" s="162"/>
      <c r="B186" s="162"/>
    </row>
    <row r="187">
      <c r="A187" s="162"/>
      <c r="B187" s="162"/>
    </row>
    <row r="188">
      <c r="A188" s="162"/>
      <c r="B188" s="162"/>
    </row>
    <row r="189">
      <c r="A189" s="162"/>
      <c r="B189" s="162"/>
    </row>
    <row r="190">
      <c r="A190" s="162"/>
      <c r="B190" s="162"/>
    </row>
    <row r="191">
      <c r="A191" s="162"/>
      <c r="B191" s="162"/>
    </row>
    <row r="192">
      <c r="A192" s="162"/>
      <c r="B192" s="162"/>
    </row>
    <row r="193">
      <c r="A193" s="162"/>
      <c r="B193" s="162"/>
    </row>
    <row r="194">
      <c r="A194" s="162"/>
      <c r="B194" s="162"/>
    </row>
    <row r="195">
      <c r="A195" s="162"/>
      <c r="B195" s="162"/>
    </row>
    <row r="196">
      <c r="A196" s="162"/>
      <c r="B196" s="162"/>
    </row>
    <row r="197">
      <c r="A197" s="162"/>
      <c r="B197" s="162"/>
    </row>
    <row r="198">
      <c r="A198" s="162"/>
      <c r="B198" s="162"/>
    </row>
    <row r="199">
      <c r="A199" s="162"/>
      <c r="B199" s="162"/>
    </row>
    <row r="200">
      <c r="A200" s="162"/>
      <c r="B200" s="162"/>
    </row>
    <row r="201">
      <c r="A201" s="162"/>
      <c r="B201" s="162"/>
    </row>
    <row r="202">
      <c r="A202" s="162"/>
      <c r="B202" s="162"/>
    </row>
    <row r="203">
      <c r="A203" s="162"/>
      <c r="B203" s="162"/>
    </row>
    <row r="204">
      <c r="A204" s="162"/>
      <c r="B204" s="162"/>
    </row>
    <row r="205">
      <c r="A205" s="162"/>
      <c r="B205" s="162"/>
    </row>
    <row r="206">
      <c r="A206" s="162"/>
      <c r="B206" s="162"/>
    </row>
    <row r="207">
      <c r="A207" s="162"/>
      <c r="B207" s="162"/>
    </row>
    <row r="208">
      <c r="A208" s="162"/>
      <c r="B208" s="162"/>
    </row>
    <row r="209">
      <c r="A209" s="162"/>
      <c r="B209" s="162"/>
    </row>
    <row r="210">
      <c r="A210" s="162"/>
      <c r="B210" s="162"/>
    </row>
    <row r="211">
      <c r="A211" s="162"/>
      <c r="B211" s="162"/>
    </row>
    <row r="212">
      <c r="A212" s="162"/>
      <c r="B212" s="162"/>
    </row>
    <row r="213">
      <c r="A213" s="162"/>
      <c r="B213" s="162"/>
    </row>
    <row r="214">
      <c r="A214" s="162"/>
      <c r="B214" s="162"/>
    </row>
    <row r="215">
      <c r="A215" s="162"/>
      <c r="B215" s="162"/>
    </row>
    <row r="216">
      <c r="A216" s="162"/>
      <c r="B216" s="162"/>
    </row>
    <row r="217">
      <c r="A217" s="162"/>
      <c r="B217" s="162"/>
    </row>
    <row r="218">
      <c r="A218" s="162"/>
      <c r="B218" s="162"/>
    </row>
    <row r="219">
      <c r="A219" s="162"/>
      <c r="B219" s="162"/>
    </row>
    <row r="220">
      <c r="A220" s="162"/>
      <c r="B220" s="162"/>
    </row>
    <row r="221">
      <c r="A221" s="162"/>
      <c r="B221" s="162"/>
    </row>
    <row r="222">
      <c r="A222" s="162"/>
      <c r="B222" s="162"/>
    </row>
    <row r="223">
      <c r="A223" s="162"/>
      <c r="B223" s="162"/>
    </row>
    <row r="224">
      <c r="A224" s="162"/>
      <c r="B224" s="162"/>
    </row>
    <row r="225">
      <c r="A225" s="162"/>
      <c r="B225" s="162"/>
    </row>
    <row r="226">
      <c r="A226" s="162"/>
      <c r="B226" s="162"/>
    </row>
    <row r="227">
      <c r="A227" s="162"/>
      <c r="B227" s="162"/>
    </row>
    <row r="228">
      <c r="A228" s="162"/>
      <c r="B228" s="162"/>
    </row>
    <row r="229">
      <c r="A229" s="162"/>
      <c r="B229" s="162"/>
    </row>
    <row r="230">
      <c r="A230" s="162"/>
      <c r="B230" s="162"/>
    </row>
    <row r="231">
      <c r="A231" s="162"/>
      <c r="B231" s="162"/>
    </row>
    <row r="232">
      <c r="A232" s="162"/>
      <c r="B232" s="162"/>
    </row>
    <row r="233">
      <c r="A233" s="162"/>
      <c r="B233" s="162"/>
    </row>
    <row r="234">
      <c r="A234" s="162"/>
      <c r="B234" s="162"/>
    </row>
    <row r="235">
      <c r="A235" s="162"/>
      <c r="B235" s="162"/>
    </row>
    <row r="236">
      <c r="A236" s="162"/>
      <c r="B236" s="162"/>
    </row>
    <row r="237">
      <c r="A237" s="162"/>
      <c r="B237" s="162"/>
    </row>
    <row r="238">
      <c r="A238" s="162"/>
      <c r="B238" s="162"/>
    </row>
    <row r="239">
      <c r="A239" s="162"/>
      <c r="B239" s="162"/>
    </row>
    <row r="240">
      <c r="A240" s="162"/>
      <c r="B240" s="162"/>
    </row>
    <row r="241">
      <c r="A241" s="162"/>
      <c r="B241" s="162"/>
    </row>
    <row r="242">
      <c r="A242" s="162"/>
      <c r="B242" s="162"/>
    </row>
    <row r="243">
      <c r="A243" s="162"/>
      <c r="B243" s="162"/>
    </row>
    <row r="244">
      <c r="A244" s="162"/>
      <c r="B244" s="162"/>
    </row>
    <row r="245">
      <c r="A245" s="162"/>
      <c r="B245" s="162"/>
    </row>
    <row r="246">
      <c r="A246" s="162"/>
      <c r="B246" s="162"/>
    </row>
    <row r="247">
      <c r="A247" s="162"/>
      <c r="B247" s="162"/>
    </row>
    <row r="248">
      <c r="A248" s="162"/>
      <c r="B248" s="162"/>
    </row>
    <row r="249">
      <c r="A249" s="162"/>
      <c r="B249" s="162"/>
    </row>
    <row r="250">
      <c r="A250" s="162"/>
      <c r="B250" s="162"/>
    </row>
    <row r="251">
      <c r="A251" s="162"/>
      <c r="B251" s="162"/>
    </row>
    <row r="252">
      <c r="A252" s="162"/>
      <c r="B252" s="162"/>
    </row>
    <row r="253">
      <c r="A253" s="162"/>
      <c r="B253" s="162"/>
    </row>
    <row r="254">
      <c r="A254" s="162"/>
      <c r="B254" s="162"/>
    </row>
    <row r="255">
      <c r="A255" s="162"/>
      <c r="B255" s="162"/>
    </row>
    <row r="256">
      <c r="A256" s="162"/>
      <c r="B256" s="162"/>
    </row>
    <row r="257">
      <c r="A257" s="162"/>
      <c r="B257" s="162"/>
    </row>
    <row r="258">
      <c r="A258" s="162"/>
      <c r="B258" s="162"/>
    </row>
    <row r="259">
      <c r="A259" s="162"/>
      <c r="B259" s="162"/>
    </row>
    <row r="260">
      <c r="A260" s="162"/>
      <c r="B260" s="162"/>
    </row>
    <row r="261">
      <c r="A261" s="162"/>
      <c r="B261" s="162"/>
    </row>
    <row r="262">
      <c r="A262" s="162"/>
      <c r="B262" s="162"/>
    </row>
    <row r="263">
      <c r="A263" s="162"/>
      <c r="B263" s="162"/>
    </row>
    <row r="264">
      <c r="A264" s="162"/>
      <c r="B264" s="162"/>
    </row>
    <row r="265">
      <c r="A265" s="162"/>
      <c r="B265" s="162"/>
    </row>
    <row r="266">
      <c r="A266" s="162"/>
      <c r="B266" s="162"/>
    </row>
    <row r="267">
      <c r="A267" s="162"/>
      <c r="B267" s="162"/>
    </row>
    <row r="268">
      <c r="A268" s="162"/>
      <c r="B268" s="162"/>
    </row>
    <row r="269">
      <c r="A269" s="162"/>
      <c r="B269" s="162"/>
    </row>
    <row r="270">
      <c r="A270" s="162"/>
      <c r="B270" s="162"/>
    </row>
    <row r="271">
      <c r="A271" s="162"/>
      <c r="B271" s="162"/>
    </row>
    <row r="272">
      <c r="A272" s="162"/>
      <c r="B272" s="162"/>
    </row>
    <row r="273">
      <c r="A273" s="162"/>
      <c r="B273" s="162"/>
    </row>
    <row r="274">
      <c r="A274" s="162"/>
      <c r="B274" s="162"/>
    </row>
    <row r="275">
      <c r="A275" s="162"/>
      <c r="B275" s="162"/>
    </row>
    <row r="276">
      <c r="A276" s="162"/>
      <c r="B276" s="162"/>
    </row>
    <row r="277">
      <c r="A277" s="162"/>
      <c r="B277" s="162"/>
    </row>
    <row r="278">
      <c r="A278" s="162"/>
      <c r="B278" s="162"/>
    </row>
    <row r="279">
      <c r="A279" s="162"/>
      <c r="B279" s="162"/>
    </row>
    <row r="280">
      <c r="A280" s="162"/>
      <c r="B280" s="162"/>
    </row>
    <row r="281">
      <c r="A281" s="162"/>
      <c r="B281" s="162"/>
    </row>
    <row r="282">
      <c r="A282" s="162"/>
      <c r="B282" s="162"/>
    </row>
    <row r="283">
      <c r="A283" s="162"/>
      <c r="B283" s="162"/>
    </row>
    <row r="284">
      <c r="A284" s="162"/>
      <c r="B284" s="162"/>
    </row>
    <row r="285">
      <c r="A285" s="162"/>
      <c r="B285" s="162"/>
    </row>
    <row r="286">
      <c r="A286" s="162"/>
      <c r="B286" s="162"/>
    </row>
    <row r="287">
      <c r="A287" s="162"/>
      <c r="B287" s="162"/>
    </row>
    <row r="288">
      <c r="A288" s="162"/>
      <c r="B288" s="162"/>
    </row>
    <row r="289">
      <c r="A289" s="162"/>
      <c r="B289" s="162"/>
    </row>
    <row r="290">
      <c r="A290" s="162"/>
      <c r="B290" s="162"/>
    </row>
    <row r="291">
      <c r="A291" s="162"/>
      <c r="B291" s="162"/>
    </row>
    <row r="292">
      <c r="A292" s="162"/>
      <c r="B292" s="162"/>
    </row>
    <row r="293">
      <c r="A293" s="162"/>
      <c r="B293" s="162"/>
    </row>
    <row r="294">
      <c r="A294" s="162"/>
      <c r="B294" s="162"/>
    </row>
    <row r="295">
      <c r="A295" s="162"/>
      <c r="B295" s="162"/>
    </row>
    <row r="296">
      <c r="A296" s="162"/>
      <c r="B296" s="162"/>
    </row>
    <row r="297">
      <c r="A297" s="162"/>
      <c r="B297" s="162"/>
    </row>
    <row r="298">
      <c r="A298" s="162"/>
      <c r="B298" s="162"/>
    </row>
    <row r="299">
      <c r="A299" s="162"/>
      <c r="B299" s="162"/>
    </row>
    <row r="300">
      <c r="A300" s="162"/>
      <c r="B300" s="162"/>
    </row>
    <row r="301">
      <c r="A301" s="162"/>
      <c r="B301" s="162"/>
    </row>
    <row r="302">
      <c r="A302" s="162"/>
      <c r="B302" s="162"/>
    </row>
    <row r="303">
      <c r="A303" s="162"/>
      <c r="B303" s="162"/>
    </row>
    <row r="304">
      <c r="A304" s="162"/>
      <c r="B304" s="162"/>
    </row>
    <row r="305">
      <c r="A305" s="162"/>
      <c r="B305" s="162"/>
    </row>
    <row r="306">
      <c r="A306" s="162"/>
      <c r="B306" s="162"/>
    </row>
    <row r="307">
      <c r="A307" s="162"/>
      <c r="B307" s="162"/>
    </row>
    <row r="308">
      <c r="A308" s="162"/>
      <c r="B308" s="162"/>
    </row>
    <row r="309">
      <c r="A309" s="162"/>
      <c r="B309" s="162"/>
    </row>
    <row r="310">
      <c r="A310" s="162"/>
      <c r="B310" s="162"/>
    </row>
    <row r="311">
      <c r="A311" s="162"/>
      <c r="B311" s="162"/>
    </row>
    <row r="312">
      <c r="A312" s="162"/>
      <c r="B312" s="162"/>
    </row>
    <row r="313">
      <c r="A313" s="162"/>
      <c r="B313" s="162"/>
    </row>
    <row r="314">
      <c r="A314" s="162"/>
      <c r="B314" s="162"/>
    </row>
    <row r="315">
      <c r="A315" s="162"/>
      <c r="B315" s="162"/>
    </row>
    <row r="316">
      <c r="A316" s="162"/>
      <c r="B316" s="162"/>
    </row>
    <row r="317">
      <c r="A317" s="162"/>
      <c r="B317" s="162"/>
    </row>
    <row r="318">
      <c r="A318" s="162"/>
      <c r="B318" s="162"/>
    </row>
    <row r="319">
      <c r="A319" s="162"/>
      <c r="B319" s="162"/>
    </row>
    <row r="320">
      <c r="A320" s="162"/>
      <c r="B320" s="162"/>
    </row>
    <row r="321">
      <c r="A321" s="162"/>
      <c r="B321" s="162"/>
    </row>
    <row r="322">
      <c r="A322" s="162"/>
      <c r="B322" s="162"/>
    </row>
    <row r="323">
      <c r="A323" s="162"/>
      <c r="B323" s="162"/>
    </row>
    <row r="324">
      <c r="A324" s="162"/>
      <c r="B324" s="162"/>
    </row>
    <row r="325">
      <c r="A325" s="162"/>
      <c r="B325" s="162"/>
    </row>
    <row r="326">
      <c r="A326" s="162"/>
      <c r="B326" s="162"/>
    </row>
    <row r="327">
      <c r="A327" s="162"/>
      <c r="B327" s="162"/>
    </row>
    <row r="328">
      <c r="A328" s="162"/>
      <c r="B328" s="162"/>
    </row>
    <row r="329">
      <c r="A329" s="162"/>
      <c r="B329" s="162"/>
    </row>
    <row r="330">
      <c r="A330" s="162"/>
      <c r="B330" s="162"/>
    </row>
    <row r="331">
      <c r="A331" s="162"/>
      <c r="B331" s="162"/>
    </row>
    <row r="332">
      <c r="A332" s="162"/>
      <c r="B332" s="162"/>
    </row>
    <row r="333">
      <c r="A333" s="162"/>
      <c r="B333" s="162"/>
    </row>
    <row r="334">
      <c r="A334" s="162"/>
      <c r="B334" s="162"/>
    </row>
    <row r="335">
      <c r="A335" s="162"/>
      <c r="B335" s="162"/>
    </row>
    <row r="336">
      <c r="A336" s="162"/>
      <c r="B336" s="162"/>
    </row>
    <row r="337">
      <c r="A337" s="162"/>
      <c r="B337" s="162"/>
    </row>
    <row r="338">
      <c r="A338" s="162"/>
      <c r="B338" s="162"/>
    </row>
    <row r="339">
      <c r="A339" s="162"/>
      <c r="B339" s="162"/>
    </row>
    <row r="340">
      <c r="A340" s="162"/>
      <c r="B340" s="162"/>
    </row>
    <row r="341">
      <c r="A341" s="162"/>
      <c r="B341" s="162"/>
    </row>
    <row r="342">
      <c r="A342" s="162"/>
      <c r="B342" s="162"/>
    </row>
    <row r="343">
      <c r="A343" s="162"/>
      <c r="B343" s="162"/>
    </row>
    <row r="344">
      <c r="A344" s="162"/>
      <c r="B344" s="162"/>
    </row>
    <row r="345">
      <c r="A345" s="162"/>
      <c r="B345" s="162"/>
    </row>
    <row r="346">
      <c r="A346" s="162"/>
      <c r="B346" s="162"/>
    </row>
    <row r="347">
      <c r="A347" s="162"/>
      <c r="B347" s="162"/>
    </row>
    <row r="348">
      <c r="A348" s="162"/>
      <c r="B348" s="162"/>
    </row>
    <row r="349">
      <c r="A349" s="162"/>
      <c r="B349" s="162"/>
    </row>
    <row r="350">
      <c r="A350" s="162"/>
      <c r="B350" s="162"/>
    </row>
    <row r="351">
      <c r="A351" s="162"/>
      <c r="B351" s="162"/>
    </row>
    <row r="352">
      <c r="A352" s="162"/>
      <c r="B352" s="162"/>
    </row>
    <row r="353">
      <c r="A353" s="162"/>
      <c r="B353" s="162"/>
    </row>
    <row r="354">
      <c r="A354" s="162"/>
      <c r="B354" s="162"/>
    </row>
    <row r="355">
      <c r="A355" s="162"/>
      <c r="B355" s="162"/>
    </row>
    <row r="356">
      <c r="A356" s="162"/>
      <c r="B356" s="162"/>
    </row>
    <row r="357">
      <c r="A357" s="162"/>
      <c r="B357" s="162"/>
    </row>
    <row r="358">
      <c r="A358" s="162"/>
      <c r="B358" s="162"/>
    </row>
    <row r="359">
      <c r="A359" s="162"/>
      <c r="B359" s="162"/>
    </row>
    <row r="360">
      <c r="A360" s="162"/>
      <c r="B360" s="162"/>
    </row>
    <row r="361">
      <c r="A361" s="162"/>
      <c r="B361" s="162"/>
    </row>
    <row r="362">
      <c r="A362" s="162"/>
      <c r="B362" s="162"/>
    </row>
    <row r="363">
      <c r="A363" s="162"/>
      <c r="B363" s="162"/>
    </row>
    <row r="364">
      <c r="A364" s="162"/>
      <c r="B364" s="162"/>
    </row>
    <row r="365">
      <c r="A365" s="162"/>
      <c r="B365" s="162"/>
    </row>
    <row r="366">
      <c r="A366" s="162"/>
      <c r="B366" s="162"/>
    </row>
    <row r="367">
      <c r="A367" s="162"/>
      <c r="B367" s="162"/>
    </row>
    <row r="368">
      <c r="A368" s="162"/>
      <c r="B368" s="162"/>
    </row>
    <row r="369">
      <c r="A369" s="162"/>
      <c r="B369" s="162"/>
    </row>
    <row r="370">
      <c r="A370" s="162"/>
      <c r="B370" s="162"/>
    </row>
    <row r="371">
      <c r="A371" s="162"/>
      <c r="B371" s="162"/>
    </row>
    <row r="372">
      <c r="A372" s="162"/>
      <c r="B372" s="162"/>
    </row>
    <row r="373">
      <c r="A373" s="162"/>
      <c r="B373" s="162"/>
    </row>
    <row r="374">
      <c r="A374" s="162"/>
      <c r="B374" s="162"/>
    </row>
    <row r="375">
      <c r="A375" s="162"/>
      <c r="B375" s="162"/>
    </row>
    <row r="376">
      <c r="A376" s="162"/>
      <c r="B376" s="162"/>
    </row>
    <row r="377">
      <c r="A377" s="162"/>
      <c r="B377" s="162"/>
    </row>
    <row r="378">
      <c r="A378" s="162"/>
      <c r="B378" s="162"/>
    </row>
    <row r="379">
      <c r="A379" s="162"/>
      <c r="B379" s="162"/>
    </row>
    <row r="380">
      <c r="A380" s="162"/>
      <c r="B380" s="162"/>
    </row>
    <row r="381">
      <c r="A381" s="162"/>
      <c r="B381" s="162"/>
    </row>
    <row r="382">
      <c r="A382" s="162"/>
      <c r="B382" s="162"/>
    </row>
    <row r="383">
      <c r="A383" s="162"/>
      <c r="B383" s="162"/>
    </row>
    <row r="384">
      <c r="A384" s="162"/>
      <c r="B384" s="162"/>
    </row>
    <row r="385">
      <c r="A385" s="162"/>
      <c r="B385" s="162"/>
    </row>
    <row r="386">
      <c r="A386" s="162"/>
      <c r="B386" s="162"/>
    </row>
    <row r="387">
      <c r="A387" s="162"/>
      <c r="B387" s="162"/>
    </row>
    <row r="388">
      <c r="A388" s="162"/>
      <c r="B388" s="162"/>
    </row>
    <row r="389">
      <c r="A389" s="162"/>
      <c r="B389" s="162"/>
    </row>
    <row r="390">
      <c r="A390" s="162"/>
      <c r="B390" s="162"/>
    </row>
    <row r="391">
      <c r="A391" s="162"/>
      <c r="B391" s="162"/>
    </row>
    <row r="392">
      <c r="A392" s="162"/>
      <c r="B392" s="162"/>
    </row>
    <row r="393">
      <c r="A393" s="162"/>
      <c r="B393" s="162"/>
    </row>
    <row r="394">
      <c r="A394" s="162"/>
      <c r="B394" s="162"/>
    </row>
    <row r="395">
      <c r="A395" s="162"/>
      <c r="B395" s="162"/>
    </row>
    <row r="396">
      <c r="A396" s="162"/>
      <c r="B396" s="162"/>
    </row>
    <row r="397">
      <c r="A397" s="162"/>
      <c r="B397" s="162"/>
    </row>
    <row r="398">
      <c r="A398" s="162"/>
      <c r="B398" s="162"/>
    </row>
    <row r="399">
      <c r="A399" s="162"/>
      <c r="B399" s="162"/>
    </row>
    <row r="400">
      <c r="A400" s="162"/>
      <c r="B400" s="162"/>
    </row>
    <row r="401">
      <c r="A401" s="162"/>
      <c r="B401" s="162"/>
    </row>
    <row r="402">
      <c r="A402" s="162"/>
      <c r="B402" s="162"/>
    </row>
    <row r="403">
      <c r="A403" s="162"/>
      <c r="B403" s="162"/>
    </row>
    <row r="404">
      <c r="A404" s="162"/>
      <c r="B404" s="162"/>
    </row>
    <row r="405">
      <c r="A405" s="162"/>
      <c r="B405" s="162"/>
    </row>
    <row r="406">
      <c r="A406" s="162"/>
      <c r="B406" s="162"/>
    </row>
    <row r="407">
      <c r="A407" s="162"/>
      <c r="B407" s="162"/>
    </row>
    <row r="408">
      <c r="A408" s="162"/>
      <c r="B408" s="162"/>
    </row>
    <row r="409">
      <c r="A409" s="162"/>
      <c r="B409" s="162"/>
    </row>
    <row r="410">
      <c r="A410" s="162"/>
      <c r="B410" s="162"/>
    </row>
    <row r="411">
      <c r="A411" s="162"/>
      <c r="B411" s="162"/>
    </row>
    <row r="412">
      <c r="A412" s="162"/>
      <c r="B412" s="162"/>
    </row>
    <row r="413">
      <c r="A413" s="162"/>
      <c r="B413" s="162"/>
    </row>
    <row r="414">
      <c r="A414" s="162"/>
      <c r="B414" s="162"/>
    </row>
    <row r="415">
      <c r="A415" s="162"/>
      <c r="B415" s="162"/>
    </row>
    <row r="416">
      <c r="A416" s="162"/>
      <c r="B416" s="162"/>
    </row>
    <row r="417">
      <c r="A417" s="162"/>
      <c r="B417" s="162"/>
    </row>
    <row r="418">
      <c r="A418" s="162"/>
      <c r="B418" s="162"/>
    </row>
    <row r="419">
      <c r="A419" s="162"/>
      <c r="B419" s="162"/>
    </row>
    <row r="420">
      <c r="A420" s="162"/>
      <c r="B420" s="162"/>
    </row>
    <row r="421">
      <c r="A421" s="162"/>
      <c r="B421" s="162"/>
    </row>
    <row r="422">
      <c r="A422" s="162"/>
      <c r="B422" s="162"/>
    </row>
    <row r="423">
      <c r="A423" s="162"/>
      <c r="B423" s="162"/>
    </row>
    <row r="424">
      <c r="A424" s="162"/>
      <c r="B424" s="162"/>
    </row>
    <row r="425">
      <c r="A425" s="162"/>
      <c r="B425" s="162"/>
    </row>
    <row r="426">
      <c r="A426" s="162"/>
      <c r="B426" s="162"/>
    </row>
    <row r="427">
      <c r="A427" s="162"/>
      <c r="B427" s="162"/>
    </row>
    <row r="428">
      <c r="A428" s="162"/>
      <c r="B428" s="162"/>
    </row>
    <row r="429">
      <c r="A429" s="162"/>
      <c r="B429" s="162"/>
    </row>
    <row r="430">
      <c r="A430" s="162"/>
      <c r="B430" s="162"/>
    </row>
    <row r="431">
      <c r="A431" s="162"/>
      <c r="B431" s="162"/>
    </row>
    <row r="432">
      <c r="A432" s="162"/>
      <c r="B432" s="162"/>
    </row>
    <row r="433">
      <c r="A433" s="162"/>
      <c r="B433" s="162"/>
    </row>
    <row r="434">
      <c r="A434" s="162"/>
      <c r="B434" s="162"/>
    </row>
    <row r="435">
      <c r="A435" s="162"/>
      <c r="B435" s="162"/>
    </row>
    <row r="436">
      <c r="A436" s="162"/>
      <c r="B436" s="162"/>
    </row>
    <row r="437">
      <c r="A437" s="162"/>
      <c r="B437" s="162"/>
    </row>
    <row r="438">
      <c r="A438" s="162"/>
      <c r="B438" s="162"/>
    </row>
    <row r="439">
      <c r="A439" s="162"/>
      <c r="B439" s="162"/>
    </row>
    <row r="440">
      <c r="A440" s="162"/>
      <c r="B440" s="162"/>
    </row>
    <row r="441">
      <c r="A441" s="162"/>
      <c r="B441" s="162"/>
    </row>
    <row r="442">
      <c r="A442" s="162"/>
      <c r="B442" s="162"/>
    </row>
    <row r="443">
      <c r="A443" s="162"/>
      <c r="B443" s="162"/>
    </row>
    <row r="444">
      <c r="A444" s="162"/>
      <c r="B444" s="162"/>
    </row>
    <row r="445">
      <c r="A445" s="162"/>
      <c r="B445" s="162"/>
    </row>
    <row r="446">
      <c r="A446" s="162"/>
      <c r="B446" s="162"/>
    </row>
    <row r="447">
      <c r="A447" s="162"/>
      <c r="B447" s="162"/>
    </row>
    <row r="448">
      <c r="A448" s="162"/>
      <c r="B448" s="162"/>
    </row>
    <row r="449">
      <c r="A449" s="162"/>
      <c r="B449" s="162"/>
    </row>
    <row r="450">
      <c r="A450" s="162"/>
      <c r="B450" s="162"/>
    </row>
    <row r="451">
      <c r="A451" s="162"/>
      <c r="B451" s="162"/>
    </row>
    <row r="452">
      <c r="A452" s="162"/>
      <c r="B452" s="162"/>
    </row>
    <row r="453">
      <c r="A453" s="162"/>
      <c r="B453" s="162"/>
    </row>
    <row r="454">
      <c r="A454" s="162"/>
      <c r="B454" s="162"/>
    </row>
    <row r="455">
      <c r="A455" s="162"/>
      <c r="B455" s="162"/>
    </row>
    <row r="456">
      <c r="A456" s="162"/>
      <c r="B456" s="162"/>
    </row>
    <row r="457">
      <c r="A457" s="162"/>
      <c r="B457" s="162"/>
    </row>
    <row r="458">
      <c r="A458" s="162"/>
      <c r="B458" s="162"/>
    </row>
    <row r="459">
      <c r="A459" s="162"/>
      <c r="B459" s="162"/>
    </row>
    <row r="460">
      <c r="A460" s="162"/>
      <c r="B460" s="162"/>
    </row>
    <row r="461">
      <c r="A461" s="162"/>
      <c r="B461" s="162"/>
    </row>
    <row r="462">
      <c r="A462" s="162"/>
      <c r="B462" s="162"/>
    </row>
    <row r="463">
      <c r="A463" s="162"/>
      <c r="B463" s="162"/>
    </row>
    <row r="464">
      <c r="A464" s="162"/>
      <c r="B464" s="162"/>
    </row>
    <row r="465">
      <c r="A465" s="162"/>
      <c r="B465" s="162"/>
    </row>
    <row r="466">
      <c r="A466" s="162"/>
      <c r="B466" s="162"/>
    </row>
    <row r="467">
      <c r="A467" s="162"/>
      <c r="B467" s="162"/>
    </row>
    <row r="468">
      <c r="A468" s="162"/>
      <c r="B468" s="162"/>
    </row>
    <row r="469">
      <c r="A469" s="162"/>
      <c r="B469" s="162"/>
    </row>
    <row r="470">
      <c r="A470" s="162"/>
      <c r="B470" s="162"/>
    </row>
    <row r="471">
      <c r="A471" s="162"/>
      <c r="B471" s="162"/>
    </row>
    <row r="472">
      <c r="A472" s="162"/>
      <c r="B472" s="162"/>
    </row>
    <row r="473">
      <c r="A473" s="162"/>
      <c r="B473" s="162"/>
    </row>
    <row r="474">
      <c r="A474" s="162"/>
      <c r="B474" s="162"/>
    </row>
    <row r="475">
      <c r="A475" s="162"/>
      <c r="B475" s="162"/>
    </row>
    <row r="476">
      <c r="A476" s="162"/>
      <c r="B476" s="162"/>
    </row>
    <row r="477">
      <c r="A477" s="162"/>
      <c r="B477" s="162"/>
    </row>
    <row r="478">
      <c r="A478" s="162"/>
      <c r="B478" s="162"/>
    </row>
    <row r="479">
      <c r="A479" s="162"/>
      <c r="B479" s="162"/>
    </row>
    <row r="480">
      <c r="A480" s="162"/>
      <c r="B480" s="162"/>
    </row>
    <row r="481">
      <c r="A481" s="162"/>
      <c r="B481" s="162"/>
    </row>
    <row r="482">
      <c r="A482" s="162"/>
      <c r="B482" s="162"/>
    </row>
    <row r="483">
      <c r="A483" s="162"/>
      <c r="B483" s="162"/>
    </row>
    <row r="484">
      <c r="A484" s="162"/>
      <c r="B484" s="162"/>
    </row>
    <row r="485">
      <c r="A485" s="162"/>
      <c r="B485" s="162"/>
    </row>
    <row r="486">
      <c r="A486" s="162"/>
      <c r="B486" s="162"/>
    </row>
    <row r="487">
      <c r="A487" s="162"/>
      <c r="B487" s="162"/>
    </row>
    <row r="488">
      <c r="A488" s="162"/>
      <c r="B488" s="162"/>
    </row>
    <row r="489">
      <c r="A489" s="162"/>
      <c r="B489" s="162"/>
    </row>
    <row r="490">
      <c r="A490" s="162"/>
      <c r="B490" s="162"/>
    </row>
    <row r="491">
      <c r="A491" s="162"/>
      <c r="B491" s="162"/>
    </row>
    <row r="492">
      <c r="A492" s="162"/>
      <c r="B492" s="162"/>
    </row>
    <row r="493">
      <c r="A493" s="162"/>
      <c r="B493" s="162"/>
    </row>
    <row r="494">
      <c r="A494" s="162"/>
      <c r="B494" s="162"/>
    </row>
    <row r="495">
      <c r="A495" s="162"/>
      <c r="B495" s="162"/>
    </row>
    <row r="496">
      <c r="A496" s="162"/>
      <c r="B496" s="162"/>
    </row>
    <row r="497">
      <c r="A497" s="162"/>
      <c r="B497" s="162"/>
    </row>
    <row r="498">
      <c r="A498" s="162"/>
      <c r="B498" s="162"/>
    </row>
    <row r="499">
      <c r="A499" s="162"/>
      <c r="B499" s="162"/>
    </row>
    <row r="500">
      <c r="A500" s="162"/>
      <c r="B500" s="162"/>
    </row>
    <row r="501">
      <c r="A501" s="162"/>
      <c r="B501" s="162"/>
    </row>
    <row r="502">
      <c r="A502" s="162"/>
      <c r="B502" s="162"/>
    </row>
    <row r="503">
      <c r="A503" s="162"/>
      <c r="B503" s="162"/>
    </row>
    <row r="504">
      <c r="A504" s="162"/>
      <c r="B504" s="162"/>
    </row>
    <row r="505">
      <c r="A505" s="162"/>
      <c r="B505" s="162"/>
    </row>
    <row r="506">
      <c r="A506" s="162"/>
      <c r="B506" s="162"/>
    </row>
    <row r="507">
      <c r="A507" s="162"/>
      <c r="B507" s="162"/>
    </row>
    <row r="508">
      <c r="A508" s="162"/>
      <c r="B508" s="162"/>
    </row>
    <row r="509">
      <c r="A509" s="162"/>
      <c r="B509" s="162"/>
    </row>
    <row r="510">
      <c r="A510" s="162"/>
      <c r="B510" s="162"/>
    </row>
    <row r="511">
      <c r="A511" s="162"/>
      <c r="B511" s="162"/>
    </row>
    <row r="512">
      <c r="A512" s="162"/>
      <c r="B512" s="162"/>
    </row>
    <row r="513">
      <c r="A513" s="162"/>
      <c r="B513" s="162"/>
    </row>
    <row r="514">
      <c r="A514" s="162"/>
      <c r="B514" s="162"/>
    </row>
    <row r="515">
      <c r="A515" s="162"/>
      <c r="B515" s="162"/>
    </row>
    <row r="516">
      <c r="A516" s="162"/>
      <c r="B516" s="162"/>
    </row>
    <row r="517">
      <c r="A517" s="162"/>
      <c r="B517" s="162"/>
    </row>
    <row r="518">
      <c r="A518" s="162"/>
      <c r="B518" s="162"/>
    </row>
    <row r="519">
      <c r="A519" s="162"/>
      <c r="B519" s="162"/>
    </row>
    <row r="520">
      <c r="A520" s="162"/>
      <c r="B520" s="162"/>
    </row>
    <row r="521">
      <c r="A521" s="162"/>
      <c r="B521" s="162"/>
    </row>
    <row r="522">
      <c r="A522" s="162"/>
      <c r="B522" s="162"/>
    </row>
    <row r="523">
      <c r="A523" s="162"/>
      <c r="B523" s="162"/>
    </row>
    <row r="524">
      <c r="A524" s="162"/>
      <c r="B524" s="162"/>
    </row>
    <row r="525">
      <c r="A525" s="162"/>
      <c r="B525" s="162"/>
    </row>
    <row r="526">
      <c r="A526" s="162"/>
      <c r="B526" s="162"/>
    </row>
    <row r="527">
      <c r="A527" s="162"/>
      <c r="B527" s="162"/>
    </row>
    <row r="528">
      <c r="A528" s="162"/>
      <c r="B528" s="162"/>
    </row>
    <row r="529">
      <c r="A529" s="162"/>
      <c r="B529" s="162"/>
    </row>
    <row r="530">
      <c r="A530" s="162"/>
      <c r="B530" s="162"/>
    </row>
    <row r="531">
      <c r="A531" s="162"/>
      <c r="B531" s="162"/>
    </row>
    <row r="532">
      <c r="A532" s="162"/>
      <c r="B532" s="162"/>
    </row>
    <row r="533">
      <c r="A533" s="162"/>
      <c r="B533" s="162"/>
    </row>
    <row r="534">
      <c r="A534" s="162"/>
      <c r="B534" s="162"/>
    </row>
    <row r="535">
      <c r="A535" s="162"/>
      <c r="B535" s="162"/>
    </row>
    <row r="536">
      <c r="A536" s="162"/>
      <c r="B536" s="162"/>
    </row>
    <row r="537">
      <c r="A537" s="162"/>
      <c r="B537" s="162"/>
    </row>
    <row r="538">
      <c r="A538" s="162"/>
      <c r="B538" s="162"/>
    </row>
    <row r="539">
      <c r="A539" s="162"/>
      <c r="B539" s="162"/>
    </row>
    <row r="540">
      <c r="A540" s="162"/>
      <c r="B540" s="162"/>
    </row>
    <row r="541">
      <c r="A541" s="162"/>
      <c r="B541" s="162"/>
    </row>
    <row r="542">
      <c r="A542" s="162"/>
      <c r="B542" s="162"/>
    </row>
    <row r="543">
      <c r="A543" s="162"/>
      <c r="B543" s="162"/>
    </row>
    <row r="544">
      <c r="A544" s="162"/>
      <c r="B544" s="162"/>
    </row>
    <row r="545">
      <c r="A545" s="162"/>
      <c r="B545" s="162"/>
    </row>
    <row r="546">
      <c r="A546" s="162"/>
      <c r="B546" s="162"/>
    </row>
    <row r="547">
      <c r="A547" s="162"/>
      <c r="B547" s="162"/>
    </row>
    <row r="548">
      <c r="A548" s="162"/>
      <c r="B548" s="162"/>
    </row>
    <row r="549">
      <c r="A549" s="162"/>
      <c r="B549" s="162"/>
    </row>
    <row r="550">
      <c r="A550" s="162"/>
      <c r="B550" s="162"/>
    </row>
    <row r="551">
      <c r="A551" s="162"/>
      <c r="B551" s="162"/>
    </row>
    <row r="552">
      <c r="A552" s="162"/>
      <c r="B552" s="162"/>
    </row>
    <row r="553">
      <c r="A553" s="162"/>
      <c r="B553" s="162"/>
    </row>
    <row r="554">
      <c r="A554" s="162"/>
      <c r="B554" s="162"/>
    </row>
    <row r="555">
      <c r="A555" s="162"/>
      <c r="B555" s="162"/>
    </row>
    <row r="556">
      <c r="A556" s="162"/>
      <c r="B556" s="162"/>
    </row>
    <row r="557">
      <c r="A557" s="162"/>
      <c r="B557" s="162"/>
    </row>
    <row r="558">
      <c r="A558" s="162"/>
      <c r="B558" s="162"/>
    </row>
    <row r="559">
      <c r="A559" s="162"/>
      <c r="B559" s="162"/>
    </row>
    <row r="560">
      <c r="A560" s="162"/>
      <c r="B560" s="162"/>
    </row>
    <row r="561">
      <c r="A561" s="162"/>
      <c r="B561" s="162"/>
    </row>
    <row r="562">
      <c r="A562" s="162"/>
      <c r="B562" s="162"/>
    </row>
    <row r="563">
      <c r="A563" s="162"/>
      <c r="B563" s="162"/>
    </row>
    <row r="564">
      <c r="A564" s="162"/>
      <c r="B564" s="162"/>
    </row>
    <row r="565">
      <c r="A565" s="162"/>
      <c r="B565" s="162"/>
    </row>
    <row r="566">
      <c r="A566" s="162"/>
      <c r="B566" s="162"/>
    </row>
    <row r="567">
      <c r="A567" s="162"/>
      <c r="B567" s="162"/>
    </row>
    <row r="568">
      <c r="A568" s="162"/>
      <c r="B568" s="162"/>
    </row>
    <row r="569">
      <c r="A569" s="162"/>
      <c r="B569" s="162"/>
    </row>
    <row r="570">
      <c r="A570" s="162"/>
      <c r="B570" s="162"/>
    </row>
    <row r="571">
      <c r="A571" s="162"/>
      <c r="B571" s="162"/>
    </row>
    <row r="572">
      <c r="A572" s="162"/>
      <c r="B572" s="162"/>
    </row>
    <row r="573">
      <c r="A573" s="162"/>
      <c r="B573" s="162"/>
    </row>
    <row r="574">
      <c r="A574" s="162"/>
      <c r="B574" s="162"/>
    </row>
    <row r="575">
      <c r="A575" s="162"/>
      <c r="B575" s="162"/>
    </row>
    <row r="576">
      <c r="A576" s="162"/>
      <c r="B576" s="162"/>
    </row>
    <row r="577">
      <c r="A577" s="162"/>
      <c r="B577" s="162"/>
    </row>
    <row r="578">
      <c r="A578" s="162"/>
      <c r="B578" s="162"/>
    </row>
    <row r="579">
      <c r="A579" s="162"/>
      <c r="B579" s="162"/>
    </row>
    <row r="580">
      <c r="A580" s="162"/>
      <c r="B580" s="162"/>
    </row>
    <row r="581">
      <c r="A581" s="162"/>
      <c r="B581" s="162"/>
    </row>
    <row r="582">
      <c r="A582" s="162"/>
      <c r="B582" s="162"/>
    </row>
    <row r="583">
      <c r="A583" s="162"/>
      <c r="B583" s="162"/>
    </row>
    <row r="584">
      <c r="A584" s="162"/>
      <c r="B584" s="162"/>
    </row>
    <row r="585">
      <c r="A585" s="162"/>
      <c r="B585" s="162"/>
    </row>
    <row r="586">
      <c r="A586" s="162"/>
      <c r="B586" s="162"/>
    </row>
    <row r="587">
      <c r="A587" s="162"/>
      <c r="B587" s="162"/>
    </row>
    <row r="588">
      <c r="A588" s="162"/>
      <c r="B588" s="162"/>
    </row>
    <row r="589">
      <c r="A589" s="162"/>
      <c r="B589" s="162"/>
    </row>
    <row r="590">
      <c r="A590" s="162"/>
      <c r="B590" s="162"/>
    </row>
    <row r="591">
      <c r="A591" s="162"/>
      <c r="B591" s="162"/>
    </row>
    <row r="592">
      <c r="A592" s="162"/>
      <c r="B592" s="162"/>
    </row>
    <row r="593">
      <c r="A593" s="162"/>
      <c r="B593" s="162"/>
    </row>
    <row r="594">
      <c r="A594" s="162"/>
      <c r="B594" s="162"/>
    </row>
    <row r="595">
      <c r="A595" s="162"/>
      <c r="B595" s="162"/>
    </row>
    <row r="596">
      <c r="A596" s="162"/>
      <c r="B596" s="162"/>
    </row>
    <row r="597">
      <c r="A597" s="162"/>
      <c r="B597" s="162"/>
    </row>
    <row r="598">
      <c r="A598" s="162"/>
      <c r="B598" s="162"/>
    </row>
    <row r="599">
      <c r="A599" s="162"/>
      <c r="B599" s="162"/>
    </row>
    <row r="600">
      <c r="A600" s="162"/>
      <c r="B600" s="162"/>
    </row>
    <row r="601">
      <c r="A601" s="162"/>
      <c r="B601" s="162"/>
    </row>
    <row r="602">
      <c r="A602" s="162"/>
      <c r="B602" s="162"/>
    </row>
    <row r="603">
      <c r="A603" s="162"/>
      <c r="B603" s="162"/>
    </row>
    <row r="604">
      <c r="A604" s="162"/>
      <c r="B604" s="162"/>
    </row>
    <row r="605">
      <c r="A605" s="162"/>
      <c r="B605" s="162"/>
    </row>
    <row r="606">
      <c r="A606" s="162"/>
      <c r="B606" s="162"/>
    </row>
    <row r="607">
      <c r="A607" s="162"/>
      <c r="B607" s="162"/>
    </row>
    <row r="608">
      <c r="A608" s="162"/>
      <c r="B608" s="162"/>
    </row>
    <row r="609">
      <c r="A609" s="162"/>
      <c r="B609" s="162"/>
    </row>
    <row r="610">
      <c r="A610" s="162"/>
      <c r="B610" s="162"/>
    </row>
    <row r="611">
      <c r="A611" s="162"/>
      <c r="B611" s="162"/>
    </row>
    <row r="612">
      <c r="A612" s="162"/>
      <c r="B612" s="162"/>
    </row>
    <row r="613">
      <c r="A613" s="162"/>
      <c r="B613" s="162"/>
    </row>
    <row r="614">
      <c r="A614" s="162"/>
      <c r="B614" s="162"/>
    </row>
    <row r="615">
      <c r="A615" s="162"/>
      <c r="B615" s="162"/>
    </row>
    <row r="616">
      <c r="A616" s="162"/>
      <c r="B616" s="162"/>
    </row>
    <row r="617">
      <c r="A617" s="162"/>
      <c r="B617" s="162"/>
    </row>
    <row r="618">
      <c r="A618" s="162"/>
      <c r="B618" s="162"/>
    </row>
    <row r="619">
      <c r="A619" s="162"/>
      <c r="B619" s="162"/>
    </row>
    <row r="620">
      <c r="A620" s="162"/>
      <c r="B620" s="162"/>
    </row>
    <row r="621">
      <c r="A621" s="162"/>
      <c r="B621" s="162"/>
    </row>
    <row r="622">
      <c r="A622" s="162"/>
      <c r="B622" s="162"/>
    </row>
    <row r="623">
      <c r="A623" s="162"/>
      <c r="B623" s="162"/>
    </row>
    <row r="624">
      <c r="A624" s="162"/>
      <c r="B624" s="162"/>
    </row>
    <row r="625">
      <c r="A625" s="162"/>
      <c r="B625" s="162"/>
    </row>
    <row r="626">
      <c r="A626" s="162"/>
      <c r="B626" s="162"/>
    </row>
    <row r="627">
      <c r="A627" s="162"/>
      <c r="B627" s="162"/>
    </row>
    <row r="628">
      <c r="A628" s="162"/>
      <c r="B628" s="162"/>
    </row>
    <row r="629">
      <c r="A629" s="162"/>
      <c r="B629" s="162"/>
    </row>
    <row r="630">
      <c r="A630" s="162"/>
      <c r="B630" s="162"/>
    </row>
    <row r="631">
      <c r="A631" s="162"/>
      <c r="B631" s="162"/>
    </row>
    <row r="632">
      <c r="A632" s="162"/>
      <c r="B632" s="162"/>
    </row>
    <row r="633">
      <c r="A633" s="162"/>
      <c r="B633" s="162"/>
    </row>
    <row r="634">
      <c r="A634" s="162"/>
      <c r="B634" s="162"/>
    </row>
    <row r="635">
      <c r="A635" s="162"/>
      <c r="B635" s="162"/>
    </row>
    <row r="636">
      <c r="A636" s="162"/>
      <c r="B636" s="162"/>
    </row>
    <row r="637">
      <c r="A637" s="162"/>
      <c r="B637" s="162"/>
    </row>
    <row r="638">
      <c r="A638" s="162"/>
      <c r="B638" s="162"/>
    </row>
    <row r="639">
      <c r="A639" s="162"/>
      <c r="B639" s="162"/>
    </row>
    <row r="640">
      <c r="A640" s="162"/>
      <c r="B640" s="162"/>
    </row>
    <row r="641">
      <c r="A641" s="162"/>
      <c r="B641" s="162"/>
    </row>
    <row r="642">
      <c r="A642" s="162"/>
      <c r="B642" s="162"/>
    </row>
    <row r="643">
      <c r="A643" s="162"/>
      <c r="B643" s="162"/>
    </row>
    <row r="644">
      <c r="A644" s="162"/>
      <c r="B644" s="162"/>
    </row>
    <row r="645">
      <c r="A645" s="162"/>
      <c r="B645" s="162"/>
    </row>
    <row r="646">
      <c r="A646" s="162"/>
      <c r="B646" s="162"/>
    </row>
    <row r="647">
      <c r="A647" s="162"/>
      <c r="B647" s="162"/>
    </row>
    <row r="648">
      <c r="A648" s="162"/>
      <c r="B648" s="162"/>
    </row>
    <row r="649">
      <c r="A649" s="162"/>
      <c r="B649" s="162"/>
    </row>
    <row r="650">
      <c r="A650" s="162"/>
      <c r="B650" s="162"/>
    </row>
    <row r="651">
      <c r="A651" s="162"/>
      <c r="B651" s="162"/>
    </row>
    <row r="652">
      <c r="A652" s="162"/>
      <c r="B652" s="162"/>
    </row>
    <row r="653">
      <c r="A653" s="162"/>
      <c r="B653" s="162"/>
    </row>
    <row r="654">
      <c r="A654" s="162"/>
      <c r="B654" s="162"/>
    </row>
    <row r="655">
      <c r="A655" s="162"/>
      <c r="B655" s="162"/>
    </row>
    <row r="656">
      <c r="A656" s="162"/>
      <c r="B656" s="162"/>
    </row>
    <row r="657">
      <c r="A657" s="162"/>
      <c r="B657" s="162"/>
    </row>
    <row r="658">
      <c r="A658" s="162"/>
      <c r="B658" s="162"/>
    </row>
    <row r="659">
      <c r="A659" s="162"/>
      <c r="B659" s="162"/>
    </row>
    <row r="660">
      <c r="A660" s="162"/>
      <c r="B660" s="162"/>
    </row>
    <row r="661">
      <c r="A661" s="162"/>
      <c r="B661" s="162"/>
    </row>
    <row r="662">
      <c r="A662" s="162"/>
      <c r="B662" s="162"/>
    </row>
    <row r="663">
      <c r="A663" s="162"/>
      <c r="B663" s="162"/>
    </row>
    <row r="664">
      <c r="A664" s="162"/>
      <c r="B664" s="162"/>
    </row>
    <row r="665">
      <c r="A665" s="162"/>
      <c r="B665" s="162"/>
    </row>
    <row r="666">
      <c r="A666" s="162"/>
      <c r="B666" s="162"/>
    </row>
    <row r="667">
      <c r="A667" s="162"/>
      <c r="B667" s="162"/>
    </row>
    <row r="668">
      <c r="A668" s="162"/>
      <c r="B668" s="162"/>
    </row>
    <row r="669">
      <c r="A669" s="162"/>
      <c r="B669" s="162"/>
    </row>
    <row r="670">
      <c r="A670" s="162"/>
      <c r="B670" s="162"/>
    </row>
    <row r="671">
      <c r="A671" s="162"/>
      <c r="B671" s="162"/>
    </row>
    <row r="672">
      <c r="A672" s="162"/>
      <c r="B672" s="162"/>
    </row>
    <row r="673">
      <c r="A673" s="162"/>
      <c r="B673" s="162"/>
    </row>
    <row r="674">
      <c r="A674" s="162"/>
      <c r="B674" s="162"/>
    </row>
    <row r="675">
      <c r="A675" s="162"/>
      <c r="B675" s="162"/>
    </row>
    <row r="676">
      <c r="A676" s="162"/>
      <c r="B676" s="162"/>
    </row>
    <row r="677">
      <c r="A677" s="162"/>
      <c r="B677" s="162"/>
    </row>
    <row r="678">
      <c r="A678" s="162"/>
      <c r="B678" s="162"/>
    </row>
    <row r="679">
      <c r="A679" s="162"/>
      <c r="B679" s="162"/>
    </row>
    <row r="680">
      <c r="A680" s="162"/>
      <c r="B680" s="162"/>
    </row>
    <row r="681">
      <c r="A681" s="162"/>
      <c r="B681" s="162"/>
    </row>
    <row r="682">
      <c r="A682" s="162"/>
      <c r="B682" s="162"/>
    </row>
    <row r="683">
      <c r="A683" s="162"/>
      <c r="B683" s="162"/>
    </row>
    <row r="684">
      <c r="A684" s="162"/>
      <c r="B684" s="162"/>
    </row>
    <row r="685">
      <c r="A685" s="162"/>
      <c r="B685" s="162"/>
    </row>
    <row r="686">
      <c r="A686" s="162"/>
      <c r="B686" s="162"/>
    </row>
    <row r="687">
      <c r="A687" s="162"/>
      <c r="B687" s="162"/>
    </row>
    <row r="688">
      <c r="A688" s="162"/>
      <c r="B688" s="162"/>
    </row>
    <row r="689">
      <c r="A689" s="162"/>
      <c r="B689" s="162"/>
    </row>
    <row r="690">
      <c r="A690" s="162"/>
      <c r="B690" s="162"/>
    </row>
    <row r="691">
      <c r="A691" s="162"/>
      <c r="B691" s="162"/>
    </row>
    <row r="692">
      <c r="A692" s="162"/>
      <c r="B692" s="162"/>
    </row>
    <row r="693">
      <c r="A693" s="162"/>
      <c r="B693" s="162"/>
    </row>
    <row r="694">
      <c r="A694" s="162"/>
      <c r="B694" s="162"/>
    </row>
    <row r="695">
      <c r="A695" s="162"/>
      <c r="B695" s="162"/>
    </row>
    <row r="696">
      <c r="A696" s="162"/>
      <c r="B696" s="162"/>
    </row>
    <row r="697">
      <c r="A697" s="162"/>
      <c r="B697" s="162"/>
    </row>
    <row r="698">
      <c r="A698" s="162"/>
      <c r="B698" s="162"/>
    </row>
    <row r="699">
      <c r="A699" s="162"/>
      <c r="B699" s="162"/>
    </row>
    <row r="700">
      <c r="A700" s="162"/>
      <c r="B700" s="162"/>
    </row>
    <row r="701">
      <c r="A701" s="162"/>
      <c r="B701" s="162"/>
    </row>
    <row r="702">
      <c r="A702" s="162"/>
      <c r="B702" s="162"/>
    </row>
    <row r="703">
      <c r="A703" s="162"/>
      <c r="B703" s="162"/>
    </row>
    <row r="704">
      <c r="A704" s="162"/>
      <c r="B704" s="162"/>
    </row>
    <row r="705">
      <c r="A705" s="162"/>
      <c r="B705" s="162"/>
    </row>
    <row r="706">
      <c r="A706" s="162"/>
      <c r="B706" s="162"/>
    </row>
    <row r="707">
      <c r="A707" s="162"/>
      <c r="B707" s="162"/>
    </row>
    <row r="708">
      <c r="A708" s="162"/>
      <c r="B708" s="162"/>
    </row>
    <row r="709">
      <c r="A709" s="162"/>
      <c r="B709" s="162"/>
    </row>
    <row r="710">
      <c r="A710" s="162"/>
      <c r="B710" s="162"/>
    </row>
    <row r="711">
      <c r="A711" s="162"/>
      <c r="B711" s="162"/>
    </row>
    <row r="712">
      <c r="A712" s="162"/>
      <c r="B712" s="162"/>
    </row>
    <row r="713">
      <c r="A713" s="162"/>
      <c r="B713" s="162"/>
    </row>
    <row r="714">
      <c r="A714" s="162"/>
      <c r="B714" s="162"/>
    </row>
    <row r="715">
      <c r="A715" s="162"/>
      <c r="B715" s="162"/>
    </row>
    <row r="716">
      <c r="A716" s="162"/>
      <c r="B716" s="162"/>
    </row>
    <row r="717">
      <c r="A717" s="162"/>
      <c r="B717" s="162"/>
    </row>
    <row r="718">
      <c r="A718" s="162"/>
      <c r="B718" s="162"/>
    </row>
    <row r="719">
      <c r="A719" s="162"/>
      <c r="B719" s="162"/>
    </row>
    <row r="720">
      <c r="A720" s="162"/>
      <c r="B720" s="162"/>
    </row>
    <row r="721">
      <c r="A721" s="162"/>
      <c r="B721" s="162"/>
    </row>
    <row r="722">
      <c r="A722" s="162"/>
      <c r="B722" s="162"/>
    </row>
    <row r="723">
      <c r="A723" s="162"/>
      <c r="B723" s="162"/>
    </row>
    <row r="724">
      <c r="A724" s="162"/>
      <c r="B724" s="162"/>
    </row>
    <row r="725">
      <c r="A725" s="162"/>
      <c r="B725" s="162"/>
    </row>
    <row r="726">
      <c r="A726" s="162"/>
      <c r="B726" s="162"/>
    </row>
    <row r="727">
      <c r="A727" s="162"/>
      <c r="B727" s="162"/>
    </row>
    <row r="728">
      <c r="A728" s="162"/>
      <c r="B728" s="162"/>
    </row>
    <row r="729">
      <c r="A729" s="162"/>
      <c r="B729" s="162"/>
    </row>
    <row r="730">
      <c r="A730" s="162"/>
      <c r="B730" s="162"/>
    </row>
    <row r="731">
      <c r="A731" s="162"/>
      <c r="B731" s="162"/>
    </row>
    <row r="732">
      <c r="A732" s="162"/>
      <c r="B732" s="162"/>
    </row>
    <row r="733">
      <c r="A733" s="162"/>
      <c r="B733" s="162"/>
    </row>
    <row r="734">
      <c r="A734" s="162"/>
      <c r="B734" s="162"/>
    </row>
    <row r="735">
      <c r="A735" s="162"/>
      <c r="B735" s="162"/>
    </row>
    <row r="736">
      <c r="A736" s="162"/>
      <c r="B736" s="162"/>
    </row>
    <row r="737">
      <c r="A737" s="162"/>
      <c r="B737" s="162"/>
    </row>
    <row r="738">
      <c r="A738" s="162"/>
      <c r="B738" s="162"/>
    </row>
    <row r="739">
      <c r="A739" s="162"/>
      <c r="B739" s="162"/>
    </row>
    <row r="740">
      <c r="A740" s="162"/>
      <c r="B740" s="16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88"/>
  </cols>
  <sheetData>
    <row r="1">
      <c r="A1" s="139"/>
      <c r="B1" s="139" t="s">
        <v>5838</v>
      </c>
      <c r="C1" s="132"/>
      <c r="D1" s="132"/>
      <c r="E1" s="132"/>
    </row>
    <row r="2">
      <c r="A2" s="183">
        <v>0.2</v>
      </c>
      <c r="B2" s="139" t="s">
        <v>5839</v>
      </c>
      <c r="C2" s="132" t="s">
        <v>5840</v>
      </c>
      <c r="D2" s="132" t="s">
        <v>5841</v>
      </c>
      <c r="E2" s="132" t="s">
        <v>5842</v>
      </c>
    </row>
    <row r="3">
      <c r="A3" s="183"/>
      <c r="C3" s="132" t="s">
        <v>5843</v>
      </c>
      <c r="D3" s="132" t="s">
        <v>5844</v>
      </c>
      <c r="E3" s="132" t="s">
        <v>5845</v>
      </c>
    </row>
    <row r="4">
      <c r="A4" s="183">
        <v>0.2</v>
      </c>
      <c r="C4" s="132" t="s">
        <v>5846</v>
      </c>
      <c r="E4" s="132" t="s">
        <v>5847</v>
      </c>
    </row>
    <row r="5">
      <c r="A5" s="183">
        <v>0.2</v>
      </c>
      <c r="B5" s="139"/>
      <c r="C5" s="132" t="s">
        <v>5848</v>
      </c>
      <c r="D5" s="132" t="s">
        <v>5849</v>
      </c>
      <c r="E5" s="132" t="s">
        <v>5850</v>
      </c>
    </row>
    <row r="6">
      <c r="A6" s="183">
        <v>0.1</v>
      </c>
      <c r="B6" s="139" t="s">
        <v>5851</v>
      </c>
      <c r="C6" s="132" t="s">
        <v>5852</v>
      </c>
      <c r="D6" s="132" t="s">
        <v>5853</v>
      </c>
      <c r="E6" s="132" t="s">
        <v>5854</v>
      </c>
    </row>
    <row r="7">
      <c r="A7" s="183">
        <v>0.15</v>
      </c>
      <c r="B7" s="139" t="s">
        <v>405</v>
      </c>
      <c r="C7" s="132" t="s">
        <v>5855</v>
      </c>
      <c r="D7" s="132" t="s">
        <v>5856</v>
      </c>
      <c r="E7" s="132" t="s">
        <v>5857</v>
      </c>
    </row>
    <row r="8">
      <c r="C8" s="132" t="s">
        <v>5858</v>
      </c>
      <c r="D8" s="132" t="s">
        <v>5859</v>
      </c>
      <c r="E8" s="132" t="s">
        <v>5860</v>
      </c>
    </row>
    <row r="9">
      <c r="A9" s="183">
        <v>0.15</v>
      </c>
      <c r="B9" s="139" t="s">
        <v>5861</v>
      </c>
      <c r="C9" s="132" t="s">
        <v>5862</v>
      </c>
      <c r="D9" s="132" t="s">
        <v>5863</v>
      </c>
      <c r="E9" s="132" t="s">
        <v>5864</v>
      </c>
    </row>
    <row r="10">
      <c r="C10" s="132" t="s">
        <v>5865</v>
      </c>
      <c r="D10" s="132" t="s">
        <v>5866</v>
      </c>
    </row>
    <row r="11">
      <c r="C11" s="132" t="s">
        <v>5867</v>
      </c>
      <c r="D11" s="132" t="s">
        <v>5868</v>
      </c>
    </row>
    <row r="12">
      <c r="A12" s="184">
        <f>SUM(A2:A11)</f>
        <v>1</v>
      </c>
      <c r="B12" s="142"/>
    </row>
    <row r="13">
      <c r="A13" s="142"/>
      <c r="B13" s="142"/>
      <c r="C13" s="132" t="s">
        <v>5869</v>
      </c>
      <c r="D13" s="132" t="s">
        <v>5870</v>
      </c>
    </row>
    <row r="14">
      <c r="A14" s="142"/>
      <c r="B14" s="142"/>
    </row>
    <row r="15">
      <c r="A15" s="142"/>
      <c r="B15" s="142"/>
    </row>
    <row r="16">
      <c r="A16" s="142"/>
      <c r="B16" s="142"/>
    </row>
    <row r="17">
      <c r="A17" s="142"/>
      <c r="B17" s="139" t="s">
        <v>5871</v>
      </c>
      <c r="C17" s="132" t="s">
        <v>5872</v>
      </c>
    </row>
    <row r="18">
      <c r="A18" s="142"/>
      <c r="B18" s="142"/>
      <c r="C18" s="132" t="s">
        <v>5873</v>
      </c>
    </row>
    <row r="19">
      <c r="A19" s="142"/>
      <c r="B19" s="142"/>
    </row>
    <row r="20">
      <c r="A20" s="142"/>
      <c r="B20" s="142"/>
    </row>
    <row r="21">
      <c r="B21" s="142"/>
    </row>
    <row r="22">
      <c r="B22" s="142"/>
    </row>
    <row r="23">
      <c r="A23" s="185" t="s">
        <v>5874</v>
      </c>
      <c r="B23" s="185" t="s">
        <v>5875</v>
      </c>
      <c r="C23" s="185" t="s">
        <v>5876</v>
      </c>
      <c r="G23" s="132" t="s">
        <v>5877</v>
      </c>
      <c r="H23" s="132" t="s">
        <v>5878</v>
      </c>
      <c r="I23" s="132" t="s">
        <v>5879</v>
      </c>
    </row>
    <row r="24">
      <c r="A24" s="132" t="s">
        <v>5840</v>
      </c>
      <c r="B24" s="132" t="s">
        <v>5841</v>
      </c>
      <c r="C24" s="132" t="s">
        <v>5880</v>
      </c>
      <c r="F24" s="132">
        <v>77019.0</v>
      </c>
      <c r="G24" s="132">
        <v>0.06</v>
      </c>
      <c r="H24" s="132">
        <v>0.064</v>
      </c>
      <c r="I24" s="132">
        <v>0.045</v>
      </c>
      <c r="J24" s="161">
        <f t="shared" ref="J24:J25" si="1">H24+I24</f>
        <v>0.109</v>
      </c>
      <c r="K24" s="161">
        <f t="shared" ref="K24:K25" si="2">J24-G24</f>
        <v>0.049</v>
      </c>
    </row>
    <row r="25">
      <c r="A25" s="132" t="s">
        <v>5843</v>
      </c>
      <c r="B25" s="132" t="s">
        <v>5844</v>
      </c>
      <c r="C25" s="132" t="s">
        <v>5881</v>
      </c>
      <c r="F25" s="132">
        <v>77081.0</v>
      </c>
      <c r="G25" s="132">
        <v>0.056</v>
      </c>
      <c r="H25" s="132">
        <v>0.464</v>
      </c>
      <c r="I25" s="132">
        <v>0.208</v>
      </c>
      <c r="J25" s="161">
        <f t="shared" si="1"/>
        <v>0.672</v>
      </c>
      <c r="K25" s="161">
        <f t="shared" si="2"/>
        <v>0.616</v>
      </c>
    </row>
    <row r="26">
      <c r="A26" s="132" t="s">
        <v>5846</v>
      </c>
      <c r="B26" s="132" t="s">
        <v>5882</v>
      </c>
      <c r="C26" s="132" t="s">
        <v>5883</v>
      </c>
    </row>
    <row r="27">
      <c r="A27" s="132" t="s">
        <v>5848</v>
      </c>
      <c r="B27" s="132" t="s">
        <v>5849</v>
      </c>
      <c r="C27" s="132" t="s">
        <v>5880</v>
      </c>
      <c r="F27" s="132">
        <v>77045.0</v>
      </c>
      <c r="G27" s="132">
        <v>0.1</v>
      </c>
      <c r="H27" s="132">
        <v>0.464</v>
      </c>
      <c r="I27" s="132">
        <v>0.208</v>
      </c>
      <c r="J27" s="161">
        <f>H27+I27</f>
        <v>0.672</v>
      </c>
      <c r="K27" s="161">
        <f>J27-G27</f>
        <v>0.572</v>
      </c>
    </row>
    <row r="28">
      <c r="A28" s="132" t="s">
        <v>5865</v>
      </c>
      <c r="B28" s="132" t="s">
        <v>5866</v>
      </c>
      <c r="C28" s="132" t="s">
        <v>5880</v>
      </c>
    </row>
    <row r="29">
      <c r="A29" s="132" t="s">
        <v>5884</v>
      </c>
      <c r="B29" s="132" t="s">
        <v>5868</v>
      </c>
      <c r="C29" s="132" t="s">
        <v>5880</v>
      </c>
    </row>
    <row r="30">
      <c r="A30" s="132" t="s">
        <v>5885</v>
      </c>
      <c r="B30" s="132" t="s">
        <v>5886</v>
      </c>
      <c r="C30" s="132" t="s">
        <v>5880</v>
      </c>
    </row>
    <row r="31">
      <c r="A31" s="132" t="s">
        <v>5855</v>
      </c>
      <c r="B31" s="132" t="s">
        <v>5856</v>
      </c>
      <c r="C31" s="132" t="s">
        <v>5880</v>
      </c>
    </row>
    <row r="32">
      <c r="A32" s="132" t="s">
        <v>5858</v>
      </c>
      <c r="B32" s="132" t="s">
        <v>5887</v>
      </c>
      <c r="C32" s="132" t="s">
        <v>5880</v>
      </c>
    </row>
    <row r="33">
      <c r="A33" s="132" t="s">
        <v>5888</v>
      </c>
      <c r="B33" s="132" t="s">
        <v>5863</v>
      </c>
      <c r="C33" s="132" t="s">
        <v>5880</v>
      </c>
    </row>
    <row r="34">
      <c r="A34" s="132" t="s">
        <v>5869</v>
      </c>
      <c r="B34" s="132" t="s">
        <v>5870</v>
      </c>
      <c r="C34" s="132" t="s">
        <v>5889</v>
      </c>
    </row>
    <row r="35">
      <c r="B35" s="142"/>
    </row>
    <row r="36">
      <c r="B36" s="142"/>
    </row>
    <row r="37">
      <c r="A37" s="142"/>
      <c r="B37" s="142"/>
    </row>
    <row r="38">
      <c r="A38" s="142"/>
      <c r="B38" s="142"/>
    </row>
    <row r="39">
      <c r="A39" s="142"/>
      <c r="B39" s="142"/>
    </row>
    <row r="40">
      <c r="A40" s="142"/>
      <c r="B40" s="142"/>
    </row>
    <row r="41">
      <c r="A41" s="142"/>
      <c r="B41" s="142"/>
    </row>
    <row r="42">
      <c r="A42" s="142"/>
      <c r="B42" s="142"/>
    </row>
    <row r="43">
      <c r="A43" s="142"/>
      <c r="B43" s="142"/>
    </row>
    <row r="44">
      <c r="A44" s="142"/>
      <c r="B44" s="142"/>
    </row>
    <row r="45">
      <c r="A45" s="142"/>
      <c r="B45" s="142"/>
    </row>
    <row r="46">
      <c r="A46" s="142"/>
      <c r="B46" s="142"/>
    </row>
    <row r="47">
      <c r="A47" s="142"/>
      <c r="B47" s="142"/>
    </row>
    <row r="48">
      <c r="A48" s="142"/>
      <c r="B48" s="142"/>
    </row>
    <row r="49">
      <c r="A49" s="142"/>
      <c r="B49" s="142"/>
    </row>
    <row r="50">
      <c r="A50" s="142"/>
      <c r="B50" s="142"/>
    </row>
    <row r="51">
      <c r="A51" s="142"/>
      <c r="B51" s="142"/>
    </row>
    <row r="52">
      <c r="A52" s="142"/>
      <c r="B52" s="142"/>
    </row>
    <row r="53">
      <c r="A53" s="142"/>
      <c r="B53" s="142"/>
    </row>
    <row r="54">
      <c r="A54" s="142"/>
      <c r="B54" s="142"/>
    </row>
    <row r="55">
      <c r="A55" s="142"/>
      <c r="B55" s="142"/>
    </row>
    <row r="56">
      <c r="A56" s="142"/>
      <c r="B56" s="142"/>
    </row>
    <row r="57">
      <c r="A57" s="142"/>
      <c r="B57" s="142"/>
    </row>
    <row r="58">
      <c r="A58" s="142"/>
      <c r="B58" s="142"/>
    </row>
    <row r="59">
      <c r="A59" s="142"/>
      <c r="B59" s="142"/>
    </row>
    <row r="60">
      <c r="A60" s="142"/>
      <c r="B60" s="142"/>
    </row>
    <row r="61">
      <c r="A61" s="142"/>
      <c r="B61" s="142"/>
    </row>
    <row r="62">
      <c r="A62" s="142"/>
      <c r="B62" s="142"/>
    </row>
    <row r="63">
      <c r="A63" s="142"/>
      <c r="B63" s="142"/>
    </row>
    <row r="64">
      <c r="A64" s="142"/>
      <c r="B64" s="142"/>
    </row>
    <row r="65">
      <c r="A65" s="142"/>
      <c r="B65" s="142"/>
    </row>
    <row r="66">
      <c r="A66" s="142"/>
      <c r="B66" s="142"/>
    </row>
    <row r="67">
      <c r="A67" s="142"/>
      <c r="B67" s="142"/>
    </row>
    <row r="68">
      <c r="A68" s="142"/>
      <c r="B68" s="142"/>
    </row>
    <row r="69">
      <c r="A69" s="142"/>
      <c r="B69" s="142"/>
    </row>
    <row r="70">
      <c r="A70" s="142"/>
      <c r="B70" s="142"/>
    </row>
    <row r="71">
      <c r="A71" s="142"/>
      <c r="B71" s="142"/>
    </row>
    <row r="72">
      <c r="A72" s="142"/>
      <c r="B72" s="142"/>
    </row>
    <row r="73">
      <c r="A73" s="142"/>
      <c r="B73" s="142"/>
    </row>
    <row r="74">
      <c r="A74" s="142"/>
      <c r="B74" s="142"/>
    </row>
    <row r="75">
      <c r="A75" s="142"/>
      <c r="B75" s="142"/>
    </row>
    <row r="76">
      <c r="A76" s="142"/>
      <c r="B76" s="142"/>
    </row>
    <row r="77">
      <c r="A77" s="142"/>
      <c r="B77" s="142"/>
    </row>
    <row r="78">
      <c r="A78" s="142"/>
      <c r="B78" s="142"/>
    </row>
    <row r="79">
      <c r="A79" s="142"/>
      <c r="B79" s="142"/>
    </row>
    <row r="80">
      <c r="A80" s="142"/>
      <c r="B80" s="142"/>
    </row>
    <row r="81">
      <c r="A81" s="142"/>
      <c r="B81" s="142"/>
    </row>
    <row r="82">
      <c r="A82" s="142"/>
      <c r="B82" s="142"/>
    </row>
    <row r="83">
      <c r="A83" s="142"/>
      <c r="B83" s="142"/>
    </row>
    <row r="84">
      <c r="A84" s="142"/>
      <c r="B84" s="142"/>
    </row>
    <row r="85">
      <c r="A85" s="142"/>
      <c r="B85" s="142"/>
    </row>
    <row r="86">
      <c r="A86" s="142"/>
      <c r="B86" s="142"/>
    </row>
    <row r="87">
      <c r="A87" s="142"/>
      <c r="B87" s="142"/>
    </row>
    <row r="88">
      <c r="A88" s="142"/>
      <c r="B88" s="142"/>
    </row>
    <row r="89">
      <c r="A89" s="142"/>
      <c r="B89" s="142"/>
    </row>
    <row r="90">
      <c r="A90" s="142"/>
      <c r="B90" s="142"/>
    </row>
    <row r="91">
      <c r="A91" s="142"/>
      <c r="B91" s="142"/>
    </row>
    <row r="92">
      <c r="A92" s="142"/>
      <c r="B92" s="142"/>
    </row>
    <row r="93">
      <c r="A93" s="142"/>
      <c r="B93" s="142"/>
    </row>
    <row r="94">
      <c r="A94" s="142"/>
      <c r="B94" s="142"/>
    </row>
    <row r="95">
      <c r="A95" s="142"/>
      <c r="B95" s="142"/>
    </row>
    <row r="96">
      <c r="A96" s="142"/>
      <c r="B96" s="142"/>
    </row>
    <row r="97">
      <c r="A97" s="142"/>
      <c r="B97" s="142"/>
    </row>
    <row r="98">
      <c r="A98" s="142"/>
      <c r="B98" s="142"/>
    </row>
    <row r="99">
      <c r="A99" s="142"/>
      <c r="B99" s="142"/>
    </row>
    <row r="100">
      <c r="A100" s="142"/>
      <c r="B100" s="142"/>
    </row>
    <row r="101">
      <c r="A101" s="142"/>
      <c r="B101" s="142"/>
    </row>
    <row r="102">
      <c r="A102" s="142"/>
      <c r="B102" s="142"/>
    </row>
    <row r="103">
      <c r="A103" s="142"/>
      <c r="B103" s="142"/>
    </row>
    <row r="104">
      <c r="A104" s="142"/>
      <c r="B104" s="142"/>
    </row>
    <row r="105">
      <c r="A105" s="142"/>
      <c r="B105" s="142"/>
    </row>
    <row r="106">
      <c r="A106" s="142"/>
      <c r="B106" s="142"/>
    </row>
    <row r="107">
      <c r="A107" s="142"/>
      <c r="B107" s="142"/>
    </row>
    <row r="108">
      <c r="A108" s="142"/>
      <c r="B108" s="142"/>
    </row>
    <row r="109">
      <c r="A109" s="142"/>
      <c r="B109" s="142"/>
    </row>
    <row r="110">
      <c r="A110" s="142"/>
      <c r="B110" s="142"/>
    </row>
    <row r="111">
      <c r="A111" s="142"/>
      <c r="B111" s="142"/>
    </row>
    <row r="112">
      <c r="A112" s="142"/>
      <c r="B112" s="142"/>
    </row>
    <row r="113">
      <c r="A113" s="142"/>
      <c r="B113" s="142"/>
    </row>
    <row r="114">
      <c r="A114" s="142"/>
      <c r="B114" s="142"/>
    </row>
    <row r="115">
      <c r="A115" s="142"/>
      <c r="B115" s="142"/>
    </row>
    <row r="116">
      <c r="A116" s="142"/>
      <c r="B116" s="142"/>
    </row>
    <row r="117">
      <c r="A117" s="142"/>
      <c r="B117" s="142"/>
    </row>
    <row r="118">
      <c r="A118" s="142"/>
      <c r="B118" s="142"/>
    </row>
    <row r="119">
      <c r="A119" s="142"/>
      <c r="B119" s="142"/>
    </row>
    <row r="120">
      <c r="A120" s="142"/>
      <c r="B120" s="142"/>
    </row>
    <row r="121">
      <c r="A121" s="142"/>
      <c r="B121" s="142"/>
    </row>
    <row r="122">
      <c r="A122" s="142"/>
      <c r="B122" s="142"/>
    </row>
    <row r="123">
      <c r="A123" s="142"/>
      <c r="B123" s="142"/>
    </row>
    <row r="124">
      <c r="A124" s="142"/>
      <c r="B124" s="142"/>
    </row>
    <row r="125">
      <c r="A125" s="142"/>
      <c r="B125" s="142"/>
    </row>
    <row r="126">
      <c r="A126" s="142"/>
      <c r="B126" s="142"/>
    </row>
    <row r="127">
      <c r="A127" s="142"/>
      <c r="B127" s="142"/>
    </row>
    <row r="128">
      <c r="A128" s="142"/>
      <c r="B128" s="142"/>
    </row>
    <row r="129">
      <c r="A129" s="142"/>
      <c r="B129" s="142"/>
    </row>
    <row r="130">
      <c r="A130" s="142"/>
      <c r="B130" s="142"/>
    </row>
    <row r="131">
      <c r="A131" s="142"/>
      <c r="B131" s="142"/>
    </row>
    <row r="132">
      <c r="A132" s="142"/>
      <c r="B132" s="142"/>
    </row>
    <row r="133">
      <c r="A133" s="142"/>
      <c r="B133" s="142"/>
    </row>
    <row r="134">
      <c r="A134" s="142"/>
      <c r="B134" s="142"/>
    </row>
    <row r="135">
      <c r="A135" s="142"/>
      <c r="B135" s="142"/>
    </row>
    <row r="136">
      <c r="A136" s="142"/>
      <c r="B136" s="142"/>
    </row>
    <row r="137">
      <c r="A137" s="142"/>
      <c r="B137" s="142"/>
    </row>
    <row r="138">
      <c r="A138" s="142"/>
      <c r="B138" s="142"/>
    </row>
    <row r="139">
      <c r="A139" s="142"/>
      <c r="B139" s="142"/>
    </row>
    <row r="140">
      <c r="A140" s="142"/>
      <c r="B140" s="142"/>
    </row>
    <row r="141">
      <c r="A141" s="142"/>
      <c r="B141" s="142"/>
    </row>
    <row r="142">
      <c r="A142" s="142"/>
      <c r="B142" s="142"/>
    </row>
    <row r="143">
      <c r="A143" s="142"/>
      <c r="B143" s="142"/>
    </row>
    <row r="144">
      <c r="A144" s="142"/>
      <c r="B144" s="142"/>
    </row>
    <row r="145">
      <c r="A145" s="142"/>
      <c r="B145" s="142"/>
    </row>
    <row r="146">
      <c r="A146" s="142"/>
      <c r="B146" s="142"/>
    </row>
    <row r="147">
      <c r="A147" s="142"/>
      <c r="B147" s="142"/>
    </row>
    <row r="148">
      <c r="A148" s="142"/>
      <c r="B148" s="142"/>
    </row>
    <row r="149">
      <c r="A149" s="142"/>
      <c r="B149" s="142"/>
    </row>
    <row r="150">
      <c r="A150" s="142"/>
      <c r="B150" s="142"/>
    </row>
    <row r="151">
      <c r="A151" s="142"/>
      <c r="B151" s="142"/>
    </row>
    <row r="152">
      <c r="A152" s="142"/>
      <c r="B152" s="142"/>
    </row>
    <row r="153">
      <c r="A153" s="142"/>
      <c r="B153" s="142"/>
    </row>
    <row r="154">
      <c r="A154" s="142"/>
      <c r="B154" s="142"/>
    </row>
    <row r="155">
      <c r="A155" s="142"/>
      <c r="B155" s="142"/>
    </row>
    <row r="156">
      <c r="A156" s="142"/>
      <c r="B156" s="142"/>
    </row>
    <row r="157">
      <c r="A157" s="142"/>
      <c r="B157" s="142"/>
    </row>
    <row r="158">
      <c r="A158" s="142"/>
      <c r="B158" s="142"/>
    </row>
    <row r="159">
      <c r="A159" s="142"/>
      <c r="B159" s="142"/>
    </row>
    <row r="160">
      <c r="A160" s="142"/>
      <c r="B160" s="142"/>
    </row>
    <row r="161">
      <c r="A161" s="142"/>
      <c r="B161" s="142"/>
    </row>
    <row r="162">
      <c r="A162" s="142"/>
      <c r="B162" s="142"/>
    </row>
    <row r="163">
      <c r="A163" s="142"/>
      <c r="B163" s="142"/>
    </row>
    <row r="164">
      <c r="A164" s="142"/>
      <c r="B164" s="142"/>
    </row>
    <row r="165">
      <c r="A165" s="142"/>
      <c r="B165" s="142"/>
    </row>
    <row r="166">
      <c r="A166" s="142"/>
      <c r="B166" s="142"/>
    </row>
    <row r="167">
      <c r="A167" s="142"/>
      <c r="B167" s="142"/>
    </row>
    <row r="168">
      <c r="A168" s="142"/>
      <c r="B168" s="142"/>
    </row>
    <row r="169">
      <c r="A169" s="142"/>
      <c r="B169" s="142"/>
    </row>
    <row r="170">
      <c r="A170" s="142"/>
      <c r="B170" s="142"/>
    </row>
    <row r="171">
      <c r="A171" s="142"/>
      <c r="B171" s="142"/>
    </row>
    <row r="172">
      <c r="A172" s="142"/>
      <c r="B172" s="142"/>
    </row>
    <row r="173">
      <c r="A173" s="142"/>
      <c r="B173" s="142"/>
    </row>
    <row r="174">
      <c r="A174" s="142"/>
      <c r="B174" s="142"/>
    </row>
    <row r="175">
      <c r="A175" s="142"/>
      <c r="B175" s="142"/>
    </row>
    <row r="176">
      <c r="A176" s="142"/>
      <c r="B176" s="142"/>
    </row>
    <row r="177">
      <c r="A177" s="142"/>
      <c r="B177" s="142"/>
    </row>
    <row r="178">
      <c r="A178" s="142"/>
      <c r="B178" s="142"/>
    </row>
    <row r="179">
      <c r="A179" s="142"/>
      <c r="B179" s="142"/>
    </row>
    <row r="180">
      <c r="A180" s="142"/>
      <c r="B180" s="142"/>
    </row>
    <row r="181">
      <c r="A181" s="142"/>
      <c r="B181" s="142"/>
    </row>
    <row r="182">
      <c r="A182" s="142"/>
      <c r="B182" s="142"/>
    </row>
    <row r="183">
      <c r="A183" s="142"/>
      <c r="B183" s="142"/>
    </row>
    <row r="184">
      <c r="A184" s="142"/>
      <c r="B184" s="142"/>
    </row>
    <row r="185">
      <c r="A185" s="142"/>
      <c r="B185" s="142"/>
    </row>
    <row r="186">
      <c r="A186" s="142"/>
      <c r="B186" s="142"/>
    </row>
    <row r="187">
      <c r="A187" s="142"/>
      <c r="B187" s="142"/>
    </row>
    <row r="188">
      <c r="A188" s="142"/>
      <c r="B188" s="142"/>
    </row>
    <row r="189">
      <c r="A189" s="142"/>
      <c r="B189" s="142"/>
    </row>
    <row r="190">
      <c r="A190" s="142"/>
      <c r="B190" s="142"/>
    </row>
    <row r="191">
      <c r="A191" s="142"/>
      <c r="B191" s="142"/>
    </row>
    <row r="192">
      <c r="A192" s="142"/>
      <c r="B192" s="142"/>
    </row>
    <row r="193">
      <c r="A193" s="142"/>
      <c r="B193" s="142"/>
    </row>
    <row r="194">
      <c r="A194" s="142"/>
      <c r="B194" s="142"/>
    </row>
    <row r="195">
      <c r="A195" s="142"/>
      <c r="B195" s="142"/>
    </row>
    <row r="196">
      <c r="A196" s="142"/>
      <c r="B196" s="142"/>
    </row>
    <row r="197">
      <c r="A197" s="142"/>
      <c r="B197" s="142"/>
    </row>
    <row r="198">
      <c r="A198" s="142"/>
      <c r="B198" s="142"/>
    </row>
    <row r="199">
      <c r="A199" s="142"/>
      <c r="B199" s="142"/>
    </row>
    <row r="200">
      <c r="A200" s="142"/>
      <c r="B200" s="142"/>
    </row>
    <row r="201">
      <c r="A201" s="142"/>
      <c r="B201" s="142"/>
    </row>
    <row r="202">
      <c r="A202" s="142"/>
      <c r="B202" s="142"/>
    </row>
    <row r="203">
      <c r="A203" s="142"/>
      <c r="B203" s="142"/>
    </row>
    <row r="204">
      <c r="A204" s="142"/>
      <c r="B204" s="142"/>
    </row>
    <row r="205">
      <c r="A205" s="142"/>
      <c r="B205" s="142"/>
    </row>
    <row r="206">
      <c r="A206" s="142"/>
      <c r="B206" s="142"/>
    </row>
    <row r="207">
      <c r="A207" s="142"/>
      <c r="B207" s="142"/>
    </row>
    <row r="208">
      <c r="A208" s="142"/>
      <c r="B208" s="142"/>
    </row>
    <row r="209">
      <c r="A209" s="142"/>
      <c r="B209" s="142"/>
    </row>
    <row r="210">
      <c r="A210" s="142"/>
      <c r="B210" s="142"/>
    </row>
    <row r="211">
      <c r="A211" s="142"/>
      <c r="B211" s="142"/>
    </row>
    <row r="212">
      <c r="A212" s="142"/>
      <c r="B212" s="142"/>
    </row>
    <row r="213">
      <c r="A213" s="142"/>
      <c r="B213" s="142"/>
    </row>
    <row r="214">
      <c r="A214" s="142"/>
      <c r="B214" s="142"/>
    </row>
    <row r="215">
      <c r="A215" s="142"/>
      <c r="B215" s="142"/>
    </row>
    <row r="216">
      <c r="A216" s="142"/>
      <c r="B216" s="142"/>
    </row>
    <row r="217">
      <c r="A217" s="142"/>
      <c r="B217" s="142"/>
    </row>
    <row r="218">
      <c r="A218" s="142"/>
      <c r="B218" s="142"/>
    </row>
    <row r="219">
      <c r="A219" s="142"/>
      <c r="B219" s="142"/>
    </row>
    <row r="220">
      <c r="A220" s="142"/>
      <c r="B220" s="142"/>
    </row>
    <row r="221">
      <c r="A221" s="142"/>
      <c r="B221" s="142"/>
    </row>
    <row r="222">
      <c r="A222" s="142"/>
      <c r="B222" s="142"/>
    </row>
    <row r="223">
      <c r="A223" s="142"/>
      <c r="B223" s="142"/>
    </row>
    <row r="224">
      <c r="A224" s="142"/>
      <c r="B224" s="142"/>
    </row>
    <row r="225">
      <c r="A225" s="142"/>
      <c r="B225" s="142"/>
    </row>
    <row r="226">
      <c r="A226" s="142"/>
      <c r="B226" s="142"/>
    </row>
    <row r="227">
      <c r="A227" s="142"/>
      <c r="B227" s="142"/>
    </row>
    <row r="228">
      <c r="A228" s="142"/>
      <c r="B228" s="142"/>
    </row>
    <row r="229">
      <c r="A229" s="142"/>
      <c r="B229" s="142"/>
    </row>
    <row r="230">
      <c r="A230" s="142"/>
      <c r="B230" s="142"/>
    </row>
    <row r="231">
      <c r="A231" s="142"/>
      <c r="B231" s="142"/>
    </row>
    <row r="232">
      <c r="A232" s="142"/>
      <c r="B232" s="142"/>
    </row>
    <row r="233">
      <c r="A233" s="142"/>
      <c r="B233" s="142"/>
    </row>
    <row r="234">
      <c r="A234" s="142"/>
      <c r="B234" s="142"/>
    </row>
    <row r="235">
      <c r="A235" s="142"/>
      <c r="B235" s="142"/>
    </row>
    <row r="236">
      <c r="A236" s="142"/>
      <c r="B236" s="142"/>
    </row>
    <row r="237">
      <c r="A237" s="142"/>
      <c r="B237" s="142"/>
    </row>
    <row r="238">
      <c r="A238" s="142"/>
      <c r="B238" s="142"/>
    </row>
    <row r="239">
      <c r="A239" s="142"/>
      <c r="B239" s="142"/>
    </row>
    <row r="240">
      <c r="A240" s="142"/>
      <c r="B240" s="142"/>
    </row>
    <row r="241">
      <c r="A241" s="142"/>
      <c r="B241" s="142"/>
    </row>
    <row r="242">
      <c r="A242" s="142"/>
      <c r="B242" s="142"/>
    </row>
    <row r="243">
      <c r="A243" s="142"/>
      <c r="B243" s="142"/>
    </row>
    <row r="244">
      <c r="A244" s="142"/>
      <c r="B244" s="142"/>
    </row>
    <row r="245">
      <c r="A245" s="142"/>
      <c r="B245" s="142"/>
    </row>
    <row r="246">
      <c r="A246" s="142"/>
      <c r="B246" s="142"/>
    </row>
    <row r="247">
      <c r="A247" s="142"/>
      <c r="B247" s="142"/>
    </row>
    <row r="248">
      <c r="A248" s="142"/>
      <c r="B248" s="142"/>
    </row>
    <row r="249">
      <c r="A249" s="142"/>
      <c r="B249" s="142"/>
    </row>
    <row r="250">
      <c r="A250" s="142"/>
      <c r="B250" s="142"/>
    </row>
    <row r="251">
      <c r="A251" s="142"/>
      <c r="B251" s="142"/>
    </row>
    <row r="252">
      <c r="A252" s="142"/>
      <c r="B252" s="142"/>
    </row>
    <row r="253">
      <c r="A253" s="142"/>
      <c r="B253" s="142"/>
    </row>
    <row r="254">
      <c r="A254" s="142"/>
      <c r="B254" s="142"/>
    </row>
    <row r="255">
      <c r="A255" s="142"/>
      <c r="B255" s="142"/>
    </row>
    <row r="256">
      <c r="A256" s="142"/>
      <c r="B256" s="142"/>
    </row>
    <row r="257">
      <c r="A257" s="142"/>
      <c r="B257" s="142"/>
    </row>
    <row r="258">
      <c r="A258" s="142"/>
      <c r="B258" s="142"/>
    </row>
    <row r="259">
      <c r="A259" s="142"/>
      <c r="B259" s="142"/>
    </row>
    <row r="260">
      <c r="A260" s="142"/>
      <c r="B260" s="142"/>
    </row>
    <row r="261">
      <c r="A261" s="142"/>
      <c r="B261" s="142"/>
    </row>
    <row r="262">
      <c r="A262" s="142"/>
      <c r="B262" s="142"/>
    </row>
    <row r="263">
      <c r="A263" s="142"/>
      <c r="B263" s="142"/>
    </row>
    <row r="264">
      <c r="A264" s="142"/>
      <c r="B264" s="142"/>
    </row>
    <row r="265">
      <c r="A265" s="142"/>
      <c r="B265" s="142"/>
    </row>
    <row r="266">
      <c r="A266" s="142"/>
      <c r="B266" s="142"/>
    </row>
    <row r="267">
      <c r="A267" s="142"/>
      <c r="B267" s="142"/>
    </row>
    <row r="268">
      <c r="A268" s="142"/>
      <c r="B268" s="142"/>
    </row>
    <row r="269">
      <c r="A269" s="142"/>
      <c r="B269" s="142"/>
    </row>
    <row r="270">
      <c r="A270" s="142"/>
      <c r="B270" s="142"/>
    </row>
    <row r="271">
      <c r="A271" s="142"/>
      <c r="B271" s="142"/>
    </row>
    <row r="272">
      <c r="A272" s="142"/>
      <c r="B272" s="142"/>
    </row>
    <row r="273">
      <c r="A273" s="142"/>
      <c r="B273" s="142"/>
    </row>
    <row r="274">
      <c r="A274" s="142"/>
      <c r="B274" s="142"/>
    </row>
    <row r="275">
      <c r="A275" s="142"/>
      <c r="B275" s="142"/>
    </row>
    <row r="276">
      <c r="A276" s="142"/>
      <c r="B276" s="142"/>
    </row>
    <row r="277">
      <c r="A277" s="142"/>
      <c r="B277" s="142"/>
    </row>
    <row r="278">
      <c r="A278" s="142"/>
      <c r="B278" s="142"/>
    </row>
    <row r="279">
      <c r="A279" s="142"/>
      <c r="B279" s="142"/>
    </row>
    <row r="280">
      <c r="A280" s="142"/>
      <c r="B280" s="142"/>
    </row>
    <row r="281">
      <c r="A281" s="142"/>
      <c r="B281" s="142"/>
    </row>
    <row r="282">
      <c r="A282" s="142"/>
      <c r="B282" s="142"/>
    </row>
    <row r="283">
      <c r="A283" s="142"/>
      <c r="B283" s="142"/>
    </row>
    <row r="284">
      <c r="A284" s="142"/>
      <c r="B284" s="142"/>
    </row>
    <row r="285">
      <c r="A285" s="142"/>
      <c r="B285" s="142"/>
    </row>
    <row r="286">
      <c r="A286" s="142"/>
      <c r="B286" s="142"/>
    </row>
    <row r="287">
      <c r="A287" s="142"/>
      <c r="B287" s="142"/>
    </row>
    <row r="288">
      <c r="A288" s="142"/>
      <c r="B288" s="142"/>
    </row>
    <row r="289">
      <c r="A289" s="142"/>
      <c r="B289" s="142"/>
    </row>
    <row r="290">
      <c r="A290" s="142"/>
      <c r="B290" s="142"/>
    </row>
    <row r="291">
      <c r="A291" s="142"/>
      <c r="B291" s="142"/>
    </row>
    <row r="292">
      <c r="A292" s="142"/>
      <c r="B292" s="142"/>
    </row>
    <row r="293">
      <c r="A293" s="142"/>
      <c r="B293" s="142"/>
    </row>
    <row r="294">
      <c r="A294" s="142"/>
      <c r="B294" s="142"/>
    </row>
    <row r="295">
      <c r="A295" s="142"/>
      <c r="B295" s="142"/>
    </row>
    <row r="296">
      <c r="A296" s="142"/>
      <c r="B296" s="142"/>
    </row>
    <row r="297">
      <c r="A297" s="142"/>
      <c r="B297" s="142"/>
    </row>
    <row r="298">
      <c r="A298" s="142"/>
      <c r="B298" s="142"/>
    </row>
    <row r="299">
      <c r="A299" s="142"/>
      <c r="B299" s="142"/>
    </row>
    <row r="300">
      <c r="A300" s="142"/>
      <c r="B300" s="142"/>
    </row>
    <row r="301">
      <c r="A301" s="142"/>
      <c r="B301" s="142"/>
    </row>
    <row r="302">
      <c r="A302" s="142"/>
      <c r="B302" s="142"/>
    </row>
    <row r="303">
      <c r="A303" s="142"/>
      <c r="B303" s="142"/>
    </row>
    <row r="304">
      <c r="A304" s="142"/>
      <c r="B304" s="142"/>
    </row>
    <row r="305">
      <c r="A305" s="142"/>
      <c r="B305" s="142"/>
    </row>
    <row r="306">
      <c r="A306" s="142"/>
      <c r="B306" s="142"/>
    </row>
    <row r="307">
      <c r="A307" s="142"/>
      <c r="B307" s="142"/>
    </row>
    <row r="308">
      <c r="A308" s="142"/>
      <c r="B308" s="142"/>
    </row>
    <row r="309">
      <c r="A309" s="142"/>
      <c r="B309" s="142"/>
    </row>
    <row r="310">
      <c r="A310" s="142"/>
      <c r="B310" s="142"/>
    </row>
    <row r="311">
      <c r="A311" s="142"/>
      <c r="B311" s="142"/>
    </row>
    <row r="312">
      <c r="A312" s="142"/>
      <c r="B312" s="142"/>
    </row>
    <row r="313">
      <c r="A313" s="142"/>
      <c r="B313" s="142"/>
    </row>
    <row r="314">
      <c r="A314" s="142"/>
      <c r="B314" s="142"/>
    </row>
    <row r="315">
      <c r="A315" s="142"/>
      <c r="B315" s="142"/>
    </row>
    <row r="316">
      <c r="A316" s="142"/>
      <c r="B316" s="142"/>
    </row>
    <row r="317">
      <c r="A317" s="142"/>
      <c r="B317" s="142"/>
    </row>
    <row r="318">
      <c r="A318" s="142"/>
      <c r="B318" s="142"/>
    </row>
    <row r="319">
      <c r="A319" s="142"/>
      <c r="B319" s="142"/>
    </row>
    <row r="320">
      <c r="A320" s="142"/>
      <c r="B320" s="142"/>
    </row>
    <row r="321">
      <c r="A321" s="142"/>
      <c r="B321" s="142"/>
    </row>
    <row r="322">
      <c r="A322" s="142"/>
      <c r="B322" s="142"/>
    </row>
    <row r="323">
      <c r="A323" s="142"/>
      <c r="B323" s="142"/>
    </row>
    <row r="324">
      <c r="A324" s="142"/>
      <c r="B324" s="142"/>
    </row>
    <row r="325">
      <c r="A325" s="142"/>
      <c r="B325" s="142"/>
    </row>
    <row r="326">
      <c r="A326" s="142"/>
      <c r="B326" s="142"/>
    </row>
    <row r="327">
      <c r="A327" s="142"/>
      <c r="B327" s="142"/>
    </row>
    <row r="328">
      <c r="A328" s="142"/>
      <c r="B328" s="142"/>
    </row>
    <row r="329">
      <c r="A329" s="142"/>
      <c r="B329" s="142"/>
    </row>
    <row r="330">
      <c r="A330" s="142"/>
      <c r="B330" s="142"/>
    </row>
    <row r="331">
      <c r="A331" s="142"/>
      <c r="B331" s="142"/>
    </row>
    <row r="332">
      <c r="A332" s="142"/>
      <c r="B332" s="142"/>
    </row>
    <row r="333">
      <c r="A333" s="142"/>
      <c r="B333" s="142"/>
    </row>
    <row r="334">
      <c r="A334" s="142"/>
      <c r="B334" s="142"/>
    </row>
    <row r="335">
      <c r="A335" s="142"/>
      <c r="B335" s="142"/>
    </row>
    <row r="336">
      <c r="A336" s="142"/>
      <c r="B336" s="142"/>
    </row>
    <row r="337">
      <c r="A337" s="142"/>
      <c r="B337" s="142"/>
    </row>
    <row r="338">
      <c r="A338" s="142"/>
      <c r="B338" s="142"/>
    </row>
    <row r="339">
      <c r="A339" s="142"/>
      <c r="B339" s="142"/>
    </row>
    <row r="340">
      <c r="A340" s="142"/>
      <c r="B340" s="142"/>
    </row>
    <row r="341">
      <c r="A341" s="142"/>
      <c r="B341" s="142"/>
    </row>
    <row r="342">
      <c r="A342" s="142"/>
      <c r="B342" s="142"/>
    </row>
    <row r="343">
      <c r="A343" s="142"/>
      <c r="B343" s="142"/>
    </row>
    <row r="344">
      <c r="A344" s="142"/>
      <c r="B344" s="142"/>
    </row>
    <row r="345">
      <c r="A345" s="142"/>
      <c r="B345" s="142"/>
    </row>
    <row r="346">
      <c r="A346" s="142"/>
      <c r="B346" s="142"/>
    </row>
    <row r="347">
      <c r="A347" s="142"/>
      <c r="B347" s="142"/>
    </row>
    <row r="348">
      <c r="A348" s="142"/>
      <c r="B348" s="142"/>
    </row>
    <row r="349">
      <c r="A349" s="142"/>
      <c r="B349" s="142"/>
    </row>
    <row r="350">
      <c r="A350" s="142"/>
      <c r="B350" s="142"/>
    </row>
    <row r="351">
      <c r="A351" s="142"/>
      <c r="B351" s="142"/>
    </row>
    <row r="352">
      <c r="A352" s="142"/>
      <c r="B352" s="142"/>
    </row>
    <row r="353">
      <c r="A353" s="142"/>
      <c r="B353" s="142"/>
    </row>
    <row r="354">
      <c r="A354" s="142"/>
      <c r="B354" s="142"/>
    </row>
    <row r="355">
      <c r="A355" s="142"/>
      <c r="B355" s="142"/>
    </row>
    <row r="356">
      <c r="A356" s="142"/>
      <c r="B356" s="142"/>
    </row>
    <row r="357">
      <c r="A357" s="142"/>
      <c r="B357" s="142"/>
    </row>
    <row r="358">
      <c r="A358" s="142"/>
      <c r="B358" s="142"/>
    </row>
    <row r="359">
      <c r="A359" s="142"/>
      <c r="B359" s="142"/>
    </row>
    <row r="360">
      <c r="A360" s="142"/>
      <c r="B360" s="142"/>
    </row>
    <row r="361">
      <c r="A361" s="142"/>
      <c r="B361" s="142"/>
    </row>
    <row r="362">
      <c r="A362" s="142"/>
      <c r="B362" s="142"/>
    </row>
    <row r="363">
      <c r="A363" s="142"/>
      <c r="B363" s="142"/>
    </row>
    <row r="364">
      <c r="A364" s="142"/>
      <c r="B364" s="142"/>
    </row>
    <row r="365">
      <c r="A365" s="142"/>
      <c r="B365" s="142"/>
    </row>
    <row r="366">
      <c r="A366" s="142"/>
      <c r="B366" s="142"/>
    </row>
    <row r="367">
      <c r="A367" s="142"/>
      <c r="B367" s="142"/>
    </row>
    <row r="368">
      <c r="A368" s="142"/>
      <c r="B368" s="142"/>
    </row>
    <row r="369">
      <c r="A369" s="142"/>
      <c r="B369" s="142"/>
    </row>
    <row r="370">
      <c r="A370" s="142"/>
      <c r="B370" s="142"/>
    </row>
    <row r="371">
      <c r="A371" s="142"/>
      <c r="B371" s="142"/>
    </row>
    <row r="372">
      <c r="A372" s="142"/>
      <c r="B372" s="142"/>
    </row>
    <row r="373">
      <c r="A373" s="142"/>
      <c r="B373" s="142"/>
    </row>
    <row r="374">
      <c r="A374" s="142"/>
      <c r="B374" s="142"/>
    </row>
    <row r="375">
      <c r="A375" s="142"/>
      <c r="B375" s="142"/>
    </row>
    <row r="376">
      <c r="A376" s="142"/>
      <c r="B376" s="142"/>
    </row>
    <row r="377">
      <c r="A377" s="142"/>
      <c r="B377" s="142"/>
    </row>
    <row r="378">
      <c r="A378" s="142"/>
      <c r="B378" s="142"/>
    </row>
    <row r="379">
      <c r="A379" s="142"/>
      <c r="B379" s="142"/>
    </row>
    <row r="380">
      <c r="A380" s="142"/>
      <c r="B380" s="142"/>
    </row>
    <row r="381">
      <c r="A381" s="142"/>
      <c r="B381" s="142"/>
    </row>
    <row r="382">
      <c r="A382" s="142"/>
      <c r="B382" s="142"/>
    </row>
    <row r="383">
      <c r="A383" s="142"/>
      <c r="B383" s="142"/>
    </row>
    <row r="384">
      <c r="A384" s="142"/>
      <c r="B384" s="142"/>
    </row>
    <row r="385">
      <c r="A385" s="142"/>
      <c r="B385" s="142"/>
    </row>
    <row r="386">
      <c r="A386" s="142"/>
      <c r="B386" s="142"/>
    </row>
    <row r="387">
      <c r="A387" s="142"/>
      <c r="B387" s="142"/>
    </row>
    <row r="388">
      <c r="A388" s="142"/>
      <c r="B388" s="142"/>
    </row>
    <row r="389">
      <c r="A389" s="142"/>
      <c r="B389" s="142"/>
    </row>
    <row r="390">
      <c r="A390" s="142"/>
      <c r="B390" s="142"/>
    </row>
    <row r="391">
      <c r="A391" s="142"/>
      <c r="B391" s="142"/>
    </row>
    <row r="392">
      <c r="A392" s="142"/>
      <c r="B392" s="142"/>
    </row>
    <row r="393">
      <c r="A393" s="142"/>
      <c r="B393" s="142"/>
    </row>
    <row r="394">
      <c r="A394" s="142"/>
      <c r="B394" s="142"/>
    </row>
    <row r="395">
      <c r="A395" s="142"/>
      <c r="B395" s="142"/>
    </row>
    <row r="396">
      <c r="A396" s="142"/>
      <c r="B396" s="142"/>
    </row>
    <row r="397">
      <c r="A397" s="142"/>
      <c r="B397" s="142"/>
    </row>
    <row r="398">
      <c r="A398" s="142"/>
      <c r="B398" s="142"/>
    </row>
    <row r="399">
      <c r="A399" s="142"/>
      <c r="B399" s="142"/>
    </row>
    <row r="400">
      <c r="A400" s="142"/>
      <c r="B400" s="142"/>
    </row>
    <row r="401">
      <c r="A401" s="142"/>
      <c r="B401" s="142"/>
    </row>
    <row r="402">
      <c r="A402" s="142"/>
      <c r="B402" s="142"/>
    </row>
    <row r="403">
      <c r="A403" s="142"/>
      <c r="B403" s="142"/>
    </row>
    <row r="404">
      <c r="A404" s="142"/>
      <c r="B404" s="142"/>
    </row>
    <row r="405">
      <c r="A405" s="142"/>
      <c r="B405" s="142"/>
    </row>
    <row r="406">
      <c r="A406" s="142"/>
      <c r="B406" s="142"/>
    </row>
    <row r="407">
      <c r="A407" s="142"/>
      <c r="B407" s="142"/>
    </row>
    <row r="408">
      <c r="A408" s="142"/>
      <c r="B408" s="142"/>
    </row>
    <row r="409">
      <c r="A409" s="142"/>
      <c r="B409" s="142"/>
    </row>
    <row r="410">
      <c r="A410" s="142"/>
      <c r="B410" s="142"/>
    </row>
    <row r="411">
      <c r="A411" s="142"/>
      <c r="B411" s="142"/>
    </row>
    <row r="412">
      <c r="A412" s="142"/>
      <c r="B412" s="142"/>
    </row>
    <row r="413">
      <c r="A413" s="142"/>
      <c r="B413" s="142"/>
    </row>
    <row r="414">
      <c r="A414" s="142"/>
      <c r="B414" s="142"/>
    </row>
    <row r="415">
      <c r="A415" s="142"/>
      <c r="B415" s="142"/>
    </row>
    <row r="416">
      <c r="A416" s="142"/>
      <c r="B416" s="142"/>
    </row>
    <row r="417">
      <c r="A417" s="142"/>
      <c r="B417" s="142"/>
    </row>
    <row r="418">
      <c r="A418" s="142"/>
      <c r="B418" s="142"/>
    </row>
    <row r="419">
      <c r="A419" s="142"/>
      <c r="B419" s="142"/>
    </row>
    <row r="420">
      <c r="A420" s="142"/>
      <c r="B420" s="142"/>
    </row>
    <row r="421">
      <c r="A421" s="142"/>
      <c r="B421" s="142"/>
    </row>
    <row r="422">
      <c r="A422" s="142"/>
      <c r="B422" s="142"/>
    </row>
    <row r="423">
      <c r="A423" s="142"/>
      <c r="B423" s="142"/>
    </row>
    <row r="424">
      <c r="A424" s="142"/>
      <c r="B424" s="142"/>
    </row>
    <row r="425">
      <c r="A425" s="142"/>
      <c r="B425" s="142"/>
    </row>
    <row r="426">
      <c r="A426" s="142"/>
      <c r="B426" s="142"/>
    </row>
    <row r="427">
      <c r="A427" s="142"/>
      <c r="B427" s="142"/>
    </row>
    <row r="428">
      <c r="A428" s="142"/>
      <c r="B428" s="142"/>
    </row>
    <row r="429">
      <c r="A429" s="142"/>
      <c r="B429" s="142"/>
    </row>
    <row r="430">
      <c r="A430" s="142"/>
      <c r="B430" s="142"/>
    </row>
    <row r="431">
      <c r="A431" s="142"/>
      <c r="B431" s="142"/>
    </row>
    <row r="432">
      <c r="A432" s="142"/>
      <c r="B432" s="142"/>
    </row>
    <row r="433">
      <c r="A433" s="142"/>
      <c r="B433" s="142"/>
    </row>
    <row r="434">
      <c r="A434" s="142"/>
      <c r="B434" s="142"/>
    </row>
    <row r="435">
      <c r="A435" s="142"/>
      <c r="B435" s="142"/>
    </row>
    <row r="436">
      <c r="A436" s="142"/>
      <c r="B436" s="142"/>
    </row>
    <row r="437">
      <c r="A437" s="142"/>
      <c r="B437" s="142"/>
    </row>
    <row r="438">
      <c r="A438" s="142"/>
      <c r="B438" s="142"/>
    </row>
    <row r="439">
      <c r="A439" s="142"/>
      <c r="B439" s="142"/>
    </row>
    <row r="440">
      <c r="A440" s="142"/>
      <c r="B440" s="142"/>
    </row>
    <row r="441">
      <c r="A441" s="142"/>
      <c r="B441" s="142"/>
    </row>
    <row r="442">
      <c r="A442" s="142"/>
      <c r="B442" s="142"/>
    </row>
    <row r="443">
      <c r="A443" s="142"/>
      <c r="B443" s="142"/>
    </row>
    <row r="444">
      <c r="A444" s="142"/>
      <c r="B444" s="142"/>
    </row>
    <row r="445">
      <c r="A445" s="142"/>
      <c r="B445" s="142"/>
    </row>
    <row r="446">
      <c r="A446" s="142"/>
      <c r="B446" s="142"/>
    </row>
    <row r="447">
      <c r="A447" s="142"/>
      <c r="B447" s="142"/>
    </row>
    <row r="448">
      <c r="A448" s="142"/>
      <c r="B448" s="142"/>
    </row>
    <row r="449">
      <c r="A449" s="142"/>
      <c r="B449" s="142"/>
    </row>
    <row r="450">
      <c r="A450" s="142"/>
      <c r="B450" s="142"/>
    </row>
    <row r="451">
      <c r="A451" s="142"/>
      <c r="B451" s="142"/>
    </row>
    <row r="452">
      <c r="A452" s="142"/>
      <c r="B452" s="142"/>
    </row>
    <row r="453">
      <c r="A453" s="142"/>
      <c r="B453" s="142"/>
    </row>
    <row r="454">
      <c r="A454" s="142"/>
      <c r="B454" s="142"/>
    </row>
    <row r="455">
      <c r="A455" s="142"/>
      <c r="B455" s="142"/>
    </row>
    <row r="456">
      <c r="A456" s="142"/>
      <c r="B456" s="142"/>
    </row>
    <row r="457">
      <c r="A457" s="142"/>
      <c r="B457" s="142"/>
    </row>
    <row r="458">
      <c r="A458" s="142"/>
      <c r="B458" s="142"/>
    </row>
    <row r="459">
      <c r="A459" s="142"/>
      <c r="B459" s="142"/>
    </row>
    <row r="460">
      <c r="A460" s="142"/>
      <c r="B460" s="142"/>
    </row>
    <row r="461">
      <c r="A461" s="142"/>
      <c r="B461" s="142"/>
    </row>
    <row r="462">
      <c r="A462" s="142"/>
      <c r="B462" s="142"/>
    </row>
    <row r="463">
      <c r="A463" s="142"/>
      <c r="B463" s="142"/>
    </row>
    <row r="464">
      <c r="A464" s="142"/>
      <c r="B464" s="142"/>
    </row>
    <row r="465">
      <c r="A465" s="142"/>
      <c r="B465" s="142"/>
    </row>
    <row r="466">
      <c r="A466" s="142"/>
      <c r="B466" s="142"/>
    </row>
    <row r="467">
      <c r="A467" s="142"/>
      <c r="B467" s="142"/>
    </row>
    <row r="468">
      <c r="A468" s="142"/>
      <c r="B468" s="142"/>
    </row>
    <row r="469">
      <c r="A469" s="142"/>
      <c r="B469" s="142"/>
    </row>
    <row r="470">
      <c r="A470" s="142"/>
      <c r="B470" s="142"/>
    </row>
    <row r="471">
      <c r="A471" s="142"/>
      <c r="B471" s="142"/>
    </row>
    <row r="472">
      <c r="A472" s="142"/>
      <c r="B472" s="142"/>
    </row>
    <row r="473">
      <c r="A473" s="142"/>
      <c r="B473" s="142"/>
    </row>
    <row r="474">
      <c r="A474" s="142"/>
      <c r="B474" s="142"/>
    </row>
    <row r="475">
      <c r="A475" s="142"/>
      <c r="B475" s="142"/>
    </row>
    <row r="476">
      <c r="A476" s="142"/>
      <c r="B476" s="142"/>
    </row>
    <row r="477">
      <c r="A477" s="142"/>
      <c r="B477" s="142"/>
    </row>
    <row r="478">
      <c r="A478" s="142"/>
      <c r="B478" s="142"/>
    </row>
    <row r="479">
      <c r="A479" s="142"/>
      <c r="B479" s="142"/>
    </row>
    <row r="480">
      <c r="A480" s="142"/>
      <c r="B480" s="142"/>
    </row>
    <row r="481">
      <c r="A481" s="142"/>
      <c r="B481" s="142"/>
    </row>
    <row r="482">
      <c r="A482" s="142"/>
      <c r="B482" s="142"/>
    </row>
    <row r="483">
      <c r="A483" s="142"/>
      <c r="B483" s="142"/>
    </row>
    <row r="484">
      <c r="A484" s="142"/>
      <c r="B484" s="142"/>
    </row>
    <row r="485">
      <c r="A485" s="142"/>
      <c r="B485" s="142"/>
    </row>
    <row r="486">
      <c r="A486" s="142"/>
      <c r="B486" s="142"/>
    </row>
    <row r="487">
      <c r="A487" s="142"/>
      <c r="B487" s="142"/>
    </row>
    <row r="488">
      <c r="A488" s="142"/>
      <c r="B488" s="142"/>
    </row>
    <row r="489">
      <c r="A489" s="142"/>
      <c r="B489" s="142"/>
    </row>
    <row r="490">
      <c r="A490" s="142"/>
      <c r="B490" s="142"/>
    </row>
    <row r="491">
      <c r="A491" s="142"/>
      <c r="B491" s="142"/>
    </row>
    <row r="492">
      <c r="A492" s="142"/>
      <c r="B492" s="142"/>
    </row>
    <row r="493">
      <c r="A493" s="142"/>
      <c r="B493" s="142"/>
    </row>
    <row r="494">
      <c r="A494" s="142"/>
      <c r="B494" s="142"/>
    </row>
    <row r="495">
      <c r="A495" s="142"/>
      <c r="B495" s="142"/>
    </row>
    <row r="496">
      <c r="A496" s="142"/>
      <c r="B496" s="142"/>
    </row>
    <row r="497">
      <c r="A497" s="142"/>
      <c r="B497" s="142"/>
    </row>
    <row r="498">
      <c r="A498" s="142"/>
      <c r="B498" s="142"/>
    </row>
    <row r="499">
      <c r="A499" s="142"/>
      <c r="B499" s="142"/>
    </row>
    <row r="500">
      <c r="A500" s="142"/>
      <c r="B500" s="142"/>
    </row>
    <row r="501">
      <c r="A501" s="142"/>
      <c r="B501" s="142"/>
    </row>
    <row r="502">
      <c r="A502" s="142"/>
      <c r="B502" s="142"/>
    </row>
    <row r="503">
      <c r="A503" s="142"/>
      <c r="B503" s="142"/>
    </row>
    <row r="504">
      <c r="A504" s="142"/>
      <c r="B504" s="142"/>
    </row>
    <row r="505">
      <c r="A505" s="142"/>
      <c r="B505" s="142"/>
    </row>
    <row r="506">
      <c r="A506" s="142"/>
      <c r="B506" s="142"/>
    </row>
    <row r="507">
      <c r="A507" s="142"/>
      <c r="B507" s="142"/>
    </row>
    <row r="508">
      <c r="A508" s="142"/>
      <c r="B508" s="142"/>
    </row>
    <row r="509">
      <c r="A509" s="142"/>
      <c r="B509" s="142"/>
    </row>
    <row r="510">
      <c r="A510" s="142"/>
      <c r="B510" s="142"/>
    </row>
    <row r="511">
      <c r="A511" s="142"/>
      <c r="B511" s="142"/>
    </row>
    <row r="512">
      <c r="A512" s="142"/>
      <c r="B512" s="142"/>
    </row>
    <row r="513">
      <c r="A513" s="142"/>
      <c r="B513" s="142"/>
    </row>
    <row r="514">
      <c r="A514" s="142"/>
      <c r="B514" s="142"/>
    </row>
    <row r="515">
      <c r="A515" s="142"/>
      <c r="B515" s="142"/>
    </row>
    <row r="516">
      <c r="A516" s="142"/>
      <c r="B516" s="142"/>
    </row>
    <row r="517">
      <c r="A517" s="142"/>
      <c r="B517" s="142"/>
    </row>
    <row r="518">
      <c r="A518" s="142"/>
      <c r="B518" s="142"/>
    </row>
    <row r="519">
      <c r="A519" s="142"/>
      <c r="B519" s="142"/>
    </row>
    <row r="520">
      <c r="A520" s="142"/>
      <c r="B520" s="142"/>
    </row>
    <row r="521">
      <c r="A521" s="142"/>
      <c r="B521" s="142"/>
    </row>
    <row r="522">
      <c r="A522" s="142"/>
      <c r="B522" s="142"/>
    </row>
    <row r="523">
      <c r="A523" s="142"/>
      <c r="B523" s="142"/>
    </row>
    <row r="524">
      <c r="A524" s="142"/>
      <c r="B524" s="142"/>
    </row>
    <row r="525">
      <c r="A525" s="142"/>
      <c r="B525" s="142"/>
    </row>
    <row r="526">
      <c r="A526" s="142"/>
      <c r="B526" s="142"/>
    </row>
    <row r="527">
      <c r="A527" s="142"/>
      <c r="B527" s="142"/>
    </row>
    <row r="528">
      <c r="A528" s="142"/>
      <c r="B528" s="142"/>
    </row>
    <row r="529">
      <c r="A529" s="142"/>
      <c r="B529" s="142"/>
    </row>
    <row r="530">
      <c r="A530" s="142"/>
      <c r="B530" s="142"/>
    </row>
    <row r="531">
      <c r="A531" s="142"/>
      <c r="B531" s="142"/>
    </row>
    <row r="532">
      <c r="A532" s="142"/>
      <c r="B532" s="142"/>
    </row>
    <row r="533">
      <c r="A533" s="142"/>
      <c r="B533" s="142"/>
    </row>
    <row r="534">
      <c r="A534" s="142"/>
      <c r="B534" s="142"/>
    </row>
    <row r="535">
      <c r="A535" s="142"/>
      <c r="B535" s="142"/>
    </row>
    <row r="536">
      <c r="A536" s="142"/>
      <c r="B536" s="142"/>
    </row>
    <row r="537">
      <c r="A537" s="142"/>
      <c r="B537" s="142"/>
    </row>
    <row r="538">
      <c r="A538" s="142"/>
      <c r="B538" s="142"/>
    </row>
    <row r="539">
      <c r="A539" s="142"/>
      <c r="B539" s="142"/>
    </row>
    <row r="540">
      <c r="A540" s="142"/>
      <c r="B540" s="142"/>
    </row>
    <row r="541">
      <c r="A541" s="142"/>
      <c r="B541" s="142"/>
    </row>
    <row r="542">
      <c r="A542" s="142"/>
      <c r="B542" s="142"/>
    </row>
    <row r="543">
      <c r="A543" s="142"/>
      <c r="B543" s="142"/>
    </row>
    <row r="544">
      <c r="A544" s="142"/>
      <c r="B544" s="142"/>
    </row>
    <row r="545">
      <c r="A545" s="142"/>
      <c r="B545" s="142"/>
    </row>
    <row r="546">
      <c r="A546" s="142"/>
      <c r="B546" s="142"/>
    </row>
    <row r="547">
      <c r="A547" s="142"/>
      <c r="B547" s="142"/>
    </row>
    <row r="548">
      <c r="A548" s="142"/>
      <c r="B548" s="142"/>
    </row>
    <row r="549">
      <c r="A549" s="142"/>
      <c r="B549" s="142"/>
    </row>
    <row r="550">
      <c r="A550" s="142"/>
      <c r="B550" s="142"/>
    </row>
    <row r="551">
      <c r="A551" s="142"/>
      <c r="B551" s="142"/>
    </row>
    <row r="552">
      <c r="A552" s="142"/>
      <c r="B552" s="142"/>
    </row>
    <row r="553">
      <c r="A553" s="142"/>
      <c r="B553" s="142"/>
    </row>
    <row r="554">
      <c r="A554" s="142"/>
      <c r="B554" s="142"/>
    </row>
    <row r="555">
      <c r="A555" s="142"/>
      <c r="B555" s="142"/>
    </row>
    <row r="556">
      <c r="A556" s="142"/>
      <c r="B556" s="142"/>
    </row>
    <row r="557">
      <c r="A557" s="142"/>
      <c r="B557" s="142"/>
    </row>
    <row r="558">
      <c r="A558" s="142"/>
      <c r="B558" s="142"/>
    </row>
    <row r="559">
      <c r="A559" s="142"/>
      <c r="B559" s="142"/>
    </row>
    <row r="560">
      <c r="A560" s="142"/>
      <c r="B560" s="142"/>
    </row>
    <row r="561">
      <c r="A561" s="142"/>
      <c r="B561" s="142"/>
    </row>
    <row r="562">
      <c r="A562" s="142"/>
      <c r="B562" s="142"/>
    </row>
    <row r="563">
      <c r="A563" s="142"/>
      <c r="B563" s="142"/>
    </row>
    <row r="564">
      <c r="A564" s="142"/>
      <c r="B564" s="142"/>
    </row>
    <row r="565">
      <c r="A565" s="142"/>
      <c r="B565" s="142"/>
    </row>
    <row r="566">
      <c r="A566" s="142"/>
      <c r="B566" s="142"/>
    </row>
    <row r="567">
      <c r="A567" s="142"/>
      <c r="B567" s="142"/>
    </row>
    <row r="568">
      <c r="A568" s="142"/>
      <c r="B568" s="142"/>
    </row>
    <row r="569">
      <c r="A569" s="142"/>
      <c r="B569" s="142"/>
    </row>
    <row r="570">
      <c r="A570" s="142"/>
      <c r="B570" s="142"/>
    </row>
    <row r="571">
      <c r="A571" s="142"/>
      <c r="B571" s="142"/>
    </row>
    <row r="572">
      <c r="A572" s="142"/>
      <c r="B572" s="142"/>
    </row>
    <row r="573">
      <c r="A573" s="142"/>
      <c r="B573" s="142"/>
    </row>
    <row r="574">
      <c r="A574" s="142"/>
      <c r="B574" s="142"/>
    </row>
    <row r="575">
      <c r="A575" s="142"/>
      <c r="B575" s="142"/>
    </row>
    <row r="576">
      <c r="A576" s="142"/>
      <c r="B576" s="142"/>
    </row>
    <row r="577">
      <c r="A577" s="142"/>
      <c r="B577" s="142"/>
    </row>
    <row r="578">
      <c r="A578" s="142"/>
      <c r="B578" s="142"/>
    </row>
    <row r="579">
      <c r="A579" s="142"/>
      <c r="B579" s="142"/>
    </row>
    <row r="580">
      <c r="A580" s="142"/>
      <c r="B580" s="142"/>
    </row>
    <row r="581">
      <c r="A581" s="142"/>
      <c r="B581" s="142"/>
    </row>
    <row r="582">
      <c r="A582" s="142"/>
      <c r="B582" s="142"/>
    </row>
    <row r="583">
      <c r="A583" s="142"/>
      <c r="B583" s="142"/>
    </row>
    <row r="584">
      <c r="A584" s="142"/>
      <c r="B584" s="142"/>
    </row>
    <row r="585">
      <c r="A585" s="142"/>
      <c r="B585" s="142"/>
    </row>
    <row r="586">
      <c r="A586" s="142"/>
      <c r="B586" s="142"/>
    </row>
    <row r="587">
      <c r="A587" s="142"/>
      <c r="B587" s="142"/>
    </row>
    <row r="588">
      <c r="A588" s="142"/>
      <c r="B588" s="142"/>
    </row>
    <row r="589">
      <c r="A589" s="142"/>
      <c r="B589" s="142"/>
    </row>
    <row r="590">
      <c r="A590" s="142"/>
      <c r="B590" s="142"/>
    </row>
    <row r="591">
      <c r="A591" s="142"/>
      <c r="B591" s="142"/>
    </row>
    <row r="592">
      <c r="A592" s="142"/>
      <c r="B592" s="142"/>
    </row>
    <row r="593">
      <c r="A593" s="142"/>
      <c r="B593" s="142"/>
    </row>
    <row r="594">
      <c r="A594" s="142"/>
      <c r="B594" s="142"/>
    </row>
    <row r="595">
      <c r="A595" s="142"/>
      <c r="B595" s="142"/>
    </row>
    <row r="596">
      <c r="A596" s="142"/>
      <c r="B596" s="142"/>
    </row>
    <row r="597">
      <c r="A597" s="142"/>
      <c r="B597" s="142"/>
    </row>
    <row r="598">
      <c r="A598" s="142"/>
      <c r="B598" s="142"/>
    </row>
    <row r="599">
      <c r="A599" s="142"/>
      <c r="B599" s="142"/>
    </row>
    <row r="600">
      <c r="A600" s="142"/>
      <c r="B600" s="142"/>
    </row>
    <row r="601">
      <c r="A601" s="142"/>
      <c r="B601" s="142"/>
    </row>
    <row r="602">
      <c r="A602" s="142"/>
      <c r="B602" s="142"/>
    </row>
    <row r="603">
      <c r="A603" s="142"/>
      <c r="B603" s="142"/>
    </row>
    <row r="604">
      <c r="A604" s="142"/>
      <c r="B604" s="142"/>
    </row>
    <row r="605">
      <c r="A605" s="142"/>
      <c r="B605" s="142"/>
    </row>
    <row r="606">
      <c r="A606" s="142"/>
      <c r="B606" s="142"/>
    </row>
    <row r="607">
      <c r="A607" s="142"/>
      <c r="B607" s="142"/>
    </row>
    <row r="608">
      <c r="A608" s="142"/>
      <c r="B608" s="142"/>
    </row>
    <row r="609">
      <c r="A609" s="142"/>
      <c r="B609" s="142"/>
    </row>
    <row r="610">
      <c r="A610" s="142"/>
      <c r="B610" s="142"/>
    </row>
    <row r="611">
      <c r="A611" s="142"/>
      <c r="B611" s="142"/>
    </row>
    <row r="612">
      <c r="A612" s="142"/>
      <c r="B612" s="142"/>
    </row>
    <row r="613">
      <c r="A613" s="142"/>
      <c r="B613" s="142"/>
    </row>
    <row r="614">
      <c r="A614" s="142"/>
      <c r="B614" s="142"/>
    </row>
    <row r="615">
      <c r="A615" s="142"/>
      <c r="B615" s="142"/>
    </row>
    <row r="616">
      <c r="A616" s="142"/>
      <c r="B616" s="142"/>
    </row>
    <row r="617">
      <c r="A617" s="142"/>
      <c r="B617" s="142"/>
    </row>
    <row r="618">
      <c r="A618" s="142"/>
      <c r="B618" s="142"/>
    </row>
    <row r="619">
      <c r="A619" s="142"/>
      <c r="B619" s="142"/>
    </row>
    <row r="620">
      <c r="A620" s="142"/>
      <c r="B620" s="142"/>
    </row>
    <row r="621">
      <c r="A621" s="142"/>
      <c r="B621" s="142"/>
    </row>
    <row r="622">
      <c r="A622" s="142"/>
      <c r="B622" s="142"/>
    </row>
    <row r="623">
      <c r="A623" s="142"/>
      <c r="B623" s="142"/>
    </row>
    <row r="624">
      <c r="A624" s="142"/>
      <c r="B624" s="142"/>
    </row>
    <row r="625">
      <c r="A625" s="142"/>
      <c r="B625" s="142"/>
    </row>
    <row r="626">
      <c r="A626" s="142"/>
      <c r="B626" s="142"/>
    </row>
    <row r="627">
      <c r="A627" s="142"/>
      <c r="B627" s="142"/>
    </row>
    <row r="628">
      <c r="A628" s="142"/>
      <c r="B628" s="142"/>
    </row>
    <row r="629">
      <c r="A629" s="142"/>
      <c r="B629" s="142"/>
    </row>
    <row r="630">
      <c r="A630" s="142"/>
      <c r="B630" s="142"/>
    </row>
    <row r="631">
      <c r="A631" s="142"/>
      <c r="B631" s="142"/>
    </row>
    <row r="632">
      <c r="A632" s="142"/>
      <c r="B632" s="142"/>
    </row>
    <row r="633">
      <c r="A633" s="142"/>
      <c r="B633" s="142"/>
    </row>
    <row r="634">
      <c r="A634" s="142"/>
      <c r="B634" s="142"/>
    </row>
    <row r="635">
      <c r="A635" s="142"/>
      <c r="B635" s="142"/>
    </row>
    <row r="636">
      <c r="A636" s="142"/>
      <c r="B636" s="142"/>
    </row>
    <row r="637">
      <c r="A637" s="142"/>
      <c r="B637" s="142"/>
    </row>
    <row r="638">
      <c r="A638" s="142"/>
      <c r="B638" s="142"/>
    </row>
    <row r="639">
      <c r="A639" s="142"/>
      <c r="B639" s="142"/>
    </row>
    <row r="640">
      <c r="A640" s="142"/>
      <c r="B640" s="142"/>
    </row>
    <row r="641">
      <c r="A641" s="142"/>
      <c r="B641" s="142"/>
    </row>
    <row r="642">
      <c r="A642" s="142"/>
      <c r="B642" s="142"/>
    </row>
    <row r="643">
      <c r="A643" s="142"/>
      <c r="B643" s="142"/>
    </row>
    <row r="644">
      <c r="A644" s="142"/>
      <c r="B644" s="142"/>
    </row>
    <row r="645">
      <c r="A645" s="142"/>
      <c r="B645" s="142"/>
    </row>
    <row r="646">
      <c r="A646" s="142"/>
      <c r="B646" s="142"/>
    </row>
    <row r="647">
      <c r="A647" s="142"/>
      <c r="B647" s="142"/>
    </row>
    <row r="648">
      <c r="A648" s="142"/>
      <c r="B648" s="142"/>
    </row>
    <row r="649">
      <c r="A649" s="142"/>
      <c r="B649" s="142"/>
    </row>
    <row r="650">
      <c r="A650" s="142"/>
      <c r="B650" s="142"/>
    </row>
    <row r="651">
      <c r="A651" s="142"/>
      <c r="B651" s="142"/>
    </row>
    <row r="652">
      <c r="A652" s="142"/>
      <c r="B652" s="142"/>
    </row>
    <row r="653">
      <c r="A653" s="142"/>
      <c r="B653" s="142"/>
    </row>
    <row r="654">
      <c r="A654" s="142"/>
      <c r="B654" s="142"/>
    </row>
    <row r="655">
      <c r="A655" s="142"/>
      <c r="B655" s="142"/>
    </row>
    <row r="656">
      <c r="A656" s="142"/>
      <c r="B656" s="142"/>
    </row>
    <row r="657">
      <c r="A657" s="142"/>
      <c r="B657" s="142"/>
    </row>
    <row r="658">
      <c r="A658" s="142"/>
      <c r="B658" s="142"/>
    </row>
    <row r="659">
      <c r="A659" s="142"/>
      <c r="B659" s="142"/>
    </row>
    <row r="660">
      <c r="A660" s="142"/>
      <c r="B660" s="142"/>
    </row>
    <row r="661">
      <c r="A661" s="142"/>
      <c r="B661" s="142"/>
    </row>
    <row r="662">
      <c r="A662" s="142"/>
      <c r="B662" s="142"/>
    </row>
    <row r="663">
      <c r="A663" s="142"/>
      <c r="B663" s="142"/>
    </row>
    <row r="664">
      <c r="A664" s="142"/>
      <c r="B664" s="142"/>
    </row>
    <row r="665">
      <c r="A665" s="142"/>
      <c r="B665" s="142"/>
    </row>
    <row r="666">
      <c r="A666" s="142"/>
      <c r="B666" s="142"/>
    </row>
    <row r="667">
      <c r="A667" s="142"/>
      <c r="B667" s="142"/>
    </row>
    <row r="668">
      <c r="A668" s="142"/>
      <c r="B668" s="142"/>
    </row>
    <row r="669">
      <c r="A669" s="142"/>
      <c r="B669" s="142"/>
    </row>
    <row r="670">
      <c r="A670" s="142"/>
      <c r="B670" s="142"/>
    </row>
    <row r="671">
      <c r="A671" s="142"/>
      <c r="B671" s="142"/>
    </row>
    <row r="672">
      <c r="A672" s="142"/>
      <c r="B672" s="142"/>
    </row>
    <row r="673">
      <c r="A673" s="142"/>
      <c r="B673" s="142"/>
    </row>
    <row r="674">
      <c r="A674" s="142"/>
      <c r="B674" s="142"/>
    </row>
    <row r="675">
      <c r="A675" s="142"/>
      <c r="B675" s="142"/>
    </row>
    <row r="676">
      <c r="A676" s="142"/>
      <c r="B676" s="142"/>
    </row>
    <row r="677">
      <c r="A677" s="142"/>
      <c r="B677" s="142"/>
    </row>
    <row r="678">
      <c r="A678" s="142"/>
      <c r="B678" s="142"/>
    </row>
    <row r="679">
      <c r="A679" s="142"/>
      <c r="B679" s="142"/>
    </row>
    <row r="680">
      <c r="A680" s="142"/>
      <c r="B680" s="142"/>
    </row>
    <row r="681">
      <c r="A681" s="142"/>
      <c r="B681" s="142"/>
    </row>
    <row r="682">
      <c r="A682" s="142"/>
      <c r="B682" s="142"/>
    </row>
    <row r="683">
      <c r="A683" s="142"/>
      <c r="B683" s="142"/>
    </row>
    <row r="684">
      <c r="A684" s="142"/>
      <c r="B684" s="142"/>
    </row>
    <row r="685">
      <c r="A685" s="142"/>
      <c r="B685" s="142"/>
    </row>
    <row r="686">
      <c r="A686" s="142"/>
      <c r="B686" s="142"/>
    </row>
    <row r="687">
      <c r="A687" s="142"/>
      <c r="B687" s="142"/>
    </row>
    <row r="688">
      <c r="A688" s="142"/>
      <c r="B688" s="142"/>
    </row>
    <row r="689">
      <c r="A689" s="142"/>
      <c r="B689" s="142"/>
    </row>
    <row r="690">
      <c r="A690" s="142"/>
      <c r="B690" s="142"/>
    </row>
    <row r="691">
      <c r="A691" s="142"/>
      <c r="B691" s="142"/>
    </row>
    <row r="692">
      <c r="A692" s="142"/>
      <c r="B692" s="142"/>
    </row>
    <row r="693">
      <c r="A693" s="142"/>
      <c r="B693" s="142"/>
    </row>
    <row r="694">
      <c r="A694" s="142"/>
      <c r="B694" s="142"/>
    </row>
    <row r="695">
      <c r="A695" s="142"/>
      <c r="B695" s="142"/>
    </row>
    <row r="696">
      <c r="A696" s="142"/>
      <c r="B696" s="142"/>
    </row>
    <row r="697">
      <c r="A697" s="142"/>
      <c r="B697" s="142"/>
    </row>
    <row r="698">
      <c r="A698" s="142"/>
      <c r="B698" s="142"/>
    </row>
    <row r="699">
      <c r="A699" s="142"/>
      <c r="B699" s="142"/>
    </row>
    <row r="700">
      <c r="A700" s="142"/>
      <c r="B700" s="142"/>
    </row>
    <row r="701">
      <c r="A701" s="142"/>
      <c r="B701" s="142"/>
    </row>
    <row r="702">
      <c r="A702" s="142"/>
      <c r="B702" s="142"/>
    </row>
    <row r="703">
      <c r="A703" s="142"/>
      <c r="B703" s="142"/>
    </row>
    <row r="704">
      <c r="A704" s="142"/>
      <c r="B704" s="142"/>
    </row>
    <row r="705">
      <c r="A705" s="142"/>
      <c r="B705" s="142"/>
    </row>
    <row r="706">
      <c r="A706" s="142"/>
      <c r="B706" s="142"/>
    </row>
    <row r="707">
      <c r="A707" s="142"/>
      <c r="B707" s="142"/>
    </row>
    <row r="708">
      <c r="A708" s="142"/>
      <c r="B708" s="142"/>
    </row>
    <row r="709">
      <c r="A709" s="142"/>
      <c r="B709" s="142"/>
    </row>
    <row r="710">
      <c r="A710" s="142"/>
      <c r="B710" s="142"/>
    </row>
    <row r="711">
      <c r="A711" s="142"/>
      <c r="B711" s="142"/>
    </row>
    <row r="712">
      <c r="A712" s="142"/>
      <c r="B712" s="142"/>
    </row>
    <row r="713">
      <c r="A713" s="142"/>
      <c r="B713" s="142"/>
    </row>
    <row r="714">
      <c r="A714" s="142"/>
      <c r="B714" s="142"/>
    </row>
    <row r="715">
      <c r="A715" s="142"/>
      <c r="B715" s="142"/>
    </row>
    <row r="716">
      <c r="A716" s="142"/>
      <c r="B716" s="142"/>
    </row>
    <row r="717">
      <c r="A717" s="142"/>
      <c r="B717" s="142"/>
    </row>
    <row r="718">
      <c r="A718" s="142"/>
      <c r="B718" s="142"/>
    </row>
    <row r="719">
      <c r="A719" s="142"/>
      <c r="B719" s="142"/>
    </row>
    <row r="720">
      <c r="A720" s="142"/>
      <c r="B720" s="142"/>
    </row>
    <row r="721">
      <c r="A721" s="142"/>
      <c r="B721" s="142"/>
    </row>
    <row r="722">
      <c r="A722" s="142"/>
      <c r="B722" s="142"/>
    </row>
    <row r="723">
      <c r="A723" s="142"/>
      <c r="B723" s="142"/>
    </row>
    <row r="724">
      <c r="A724" s="142"/>
      <c r="B724" s="142"/>
    </row>
    <row r="725">
      <c r="A725" s="142"/>
      <c r="B725" s="142"/>
    </row>
    <row r="726">
      <c r="A726" s="142"/>
      <c r="B726" s="142"/>
    </row>
    <row r="727">
      <c r="A727" s="142"/>
      <c r="B727" s="142"/>
    </row>
    <row r="728">
      <c r="A728" s="142"/>
      <c r="B728" s="142"/>
    </row>
    <row r="729">
      <c r="A729" s="142"/>
      <c r="B729" s="142"/>
    </row>
    <row r="730">
      <c r="A730" s="142"/>
      <c r="B730" s="142"/>
    </row>
    <row r="731">
      <c r="A731" s="142"/>
      <c r="B731" s="142"/>
    </row>
    <row r="732">
      <c r="A732" s="142"/>
      <c r="B732" s="142"/>
    </row>
    <row r="733">
      <c r="A733" s="142"/>
      <c r="B733" s="142"/>
    </row>
    <row r="734">
      <c r="A734" s="142"/>
      <c r="B734" s="142"/>
    </row>
    <row r="735">
      <c r="A735" s="142"/>
      <c r="B735" s="142"/>
    </row>
    <row r="736">
      <c r="A736" s="142"/>
      <c r="B736" s="142"/>
    </row>
    <row r="737">
      <c r="A737" s="142"/>
      <c r="B737" s="142"/>
    </row>
    <row r="738">
      <c r="A738" s="142"/>
      <c r="B738" s="142"/>
    </row>
    <row r="739">
      <c r="A739" s="142"/>
      <c r="B739" s="142"/>
    </row>
    <row r="740">
      <c r="A740" s="142"/>
      <c r="B740" s="142"/>
    </row>
    <row r="741">
      <c r="A741" s="142"/>
      <c r="B741" s="142"/>
    </row>
    <row r="742">
      <c r="A742" s="142"/>
      <c r="B742" s="142"/>
    </row>
    <row r="743">
      <c r="A743" s="142"/>
      <c r="B743" s="142"/>
    </row>
    <row r="744">
      <c r="A744" s="142"/>
      <c r="B744" s="142"/>
    </row>
    <row r="745">
      <c r="A745" s="142"/>
      <c r="B745" s="142"/>
    </row>
    <row r="746">
      <c r="A746" s="142"/>
      <c r="B746" s="142"/>
    </row>
    <row r="747">
      <c r="A747" s="142"/>
      <c r="B747" s="142"/>
    </row>
    <row r="748">
      <c r="A748" s="142"/>
      <c r="B748" s="142"/>
    </row>
    <row r="749">
      <c r="A749" s="142"/>
      <c r="B749" s="142"/>
    </row>
    <row r="750">
      <c r="A750" s="142"/>
      <c r="B750" s="142"/>
    </row>
    <row r="751">
      <c r="A751" s="142"/>
      <c r="B751" s="142"/>
    </row>
    <row r="752">
      <c r="A752" s="142"/>
      <c r="B752" s="142"/>
    </row>
    <row r="753">
      <c r="A753" s="142"/>
      <c r="B753" s="142"/>
    </row>
    <row r="754">
      <c r="A754" s="142"/>
      <c r="B754" s="142"/>
    </row>
    <row r="755">
      <c r="A755" s="142"/>
      <c r="B755" s="142"/>
    </row>
    <row r="756">
      <c r="A756" s="142"/>
      <c r="B756" s="142"/>
    </row>
    <row r="757">
      <c r="A757" s="142"/>
      <c r="B757" s="142"/>
    </row>
    <row r="758">
      <c r="A758" s="142"/>
      <c r="B758" s="142"/>
    </row>
    <row r="759">
      <c r="A759" s="142"/>
      <c r="B759" s="142"/>
    </row>
    <row r="760">
      <c r="A760" s="142"/>
      <c r="B760" s="142"/>
    </row>
    <row r="761">
      <c r="A761" s="142"/>
      <c r="B761" s="142"/>
    </row>
    <row r="762">
      <c r="A762" s="142"/>
      <c r="B762" s="142"/>
    </row>
    <row r="763">
      <c r="A763" s="142"/>
      <c r="B763" s="142"/>
    </row>
    <row r="764">
      <c r="A764" s="142"/>
      <c r="B764" s="142"/>
    </row>
    <row r="765">
      <c r="A765" s="142"/>
      <c r="B765" s="142"/>
    </row>
    <row r="766">
      <c r="A766" s="142"/>
      <c r="B766" s="142"/>
    </row>
    <row r="767">
      <c r="A767" s="142"/>
      <c r="B767" s="142"/>
    </row>
    <row r="768">
      <c r="A768" s="142"/>
      <c r="B768" s="142"/>
    </row>
    <row r="769">
      <c r="A769" s="142"/>
      <c r="B769" s="142"/>
    </row>
    <row r="770">
      <c r="A770" s="142"/>
      <c r="B770" s="142"/>
    </row>
    <row r="771">
      <c r="A771" s="142"/>
      <c r="B771" s="142"/>
    </row>
    <row r="772">
      <c r="A772" s="142"/>
      <c r="B772" s="142"/>
    </row>
    <row r="773">
      <c r="A773" s="142"/>
      <c r="B773" s="142"/>
    </row>
    <row r="774">
      <c r="A774" s="142"/>
      <c r="B774" s="142"/>
    </row>
    <row r="775">
      <c r="A775" s="142"/>
      <c r="B775" s="142"/>
    </row>
    <row r="776">
      <c r="A776" s="142"/>
      <c r="B776" s="142"/>
    </row>
    <row r="777">
      <c r="A777" s="142"/>
      <c r="B777" s="142"/>
    </row>
    <row r="778">
      <c r="A778" s="142"/>
      <c r="B778" s="142"/>
    </row>
    <row r="779">
      <c r="A779" s="142"/>
      <c r="B779" s="142"/>
    </row>
    <row r="780">
      <c r="A780" s="142"/>
      <c r="B780" s="142"/>
    </row>
    <row r="781">
      <c r="A781" s="142"/>
      <c r="B781" s="142"/>
    </row>
    <row r="782">
      <c r="A782" s="142"/>
      <c r="B782" s="142"/>
    </row>
    <row r="783">
      <c r="A783" s="142"/>
      <c r="B783" s="142"/>
    </row>
    <row r="784">
      <c r="A784" s="142"/>
      <c r="B784" s="142"/>
    </row>
    <row r="785">
      <c r="A785" s="142"/>
      <c r="B785" s="142"/>
    </row>
    <row r="786">
      <c r="A786" s="142"/>
      <c r="B786" s="142"/>
    </row>
    <row r="787">
      <c r="A787" s="142"/>
      <c r="B787" s="142"/>
    </row>
    <row r="788">
      <c r="A788" s="142"/>
      <c r="B788" s="142"/>
    </row>
    <row r="789">
      <c r="A789" s="142"/>
      <c r="B789" s="142"/>
    </row>
    <row r="790">
      <c r="A790" s="142"/>
      <c r="B790" s="142"/>
    </row>
    <row r="791">
      <c r="A791" s="142"/>
      <c r="B791" s="142"/>
    </row>
    <row r="792">
      <c r="A792" s="142"/>
      <c r="B792" s="142"/>
    </row>
    <row r="793">
      <c r="A793" s="142"/>
      <c r="B793" s="142"/>
    </row>
    <row r="794">
      <c r="A794" s="142"/>
      <c r="B794" s="142"/>
    </row>
    <row r="795">
      <c r="A795" s="142"/>
      <c r="B795" s="142"/>
    </row>
    <row r="796">
      <c r="A796" s="142"/>
      <c r="B796" s="142"/>
    </row>
    <row r="797">
      <c r="A797" s="142"/>
      <c r="B797" s="142"/>
    </row>
    <row r="798">
      <c r="A798" s="142"/>
      <c r="B798" s="142"/>
    </row>
    <row r="799">
      <c r="A799" s="142"/>
      <c r="B799" s="142"/>
    </row>
    <row r="800">
      <c r="A800" s="142"/>
      <c r="B800" s="142"/>
    </row>
    <row r="801">
      <c r="A801" s="142"/>
      <c r="B801" s="142"/>
    </row>
    <row r="802">
      <c r="A802" s="142"/>
      <c r="B802" s="142"/>
    </row>
    <row r="803">
      <c r="A803" s="142"/>
      <c r="B803" s="142"/>
    </row>
    <row r="804">
      <c r="A804" s="142"/>
      <c r="B804" s="142"/>
    </row>
    <row r="805">
      <c r="A805" s="142"/>
      <c r="B805" s="142"/>
    </row>
    <row r="806">
      <c r="A806" s="142"/>
      <c r="B806" s="142"/>
    </row>
    <row r="807">
      <c r="A807" s="142"/>
      <c r="B807" s="142"/>
    </row>
    <row r="808">
      <c r="A808" s="142"/>
      <c r="B808" s="142"/>
    </row>
    <row r="809">
      <c r="A809" s="142"/>
      <c r="B809" s="142"/>
    </row>
    <row r="810">
      <c r="A810" s="142"/>
      <c r="B810" s="142"/>
    </row>
    <row r="811">
      <c r="A811" s="142"/>
      <c r="B811" s="142"/>
    </row>
    <row r="812">
      <c r="A812" s="142"/>
      <c r="B812" s="142"/>
    </row>
    <row r="813">
      <c r="A813" s="142"/>
      <c r="B813" s="142"/>
    </row>
    <row r="814">
      <c r="A814" s="142"/>
      <c r="B814" s="142"/>
    </row>
    <row r="815">
      <c r="A815" s="142"/>
      <c r="B815" s="142"/>
    </row>
    <row r="816">
      <c r="A816" s="142"/>
      <c r="B816" s="142"/>
    </row>
    <row r="817">
      <c r="A817" s="142"/>
      <c r="B817" s="142"/>
    </row>
    <row r="818">
      <c r="A818" s="142"/>
      <c r="B818" s="142"/>
    </row>
    <row r="819">
      <c r="A819" s="142"/>
      <c r="B819" s="142"/>
    </row>
    <row r="820">
      <c r="A820" s="142"/>
      <c r="B820" s="142"/>
    </row>
    <row r="821">
      <c r="A821" s="142"/>
      <c r="B821" s="142"/>
    </row>
    <row r="822">
      <c r="A822" s="142"/>
      <c r="B822" s="142"/>
    </row>
    <row r="823">
      <c r="A823" s="142"/>
      <c r="B823" s="142"/>
    </row>
    <row r="824">
      <c r="A824" s="142"/>
      <c r="B824" s="142"/>
    </row>
    <row r="825">
      <c r="A825" s="142"/>
      <c r="B825" s="142"/>
    </row>
    <row r="826">
      <c r="A826" s="142"/>
      <c r="B826" s="142"/>
    </row>
    <row r="827">
      <c r="A827" s="142"/>
      <c r="B827" s="142"/>
    </row>
    <row r="828">
      <c r="A828" s="142"/>
      <c r="B828" s="142"/>
    </row>
    <row r="829">
      <c r="A829" s="142"/>
      <c r="B829" s="142"/>
    </row>
    <row r="830">
      <c r="A830" s="142"/>
      <c r="B830" s="142"/>
    </row>
    <row r="831">
      <c r="A831" s="142"/>
      <c r="B831" s="142"/>
    </row>
    <row r="832">
      <c r="A832" s="142"/>
      <c r="B832" s="142"/>
    </row>
    <row r="833">
      <c r="A833" s="142"/>
      <c r="B833" s="142"/>
    </row>
    <row r="834">
      <c r="A834" s="142"/>
      <c r="B834" s="142"/>
    </row>
    <row r="835">
      <c r="A835" s="142"/>
      <c r="B835" s="142"/>
    </row>
    <row r="836">
      <c r="A836" s="142"/>
      <c r="B836" s="142"/>
    </row>
    <row r="837">
      <c r="A837" s="142"/>
      <c r="B837" s="142"/>
    </row>
    <row r="838">
      <c r="A838" s="142"/>
      <c r="B838" s="142"/>
    </row>
    <row r="839">
      <c r="A839" s="142"/>
      <c r="B839" s="142"/>
    </row>
    <row r="840">
      <c r="A840" s="142"/>
      <c r="B840" s="142"/>
    </row>
    <row r="841">
      <c r="A841" s="142"/>
      <c r="B841" s="142"/>
    </row>
    <row r="842">
      <c r="A842" s="142"/>
      <c r="B842" s="142"/>
    </row>
    <row r="843">
      <c r="A843" s="142"/>
      <c r="B843" s="142"/>
    </row>
    <row r="844">
      <c r="A844" s="142"/>
      <c r="B844" s="142"/>
    </row>
    <row r="845">
      <c r="A845" s="142"/>
      <c r="B845" s="142"/>
    </row>
    <row r="846">
      <c r="A846" s="142"/>
      <c r="B846" s="142"/>
    </row>
    <row r="847">
      <c r="A847" s="142"/>
      <c r="B847" s="142"/>
    </row>
    <row r="848">
      <c r="A848" s="142"/>
      <c r="B848" s="142"/>
    </row>
    <row r="849">
      <c r="A849" s="142"/>
      <c r="B849" s="142"/>
    </row>
    <row r="850">
      <c r="A850" s="142"/>
      <c r="B850" s="142"/>
    </row>
    <row r="851">
      <c r="A851" s="142"/>
      <c r="B851" s="142"/>
    </row>
    <row r="852">
      <c r="A852" s="142"/>
      <c r="B852" s="142"/>
    </row>
    <row r="853">
      <c r="A853" s="142"/>
      <c r="B853" s="142"/>
    </row>
    <row r="854">
      <c r="A854" s="142"/>
      <c r="B854" s="142"/>
    </row>
    <row r="855">
      <c r="A855" s="142"/>
      <c r="B855" s="142"/>
    </row>
    <row r="856">
      <c r="A856" s="142"/>
      <c r="B856" s="142"/>
    </row>
    <row r="857">
      <c r="A857" s="142"/>
      <c r="B857" s="142"/>
    </row>
    <row r="858">
      <c r="A858" s="142"/>
      <c r="B858" s="142"/>
    </row>
    <row r="859">
      <c r="A859" s="142"/>
      <c r="B859" s="142"/>
    </row>
    <row r="860">
      <c r="A860" s="142"/>
      <c r="B860" s="142"/>
    </row>
    <row r="861">
      <c r="A861" s="142"/>
      <c r="B861" s="142"/>
    </row>
    <row r="862">
      <c r="A862" s="142"/>
      <c r="B862" s="142"/>
    </row>
    <row r="863">
      <c r="A863" s="142"/>
      <c r="B863" s="142"/>
    </row>
    <row r="864">
      <c r="A864" s="142"/>
      <c r="B864" s="142"/>
    </row>
    <row r="865">
      <c r="A865" s="142"/>
      <c r="B865" s="142"/>
    </row>
    <row r="866">
      <c r="A866" s="142"/>
      <c r="B866" s="142"/>
    </row>
    <row r="867">
      <c r="A867" s="142"/>
      <c r="B867" s="142"/>
    </row>
    <row r="868">
      <c r="A868" s="142"/>
      <c r="B868" s="142"/>
    </row>
    <row r="869">
      <c r="A869" s="142"/>
      <c r="B869" s="142"/>
    </row>
    <row r="870">
      <c r="A870" s="142"/>
      <c r="B870" s="142"/>
    </row>
    <row r="871">
      <c r="A871" s="142"/>
      <c r="B871" s="142"/>
    </row>
    <row r="872">
      <c r="A872" s="142"/>
      <c r="B872" s="142"/>
    </row>
    <row r="873">
      <c r="A873" s="142"/>
      <c r="B873" s="142"/>
    </row>
    <row r="874">
      <c r="A874" s="142"/>
      <c r="B874" s="142"/>
    </row>
    <row r="875">
      <c r="A875" s="142"/>
      <c r="B875" s="142"/>
    </row>
    <row r="876">
      <c r="A876" s="142"/>
      <c r="B876" s="142"/>
    </row>
    <row r="877">
      <c r="A877" s="142"/>
      <c r="B877" s="142"/>
    </row>
    <row r="878">
      <c r="A878" s="142"/>
      <c r="B878" s="142"/>
    </row>
    <row r="879">
      <c r="A879" s="142"/>
      <c r="B879" s="142"/>
    </row>
    <row r="880">
      <c r="A880" s="142"/>
      <c r="B880" s="142"/>
    </row>
    <row r="881">
      <c r="A881" s="142"/>
      <c r="B881" s="142"/>
    </row>
    <row r="882">
      <c r="A882" s="142"/>
      <c r="B882" s="142"/>
    </row>
    <row r="883">
      <c r="A883" s="142"/>
      <c r="B883" s="142"/>
    </row>
    <row r="884">
      <c r="A884" s="142"/>
      <c r="B884" s="142"/>
    </row>
    <row r="885">
      <c r="A885" s="142"/>
      <c r="B885" s="142"/>
    </row>
    <row r="886">
      <c r="A886" s="142"/>
      <c r="B886" s="142"/>
    </row>
    <row r="887">
      <c r="A887" s="142"/>
      <c r="B887" s="142"/>
    </row>
    <row r="888">
      <c r="A888" s="142"/>
      <c r="B888" s="142"/>
    </row>
    <row r="889">
      <c r="A889" s="142"/>
      <c r="B889" s="142"/>
    </row>
    <row r="890">
      <c r="A890" s="142"/>
      <c r="B890" s="142"/>
    </row>
    <row r="891">
      <c r="A891" s="142"/>
      <c r="B891" s="142"/>
    </row>
    <row r="892">
      <c r="A892" s="142"/>
      <c r="B892" s="142"/>
    </row>
    <row r="893">
      <c r="A893" s="142"/>
      <c r="B893" s="142"/>
    </row>
    <row r="894">
      <c r="A894" s="142"/>
      <c r="B894" s="142"/>
    </row>
    <row r="895">
      <c r="A895" s="142"/>
      <c r="B895" s="142"/>
    </row>
    <row r="896">
      <c r="A896" s="142"/>
      <c r="B896" s="142"/>
    </row>
    <row r="897">
      <c r="A897" s="142"/>
      <c r="B897" s="142"/>
    </row>
    <row r="898">
      <c r="A898" s="142"/>
      <c r="B898" s="142"/>
    </row>
    <row r="899">
      <c r="A899" s="142"/>
      <c r="B899" s="142"/>
    </row>
    <row r="900">
      <c r="A900" s="142"/>
      <c r="B900" s="142"/>
    </row>
    <row r="901">
      <c r="A901" s="142"/>
      <c r="B901" s="142"/>
    </row>
    <row r="902">
      <c r="A902" s="142"/>
      <c r="B902" s="142"/>
    </row>
    <row r="903">
      <c r="A903" s="142"/>
      <c r="B903" s="142"/>
    </row>
    <row r="904">
      <c r="A904" s="142"/>
      <c r="B904" s="142"/>
    </row>
    <row r="905">
      <c r="A905" s="142"/>
      <c r="B905" s="142"/>
    </row>
    <row r="906">
      <c r="A906" s="142"/>
      <c r="B906" s="142"/>
    </row>
    <row r="907">
      <c r="A907" s="142"/>
      <c r="B907" s="142"/>
    </row>
    <row r="908">
      <c r="A908" s="142"/>
      <c r="B908" s="142"/>
    </row>
    <row r="909">
      <c r="A909" s="142"/>
      <c r="B909" s="142"/>
    </row>
    <row r="910">
      <c r="A910" s="142"/>
      <c r="B910" s="142"/>
    </row>
    <row r="911">
      <c r="A911" s="142"/>
      <c r="B911" s="142"/>
    </row>
    <row r="912">
      <c r="A912" s="142"/>
      <c r="B912" s="142"/>
    </row>
    <row r="913">
      <c r="A913" s="142"/>
      <c r="B913" s="142"/>
    </row>
    <row r="914">
      <c r="A914" s="142"/>
      <c r="B914" s="142"/>
    </row>
    <row r="915">
      <c r="A915" s="142"/>
      <c r="B915" s="142"/>
    </row>
    <row r="916">
      <c r="A916" s="142"/>
      <c r="B916" s="142"/>
    </row>
    <row r="917">
      <c r="A917" s="142"/>
      <c r="B917" s="142"/>
    </row>
    <row r="918">
      <c r="A918" s="142"/>
      <c r="B918" s="142"/>
    </row>
    <row r="919">
      <c r="A919" s="142"/>
      <c r="B919" s="142"/>
    </row>
    <row r="920">
      <c r="A920" s="142"/>
      <c r="B920" s="142"/>
    </row>
    <row r="921">
      <c r="A921" s="142"/>
      <c r="B921" s="142"/>
    </row>
    <row r="922">
      <c r="A922" s="142"/>
      <c r="B922" s="142"/>
    </row>
    <row r="923">
      <c r="A923" s="142"/>
      <c r="B923" s="142"/>
    </row>
    <row r="924">
      <c r="A924" s="142"/>
      <c r="B924" s="142"/>
    </row>
    <row r="925">
      <c r="A925" s="142"/>
      <c r="B925" s="142"/>
    </row>
    <row r="926">
      <c r="A926" s="142"/>
      <c r="B926" s="142"/>
    </row>
    <row r="927">
      <c r="A927" s="142"/>
      <c r="B927" s="142"/>
    </row>
    <row r="928">
      <c r="A928" s="142"/>
      <c r="B928" s="142"/>
    </row>
    <row r="929">
      <c r="A929" s="142"/>
      <c r="B929" s="142"/>
    </row>
    <row r="930">
      <c r="A930" s="142"/>
      <c r="B930" s="142"/>
    </row>
    <row r="931">
      <c r="A931" s="142"/>
      <c r="B931" s="142"/>
    </row>
    <row r="932">
      <c r="A932" s="142"/>
      <c r="B932" s="142"/>
    </row>
    <row r="933">
      <c r="A933" s="142"/>
      <c r="B933" s="142"/>
    </row>
    <row r="934">
      <c r="A934" s="142"/>
      <c r="B934" s="142"/>
    </row>
    <row r="935">
      <c r="A935" s="142"/>
      <c r="B935" s="142"/>
    </row>
    <row r="936">
      <c r="A936" s="142"/>
      <c r="B936" s="142"/>
    </row>
    <row r="937">
      <c r="A937" s="142"/>
      <c r="B937" s="142"/>
    </row>
    <row r="938">
      <c r="A938" s="142"/>
      <c r="B938" s="142"/>
    </row>
    <row r="939">
      <c r="A939" s="142"/>
      <c r="B939" s="142"/>
    </row>
    <row r="940">
      <c r="A940" s="142"/>
      <c r="B940" s="142"/>
    </row>
    <row r="941">
      <c r="A941" s="142"/>
      <c r="B941" s="142"/>
    </row>
    <row r="942">
      <c r="A942" s="142"/>
      <c r="B942" s="142"/>
    </row>
    <row r="943">
      <c r="A943" s="142"/>
      <c r="B943" s="142"/>
    </row>
    <row r="944">
      <c r="A944" s="142"/>
      <c r="B944" s="142"/>
    </row>
    <row r="945">
      <c r="A945" s="142"/>
      <c r="B945" s="142"/>
    </row>
    <row r="946">
      <c r="A946" s="142"/>
      <c r="B946" s="142"/>
    </row>
    <row r="947">
      <c r="A947" s="142"/>
      <c r="B947" s="142"/>
    </row>
    <row r="948">
      <c r="A948" s="142"/>
      <c r="B948" s="142"/>
    </row>
    <row r="949">
      <c r="A949" s="142"/>
      <c r="B949" s="142"/>
    </row>
    <row r="950">
      <c r="A950" s="142"/>
      <c r="B950" s="142"/>
    </row>
    <row r="951">
      <c r="A951" s="142"/>
      <c r="B951" s="142"/>
    </row>
    <row r="952">
      <c r="A952" s="142"/>
      <c r="B952" s="142"/>
    </row>
    <row r="953">
      <c r="A953" s="142"/>
      <c r="B953" s="142"/>
    </row>
    <row r="954">
      <c r="A954" s="142"/>
      <c r="B954" s="142"/>
    </row>
    <row r="955">
      <c r="A955" s="142"/>
      <c r="B955" s="142"/>
    </row>
    <row r="956">
      <c r="A956" s="142"/>
      <c r="B956" s="142"/>
    </row>
    <row r="957">
      <c r="A957" s="142"/>
      <c r="B957" s="142"/>
    </row>
    <row r="958">
      <c r="A958" s="142"/>
      <c r="B958" s="142"/>
    </row>
    <row r="959">
      <c r="A959" s="142"/>
      <c r="B959" s="142"/>
    </row>
    <row r="960">
      <c r="A960" s="142"/>
      <c r="B960" s="142"/>
    </row>
    <row r="961">
      <c r="A961" s="142"/>
      <c r="B961" s="142"/>
    </row>
    <row r="962">
      <c r="A962" s="142"/>
      <c r="B962" s="142"/>
    </row>
    <row r="963">
      <c r="A963" s="142"/>
      <c r="B963" s="142"/>
    </row>
    <row r="964">
      <c r="A964" s="142"/>
      <c r="B964" s="142"/>
    </row>
    <row r="965">
      <c r="A965" s="142"/>
      <c r="B965" s="142"/>
    </row>
    <row r="966">
      <c r="A966" s="142"/>
      <c r="B966" s="142"/>
    </row>
    <row r="967">
      <c r="A967" s="142"/>
      <c r="B967" s="142"/>
    </row>
    <row r="968">
      <c r="A968" s="142"/>
      <c r="B968" s="142"/>
    </row>
    <row r="969">
      <c r="A969" s="142"/>
      <c r="B969" s="142"/>
    </row>
    <row r="970">
      <c r="A970" s="142"/>
      <c r="B970" s="142"/>
    </row>
    <row r="971">
      <c r="A971" s="142"/>
      <c r="B971" s="142"/>
    </row>
    <row r="972">
      <c r="A972" s="142"/>
      <c r="B972" s="142"/>
    </row>
    <row r="973">
      <c r="A973" s="142"/>
      <c r="B973" s="142"/>
    </row>
    <row r="974">
      <c r="A974" s="142"/>
      <c r="B974" s="142"/>
    </row>
    <row r="975">
      <c r="A975" s="142"/>
      <c r="B975" s="142"/>
    </row>
    <row r="976">
      <c r="A976" s="142"/>
      <c r="B976" s="142"/>
    </row>
    <row r="977">
      <c r="A977" s="142"/>
      <c r="B977" s="142"/>
    </row>
    <row r="978">
      <c r="A978" s="142"/>
      <c r="B978" s="142"/>
    </row>
    <row r="979">
      <c r="A979" s="142"/>
      <c r="B979" s="142"/>
    </row>
    <row r="980">
      <c r="A980" s="142"/>
      <c r="B980" s="142"/>
    </row>
    <row r="981">
      <c r="A981" s="142"/>
      <c r="B981" s="142"/>
    </row>
    <row r="982">
      <c r="A982" s="142"/>
      <c r="B982" s="142"/>
    </row>
    <row r="983">
      <c r="A983" s="142"/>
      <c r="B983" s="142"/>
    </row>
    <row r="984">
      <c r="A984" s="142"/>
      <c r="B984" s="142"/>
    </row>
    <row r="985">
      <c r="A985" s="142"/>
      <c r="B985" s="142"/>
    </row>
    <row r="986">
      <c r="A986" s="142"/>
      <c r="B986" s="142"/>
    </row>
    <row r="987">
      <c r="A987" s="142"/>
      <c r="B987" s="142"/>
    </row>
    <row r="988">
      <c r="A988" s="142"/>
      <c r="B988" s="142"/>
    </row>
    <row r="989">
      <c r="A989" s="142"/>
      <c r="B989" s="142"/>
    </row>
    <row r="990">
      <c r="A990" s="142"/>
      <c r="B990" s="142"/>
    </row>
    <row r="991">
      <c r="A991" s="142"/>
      <c r="B991" s="142"/>
    </row>
    <row r="992">
      <c r="A992" s="142"/>
      <c r="B992" s="142"/>
    </row>
    <row r="993">
      <c r="A993" s="142"/>
      <c r="B993" s="142"/>
    </row>
    <row r="994">
      <c r="A994" s="142"/>
      <c r="B994" s="142"/>
    </row>
    <row r="995">
      <c r="A995" s="142"/>
      <c r="B995" s="142"/>
    </row>
    <row r="996">
      <c r="A996" s="142"/>
      <c r="B996" s="142"/>
    </row>
    <row r="997">
      <c r="A997" s="142"/>
      <c r="B997" s="142"/>
    </row>
    <row r="998">
      <c r="A998" s="142"/>
      <c r="B998" s="142"/>
    </row>
    <row r="999">
      <c r="A999" s="142"/>
      <c r="B999" s="142"/>
    </row>
    <row r="1000">
      <c r="A1000" s="142"/>
      <c r="B1000" s="142"/>
    </row>
    <row r="1001">
      <c r="A1001" s="142"/>
      <c r="B1001" s="142"/>
    </row>
    <row r="1002">
      <c r="A1002" s="142"/>
      <c r="B1002" s="142"/>
    </row>
    <row r="1003">
      <c r="A1003" s="142"/>
      <c r="B1003" s="142"/>
    </row>
  </sheetData>
  <mergeCells count="5">
    <mergeCell ref="A7:A8"/>
    <mergeCell ref="B7:B8"/>
    <mergeCell ref="B9:B11"/>
    <mergeCell ref="A9:A11"/>
    <mergeCell ref="B2:B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 customWidth="1" min="2" max="2" width="57.63"/>
    <col customWidth="1" min="3" max="3" width="8.63"/>
    <col customWidth="1" min="5" max="5" width="57.63"/>
    <col customWidth="1" min="7" max="7" width="57.63"/>
    <col customWidth="1" min="8" max="8" width="36.63"/>
    <col customWidth="1" min="11" max="12" width="57.63"/>
  </cols>
  <sheetData>
    <row r="1">
      <c r="A1" s="132" t="str">
        <f>CONCATENATE(Data!AA2,"|",Data!N2)</f>
        <v>3 "A" Bereavement Foundation (3ABF)|ACTIVE</v>
      </c>
      <c r="B1" s="161" t="str">
        <f>IFERROR(__xludf.DUMMYFUNCTION("arrayformula(split(A1:A1000,""|""))"),"3 ""A"" Bereavement Foundation (3ABF)")</f>
        <v>3 "A" Bereavement Foundation (3ABF)</v>
      </c>
      <c r="C1" s="161" t="str">
        <f>IFERROR(__xludf.DUMMYFUNCTION("""COMPUTED_VALUE"""),"ACTIVE")</f>
        <v>ACTIVE</v>
      </c>
      <c r="E1" s="161" t="s">
        <v>33</v>
      </c>
      <c r="F1" s="161" t="s">
        <v>42</v>
      </c>
      <c r="G1" s="132" t="s">
        <v>42</v>
      </c>
      <c r="H1" s="132" t="s">
        <v>385</v>
      </c>
      <c r="I1" s="132" t="s">
        <v>57</v>
      </c>
      <c r="K1" s="161" t="s">
        <v>33</v>
      </c>
      <c r="L1" s="132" t="s">
        <v>5890</v>
      </c>
      <c r="M1" s="132" t="s">
        <v>5891</v>
      </c>
    </row>
    <row r="2">
      <c r="A2" s="132" t="str">
        <f>CONCATENATE(Data!AA3,"|",Data!N3)</f>
        <v>A Touch of God's Love Outreach|CLOSED</v>
      </c>
      <c r="B2" s="161" t="str">
        <f>IFERROR(__xludf.DUMMYFUNCTION("""COMPUTED_VALUE"""),"A Touch of God's Love Outreach")</f>
        <v>A Touch of God's Love Outreach</v>
      </c>
      <c r="C2" s="161" t="str">
        <f>IFERROR(__xludf.DUMMYFUNCTION("""COMPUTED_VALUE"""),"CLOSED")</f>
        <v>CLOSED</v>
      </c>
      <c r="E2" s="161" t="s">
        <v>82</v>
      </c>
      <c r="F2" s="161" t="s">
        <v>42</v>
      </c>
      <c r="G2" s="161" t="str">
        <f>IFERROR(__xludf.DUMMYFUNCTION("sort(unique(filter($E$1:$E1000,$F$1:$F1000=G1)))"),"3 ""A"" Bereavement Foundation (3ABF)")</f>
        <v>3 "A" Bereavement Foundation (3ABF)</v>
      </c>
      <c r="H2" s="161" t="str">
        <f>IFERROR(__xludf.DUMMYFUNCTION("sort(unique(filter($E$1:$E1000,$F$1:$F1000=H1)))"),"American Red Cross")</f>
        <v>American Red Cross</v>
      </c>
      <c r="I2" s="161" t="str">
        <f>IFERROR(__xludf.DUMMYFUNCTION("sort(unique(filter($E$1:$E1000,$F$1:$F1000=I1)))"),"A Touch of God's Love Outreach")</f>
        <v>A Touch of God's Love Outreach</v>
      </c>
      <c r="K2" s="161" t="s">
        <v>82</v>
      </c>
      <c r="L2" s="161" t="s">
        <v>33</v>
      </c>
      <c r="M2" s="161">
        <v>7.60534471E8</v>
      </c>
    </row>
    <row r="3">
      <c r="A3" s="132" t="str">
        <f>CONCATENATE(Data!AA4,"|",Data!N4)</f>
        <v>Association for Advancement of Mexican Americans (AAMA)|ACTIVE</v>
      </c>
      <c r="B3" s="161" t="str">
        <f>IFERROR(__xludf.DUMMYFUNCTION("""COMPUTED_VALUE"""),"Association for Advancement of Mexican Americans (AAMA)")</f>
        <v>Association for Advancement of Mexican Americans (AAMA)</v>
      </c>
      <c r="C3" s="161" t="str">
        <f>IFERROR(__xludf.DUMMYFUNCTION("""COMPUTED_VALUE"""),"ACTIVE")</f>
        <v>ACTIVE</v>
      </c>
      <c r="E3" s="161" t="s">
        <v>5753</v>
      </c>
      <c r="F3" s="161" t="s">
        <v>42</v>
      </c>
      <c r="G3" s="161" t="str">
        <f>IFERROR(__xludf.DUMMYFUNCTION("""COMPUTED_VALUE"""),"Ability Found")</f>
        <v>Ability Found</v>
      </c>
      <c r="H3" s="161" t="str">
        <f>IFERROR(__xludf.DUMMYFUNCTION("""COMPUTED_VALUE"""),"Appleseed Network")</f>
        <v>Appleseed Network</v>
      </c>
      <c r="I3" s="161" t="str">
        <f>IFERROR(__xludf.DUMMYFUNCTION("""COMPUTED_VALUE"""),"Anchor Point")</f>
        <v>Anchor Point</v>
      </c>
      <c r="K3" s="161" t="s">
        <v>5753</v>
      </c>
      <c r="L3" s="161" t="s">
        <v>51</v>
      </c>
      <c r="M3" s="161" t="s">
        <v>57</v>
      </c>
    </row>
    <row r="4">
      <c r="A4" s="132" t="str">
        <f>CONCATENATE(Data!AA5,"|",Data!N5)</f>
        <v>Association for Advancement of Mexican Americans (AAMA)|ACTIVE</v>
      </c>
      <c r="B4" s="161" t="str">
        <f>IFERROR(__xludf.DUMMYFUNCTION("""COMPUTED_VALUE"""),"Association for Advancement of Mexican Americans (AAMA)")</f>
        <v>Association for Advancement of Mexican Americans (AAMA)</v>
      </c>
      <c r="C4" s="161" t="str">
        <f>IFERROR(__xludf.DUMMYFUNCTION("""COMPUTED_VALUE"""),"ACTIVE")</f>
        <v>ACTIVE</v>
      </c>
      <c r="E4" s="161" t="s">
        <v>5753</v>
      </c>
      <c r="F4" s="161" t="s">
        <v>42</v>
      </c>
      <c r="G4" s="161" t="str">
        <f>IFERROR(__xludf.DUMMYFUNCTION("""COMPUTED_VALUE"""),"AccessHealth")</f>
        <v>AccessHealth</v>
      </c>
      <c r="H4" s="161" t="str">
        <f>IFERROR(__xludf.DUMMYFUNCTION("""COMPUTED_VALUE"""),"Boat People SOS")</f>
        <v>Boat People SOS</v>
      </c>
      <c r="I4" s="161" t="str">
        <f>IFERROR(__xludf.DUMMYFUNCTION("""COMPUTED_VALUE"""),"Bee Busy Wellness Center")</f>
        <v>Bee Busy Wellness Center</v>
      </c>
      <c r="K4" s="161" t="s">
        <v>220</v>
      </c>
      <c r="L4" s="161" t="s">
        <v>82</v>
      </c>
    </row>
    <row r="5">
      <c r="A5" s="132" t="str">
        <f>CONCATENATE(Data!AA6,"|",Data!N6)</f>
        <v>Ability Found|ACTIVE</v>
      </c>
      <c r="B5" s="161" t="str">
        <f>IFERROR(__xludf.DUMMYFUNCTION("""COMPUTED_VALUE"""),"Ability Found")</f>
        <v>Ability Found</v>
      </c>
      <c r="C5" s="161" t="str">
        <f>IFERROR(__xludf.DUMMYFUNCTION("""COMPUTED_VALUE"""),"ACTIVE")</f>
        <v>ACTIVE</v>
      </c>
      <c r="E5" s="161" t="s">
        <v>5753</v>
      </c>
      <c r="F5" s="161" t="s">
        <v>42</v>
      </c>
      <c r="G5" s="161" t="str">
        <f>IFERROR(__xludf.DUMMYFUNCTION("""COMPUTED_VALUE"""),"Accessia Health")</f>
        <v>Accessia Health</v>
      </c>
      <c r="H5" s="161" t="str">
        <f>IFERROR(__xludf.DUMMYFUNCTION("""COMPUTED_VALUE"""),"Catholic Charities")</f>
        <v>Catholic Charities</v>
      </c>
      <c r="I5" s="161" t="str">
        <f>IFERROR(__xludf.DUMMYFUNCTION("""COMPUTED_VALUE"""),"Brentwood Baptist Church")</f>
        <v>Brentwood Baptist Church</v>
      </c>
      <c r="K5" s="161" t="s">
        <v>254</v>
      </c>
      <c r="L5" s="161" t="s">
        <v>5753</v>
      </c>
    </row>
    <row r="6">
      <c r="A6" s="132" t="str">
        <f>CONCATENATE(Data!AA7,"|",Data!N7)</f>
        <v>AccessHealth|ACTIVE</v>
      </c>
      <c r="B6" s="161" t="str">
        <f>IFERROR(__xludf.DUMMYFUNCTION("""COMPUTED_VALUE"""),"AccessHealth")</f>
        <v>AccessHealth</v>
      </c>
      <c r="C6" s="161" t="str">
        <f>IFERROR(__xludf.DUMMYFUNCTION("""COMPUTED_VALUE"""),"ACTIVE")</f>
        <v>ACTIVE</v>
      </c>
      <c r="E6" s="161" t="s">
        <v>5753</v>
      </c>
      <c r="F6" s="161" t="s">
        <v>42</v>
      </c>
      <c r="G6" s="161" t="str">
        <f>IFERROR(__xludf.DUMMYFUNCTION("""COMPUTED_VALUE"""),"Adult &amp; Teen Challenge")</f>
        <v>Adult &amp; Teen Challenge</v>
      </c>
      <c r="H6" s="161" t="str">
        <f>IFERROR(__xludf.DUMMYFUNCTION("""COMPUTED_VALUE"""),"Central American Resource Center (CARECEN)")</f>
        <v>Central American Resource Center (CARECEN)</v>
      </c>
      <c r="I6" s="161" t="str">
        <f>IFERROR(__xludf.DUMMYFUNCTION("""COMPUTED_VALUE"""),"Christ the Redeemer")</f>
        <v>Christ the Redeemer</v>
      </c>
      <c r="K6" s="161" t="s">
        <v>267</v>
      </c>
      <c r="L6" s="161" t="s">
        <v>220</v>
      </c>
    </row>
    <row r="7">
      <c r="A7" s="132" t="str">
        <f>CONCATENATE(Data!AA8,"|",Data!N8)</f>
        <v>AccessHealth|ACTIVE</v>
      </c>
      <c r="B7" s="161" t="str">
        <f>IFERROR(__xludf.DUMMYFUNCTION("""COMPUTED_VALUE"""),"AccessHealth")</f>
        <v>AccessHealth</v>
      </c>
      <c r="C7" s="161" t="str">
        <f>IFERROR(__xludf.DUMMYFUNCTION("""COMPUTED_VALUE"""),"ACTIVE")</f>
        <v>ACTIVE</v>
      </c>
      <c r="E7" s="161" t="s">
        <v>5753</v>
      </c>
      <c r="F7" s="161" t="s">
        <v>42</v>
      </c>
      <c r="G7" s="161" t="str">
        <f>IFERROR(__xludf.DUMMYFUNCTION("""COMPUTED_VALUE"""),"Aid to Victims of Domestic Abuse (AVDA)")</f>
        <v>Aid to Victims of Domestic Abuse (AVDA)</v>
      </c>
      <c r="H7" s="161" t="str">
        <f>IFERROR(__xludf.DUMMYFUNCTION("""COMPUTED_VALUE"""),"Christ the Redeemer")</f>
        <v>Christ the Redeemer</v>
      </c>
      <c r="I7" s="161" t="str">
        <f>IFERROR(__xludf.DUMMYFUNCTION("""COMPUTED_VALUE"""),"Christian Helping Hands")</f>
        <v>Christian Helping Hands</v>
      </c>
      <c r="K7" s="161" t="s">
        <v>305</v>
      </c>
      <c r="L7" s="161" t="s">
        <v>5754</v>
      </c>
      <c r="M7" s="161" t="s">
        <v>1</v>
      </c>
    </row>
    <row r="8">
      <c r="A8" s="132" t="str">
        <f>CONCATENATE(Data!AA9,"|",Data!N9)</f>
        <v>AccessHealth|ACTIVE</v>
      </c>
      <c r="B8" s="161" t="str">
        <f>IFERROR(__xludf.DUMMYFUNCTION("""COMPUTED_VALUE"""),"AccessHealth")</f>
        <v>AccessHealth</v>
      </c>
      <c r="C8" s="161" t="str">
        <f>IFERROR(__xludf.DUMMYFUNCTION("""COMPUTED_VALUE"""),"ACTIVE")</f>
        <v>ACTIVE</v>
      </c>
      <c r="E8" s="161" t="s">
        <v>5753</v>
      </c>
      <c r="F8" s="161" t="s">
        <v>42</v>
      </c>
      <c r="G8" s="161" t="str">
        <f>IFERROR(__xludf.DUMMYFUNCTION("""COMPUTED_VALUE"""),"Aishel House")</f>
        <v>Aishel House</v>
      </c>
      <c r="H8" s="161" t="str">
        <f>IFERROR(__xludf.DUMMYFUNCTION("""COMPUTED_VALUE"""),"City of Houston")</f>
        <v>City of Houston</v>
      </c>
      <c r="I8" s="161" t="str">
        <f>IFERROR(__xludf.DUMMYFUNCTION("""COMPUTED_VALUE"""),"First Presbyterian Church")</f>
        <v>First Presbyterian Church</v>
      </c>
      <c r="K8" s="161" t="s">
        <v>316</v>
      </c>
      <c r="L8" s="161" t="s">
        <v>254</v>
      </c>
      <c r="M8" s="161">
        <v>7.41816616E8</v>
      </c>
    </row>
    <row r="9">
      <c r="A9" s="132" t="str">
        <f>CONCATENATE(Data!AA10,"|",Data!N10)</f>
        <v>AccessHealth|ACTIVE</v>
      </c>
      <c r="B9" s="161" t="str">
        <f>IFERROR(__xludf.DUMMYFUNCTION("""COMPUTED_VALUE"""),"AccessHealth")</f>
        <v>AccessHealth</v>
      </c>
      <c r="C9" s="161" t="str">
        <f>IFERROR(__xludf.DUMMYFUNCTION("""COMPUTED_VALUE"""),"ACTIVE")</f>
        <v>ACTIVE</v>
      </c>
      <c r="E9" s="161" t="s">
        <v>5753</v>
      </c>
      <c r="F9" s="161" t="s">
        <v>42</v>
      </c>
      <c r="G9" s="161" t="str">
        <f>IFERROR(__xludf.DUMMYFUNCTION("""COMPUTED_VALUE"""),"Alexander Jewish Family Service")</f>
        <v>Alexander Jewish Family Service</v>
      </c>
      <c r="H9" s="161" t="str">
        <f>IFERROR(__xludf.DUMMYFUNCTION("""COMPUTED_VALUE"""),"Coordinated Access Intake")</f>
        <v>Coordinated Access Intake</v>
      </c>
      <c r="I9" s="161" t="str">
        <f>IFERROR(__xludf.DUMMYFUNCTION("""COMPUTED_VALUE"""),"Gulf Coast Community Services")</f>
        <v>Gulf Coast Community Services</v>
      </c>
      <c r="K9" s="161" t="s">
        <v>360</v>
      </c>
      <c r="L9" s="161" t="s">
        <v>267</v>
      </c>
      <c r="M9" s="161" t="s">
        <v>5892</v>
      </c>
    </row>
    <row r="10">
      <c r="A10" s="132" t="str">
        <f>CONCATENATE(Data!AA11,"|",Data!N11)</f>
        <v>AccessHealth|ACTIVE</v>
      </c>
      <c r="B10" s="161" t="str">
        <f>IFERROR(__xludf.DUMMYFUNCTION("""COMPUTED_VALUE"""),"AccessHealth")</f>
        <v>AccessHealth</v>
      </c>
      <c r="C10" s="161" t="str">
        <f>IFERROR(__xludf.DUMMYFUNCTION("""COMPUTED_VALUE"""),"ACTIVE")</f>
        <v>ACTIVE</v>
      </c>
      <c r="E10" s="161" t="s">
        <v>5753</v>
      </c>
      <c r="F10" s="161" t="s">
        <v>42</v>
      </c>
      <c r="G10" s="161" t="str">
        <f>IFERROR(__xludf.DUMMYFUNCTION("""COMPUTED_VALUE"""),"Allyson Whitney Foundation")</f>
        <v>Allyson Whitney Foundation</v>
      </c>
      <c r="H10" s="161" t="str">
        <f>IFERROR(__xludf.DUMMYFUNCTION("""COMPUTED_VALUE"""),"Cy-Fair Helping Hands")</f>
        <v>Cy-Fair Helping Hands</v>
      </c>
      <c r="I10" s="161" t="str">
        <f>IFERROR(__xludf.DUMMYFUNCTION("""COMPUTED_VALUE"""),"Harris County")</f>
        <v>Harris County</v>
      </c>
      <c r="K10" s="161" t="s">
        <v>370</v>
      </c>
      <c r="L10" s="161" t="s">
        <v>305</v>
      </c>
      <c r="M10" s="161">
        <v>2.01225881E8</v>
      </c>
    </row>
    <row r="11">
      <c r="A11" s="132" t="str">
        <f>CONCATENATE(Data!AA12,"|",Data!N12)</f>
        <v>AccessHealth|ACTIVE</v>
      </c>
      <c r="B11" s="161" t="str">
        <f>IFERROR(__xludf.DUMMYFUNCTION("""COMPUTED_VALUE"""),"AccessHealth")</f>
        <v>AccessHealth</v>
      </c>
      <c r="C11" s="161" t="str">
        <f>IFERROR(__xludf.DUMMYFUNCTION("""COMPUTED_VALUE"""),"ACTIVE")</f>
        <v>ACTIVE</v>
      </c>
      <c r="E11" s="161" t="s">
        <v>5753</v>
      </c>
      <c r="F11" s="161" t="s">
        <v>42</v>
      </c>
      <c r="G11" s="161" t="str">
        <f>IFERROR(__xludf.DUMMYFUNCTION("""COMPUTED_VALUE"""),"American Kidney Fund")</f>
        <v>American Kidney Fund</v>
      </c>
      <c r="H11" s="161" t="str">
        <f>IFERROR(__xludf.DUMMYFUNCTION("""COMPUTED_VALUE"""),"Deer Park First Baptist")</f>
        <v>Deer Park First Baptist</v>
      </c>
      <c r="I11" s="161" t="str">
        <f>IFERROR(__xludf.DUMMYFUNCTION("""COMPUTED_VALUE"""),"Houston First Baptist Church")</f>
        <v>Houston First Baptist Church</v>
      </c>
      <c r="K11" s="161" t="s">
        <v>381</v>
      </c>
      <c r="L11" s="186" t="s">
        <v>316</v>
      </c>
    </row>
    <row r="12">
      <c r="A12" s="132" t="str">
        <f>CONCATENATE(Data!AA13,"|",Data!N13)</f>
        <v>AccessHealth|ACTIVE</v>
      </c>
      <c r="B12" s="161" t="str">
        <f>IFERROR(__xludf.DUMMYFUNCTION("""COMPUTED_VALUE"""),"AccessHealth")</f>
        <v>AccessHealth</v>
      </c>
      <c r="C12" s="161" t="str">
        <f>IFERROR(__xludf.DUMMYFUNCTION("""COMPUTED_VALUE"""),"ACTIVE")</f>
        <v>ACTIVE</v>
      </c>
      <c r="E12" s="161" t="s">
        <v>5753</v>
      </c>
      <c r="F12" s="161" t="s">
        <v>42</v>
      </c>
      <c r="G12" s="161" t="str">
        <f>IFERROR(__xludf.DUMMYFUNCTION("""COMPUTED_VALUE"""),"Angela House")</f>
        <v>Angela House</v>
      </c>
      <c r="H12" s="161" t="str">
        <f>IFERROR(__xludf.DUMMYFUNCTION("""COMPUTED_VALUE"""),"ECDC Houston Multicultural Center")</f>
        <v>ECDC Houston Multicultural Center</v>
      </c>
      <c r="I12" s="161" t="str">
        <f>IFERROR(__xludf.DUMMYFUNCTION("""COMPUTED_VALUE"""),"Main Street Ministries")</f>
        <v>Main Street Ministries</v>
      </c>
      <c r="K12" s="161" t="s">
        <v>401</v>
      </c>
      <c r="L12" s="161" t="s">
        <v>360</v>
      </c>
    </row>
    <row r="13">
      <c r="A13" s="132" t="str">
        <f>CONCATENATE(Data!AA14,"|",Data!N14)</f>
        <v>AccessHealth|ACTIVE</v>
      </c>
      <c r="B13" s="161" t="str">
        <f>IFERROR(__xludf.DUMMYFUNCTION("""COMPUTED_VALUE"""),"AccessHealth")</f>
        <v>AccessHealth</v>
      </c>
      <c r="C13" s="161" t="str">
        <f>IFERROR(__xludf.DUMMYFUNCTION("""COMPUTED_VALUE"""),"ACTIVE")</f>
        <v>ACTIVE</v>
      </c>
      <c r="E13" s="161" t="s">
        <v>5753</v>
      </c>
      <c r="F13" s="161" t="s">
        <v>42</v>
      </c>
      <c r="G13" s="161" t="str">
        <f>IFERROR(__xludf.DUMMYFUNCTION("""COMPUTED_VALUE"""),"Annunciation Maternity Home")</f>
        <v>Annunciation Maternity Home</v>
      </c>
      <c r="H13" s="161" t="str">
        <f>IFERROR(__xludf.DUMMYFUNCTION("""COMPUTED_VALUE"""),"Houston Children's Charity")</f>
        <v>Houston Children's Charity</v>
      </c>
      <c r="I13" s="161" t="str">
        <f>IFERROR(__xludf.DUMMYFUNCTION("""COMPUTED_VALUE"""),"Mary Queen Friendswood")</f>
        <v>Mary Queen Friendswood</v>
      </c>
      <c r="K13" s="161" t="s">
        <v>412</v>
      </c>
      <c r="L13" s="161" t="s">
        <v>370</v>
      </c>
    </row>
    <row r="14">
      <c r="A14" s="132" t="str">
        <f>CONCATENATE(Data!AA15,"|",Data!N15)</f>
        <v>AccessHealth|ACTIVE</v>
      </c>
      <c r="B14" s="161" t="str">
        <f>IFERROR(__xludf.DUMMYFUNCTION("""COMPUTED_VALUE"""),"AccessHealth")</f>
        <v>AccessHealth</v>
      </c>
      <c r="C14" s="161" t="str">
        <f>IFERROR(__xludf.DUMMYFUNCTION("""COMPUTED_VALUE"""),"ACTIVE")</f>
        <v>ACTIVE</v>
      </c>
      <c r="E14" s="161" t="s">
        <v>5753</v>
      </c>
      <c r="F14" s="161" t="s">
        <v>42</v>
      </c>
      <c r="G14" s="161" t="str">
        <f>IFERROR(__xludf.DUMMYFUNCTION("""COMPUTED_VALUE"""),"AsSalam Clinic")</f>
        <v>AsSalam Clinic</v>
      </c>
      <c r="H14" s="161" t="str">
        <f>IFERROR(__xludf.DUMMYFUNCTION("""COMPUTED_VALUE"""),"Islamic Society of Greater Houston")</f>
        <v>Islamic Society of Greater Houston</v>
      </c>
      <c r="I14" s="161" t="str">
        <f>IFERROR(__xludf.DUMMYFUNCTION("""COMPUTED_VALUE"""),"Pasadena Community Ministries")</f>
        <v>Pasadena Community Ministries</v>
      </c>
      <c r="K14" s="161" t="s">
        <v>439</v>
      </c>
      <c r="L14" s="161" t="s">
        <v>381</v>
      </c>
    </row>
    <row r="15">
      <c r="A15" s="132" t="str">
        <f>CONCATENATE(Data!AA16,"|",Data!N16)</f>
        <v>AccessHealth|ACTIVE</v>
      </c>
      <c r="B15" s="161" t="str">
        <f>IFERROR(__xludf.DUMMYFUNCTION("""COMPUTED_VALUE"""),"AccessHealth")</f>
        <v>AccessHealth</v>
      </c>
      <c r="C15" s="161" t="str">
        <f>IFERROR(__xludf.DUMMYFUNCTION("""COMPUTED_VALUE"""),"ACTIVE")</f>
        <v>ACTIVE</v>
      </c>
      <c r="E15" s="161" t="s">
        <v>5753</v>
      </c>
      <c r="F15" s="161" t="s">
        <v>42</v>
      </c>
      <c r="G15" s="161" t="str">
        <f>IFERROR(__xludf.DUMMYFUNCTION("""COMPUTED_VALUE"""),"Association for Advancement of Mexican Americans (AAMA)")</f>
        <v>Association for Advancement of Mexican Americans (AAMA)</v>
      </c>
      <c r="H15" s="161" t="str">
        <f>IFERROR(__xludf.DUMMYFUNCTION("""COMPUTED_VALUE"""),"Kailee Mills Foundation")</f>
        <v>Kailee Mills Foundation</v>
      </c>
      <c r="I15" s="161" t="str">
        <f>IFERROR(__xludf.DUMMYFUNCTION("""COMPUTED_VALUE"""),"Sheltering Arms &amp; Neighborhood Center Emergency Assistance Program")</f>
        <v>Sheltering Arms &amp; Neighborhood Center Emergency Assistance Program</v>
      </c>
      <c r="K15" s="161" t="s">
        <v>449</v>
      </c>
      <c r="L15" s="161" t="s">
        <v>392</v>
      </c>
      <c r="M15" s="161" t="s">
        <v>57</v>
      </c>
    </row>
    <row r="16">
      <c r="A16" s="132" t="str">
        <f>CONCATENATE(Data!AA17,"|",Data!N17)</f>
        <v>AccessHealth|ACTIVE</v>
      </c>
      <c r="B16" s="161" t="str">
        <f>IFERROR(__xludf.DUMMYFUNCTION("""COMPUTED_VALUE"""),"AccessHealth")</f>
        <v>AccessHealth</v>
      </c>
      <c r="C16" s="161" t="str">
        <f>IFERROR(__xludf.DUMMYFUNCTION("""COMPUTED_VALUE"""),"ACTIVE")</f>
        <v>ACTIVE</v>
      </c>
      <c r="E16" s="161" t="s">
        <v>5753</v>
      </c>
      <c r="F16" s="161" t="s">
        <v>42</v>
      </c>
      <c r="G16" s="161" t="str">
        <f>IFERROR(__xludf.DUMMYFUNCTION("""COMPUTED_VALUE"""),"Avenue 360")</f>
        <v>Avenue 360</v>
      </c>
      <c r="H16" s="161" t="str">
        <f>IFERROR(__xludf.DUMMYFUNCTION("""COMPUTED_VALUE"""),"PadSplit")</f>
        <v>PadSplit</v>
      </c>
      <c r="I16" s="161" t="str">
        <f>IFERROR(__xludf.DUMMYFUNCTION("""COMPUTED_VALUE"""),"Society of St Vincent de Paul")</f>
        <v>Society of St Vincent de Paul</v>
      </c>
      <c r="K16" s="161" t="s">
        <v>458</v>
      </c>
      <c r="L16" s="161" t="s">
        <v>401</v>
      </c>
      <c r="M16" s="161">
        <v>2.04860946E8</v>
      </c>
    </row>
    <row r="17">
      <c r="A17" s="132" t="str">
        <f>CONCATENATE(Data!AA18,"|",Data!N18)</f>
        <v>AccessHealth|ACTIVE</v>
      </c>
      <c r="B17" s="161" t="str">
        <f>IFERROR(__xludf.DUMMYFUNCTION("""COMPUTED_VALUE"""),"AccessHealth")</f>
        <v>AccessHealth</v>
      </c>
      <c r="C17" s="161" t="str">
        <f>IFERROR(__xludf.DUMMYFUNCTION("""COMPUTED_VALUE"""),"ACTIVE")</f>
        <v>ACTIVE</v>
      </c>
      <c r="E17" s="161" t="s">
        <v>5753</v>
      </c>
      <c r="F17" s="161" t="s">
        <v>42</v>
      </c>
      <c r="G17" s="161" t="str">
        <f>IFERROR(__xludf.DUMMYFUNCTION("""COMPUTED_VALUE"""),"BakerRipley")</f>
        <v>BakerRipley</v>
      </c>
      <c r="H17" s="161" t="str">
        <f>IFERROR(__xludf.DUMMYFUNCTION("""COMPUTED_VALUE"""),"Riceville Mt Olive Baptist Church")</f>
        <v>Riceville Mt Olive Baptist Church</v>
      </c>
      <c r="I17" s="161" t="str">
        <f>IFERROR(__xludf.DUMMYFUNCTION("""COMPUTED_VALUE"""),"Southeast Area Ministries")</f>
        <v>Southeast Area Ministries</v>
      </c>
      <c r="K17" s="161" t="s">
        <v>5755</v>
      </c>
      <c r="L17" s="161" t="s">
        <v>412</v>
      </c>
      <c r="M17" s="161">
        <v>7.42936497E8</v>
      </c>
    </row>
    <row r="18">
      <c r="A18" s="132" t="str">
        <f>CONCATENATE(Data!AA19,"|",Data!N19)</f>
        <v>AccessHealth|ACTIVE</v>
      </c>
      <c r="B18" s="161" t="str">
        <f>IFERROR(__xludf.DUMMYFUNCTION("""COMPUTED_VALUE"""),"AccessHealth")</f>
        <v>AccessHealth</v>
      </c>
      <c r="C18" s="161" t="str">
        <f>IFERROR(__xludf.DUMMYFUNCTION("""COMPUTED_VALUE"""),"ACTIVE")</f>
        <v>ACTIVE</v>
      </c>
      <c r="E18" s="161" t="s">
        <v>220</v>
      </c>
      <c r="F18" s="161" t="s">
        <v>42</v>
      </c>
      <c r="G18" s="161" t="str">
        <f>IFERROR(__xludf.DUMMYFUNCTION("""COMPUTED_VALUE"""),"Bammel Church of Christ")</f>
        <v>Bammel Church of Christ</v>
      </c>
      <c r="H18" s="161" t="str">
        <f>IFERROR(__xludf.DUMMYFUNCTION("""COMPUTED_VALUE"""),"Salute, Inc.")</f>
        <v>Salute, Inc.</v>
      </c>
      <c r="I18" s="161" t="str">
        <f>IFERROR(__xludf.DUMMYFUNCTION("""COMPUTED_VALUE"""),"Springwoods UMC")</f>
        <v>Springwoods UMC</v>
      </c>
      <c r="K18" s="161" t="s">
        <v>539</v>
      </c>
      <c r="L18" s="161" t="s">
        <v>439</v>
      </c>
    </row>
    <row r="19">
      <c r="A19" s="132" t="str">
        <f>CONCATENATE(Data!AA20,"|",Data!N20)</f>
        <v>AccessHealth|ACTIVE</v>
      </c>
      <c r="B19" s="161" t="str">
        <f>IFERROR(__xludf.DUMMYFUNCTION("""COMPUTED_VALUE"""),"AccessHealth")</f>
        <v>AccessHealth</v>
      </c>
      <c r="C19" s="161" t="str">
        <f>IFERROR(__xludf.DUMMYFUNCTION("""COMPUTED_VALUE"""),"ACTIVE")</f>
        <v>ACTIVE</v>
      </c>
      <c r="E19" s="161" t="s">
        <v>254</v>
      </c>
      <c r="F19" s="161" t="s">
        <v>42</v>
      </c>
      <c r="G19" s="161" t="str">
        <f>IFERROR(__xludf.DUMMYFUNCTION("""COMPUTED_VALUE"""),"BARC Animal Shelter &amp; Adoptions")</f>
        <v>BARC Animal Shelter &amp; Adoptions</v>
      </c>
      <c r="H19" s="161" t="str">
        <f>IFERROR(__xludf.DUMMYFUNCTION("""COMPUTED_VALUE"""),"St Luke the Evangelist")</f>
        <v>St Luke the Evangelist</v>
      </c>
      <c r="K19" s="161" t="s">
        <v>747</v>
      </c>
      <c r="L19" s="161" t="s">
        <v>449</v>
      </c>
    </row>
    <row r="20">
      <c r="A20" s="132" t="str">
        <f>CONCATENATE(Data!AA21,"|",Data!N21)</f>
        <v>AccessHealth|ACTIVE</v>
      </c>
      <c r="B20" s="161" t="str">
        <f>IFERROR(__xludf.DUMMYFUNCTION("""COMPUTED_VALUE"""),"AccessHealth")</f>
        <v>AccessHealth</v>
      </c>
      <c r="C20" s="161" t="str">
        <f>IFERROR(__xludf.DUMMYFUNCTION("""COMPUTED_VALUE"""),"ACTIVE")</f>
        <v>ACTIVE</v>
      </c>
      <c r="E20" s="161" t="s">
        <v>267</v>
      </c>
      <c r="F20" s="161" t="s">
        <v>42</v>
      </c>
      <c r="G20" s="161" t="str">
        <f>IFERROR(__xludf.DUMMYFUNCTION("""COMPUTED_VALUE"""),"Bay Area Homeless Services")</f>
        <v>Bay Area Homeless Services</v>
      </c>
      <c r="H20" s="161" t="str">
        <f>IFERROR(__xludf.DUMMYFUNCTION("""COMPUTED_VALUE"""),"Workforce Solutions")</f>
        <v>Workforce Solutions</v>
      </c>
      <c r="K20" s="161" t="s">
        <v>760</v>
      </c>
      <c r="L20" s="161" t="s">
        <v>458</v>
      </c>
      <c r="M20" s="161">
        <v>7.41696961E8</v>
      </c>
    </row>
    <row r="21">
      <c r="A21" s="132" t="str">
        <f>CONCATENATE(Data!AA22,"|",Data!N22)</f>
        <v>Accessia Health|ACTIVE</v>
      </c>
      <c r="B21" s="161" t="str">
        <f>IFERROR(__xludf.DUMMYFUNCTION("""COMPUTED_VALUE"""),"Accessia Health")</f>
        <v>Accessia Health</v>
      </c>
      <c r="C21" s="161" t="str">
        <f>IFERROR(__xludf.DUMMYFUNCTION("""COMPUTED_VALUE"""),"ACTIVE")</f>
        <v>ACTIVE</v>
      </c>
      <c r="E21" s="161" t="s">
        <v>267</v>
      </c>
      <c r="F21" s="161" t="s">
        <v>42</v>
      </c>
      <c r="G21" s="161" t="str">
        <f>IFERROR(__xludf.DUMMYFUNCTION("""COMPUTED_VALUE"""),"Bay Area Turning Point")</f>
        <v>Bay Area Turning Point</v>
      </c>
      <c r="H21" s="161" t="str">
        <f>IFERROR(__xludf.DUMMYFUNCTION("""COMPUTED_VALUE"""),"YMCA International Services")</f>
        <v>YMCA International Services</v>
      </c>
      <c r="K21" s="161" t="s">
        <v>772</v>
      </c>
      <c r="L21" s="161" t="s">
        <v>5755</v>
      </c>
    </row>
    <row r="22">
      <c r="A22" s="132" t="str">
        <f>CONCATENATE(Data!AA23,"|",Data!N23)</f>
        <v>City of Houston|ACTIVE</v>
      </c>
      <c r="B22" s="161" t="str">
        <f>IFERROR(__xludf.DUMMYFUNCTION("""COMPUTED_VALUE"""),"City of Houston")</f>
        <v>City of Houston</v>
      </c>
      <c r="C22" s="161" t="str">
        <f>IFERROR(__xludf.DUMMYFUNCTION("""COMPUTED_VALUE"""),"ACTIVE")</f>
        <v>ACTIVE</v>
      </c>
      <c r="E22" s="161" t="s">
        <v>267</v>
      </c>
      <c r="F22" s="161" t="s">
        <v>42</v>
      </c>
      <c r="G22" s="161" t="str">
        <f>IFERROR(__xludf.DUMMYFUNCTION("""COMPUTED_VALUE"""),"Baylor Teen Health Clinic")</f>
        <v>Baylor Teen Health Clinic</v>
      </c>
      <c r="K22" s="161" t="s">
        <v>783</v>
      </c>
      <c r="L22" s="161" t="s">
        <v>539</v>
      </c>
      <c r="M22" s="161">
        <v>2.37062976E8</v>
      </c>
    </row>
    <row r="23">
      <c r="A23" s="132" t="str">
        <f>CONCATENATE(Data!AA24,"|",Data!N24)</f>
        <v>City of Houston|ACTIVE</v>
      </c>
      <c r="B23" s="161" t="str">
        <f>IFERROR(__xludf.DUMMYFUNCTION("""COMPUTED_VALUE"""),"City of Houston")</f>
        <v>City of Houston</v>
      </c>
      <c r="C23" s="161" t="str">
        <f>IFERROR(__xludf.DUMMYFUNCTION("""COMPUTED_VALUE"""),"ACTIVE")</f>
        <v>ACTIVE</v>
      </c>
      <c r="E23" s="161" t="s">
        <v>267</v>
      </c>
      <c r="F23" s="161" t="s">
        <v>42</v>
      </c>
      <c r="G23" s="161" t="str">
        <f>IFERROR(__xludf.DUMMYFUNCTION("""COMPUTED_VALUE"""),"Be An Angel")</f>
        <v>Be An Angel</v>
      </c>
      <c r="K23" s="161" t="s">
        <v>792</v>
      </c>
      <c r="L23" s="161" t="s">
        <v>747</v>
      </c>
      <c r="M23" s="161">
        <v>7.41787417E8</v>
      </c>
    </row>
    <row r="24">
      <c r="A24" s="132" t="str">
        <f>CONCATENATE(Data!AA25,"|",Data!N25)</f>
        <v>City of Houston|ACTIVE</v>
      </c>
      <c r="B24" s="161" t="str">
        <f>IFERROR(__xludf.DUMMYFUNCTION("""COMPUTED_VALUE"""),"City of Houston")</f>
        <v>City of Houston</v>
      </c>
      <c r="C24" s="161" t="str">
        <f>IFERROR(__xludf.DUMMYFUNCTION("""COMPUTED_VALUE"""),"ACTIVE")</f>
        <v>ACTIVE</v>
      </c>
      <c r="E24" s="161" t="s">
        <v>267</v>
      </c>
      <c r="F24" s="161" t="s">
        <v>42</v>
      </c>
      <c r="G24" s="161" t="str">
        <f>IFERROR(__xludf.DUMMYFUNCTION("""COMPUTED_VALUE"""),"Bee Busy Wellness Center")</f>
        <v>Bee Busy Wellness Center</v>
      </c>
      <c r="K24" s="161" t="s">
        <v>807</v>
      </c>
      <c r="L24" s="161" t="s">
        <v>760</v>
      </c>
    </row>
    <row r="25">
      <c r="A25" s="132" t="str">
        <f>CONCATENATE(Data!AA26,"|",Data!N26)</f>
        <v>Adult &amp; Teen Challenge|ACTIVE</v>
      </c>
      <c r="B25" s="161" t="str">
        <f>IFERROR(__xludf.DUMMYFUNCTION("""COMPUTED_VALUE"""),"Adult &amp; Teen Challenge")</f>
        <v>Adult &amp; Teen Challenge</v>
      </c>
      <c r="C25" s="161" t="str">
        <f>IFERROR(__xludf.DUMMYFUNCTION("""COMPUTED_VALUE"""),"ACTIVE")</f>
        <v>ACTIVE</v>
      </c>
      <c r="E25" s="161" t="s">
        <v>267</v>
      </c>
      <c r="F25" s="161" t="s">
        <v>42</v>
      </c>
      <c r="G25" s="161" t="str">
        <f>IFERROR(__xludf.DUMMYFUNCTION("""COMPUTED_VALUE"""),"Bethel Heavenly Hands")</f>
        <v>Bethel Heavenly Hands</v>
      </c>
      <c r="K25" s="161" t="s">
        <v>820</v>
      </c>
      <c r="L25" s="161" t="s">
        <v>772</v>
      </c>
      <c r="M25" s="161">
        <v>7.60034478E8</v>
      </c>
    </row>
    <row r="26">
      <c r="A26" s="132" t="str">
        <f>CONCATENATE(Data!AA27,"|",Data!N27)</f>
        <v>Aid to Victims of Domestic Abuse (AVDA)|ACTIVE</v>
      </c>
      <c r="B26" s="161" t="str">
        <f>IFERROR(__xludf.DUMMYFUNCTION("""COMPUTED_VALUE"""),"Aid to Victims of Domestic Abuse (AVDA)")</f>
        <v>Aid to Victims of Domestic Abuse (AVDA)</v>
      </c>
      <c r="C26" s="161" t="str">
        <f>IFERROR(__xludf.DUMMYFUNCTION("""COMPUTED_VALUE"""),"ACTIVE")</f>
        <v>ACTIVE</v>
      </c>
      <c r="E26" s="161" t="s">
        <v>305</v>
      </c>
      <c r="F26" s="161" t="s">
        <v>42</v>
      </c>
      <c r="G26" s="161" t="str">
        <f>IFERROR(__xludf.DUMMYFUNCTION("""COMPUTED_VALUE"""),"Bezos Academy")</f>
        <v>Bezos Academy</v>
      </c>
      <c r="K26" s="161" t="s">
        <v>833</v>
      </c>
      <c r="L26" s="161" t="s">
        <v>783</v>
      </c>
      <c r="M26" s="161">
        <v>7.60353058E8</v>
      </c>
    </row>
    <row r="27">
      <c r="A27" s="132" t="str">
        <f>CONCATENATE(Data!AA28,"|",Data!N28)</f>
        <v>Aid to Victims of Domestic Abuse (AVDA)|ACTIVE</v>
      </c>
      <c r="B27" s="161" t="str">
        <f>IFERROR(__xludf.DUMMYFUNCTION("""COMPUTED_VALUE"""),"Aid to Victims of Domestic Abuse (AVDA)")</f>
        <v>Aid to Victims of Domestic Abuse (AVDA)</v>
      </c>
      <c r="C27" s="161" t="str">
        <f>IFERROR(__xludf.DUMMYFUNCTION("""COMPUTED_VALUE"""),"ACTIVE")</f>
        <v>ACTIVE</v>
      </c>
      <c r="E27" s="161" t="s">
        <v>316</v>
      </c>
      <c r="F27" s="161" t="s">
        <v>42</v>
      </c>
      <c r="G27" s="161" t="str">
        <f>IFERROR(__xludf.DUMMYFUNCTION("""COMPUTED_VALUE"""),"Blessed Beginnings Life Center")</f>
        <v>Blessed Beginnings Life Center</v>
      </c>
      <c r="K27" s="161" t="s">
        <v>5756</v>
      </c>
      <c r="L27" s="161" t="s">
        <v>792</v>
      </c>
    </row>
    <row r="28">
      <c r="A28" s="132" t="str">
        <f>CONCATENATE(Data!AA29,"|",Data!N29)</f>
        <v>Aid to Victims of Domestic Abuse (AVDA)|ACTIVE</v>
      </c>
      <c r="B28" s="161" t="str">
        <f>IFERROR(__xludf.DUMMYFUNCTION("""COMPUTED_VALUE"""),"Aid to Victims of Domestic Abuse (AVDA)")</f>
        <v>Aid to Victims of Domestic Abuse (AVDA)</v>
      </c>
      <c r="C28" s="161" t="str">
        <f>IFERROR(__xludf.DUMMYFUNCTION("""COMPUTED_VALUE"""),"ACTIVE")</f>
        <v>ACTIVE</v>
      </c>
      <c r="E28" s="161" t="s">
        <v>316</v>
      </c>
      <c r="F28" s="161" t="s">
        <v>42</v>
      </c>
      <c r="G28" s="161" t="str">
        <f>IFERROR(__xludf.DUMMYFUNCTION("""COMPUTED_VALUE"""),"Blessed Juan Diego")</f>
        <v>Blessed Juan Diego</v>
      </c>
      <c r="K28" s="161" t="s">
        <v>891</v>
      </c>
      <c r="L28" s="161" t="s">
        <v>807</v>
      </c>
      <c r="M28" s="161">
        <v>7.6026273E8</v>
      </c>
    </row>
    <row r="29">
      <c r="A29" s="132" t="str">
        <f>CONCATENATE(Data!AA30,"|",Data!N30)</f>
        <v>Aid to Victims of Domestic Abuse (AVDA)|ACTIVE</v>
      </c>
      <c r="B29" s="161" t="str">
        <f>IFERROR(__xludf.DUMMYFUNCTION("""COMPUTED_VALUE"""),"Aid to Victims of Domestic Abuse (AVDA)")</f>
        <v>Aid to Victims of Domestic Abuse (AVDA)</v>
      </c>
      <c r="C29" s="161" t="str">
        <f>IFERROR(__xludf.DUMMYFUNCTION("""COMPUTED_VALUE"""),"ACTIVE")</f>
        <v>ACTIVE</v>
      </c>
      <c r="E29" s="161" t="s">
        <v>316</v>
      </c>
      <c r="F29" s="161" t="s">
        <v>42</v>
      </c>
      <c r="G29" s="161" t="str">
        <f>IFERROR(__xludf.DUMMYFUNCTION("""COMPUTED_VALUE"""),"Bo's Place")</f>
        <v>Bo's Place</v>
      </c>
      <c r="K29" s="161" t="s">
        <v>899</v>
      </c>
      <c r="L29" s="161" t="s">
        <v>820</v>
      </c>
      <c r="M29" s="161">
        <v>2.70653014E8</v>
      </c>
    </row>
    <row r="30">
      <c r="A30" s="132" t="str">
        <f>CONCATENATE(Data!AA31,"|",Data!N31)</f>
        <v>Aid to Victims of Domestic Abuse (AVDA)|ACTIVE</v>
      </c>
      <c r="B30" s="161" t="str">
        <f>IFERROR(__xludf.DUMMYFUNCTION("""COMPUTED_VALUE"""),"Aid to Victims of Domestic Abuse (AVDA)")</f>
        <v>Aid to Victims of Domestic Abuse (AVDA)</v>
      </c>
      <c r="C30" s="161" t="str">
        <f>IFERROR(__xludf.DUMMYFUNCTION("""COMPUTED_VALUE"""),"ACTIVE")</f>
        <v>ACTIVE</v>
      </c>
      <c r="E30" s="161" t="s">
        <v>316</v>
      </c>
      <c r="F30" s="161" t="s">
        <v>42</v>
      </c>
      <c r="G30" s="161" t="str">
        <f>IFERROR(__xludf.DUMMYFUNCTION("""COMPUTED_VALUE"""),"Braes Interfaith Ministries")</f>
        <v>Braes Interfaith Ministries</v>
      </c>
      <c r="K30" s="161" t="s">
        <v>917</v>
      </c>
      <c r="L30" s="161" t="s">
        <v>833</v>
      </c>
      <c r="M30" s="161">
        <v>5.0574377E7</v>
      </c>
    </row>
    <row r="31">
      <c r="A31" s="132" t="str">
        <f>CONCATENATE(Data!AA32,"|",Data!N32)</f>
        <v>Aid to Victims of Domestic Abuse (AVDA)|ACTIVE</v>
      </c>
      <c r="B31" s="161" t="str">
        <f>IFERROR(__xludf.DUMMYFUNCTION("""COMPUTED_VALUE"""),"Aid to Victims of Domestic Abuse (AVDA)")</f>
        <v>Aid to Victims of Domestic Abuse (AVDA)</v>
      </c>
      <c r="C31" s="161" t="str">
        <f>IFERROR(__xludf.DUMMYFUNCTION("""COMPUTED_VALUE"""),"ACTIVE")</f>
        <v>ACTIVE</v>
      </c>
      <c r="E31" s="161" t="s">
        <v>360</v>
      </c>
      <c r="F31" s="161" t="s">
        <v>42</v>
      </c>
      <c r="G31" s="161" t="str">
        <f>IFERROR(__xludf.DUMMYFUNCTION("""COMPUTED_VALUE"""),"Bread of Life Inc.")</f>
        <v>Bread of Life Inc.</v>
      </c>
      <c r="K31" s="161" t="s">
        <v>928</v>
      </c>
      <c r="L31" s="161" t="s">
        <v>5756</v>
      </c>
    </row>
    <row r="32">
      <c r="A32" s="132" t="str">
        <f>CONCATENATE(Data!AA33,"|",Data!N33)</f>
        <v>Vecino Health Centers|ACTIVE</v>
      </c>
      <c r="B32" s="161" t="str">
        <f>IFERROR(__xludf.DUMMYFUNCTION("""COMPUTED_VALUE"""),"Vecino Health Centers")</f>
        <v>Vecino Health Centers</v>
      </c>
      <c r="C32" s="161" t="str">
        <f>IFERROR(__xludf.DUMMYFUNCTION("""COMPUTED_VALUE"""),"ACTIVE")</f>
        <v>ACTIVE</v>
      </c>
      <c r="E32" s="161" t="s">
        <v>370</v>
      </c>
      <c r="F32" s="161" t="s">
        <v>42</v>
      </c>
      <c r="G32" s="161" t="str">
        <f>IFERROR(__xludf.DUMMYFUNCTION("""COMPUTED_VALUE"""),"Camp Shield")</f>
        <v>Camp Shield</v>
      </c>
      <c r="K32" s="161" t="s">
        <v>936</v>
      </c>
      <c r="L32" s="161" t="s">
        <v>891</v>
      </c>
    </row>
    <row r="33">
      <c r="A33" s="132" t="str">
        <f>CONCATENATE(Data!AA34,"|",Data!N34)</f>
        <v>Aishel House|ACTIVE</v>
      </c>
      <c r="B33" s="161" t="str">
        <f>IFERROR(__xludf.DUMMYFUNCTION("""COMPUTED_VALUE"""),"Aishel House")</f>
        <v>Aishel House</v>
      </c>
      <c r="C33" s="161" t="str">
        <f>IFERROR(__xludf.DUMMYFUNCTION("""COMPUTED_VALUE"""),"ACTIVE")</f>
        <v>ACTIVE</v>
      </c>
      <c r="E33" s="161" t="s">
        <v>401</v>
      </c>
      <c r="F33" s="161" t="s">
        <v>42</v>
      </c>
      <c r="G33" s="161" t="str">
        <f>IFERROR(__xludf.DUMMYFUNCTION("""COMPUTED_VALUE"""),"Campus of Hope")</f>
        <v>Campus of Hope</v>
      </c>
      <c r="K33" s="161" t="s">
        <v>949</v>
      </c>
      <c r="L33" s="161" t="s">
        <v>899</v>
      </c>
    </row>
    <row r="34">
      <c r="A34" s="132" t="str">
        <f>CONCATENATE(Data!AA35,"|",Data!N35)</f>
        <v>Alexander Jewish Family Service|ACTIVE</v>
      </c>
      <c r="B34" s="161" t="str">
        <f>IFERROR(__xludf.DUMMYFUNCTION("""COMPUTED_VALUE"""),"Alexander Jewish Family Service")</f>
        <v>Alexander Jewish Family Service</v>
      </c>
      <c r="C34" s="161" t="str">
        <f>IFERROR(__xludf.DUMMYFUNCTION("""COMPUTED_VALUE"""),"ACTIVE")</f>
        <v>ACTIVE</v>
      </c>
      <c r="E34" s="161" t="s">
        <v>412</v>
      </c>
      <c r="F34" s="161" t="s">
        <v>42</v>
      </c>
      <c r="G34" s="161" t="str">
        <f>IFERROR(__xludf.DUMMYFUNCTION("""COMPUTED_VALUE"""),"CancerCare")</f>
        <v>CancerCare</v>
      </c>
      <c r="K34" s="161" t="s">
        <v>978</v>
      </c>
      <c r="L34" s="161" t="s">
        <v>917</v>
      </c>
    </row>
    <row r="35">
      <c r="A35" s="132" t="str">
        <f>CONCATENATE(Data!AA36,"|",Data!N36)</f>
        <v>Alexander Jewish Family Service|ACTIVE</v>
      </c>
      <c r="B35" s="161" t="str">
        <f>IFERROR(__xludf.DUMMYFUNCTION("""COMPUTED_VALUE"""),"Alexander Jewish Family Service")</f>
        <v>Alexander Jewish Family Service</v>
      </c>
      <c r="C35" s="161" t="str">
        <f>IFERROR(__xludf.DUMMYFUNCTION("""COMPUTED_VALUE"""),"ACTIVE")</f>
        <v>ACTIVE</v>
      </c>
      <c r="E35" s="161" t="s">
        <v>449</v>
      </c>
      <c r="F35" s="161" t="s">
        <v>42</v>
      </c>
      <c r="G35" s="161" t="str">
        <f>IFERROR(__xludf.DUMMYFUNCTION("""COMPUTED_VALUE"""),"Casa El Buen Samaritano Houston")</f>
        <v>Casa El Buen Samaritano Houston</v>
      </c>
      <c r="K35" s="161" t="s">
        <v>987</v>
      </c>
      <c r="L35" s="161" t="s">
        <v>928</v>
      </c>
      <c r="M35" s="161">
        <v>4.54040991E8</v>
      </c>
    </row>
    <row r="36">
      <c r="A36" s="132" t="str">
        <f>CONCATENATE(Data!AA37,"|",Data!N37)</f>
        <v>Alexander Jewish Family Service|ACTIVE</v>
      </c>
      <c r="B36" s="161" t="str">
        <f>IFERROR(__xludf.DUMMYFUNCTION("""COMPUTED_VALUE"""),"Alexander Jewish Family Service")</f>
        <v>Alexander Jewish Family Service</v>
      </c>
      <c r="C36" s="161" t="str">
        <f>IFERROR(__xludf.DUMMYFUNCTION("""COMPUTED_VALUE"""),"ACTIVE")</f>
        <v>ACTIVE</v>
      </c>
      <c r="E36" s="161" t="s">
        <v>458</v>
      </c>
      <c r="F36" s="161" t="s">
        <v>42</v>
      </c>
      <c r="G36" s="161" t="str">
        <f>IFERROR(__xludf.DUMMYFUNCTION("""COMPUTED_VALUE"""),"Casa El Buen Samaritano Missouri City")</f>
        <v>Casa El Buen Samaritano Missouri City</v>
      </c>
      <c r="K36" s="161" t="s">
        <v>996</v>
      </c>
      <c r="L36" s="161" t="s">
        <v>936</v>
      </c>
      <c r="M36" s="161">
        <v>7.60203566E8</v>
      </c>
    </row>
    <row r="37">
      <c r="A37" s="132" t="str">
        <f>CONCATENATE(Data!AA38,"|",Data!N38)</f>
        <v>Alexander Jewish Family Service|ACTIVE</v>
      </c>
      <c r="B37" s="161" t="str">
        <f>IFERROR(__xludf.DUMMYFUNCTION("""COMPUTED_VALUE"""),"Alexander Jewish Family Service")</f>
        <v>Alexander Jewish Family Service</v>
      </c>
      <c r="C37" s="161" t="str">
        <f>IFERROR(__xludf.DUMMYFUNCTION("""COMPUTED_VALUE"""),"ACTIVE")</f>
        <v>ACTIVE</v>
      </c>
      <c r="E37" s="161" t="s">
        <v>458</v>
      </c>
      <c r="F37" s="161" t="s">
        <v>42</v>
      </c>
      <c r="G37" s="161" t="str">
        <f>IFERROR(__xludf.DUMMYFUNCTION("""COMPUTED_VALUE"""),"Catholic Charities")</f>
        <v>Catholic Charities</v>
      </c>
      <c r="K37" s="161" t="s">
        <v>1007</v>
      </c>
      <c r="L37" s="161" t="s">
        <v>949</v>
      </c>
      <c r="M37" s="161">
        <v>7.6038651E8</v>
      </c>
    </row>
    <row r="38">
      <c r="A38" s="132" t="str">
        <f>CONCATENATE(Data!AA39,"|",Data!N39)</f>
        <v>City of Houston|ACTIVE</v>
      </c>
      <c r="B38" s="161" t="str">
        <f>IFERROR(__xludf.DUMMYFUNCTION("""COMPUTED_VALUE"""),"City of Houston")</f>
        <v>City of Houston</v>
      </c>
      <c r="C38" s="161" t="str">
        <f>IFERROR(__xludf.DUMMYFUNCTION("""COMPUTED_VALUE"""),"ACTIVE")</f>
        <v>ACTIVE</v>
      </c>
      <c r="E38" s="161" t="s">
        <v>458</v>
      </c>
      <c r="F38" s="161" t="s">
        <v>42</v>
      </c>
      <c r="G38" s="161" t="str">
        <f>IFERROR(__xludf.DUMMYFUNCTION("""COMPUTED_VALUE"""),"Children's Health Insurance Program (CHIP)")</f>
        <v>Children's Health Insurance Program (CHIP)</v>
      </c>
      <c r="K38" s="161" t="s">
        <v>1016</v>
      </c>
      <c r="L38" s="161" t="s">
        <v>962</v>
      </c>
      <c r="M38" s="161" t="s">
        <v>5893</v>
      </c>
    </row>
    <row r="39">
      <c r="A39" s="132" t="str">
        <f>CONCATENATE(Data!AA40,"|",Data!N40)</f>
        <v>Society of St Vincent de Paul|ACTIVE</v>
      </c>
      <c r="B39" s="161" t="str">
        <f>IFERROR(__xludf.DUMMYFUNCTION("""COMPUTED_VALUE"""),"Society of St Vincent de Paul")</f>
        <v>Society of St Vincent de Paul</v>
      </c>
      <c r="C39" s="161" t="str">
        <f>IFERROR(__xludf.DUMMYFUNCTION("""COMPUTED_VALUE"""),"ACTIVE")</f>
        <v>ACTIVE</v>
      </c>
      <c r="E39" s="161" t="s">
        <v>458</v>
      </c>
      <c r="F39" s="161" t="s">
        <v>42</v>
      </c>
      <c r="G39" s="161" t="str">
        <f>IFERROR(__xludf.DUMMYFUNCTION("""COMPUTED_VALUE"""),"Chinese Community Service Center")</f>
        <v>Chinese Community Service Center</v>
      </c>
      <c r="K39" s="161" t="s">
        <v>1034</v>
      </c>
      <c r="L39" s="161" t="s">
        <v>971</v>
      </c>
      <c r="M39" s="161" t="s">
        <v>1</v>
      </c>
    </row>
    <row r="40">
      <c r="A40" s="132" t="str">
        <f>CONCATENATE(Data!AA41,"|",Data!N41)</f>
        <v>Society of St Vincent de Paul|ACTIVE</v>
      </c>
      <c r="B40" s="161" t="str">
        <f>IFERROR(__xludf.DUMMYFUNCTION("""COMPUTED_VALUE"""),"Society of St Vincent de Paul")</f>
        <v>Society of St Vincent de Paul</v>
      </c>
      <c r="C40" s="161" t="str">
        <f>IFERROR(__xludf.DUMMYFUNCTION("""COMPUTED_VALUE"""),"ACTIVE")</f>
        <v>ACTIVE</v>
      </c>
      <c r="E40" s="161" t="s">
        <v>458</v>
      </c>
      <c r="F40" s="161" t="s">
        <v>42</v>
      </c>
      <c r="G40" s="161" t="str">
        <f>IFERROR(__xludf.DUMMYFUNCTION("""COMPUTED_VALUE"""),"Christ Clinic")</f>
        <v>Christ Clinic</v>
      </c>
      <c r="K40" s="161" t="s">
        <v>1034</v>
      </c>
      <c r="L40" s="161" t="s">
        <v>978</v>
      </c>
    </row>
    <row r="41">
      <c r="A41" s="132" t="str">
        <f>CONCATENATE(Data!AA42,"|",Data!N42)</f>
        <v>Society of St Vincent de Paul|ACTIVE</v>
      </c>
      <c r="B41" s="161" t="str">
        <f>IFERROR(__xludf.DUMMYFUNCTION("""COMPUTED_VALUE"""),"Society of St Vincent de Paul")</f>
        <v>Society of St Vincent de Paul</v>
      </c>
      <c r="C41" s="161" t="str">
        <f>IFERROR(__xludf.DUMMYFUNCTION("""COMPUTED_VALUE"""),"ACTIVE")</f>
        <v>ACTIVE</v>
      </c>
      <c r="E41" s="161" t="s">
        <v>5755</v>
      </c>
      <c r="F41" s="161" t="s">
        <v>42</v>
      </c>
      <c r="G41" s="161" t="str">
        <f>IFERROR(__xludf.DUMMYFUNCTION("""COMPUTED_VALUE"""),"Christian Community Service Center (CCSC)")</f>
        <v>Christian Community Service Center (CCSC)</v>
      </c>
      <c r="K41" s="161" t="s">
        <v>1062</v>
      </c>
      <c r="L41" s="161" t="s">
        <v>987</v>
      </c>
    </row>
    <row r="42">
      <c r="A42" s="132" t="str">
        <f>CONCATENATE(Data!AA43,"|",Data!N43)</f>
        <v>Allyson Whitney Foundation|ACTIVE</v>
      </c>
      <c r="B42" s="161" t="str">
        <f>IFERROR(__xludf.DUMMYFUNCTION("""COMPUTED_VALUE"""),"Allyson Whitney Foundation")</f>
        <v>Allyson Whitney Foundation</v>
      </c>
      <c r="C42" s="161" t="str">
        <f>IFERROR(__xludf.DUMMYFUNCTION("""COMPUTED_VALUE"""),"ACTIVE")</f>
        <v>ACTIVE</v>
      </c>
      <c r="E42" s="161" t="s">
        <v>5755</v>
      </c>
      <c r="F42" s="161" t="s">
        <v>42</v>
      </c>
      <c r="G42" s="161" t="str">
        <f>IFERROR(__xludf.DUMMYFUNCTION("""COMPUTED_VALUE"""),"Christian Helping Hands")</f>
        <v>Christian Helping Hands</v>
      </c>
      <c r="K42" s="161" t="s">
        <v>1067</v>
      </c>
      <c r="L42" s="161" t="s">
        <v>996</v>
      </c>
    </row>
    <row r="43">
      <c r="A43" s="132" t="str">
        <f>CONCATENATE(Data!AA44,"|",Data!N44)</f>
        <v>American Kidney Fund|ACTIVE</v>
      </c>
      <c r="B43" s="161" t="str">
        <f>IFERROR(__xludf.DUMMYFUNCTION("""COMPUTED_VALUE"""),"American Kidney Fund")</f>
        <v>American Kidney Fund</v>
      </c>
      <c r="C43" s="161" t="str">
        <f>IFERROR(__xludf.DUMMYFUNCTION("""COMPUTED_VALUE"""),"ACTIVE")</f>
        <v>ACTIVE</v>
      </c>
      <c r="E43" s="161" t="s">
        <v>5755</v>
      </c>
      <c r="F43" s="161" t="s">
        <v>42</v>
      </c>
      <c r="G43" s="161" t="str">
        <f>IFERROR(__xludf.DUMMYFUNCTION("""COMPUTED_VALUE"""),"Christus Foundation for HealthCare")</f>
        <v>Christus Foundation for HealthCare</v>
      </c>
      <c r="K43" s="161" t="s">
        <v>1073</v>
      </c>
      <c r="L43" s="161" t="s">
        <v>1007</v>
      </c>
    </row>
    <row r="44">
      <c r="A44" s="132" t="str">
        <f>CONCATENATE(Data!AA45,"|",Data!N45)</f>
        <v>American Red Cross|LIMITED</v>
      </c>
      <c r="B44" s="161" t="str">
        <f>IFERROR(__xludf.DUMMYFUNCTION("""COMPUTED_VALUE"""),"American Red Cross")</f>
        <v>American Red Cross</v>
      </c>
      <c r="C44" s="161" t="str">
        <f>IFERROR(__xludf.DUMMYFUNCTION("""COMPUTED_VALUE"""),"LIMITED")</f>
        <v>LIMITED</v>
      </c>
      <c r="E44" s="161" t="s">
        <v>5755</v>
      </c>
      <c r="F44" s="161" t="s">
        <v>42</v>
      </c>
      <c r="G44" s="161" t="str">
        <f>IFERROR(__xludf.DUMMYFUNCTION("""COMPUTED_VALUE"""),"Church Without Walls")</f>
        <v>Church Without Walls</v>
      </c>
      <c r="K44" s="161" t="s">
        <v>1089</v>
      </c>
      <c r="L44" s="161" t="s">
        <v>1016</v>
      </c>
    </row>
    <row r="45">
      <c r="A45" s="132" t="str">
        <f>CONCATENATE(Data!AA46,"|",Data!N46)</f>
        <v>American Red Cross|LIMITED</v>
      </c>
      <c r="B45" s="161" t="str">
        <f>IFERROR(__xludf.DUMMYFUNCTION("""COMPUTED_VALUE"""),"American Red Cross")</f>
        <v>American Red Cross</v>
      </c>
      <c r="C45" s="161" t="str">
        <f>IFERROR(__xludf.DUMMYFUNCTION("""COMPUTED_VALUE"""),"LIMITED")</f>
        <v>LIMITED</v>
      </c>
      <c r="E45" s="161" t="s">
        <v>5755</v>
      </c>
      <c r="F45" s="161" t="s">
        <v>42</v>
      </c>
      <c r="G45" s="161" t="str">
        <f>IFERROR(__xludf.DUMMYFUNCTION("""COMPUTED_VALUE"""),"Churches United in Caring")</f>
        <v>Churches United in Caring</v>
      </c>
      <c r="K45" s="161" t="s">
        <v>1098</v>
      </c>
      <c r="L45" s="161" t="s">
        <v>1021</v>
      </c>
      <c r="M45" s="161" t="s">
        <v>1</v>
      </c>
    </row>
    <row r="46">
      <c r="A46" s="132" t="str">
        <f>CONCATENATE(Data!AA47,"|",Data!N47)</f>
        <v>American Red Cross|LIMITED</v>
      </c>
      <c r="B46" s="161" t="str">
        <f>IFERROR(__xludf.DUMMYFUNCTION("""COMPUTED_VALUE"""),"American Red Cross")</f>
        <v>American Red Cross</v>
      </c>
      <c r="C46" s="161" t="str">
        <f>IFERROR(__xludf.DUMMYFUNCTION("""COMPUTED_VALUE"""),"LIMITED")</f>
        <v>LIMITED</v>
      </c>
      <c r="E46" s="161" t="s">
        <v>5755</v>
      </c>
      <c r="F46" s="161" t="s">
        <v>42</v>
      </c>
      <c r="G46" s="161" t="str">
        <f>IFERROR(__xludf.DUMMYFUNCTION("""COMPUTED_VALUE"""),"City of Houston")</f>
        <v>City of Houston</v>
      </c>
      <c r="K46" s="161" t="s">
        <v>5758</v>
      </c>
      <c r="L46" s="161" t="s">
        <v>1034</v>
      </c>
    </row>
    <row r="47">
      <c r="A47" s="132" t="str">
        <f>CONCATENATE(Data!AA48,"|",Data!N48)</f>
        <v>Anchor Point|CLOSED</v>
      </c>
      <c r="B47" s="161" t="str">
        <f>IFERROR(__xludf.DUMMYFUNCTION("""COMPUTED_VALUE"""),"Anchor Point")</f>
        <v>Anchor Point</v>
      </c>
      <c r="C47" s="161" t="str">
        <f>IFERROR(__xludf.DUMMYFUNCTION("""COMPUTED_VALUE"""),"CLOSED")</f>
        <v>CLOSED</v>
      </c>
      <c r="E47" s="161" t="s">
        <v>5755</v>
      </c>
      <c r="F47" s="161" t="s">
        <v>42</v>
      </c>
      <c r="G47" s="161" t="str">
        <f>IFERROR(__xludf.DUMMYFUNCTION("""COMPUTED_VALUE"""),"Coastal Health &amp; Wellness")</f>
        <v>Coastal Health &amp; Wellness</v>
      </c>
      <c r="K47" s="161" t="s">
        <v>1148</v>
      </c>
      <c r="L47" s="161" t="s">
        <v>5757</v>
      </c>
      <c r="M47" s="161" t="s">
        <v>1</v>
      </c>
    </row>
    <row r="48">
      <c r="A48" s="132" t="str">
        <f>CONCATENATE(Data!AA49,"|",Data!N49)</f>
        <v>Angela House|ACTIVE</v>
      </c>
      <c r="B48" s="161" t="str">
        <f>IFERROR(__xludf.DUMMYFUNCTION("""COMPUTED_VALUE"""),"Angela House")</f>
        <v>Angela House</v>
      </c>
      <c r="C48" s="161" t="str">
        <f>IFERROR(__xludf.DUMMYFUNCTION("""COMPUTED_VALUE"""),"ACTIVE")</f>
        <v>ACTIVE</v>
      </c>
      <c r="E48" s="161" t="s">
        <v>5755</v>
      </c>
      <c r="F48" s="161" t="s">
        <v>42</v>
      </c>
      <c r="G48" s="161" t="str">
        <f>IFERROR(__xludf.DUMMYFUNCTION("""COMPUTED_VALUE"""),"Collaborative for Children")</f>
        <v>Collaborative for Children</v>
      </c>
      <c r="K48" s="161" t="s">
        <v>5759</v>
      </c>
      <c r="L48" s="161" t="s">
        <v>1062</v>
      </c>
    </row>
    <row r="49">
      <c r="A49" s="132" t="str">
        <f>CONCATENATE(Data!AA50,"|",Data!N50)</f>
        <v>Annunciation Maternity Home|ACTIVE</v>
      </c>
      <c r="B49" s="161" t="str">
        <f>IFERROR(__xludf.DUMMYFUNCTION("""COMPUTED_VALUE"""),"Annunciation Maternity Home")</f>
        <v>Annunciation Maternity Home</v>
      </c>
      <c r="C49" s="161" t="str">
        <f>IFERROR(__xludf.DUMMYFUNCTION("""COMPUTED_VALUE"""),"ACTIVE")</f>
        <v>ACTIVE</v>
      </c>
      <c r="E49" s="161" t="s">
        <v>5755</v>
      </c>
      <c r="F49" s="161" t="s">
        <v>42</v>
      </c>
      <c r="G49" s="161" t="str">
        <f>IFERROR(__xludf.DUMMYFUNCTION("""COMPUTED_VALUE"""),"Community Assistance Center")</f>
        <v>Community Assistance Center</v>
      </c>
      <c r="K49" s="161" t="s">
        <v>1263</v>
      </c>
      <c r="L49" s="161" t="s">
        <v>1067</v>
      </c>
    </row>
    <row r="50">
      <c r="A50" s="132" t="str">
        <f>CONCATENATE(Data!AA51,"|",Data!N51)</f>
        <v>Harris County Public Health|ACTIVE</v>
      </c>
      <c r="B50" s="161" t="str">
        <f>IFERROR(__xludf.DUMMYFUNCTION("""COMPUTED_VALUE"""),"Harris County Public Health")</f>
        <v>Harris County Public Health</v>
      </c>
      <c r="C50" s="161" t="str">
        <f>IFERROR(__xludf.DUMMYFUNCTION("""COMPUTED_VALUE"""),"ACTIVE")</f>
        <v>ACTIVE</v>
      </c>
      <c r="E50" s="161" t="s">
        <v>5755</v>
      </c>
      <c r="F50" s="161" t="s">
        <v>42</v>
      </c>
      <c r="G50" s="161" t="str">
        <f>IFERROR(__xludf.DUMMYFUNCTION("""COMPUTED_VALUE"""),"Community Family Center")</f>
        <v>Community Family Center</v>
      </c>
      <c r="K50" s="161" t="s">
        <v>1272</v>
      </c>
      <c r="L50" s="161" t="s">
        <v>1073</v>
      </c>
    </row>
    <row r="51">
      <c r="A51" s="132" t="str">
        <f>CONCATENATE(Data!AA52,"|",Data!N52)</f>
        <v>Harris County Public Health|ACTIVE</v>
      </c>
      <c r="B51" s="161" t="str">
        <f>IFERROR(__xludf.DUMMYFUNCTION("""COMPUTED_VALUE"""),"Harris County Public Health")</f>
        <v>Harris County Public Health</v>
      </c>
      <c r="C51" s="161" t="str">
        <f>IFERROR(__xludf.DUMMYFUNCTION("""COMPUTED_VALUE"""),"ACTIVE")</f>
        <v>ACTIVE</v>
      </c>
      <c r="E51" s="161" t="s">
        <v>5755</v>
      </c>
      <c r="F51" s="161" t="s">
        <v>42</v>
      </c>
      <c r="G51" s="161" t="str">
        <f>IFERROR(__xludf.DUMMYFUNCTION("""COMPUTED_VALUE"""),"Compassion United")</f>
        <v>Compassion United</v>
      </c>
      <c r="K51" s="161" t="s">
        <v>253</v>
      </c>
      <c r="L51" s="161" t="s">
        <v>1089</v>
      </c>
      <c r="M51" s="161">
        <v>9.00789318E8</v>
      </c>
    </row>
    <row r="52">
      <c r="A52" s="132" t="str">
        <f>CONCATENATE(Data!AA53,"|",Data!N53)</f>
        <v>Harris County Public Health|ACTIVE</v>
      </c>
      <c r="B52" s="161" t="str">
        <f>IFERROR(__xludf.DUMMYFUNCTION("""COMPUTED_VALUE"""),"Harris County Public Health")</f>
        <v>Harris County Public Health</v>
      </c>
      <c r="C52" s="161" t="str">
        <f>IFERROR(__xludf.DUMMYFUNCTION("""COMPUTED_VALUE"""),"ACTIVE")</f>
        <v>ACTIVE</v>
      </c>
      <c r="E52" s="161" t="s">
        <v>5755</v>
      </c>
      <c r="F52" s="161" t="s">
        <v>42</v>
      </c>
      <c r="G52" s="161" t="str">
        <f>IFERROR(__xludf.DUMMYFUNCTION("""COMPUTED_VALUE"""),"Cornerstone Gardens (RHF)")</f>
        <v>Cornerstone Gardens (RHF)</v>
      </c>
      <c r="K52" s="161" t="s">
        <v>253</v>
      </c>
      <c r="L52" s="161" t="s">
        <v>1098</v>
      </c>
      <c r="M52" s="161" t="s">
        <v>5893</v>
      </c>
    </row>
    <row r="53">
      <c r="A53" s="132" t="str">
        <f>CONCATENATE(Data!AA54,"|",Data!N54)</f>
        <v>Harris County Public Health|ACTIVE</v>
      </c>
      <c r="B53" s="161" t="str">
        <f>IFERROR(__xludf.DUMMYFUNCTION("""COMPUTED_VALUE"""),"Harris County Public Health")</f>
        <v>Harris County Public Health</v>
      </c>
      <c r="C53" s="161" t="str">
        <f>IFERROR(__xludf.DUMMYFUNCTION("""COMPUTED_VALUE"""),"ACTIVE")</f>
        <v>ACTIVE</v>
      </c>
      <c r="E53" s="161" t="s">
        <v>5755</v>
      </c>
      <c r="F53" s="161" t="s">
        <v>42</v>
      </c>
      <c r="G53" s="161" t="str">
        <f>IFERROR(__xludf.DUMMYFUNCTION("""COMPUTED_VALUE"""),"Covenant House Texas")</f>
        <v>Covenant House Texas</v>
      </c>
      <c r="K53" s="161" t="s">
        <v>5760</v>
      </c>
      <c r="L53" s="161" t="s">
        <v>5758</v>
      </c>
      <c r="M53" s="161">
        <v>7.42128141E8</v>
      </c>
    </row>
    <row r="54">
      <c r="A54" s="132" t="str">
        <f>CONCATENATE(Data!AA55,"|",Data!N55)</f>
        <v>Appleseed Network|LIMITED</v>
      </c>
      <c r="B54" s="161" t="str">
        <f>IFERROR(__xludf.DUMMYFUNCTION("""COMPUTED_VALUE"""),"Appleseed Network")</f>
        <v>Appleseed Network</v>
      </c>
      <c r="C54" s="161" t="str">
        <f>IFERROR(__xludf.DUMMYFUNCTION("""COMPUTED_VALUE"""),"LIMITED")</f>
        <v>LIMITED</v>
      </c>
      <c r="E54" s="161" t="s">
        <v>539</v>
      </c>
      <c r="F54" s="161" t="s">
        <v>42</v>
      </c>
      <c r="G54" s="161" t="str">
        <f>IFERROR(__xludf.DUMMYFUNCTION("""COMPUTED_VALUE"""),"Creekbend Gardens (RHF)")</f>
        <v>Creekbend Gardens (RHF)</v>
      </c>
      <c r="K54" s="161" t="s">
        <v>1326</v>
      </c>
      <c r="L54" s="161" t="s">
        <v>1148</v>
      </c>
      <c r="M54" s="161">
        <v>7.60122717E8</v>
      </c>
    </row>
    <row r="55">
      <c r="A55" s="132" t="str">
        <f>CONCATENATE(Data!AA56,"|",Data!N56)</f>
        <v>AsSalam Clinic|ACTIVE</v>
      </c>
      <c r="B55" s="161" t="str">
        <f>IFERROR(__xludf.DUMMYFUNCTION("""COMPUTED_VALUE"""),"AsSalam Clinic")</f>
        <v>AsSalam Clinic</v>
      </c>
      <c r="C55" s="161" t="str">
        <f>IFERROR(__xludf.DUMMYFUNCTION("""COMPUTED_VALUE"""),"ACTIVE")</f>
        <v>ACTIVE</v>
      </c>
      <c r="E55" s="161" t="s">
        <v>539</v>
      </c>
      <c r="F55" s="161" t="s">
        <v>42</v>
      </c>
      <c r="G55" s="161" t="str">
        <f>IFERROR(__xludf.DUMMYFUNCTION("""COMPUTED_VALUE"""),"Cy-Fair Helping Hands")</f>
        <v>Cy-Fair Helping Hands</v>
      </c>
      <c r="K55" s="161" t="s">
        <v>1334</v>
      </c>
      <c r="L55" s="161" t="s">
        <v>5759</v>
      </c>
      <c r="M55" s="161">
        <v>7.4607421E8</v>
      </c>
    </row>
    <row r="56">
      <c r="A56" s="132" t="str">
        <f>CONCATENATE(Data!AA57,"|",Data!N57)</f>
        <v>Association for Advancement of Mexican Americans (AAMA)|ACTIVE</v>
      </c>
      <c r="B56" s="161" t="str">
        <f>IFERROR(__xludf.DUMMYFUNCTION("""COMPUTED_VALUE"""),"Association for Advancement of Mexican Americans (AAMA)")</f>
        <v>Association for Advancement of Mexican Americans (AAMA)</v>
      </c>
      <c r="C56" s="161" t="str">
        <f>IFERROR(__xludf.DUMMYFUNCTION("""COMPUTED_VALUE"""),"ACTIVE")</f>
        <v>ACTIVE</v>
      </c>
      <c r="E56" s="161" t="s">
        <v>539</v>
      </c>
      <c r="F56" s="161" t="s">
        <v>42</v>
      </c>
      <c r="G56" s="161" t="str">
        <f>IFERROR(__xludf.DUMMYFUNCTION("""COMPUTED_VALUE"""),"Cypress Assistance Ministries")</f>
        <v>Cypress Assistance Ministries</v>
      </c>
      <c r="K56" s="161" t="s">
        <v>1350</v>
      </c>
      <c r="L56" s="161" t="s">
        <v>1263</v>
      </c>
      <c r="M56" s="161">
        <v>8.23083122E8</v>
      </c>
    </row>
    <row r="57">
      <c r="A57" s="132" t="str">
        <f>CONCATENATE(Data!AA58,"|",Data!N58)</f>
        <v>Association for Advancement of Mexican Americans (AAMA)|ACTIVE</v>
      </c>
      <c r="B57" s="161" t="str">
        <f>IFERROR(__xludf.DUMMYFUNCTION("""COMPUTED_VALUE"""),"Association for Advancement of Mexican Americans (AAMA)")</f>
        <v>Association for Advancement of Mexican Americans (AAMA)</v>
      </c>
      <c r="C57" s="161" t="str">
        <f>IFERROR(__xludf.DUMMYFUNCTION("""COMPUTED_VALUE"""),"ACTIVE")</f>
        <v>ACTIVE</v>
      </c>
      <c r="E57" s="161" t="s">
        <v>539</v>
      </c>
      <c r="F57" s="161" t="s">
        <v>42</v>
      </c>
      <c r="G57" s="161" t="str">
        <f>IFERROR(__xludf.DUMMYFUNCTION("""COMPUTED_VALUE"""),"Dan's House of Hope")</f>
        <v>Dan's House of Hope</v>
      </c>
      <c r="K57" s="161" t="s">
        <v>1359</v>
      </c>
      <c r="L57" s="161" t="s">
        <v>1272</v>
      </c>
      <c r="M57" s="161">
        <v>7.601184E8</v>
      </c>
    </row>
    <row r="58">
      <c r="A58" s="132" t="str">
        <f>CONCATENATE(Data!AA59,"|",Data!N59)</f>
        <v>Association for Advancement of Mexican Americans (AAMA)|ACTIVE</v>
      </c>
      <c r="B58" s="161" t="str">
        <f>IFERROR(__xludf.DUMMYFUNCTION("""COMPUTED_VALUE"""),"Association for Advancement of Mexican Americans (AAMA)")</f>
        <v>Association for Advancement of Mexican Americans (AAMA)</v>
      </c>
      <c r="C58" s="161" t="str">
        <f>IFERROR(__xludf.DUMMYFUNCTION("""COMPUTED_VALUE"""),"ACTIVE")</f>
        <v>ACTIVE</v>
      </c>
      <c r="E58" s="161" t="s">
        <v>539</v>
      </c>
      <c r="F58" s="161" t="s">
        <v>42</v>
      </c>
      <c r="G58" s="161" t="str">
        <f>IFERROR(__xludf.DUMMYFUNCTION("""COMPUTED_VALUE"""),"Daya")</f>
        <v>Daya</v>
      </c>
      <c r="K58" s="161" t="s">
        <v>1374</v>
      </c>
      <c r="L58" s="161" t="s">
        <v>253</v>
      </c>
      <c r="M58" s="161" t="s">
        <v>5894</v>
      </c>
    </row>
    <row r="59">
      <c r="A59" s="132" t="str">
        <f>CONCATENATE(Data!AA60,"|",Data!N60)</f>
        <v>Avenue 360|ACTIVE</v>
      </c>
      <c r="B59" s="161" t="str">
        <f>IFERROR(__xludf.DUMMYFUNCTION("""COMPUTED_VALUE"""),"Avenue 360")</f>
        <v>Avenue 360</v>
      </c>
      <c r="C59" s="161" t="str">
        <f>IFERROR(__xludf.DUMMYFUNCTION("""COMPUTED_VALUE"""),"ACTIVE")</f>
        <v>ACTIVE</v>
      </c>
      <c r="E59" s="161" t="s">
        <v>539</v>
      </c>
      <c r="F59" s="161" t="s">
        <v>42</v>
      </c>
      <c r="G59" s="161" t="str">
        <f>IFERROR(__xludf.DUMMYFUNCTION("""COMPUTED_VALUE"""),"Deer Park First Baptist")</f>
        <v>Deer Park First Baptist</v>
      </c>
      <c r="K59" s="161" t="s">
        <v>1386</v>
      </c>
      <c r="L59" s="161" t="s">
        <v>1297</v>
      </c>
    </row>
    <row r="60">
      <c r="A60" s="132" t="str">
        <f>CONCATENATE(Data!AA61,"|",Data!N61)</f>
        <v>Avenue 360|ACTIVE</v>
      </c>
      <c r="B60" s="161" t="str">
        <f>IFERROR(__xludf.DUMMYFUNCTION("""COMPUTED_VALUE"""),"Avenue 360")</f>
        <v>Avenue 360</v>
      </c>
      <c r="C60" s="161" t="str">
        <f>IFERROR(__xludf.DUMMYFUNCTION("""COMPUTED_VALUE"""),"ACTIVE")</f>
        <v>ACTIVE</v>
      </c>
      <c r="E60" s="161" t="s">
        <v>539</v>
      </c>
      <c r="F60" s="161" t="s">
        <v>42</v>
      </c>
      <c r="G60" s="161" t="str">
        <f>IFERROR(__xludf.DUMMYFUNCTION("""COMPUTED_VALUE"""),"Deer Park UMC")</f>
        <v>Deer Park UMC</v>
      </c>
      <c r="K60" s="161" t="s">
        <v>1395</v>
      </c>
      <c r="L60" s="161" t="s">
        <v>5760</v>
      </c>
    </row>
    <row r="61">
      <c r="A61" s="132" t="str">
        <f>CONCATENATE(Data!AA62,"|",Data!N62)</f>
        <v>Avenue 360|ACTIVE</v>
      </c>
      <c r="B61" s="161" t="str">
        <f>IFERROR(__xludf.DUMMYFUNCTION("""COMPUTED_VALUE"""),"Avenue 360")</f>
        <v>Avenue 360</v>
      </c>
      <c r="C61" s="161" t="str">
        <f>IFERROR(__xludf.DUMMYFUNCTION("""COMPUTED_VALUE"""),"ACTIVE")</f>
        <v>ACTIVE</v>
      </c>
      <c r="E61" s="161" t="s">
        <v>539</v>
      </c>
      <c r="F61" s="161" t="s">
        <v>42</v>
      </c>
      <c r="G61" s="161" t="str">
        <f>IFERROR(__xludf.DUMMYFUNCTION("""COMPUTED_VALUE"""),"Dollar For")</f>
        <v>Dollar For</v>
      </c>
      <c r="K61" s="161" t="s">
        <v>1403</v>
      </c>
      <c r="L61" s="161" t="s">
        <v>1326</v>
      </c>
      <c r="M61" s="161">
        <v>7.60228065E8</v>
      </c>
    </row>
    <row r="62">
      <c r="A62" s="132" t="str">
        <f>CONCATENATE(Data!AA63,"|",Data!N63)</f>
        <v>Avenue 360|ACTIVE</v>
      </c>
      <c r="B62" s="161" t="str">
        <f>IFERROR(__xludf.DUMMYFUNCTION("""COMPUTED_VALUE"""),"Avenue 360")</f>
        <v>Avenue 360</v>
      </c>
      <c r="C62" s="161" t="str">
        <f>IFERROR(__xludf.DUMMYFUNCTION("""COMPUTED_VALUE"""),"ACTIVE")</f>
        <v>ACTIVE</v>
      </c>
      <c r="E62" s="161" t="s">
        <v>539</v>
      </c>
      <c r="F62" s="161" t="s">
        <v>42</v>
      </c>
      <c r="G62" s="161" t="str">
        <f>IFERROR(__xludf.DUMMYFUNCTION("""COMPUTED_VALUE"""),"Dress For Success")</f>
        <v>Dress For Success</v>
      </c>
      <c r="K62" s="161" t="s">
        <v>1412</v>
      </c>
      <c r="L62" s="161" t="s">
        <v>1334</v>
      </c>
    </row>
    <row r="63">
      <c r="A63" s="132" t="str">
        <f>CONCATENATE(Data!AA64,"|",Data!N64)</f>
        <v>Avenue 360|ACTIVE</v>
      </c>
      <c r="B63" s="161" t="str">
        <f>IFERROR(__xludf.DUMMYFUNCTION("""COMPUTED_VALUE"""),"Avenue 360")</f>
        <v>Avenue 360</v>
      </c>
      <c r="C63" s="161" t="str">
        <f>IFERROR(__xludf.DUMMYFUNCTION("""COMPUTED_VALUE"""),"ACTIVE")</f>
        <v>ACTIVE</v>
      </c>
      <c r="E63" s="161" t="s">
        <v>539</v>
      </c>
      <c r="F63" s="161" t="s">
        <v>42</v>
      </c>
      <c r="G63" s="161" t="str">
        <f>IFERROR(__xludf.DUMMYFUNCTION("""COMPUTED_VALUE"""),"East End Social Services, Inc.")</f>
        <v>East End Social Services, Inc.</v>
      </c>
      <c r="K63" s="161" t="s">
        <v>1412</v>
      </c>
      <c r="L63" s="161" t="s">
        <v>1350</v>
      </c>
      <c r="M63" s="161">
        <v>7.41691632E8</v>
      </c>
    </row>
    <row r="64">
      <c r="A64" s="132" t="str">
        <f>CONCATENATE(Data!AA65,"|",Data!N65)</f>
        <v>Avenue 360|ACTIVE</v>
      </c>
      <c r="B64" s="161" t="str">
        <f>IFERROR(__xludf.DUMMYFUNCTION("""COMPUTED_VALUE"""),"Avenue 360")</f>
        <v>Avenue 360</v>
      </c>
      <c r="C64" s="161" t="str">
        <f>IFERROR(__xludf.DUMMYFUNCTION("""COMPUTED_VALUE"""),"ACTIVE")</f>
        <v>ACTIVE</v>
      </c>
      <c r="E64" s="161" t="s">
        <v>539</v>
      </c>
      <c r="F64" s="161" t="s">
        <v>42</v>
      </c>
      <c r="G64" s="161" t="str">
        <f>IFERROR(__xludf.DUMMYFUNCTION("""COMPUTED_VALUE"""),"East Ft Bend Human Needs")</f>
        <v>East Ft Bend Human Needs</v>
      </c>
      <c r="K64" s="161" t="s">
        <v>1432</v>
      </c>
      <c r="L64" s="161" t="s">
        <v>1359</v>
      </c>
      <c r="M64" s="161">
        <v>2.62240778E8</v>
      </c>
    </row>
    <row r="65">
      <c r="A65" s="132" t="str">
        <f>CONCATENATE(Data!AA66,"|",Data!N66)</f>
        <v>Avenue 360|ACTIVE</v>
      </c>
      <c r="B65" s="161" t="str">
        <f>IFERROR(__xludf.DUMMYFUNCTION("""COMPUTED_VALUE"""),"Avenue 360")</f>
        <v>Avenue 360</v>
      </c>
      <c r="C65" s="161" t="str">
        <f>IFERROR(__xludf.DUMMYFUNCTION("""COMPUTED_VALUE"""),"ACTIVE")</f>
        <v>ACTIVE</v>
      </c>
      <c r="E65" s="161" t="s">
        <v>539</v>
      </c>
      <c r="F65" s="161" t="s">
        <v>42</v>
      </c>
      <c r="G65" s="161" t="str">
        <f>IFERROR(__xludf.DUMMYFUNCTION("""COMPUTED_VALUE"""),"East Spring Branch Food Pantry")</f>
        <v>East Spring Branch Food Pantry</v>
      </c>
      <c r="K65" s="161" t="s">
        <v>1451</v>
      </c>
      <c r="L65" s="161" t="s">
        <v>1374</v>
      </c>
    </row>
    <row r="66">
      <c r="A66" s="132" t="str">
        <f>CONCATENATE(Data!AA67,"|",Data!N67)</f>
        <v>Avenue 360|ACTIVE</v>
      </c>
      <c r="B66" s="161" t="str">
        <f>IFERROR(__xludf.DUMMYFUNCTION("""COMPUTED_VALUE"""),"Avenue 360")</f>
        <v>Avenue 360</v>
      </c>
      <c r="C66" s="161" t="str">
        <f>IFERROR(__xludf.DUMMYFUNCTION("""COMPUTED_VALUE"""),"ACTIVE")</f>
        <v>ACTIVE</v>
      </c>
      <c r="E66" s="161" t="s">
        <v>539</v>
      </c>
      <c r="F66" s="161" t="s">
        <v>42</v>
      </c>
      <c r="G66" s="161" t="str">
        <f>IFERROR(__xludf.DUMMYFUNCTION("""COMPUTED_VALUE"""),"ECDC Houston Multicultural Center")</f>
        <v>ECDC Houston Multicultural Center</v>
      </c>
      <c r="K66" s="161" t="s">
        <v>1457</v>
      </c>
      <c r="L66" s="161" t="s">
        <v>1386</v>
      </c>
    </row>
    <row r="67">
      <c r="A67" s="132" t="str">
        <f>CONCATENATE(Data!AA68,"|",Data!N68)</f>
        <v>Avenue 360|ACTIVE</v>
      </c>
      <c r="B67" s="161" t="str">
        <f>IFERROR(__xludf.DUMMYFUNCTION("""COMPUTED_VALUE"""),"Avenue 360")</f>
        <v>Avenue 360</v>
      </c>
      <c r="C67" s="161" t="str">
        <f>IFERROR(__xludf.DUMMYFUNCTION("""COMPUTED_VALUE"""),"ACTIVE")</f>
        <v>ACTIVE</v>
      </c>
      <c r="E67" s="161" t="s">
        <v>539</v>
      </c>
      <c r="F67" s="161" t="s">
        <v>42</v>
      </c>
      <c r="G67" s="161" t="str">
        <f>IFERROR(__xludf.DUMMYFUNCTION("""COMPUTED_VALUE"""),"El Centro de Corazón")</f>
        <v>El Centro de Corazón</v>
      </c>
      <c r="K67" s="161" t="s">
        <v>1465</v>
      </c>
      <c r="L67" s="161" t="s">
        <v>1395</v>
      </c>
      <c r="M67" s="161">
        <v>7.60050882E8</v>
      </c>
    </row>
    <row r="68">
      <c r="A68" s="132" t="str">
        <f>CONCATENATE(Data!AA69,"|",Data!N69)</f>
        <v>Avenue 360|ACTIVE</v>
      </c>
      <c r="B68" s="161" t="str">
        <f>IFERROR(__xludf.DUMMYFUNCTION("""COMPUTED_VALUE"""),"Avenue 360")</f>
        <v>Avenue 360</v>
      </c>
      <c r="C68" s="161" t="str">
        <f>IFERROR(__xludf.DUMMYFUNCTION("""COMPUTED_VALUE"""),"ACTIVE")</f>
        <v>ACTIVE</v>
      </c>
      <c r="E68" s="161" t="s">
        <v>539</v>
      </c>
      <c r="F68" s="161" t="s">
        <v>42</v>
      </c>
      <c r="G68" s="161" t="str">
        <f>IFERROR(__xludf.DUMMYFUNCTION("""COMPUTED_VALUE"""),"Emancipet Clinics")</f>
        <v>Emancipet Clinics</v>
      </c>
      <c r="K68" s="161" t="s">
        <v>1465</v>
      </c>
      <c r="L68" s="161" t="s">
        <v>1403</v>
      </c>
    </row>
    <row r="69">
      <c r="A69" s="132" t="str">
        <f>CONCATENATE(Data!AA70,"|",Data!N70)</f>
        <v>Avenue 360|ACTIVE</v>
      </c>
      <c r="B69" s="161" t="str">
        <f>IFERROR(__xludf.DUMMYFUNCTION("""COMPUTED_VALUE"""),"Avenue 360")</f>
        <v>Avenue 360</v>
      </c>
      <c r="C69" s="161" t="str">
        <f>IFERROR(__xludf.DUMMYFUNCTION("""COMPUTED_VALUE"""),"ACTIVE")</f>
        <v>ACTIVE</v>
      </c>
      <c r="E69" s="161" t="s">
        <v>539</v>
      </c>
      <c r="F69" s="161" t="s">
        <v>42</v>
      </c>
      <c r="G69" s="161" t="str">
        <f>IFERROR(__xludf.DUMMYFUNCTION("""COMPUTED_VALUE"""),"Emergency Aid Coalition")</f>
        <v>Emergency Aid Coalition</v>
      </c>
      <c r="K69" s="161" t="s">
        <v>1479</v>
      </c>
      <c r="L69" s="161" t="s">
        <v>1412</v>
      </c>
      <c r="M69" s="161">
        <v>4.52820606E8</v>
      </c>
    </row>
    <row r="70">
      <c r="A70" s="132" t="str">
        <f>CONCATENATE(Data!AA71,"|",Data!N71)</f>
        <v>Avenue 360|ACTIVE</v>
      </c>
      <c r="B70" s="161" t="str">
        <f>IFERROR(__xludf.DUMMYFUNCTION("""COMPUTED_VALUE"""),"Avenue 360")</f>
        <v>Avenue 360</v>
      </c>
      <c r="C70" s="161" t="str">
        <f>IFERROR(__xludf.DUMMYFUNCTION("""COMPUTED_VALUE"""),"ACTIVE")</f>
        <v>ACTIVE</v>
      </c>
      <c r="E70" s="161" t="s">
        <v>539</v>
      </c>
      <c r="F70" s="161" t="s">
        <v>42</v>
      </c>
      <c r="G70" s="161" t="str">
        <f>IFERROR(__xludf.DUMMYFUNCTION("""COMPUTED_VALUE"""),"Epiphany Community Health Outreach Services ECHOS (SW Harris County)")</f>
        <v>Epiphany Community Health Outreach Services ECHOS (SW Harris County)</v>
      </c>
      <c r="K70" s="161" t="s">
        <v>1499</v>
      </c>
      <c r="L70" s="161" t="s">
        <v>1432</v>
      </c>
      <c r="M70" s="161">
        <v>7.60313478E8</v>
      </c>
    </row>
    <row r="71">
      <c r="A71" s="132" t="str">
        <f>CONCATENATE(Data!AA72,"|",Data!N72)</f>
        <v>Avenue 360|ACTIVE</v>
      </c>
      <c r="B71" s="161" t="str">
        <f>IFERROR(__xludf.DUMMYFUNCTION("""COMPUTED_VALUE"""),"Avenue 360")</f>
        <v>Avenue 360</v>
      </c>
      <c r="C71" s="161" t="str">
        <f>IFERROR(__xludf.DUMMYFUNCTION("""COMPUTED_VALUE"""),"ACTIVE")</f>
        <v>ACTIVE</v>
      </c>
      <c r="E71" s="161" t="s">
        <v>539</v>
      </c>
      <c r="F71" s="161" t="s">
        <v>42</v>
      </c>
      <c r="G71" s="161" t="str">
        <f>IFERROR(__xludf.DUMMYFUNCTION("""COMPUTED_VALUE"""),"Fair Haven Methodist Church")</f>
        <v>Fair Haven Methodist Church</v>
      </c>
      <c r="K71" s="161" t="s">
        <v>1510</v>
      </c>
      <c r="L71" s="161" t="s">
        <v>1451</v>
      </c>
      <c r="M71" s="161">
        <v>2.7234301E8</v>
      </c>
    </row>
    <row r="72">
      <c r="A72" s="132" t="str">
        <f>CONCATENATE(Data!AA73,"|",Data!N73)</f>
        <v>BakerRipley|ACTIVE</v>
      </c>
      <c r="B72" s="161" t="str">
        <f>IFERROR(__xludf.DUMMYFUNCTION("""COMPUTED_VALUE"""),"BakerRipley")</f>
        <v>BakerRipley</v>
      </c>
      <c r="C72" s="161" t="str">
        <f>IFERROR(__xludf.DUMMYFUNCTION("""COMPUTED_VALUE"""),"ACTIVE")</f>
        <v>ACTIVE</v>
      </c>
      <c r="E72" s="161" t="s">
        <v>539</v>
      </c>
      <c r="F72" s="161" t="s">
        <v>42</v>
      </c>
      <c r="G72" s="161" t="str">
        <f>IFERROR(__xludf.DUMMYFUNCTION("""COMPUTED_VALUE"""),"Family Promise")</f>
        <v>Family Promise</v>
      </c>
      <c r="K72" s="161" t="s">
        <v>1517</v>
      </c>
      <c r="L72" s="161" t="s">
        <v>1457</v>
      </c>
    </row>
    <row r="73">
      <c r="A73" s="132" t="str">
        <f>CONCATENATE(Data!AA74,"|",Data!N74)</f>
        <v>BakerRipley|ACTIVE</v>
      </c>
      <c r="B73" s="161" t="str">
        <f>IFERROR(__xludf.DUMMYFUNCTION("""COMPUTED_VALUE"""),"BakerRipley")</f>
        <v>BakerRipley</v>
      </c>
      <c r="C73" s="161" t="str">
        <f>IFERROR(__xludf.DUMMYFUNCTION("""COMPUTED_VALUE"""),"ACTIVE")</f>
        <v>ACTIVE</v>
      </c>
      <c r="E73" s="161" t="s">
        <v>539</v>
      </c>
      <c r="F73" s="161" t="s">
        <v>42</v>
      </c>
      <c r="G73" s="161" t="str">
        <f>IFERROR(__xludf.DUMMYFUNCTION("""COMPUTED_VALUE"""),"Family Reach")</f>
        <v>Family Reach</v>
      </c>
      <c r="K73" s="161" t="s">
        <v>1527</v>
      </c>
      <c r="L73" s="161" t="s">
        <v>1465</v>
      </c>
      <c r="M73" s="161" t="s">
        <v>5893</v>
      </c>
    </row>
    <row r="74">
      <c r="A74" s="132" t="str">
        <f>CONCATENATE(Data!AA75,"|",Data!N75)</f>
        <v>BakerRipley|ACTIVE</v>
      </c>
      <c r="B74" s="161" t="str">
        <f>IFERROR(__xludf.DUMMYFUNCTION("""COMPUTED_VALUE"""),"BakerRipley")</f>
        <v>BakerRipley</v>
      </c>
      <c r="C74" s="161" t="str">
        <f>IFERROR(__xludf.DUMMYFUNCTION("""COMPUTED_VALUE"""),"ACTIVE")</f>
        <v>ACTIVE</v>
      </c>
      <c r="E74" s="161" t="s">
        <v>539</v>
      </c>
      <c r="F74" s="161" t="s">
        <v>42</v>
      </c>
      <c r="G74" s="161" t="str">
        <f>IFERROR(__xludf.DUMMYFUNCTION("""COMPUTED_VALUE"""),"Family Time Crisis &amp; Counseling Center")</f>
        <v>Family Time Crisis &amp; Counseling Center</v>
      </c>
      <c r="K74" s="161" t="s">
        <v>1544</v>
      </c>
      <c r="L74" s="161" t="s">
        <v>1479</v>
      </c>
      <c r="M74" s="161" t="s">
        <v>5893</v>
      </c>
    </row>
    <row r="75">
      <c r="A75" s="132" t="str">
        <f>CONCATENATE(Data!AA76,"|",Data!N76)</f>
        <v>BakerRipley|ACTIVE</v>
      </c>
      <c r="B75" s="161" t="str">
        <f>IFERROR(__xludf.DUMMYFUNCTION("""COMPUTED_VALUE"""),"BakerRipley")</f>
        <v>BakerRipley</v>
      </c>
      <c r="C75" s="161" t="str">
        <f>IFERROR(__xludf.DUMMYFUNCTION("""COMPUTED_VALUE"""),"ACTIVE")</f>
        <v>ACTIVE</v>
      </c>
      <c r="E75" s="161" t="s">
        <v>539</v>
      </c>
      <c r="F75" s="161" t="s">
        <v>42</v>
      </c>
      <c r="G75" s="161" t="str">
        <f>IFERROR(__xludf.DUMMYFUNCTION("""COMPUTED_VALUE"""),"FIEL For Families and Their Education")</f>
        <v>FIEL For Families and Their Education</v>
      </c>
      <c r="K75" s="161" t="s">
        <v>1552</v>
      </c>
      <c r="L75" s="161" t="s">
        <v>1499</v>
      </c>
    </row>
    <row r="76">
      <c r="A76" s="132" t="str">
        <f>CONCATENATE(Data!AA77,"|",Data!N77)</f>
        <v>BakerRipley|ACTIVE</v>
      </c>
      <c r="B76" s="161" t="str">
        <f>IFERROR(__xludf.DUMMYFUNCTION("""COMPUTED_VALUE"""),"BakerRipley")</f>
        <v>BakerRipley</v>
      </c>
      <c r="C76" s="161" t="str">
        <f>IFERROR(__xludf.DUMMYFUNCTION("""COMPUTED_VALUE"""),"ACTIVE")</f>
        <v>ACTIVE</v>
      </c>
      <c r="E76" s="161" t="s">
        <v>539</v>
      </c>
      <c r="F76" s="161" t="s">
        <v>42</v>
      </c>
      <c r="G76" s="161" t="str">
        <f>IFERROR(__xludf.DUMMYFUNCTION("""COMPUTED_VALUE"""),"First Baptist Highlands Magnolia")</f>
        <v>First Baptist Highlands Magnolia</v>
      </c>
      <c r="K76" s="161" t="s">
        <v>1552</v>
      </c>
      <c r="L76" s="161" t="s">
        <v>1510</v>
      </c>
      <c r="M76" s="161">
        <v>7.60579697E8</v>
      </c>
    </row>
    <row r="77">
      <c r="A77" s="132" t="str">
        <f>CONCATENATE(Data!AA78,"|",Data!N78)</f>
        <v>BakerRipley|ACTIVE</v>
      </c>
      <c r="B77" s="161" t="str">
        <f>IFERROR(__xludf.DUMMYFUNCTION("""COMPUTED_VALUE"""),"BakerRipley")</f>
        <v>BakerRipley</v>
      </c>
      <c r="C77" s="161" t="str">
        <f>IFERROR(__xludf.DUMMYFUNCTION("""COMPUTED_VALUE"""),"ACTIVE")</f>
        <v>ACTIVE</v>
      </c>
      <c r="E77" s="161" t="s">
        <v>539</v>
      </c>
      <c r="F77" s="161" t="s">
        <v>42</v>
      </c>
      <c r="G77" s="161" t="str">
        <f>IFERROR(__xludf.DUMMYFUNCTION("""COMPUTED_VALUE"""),"First Baptist North Houston")</f>
        <v>First Baptist North Houston</v>
      </c>
      <c r="K77" s="161" t="s">
        <v>5761</v>
      </c>
      <c r="L77" s="161" t="s">
        <v>1517</v>
      </c>
      <c r="M77" s="161">
        <v>8.22065391E8</v>
      </c>
    </row>
    <row r="78">
      <c r="A78" s="132" t="str">
        <f>CONCATENATE(Data!AA79,"|",Data!N79)</f>
        <v>BakerRipley|ACTIVE</v>
      </c>
      <c r="B78" s="161" t="str">
        <f>IFERROR(__xludf.DUMMYFUNCTION("""COMPUTED_VALUE"""),"BakerRipley")</f>
        <v>BakerRipley</v>
      </c>
      <c r="C78" s="161" t="str">
        <f>IFERROR(__xludf.DUMMYFUNCTION("""COMPUTED_VALUE"""),"ACTIVE")</f>
        <v>ACTIVE</v>
      </c>
      <c r="E78" s="161" t="s">
        <v>539</v>
      </c>
      <c r="F78" s="161" t="s">
        <v>42</v>
      </c>
      <c r="G78" s="161" t="str">
        <f>IFERROR(__xludf.DUMMYFUNCTION("""COMPUTED_VALUE"""),"Focusing Families")</f>
        <v>Focusing Families</v>
      </c>
      <c r="K78" s="161" t="s">
        <v>1590</v>
      </c>
      <c r="L78" s="161" t="s">
        <v>1527</v>
      </c>
      <c r="M78" s="161">
        <v>7.60327598E8</v>
      </c>
    </row>
    <row r="79">
      <c r="A79" s="132" t="str">
        <f>CONCATENATE(Data!AA80,"|",Data!N80)</f>
        <v>BakerRipley|ACTIVE</v>
      </c>
      <c r="B79" s="161" t="str">
        <f>IFERROR(__xludf.DUMMYFUNCTION("""COMPUTED_VALUE"""),"BakerRipley")</f>
        <v>BakerRipley</v>
      </c>
      <c r="C79" s="161" t="str">
        <f>IFERROR(__xludf.DUMMYFUNCTION("""COMPUTED_VALUE"""),"ACTIVE")</f>
        <v>ACTIVE</v>
      </c>
      <c r="E79" s="161" t="s">
        <v>539</v>
      </c>
      <c r="F79" s="161" t="s">
        <v>42</v>
      </c>
      <c r="G79" s="161" t="str">
        <f>IFERROR(__xludf.DUMMYFUNCTION("""COMPUTED_VALUE"""),"Fort Bend County Social Services")</f>
        <v>Fort Bend County Social Services</v>
      </c>
      <c r="K79" s="161" t="s">
        <v>1610</v>
      </c>
      <c r="L79" s="161" t="s">
        <v>1544</v>
      </c>
      <c r="M79" s="161">
        <v>8.53128424E8</v>
      </c>
    </row>
    <row r="80">
      <c r="A80" s="132" t="str">
        <f>CONCATENATE(Data!AA81,"|",Data!N81)</f>
        <v>BakerRipley|ACTIVE</v>
      </c>
      <c r="B80" s="161" t="str">
        <f>IFERROR(__xludf.DUMMYFUNCTION("""COMPUTED_VALUE"""),"BakerRipley")</f>
        <v>BakerRipley</v>
      </c>
      <c r="C80" s="161" t="str">
        <f>IFERROR(__xludf.DUMMYFUNCTION("""COMPUTED_VALUE"""),"ACTIVE")</f>
        <v>ACTIVE</v>
      </c>
      <c r="E80" s="161" t="s">
        <v>539</v>
      </c>
      <c r="F80" s="161" t="s">
        <v>42</v>
      </c>
      <c r="G80" s="161" t="str">
        <f>IFERROR(__xludf.DUMMYFUNCTION("""COMPUTED_VALUE"""),"Fort Bend Women's Center")</f>
        <v>Fort Bend Women's Center</v>
      </c>
      <c r="K80" s="161" t="s">
        <v>1621</v>
      </c>
      <c r="L80" s="161" t="s">
        <v>1552</v>
      </c>
    </row>
    <row r="81">
      <c r="A81" s="132" t="str">
        <f>CONCATENATE(Data!AA82,"|",Data!N82)</f>
        <v>BakerRipley|ACTIVE</v>
      </c>
      <c r="B81" s="161" t="str">
        <f>IFERROR(__xludf.DUMMYFUNCTION("""COMPUTED_VALUE"""),"BakerRipley")</f>
        <v>BakerRipley</v>
      </c>
      <c r="C81" s="161" t="str">
        <f>IFERROR(__xludf.DUMMYFUNCTION("""COMPUTED_VALUE"""),"ACTIVE")</f>
        <v>ACTIVE</v>
      </c>
      <c r="E81" s="161" t="s">
        <v>539</v>
      </c>
      <c r="F81" s="161" t="s">
        <v>42</v>
      </c>
      <c r="G81" s="161" t="str">
        <f>IFERROR(__xludf.DUMMYFUNCTION("""COMPUTED_VALUE"""),"Freewheels Houston")</f>
        <v>Freewheels Houston</v>
      </c>
      <c r="K81" s="161" t="s">
        <v>1651</v>
      </c>
      <c r="L81" s="161" t="s">
        <v>5761</v>
      </c>
    </row>
    <row r="82">
      <c r="A82" s="132" t="str">
        <f>CONCATENATE(Data!AA83,"|",Data!N83)</f>
        <v>BakerRipley|ACTIVE</v>
      </c>
      <c r="B82" s="161" t="str">
        <f>IFERROR(__xludf.DUMMYFUNCTION("""COMPUTED_VALUE"""),"BakerRipley")</f>
        <v>BakerRipley</v>
      </c>
      <c r="C82" s="161" t="str">
        <f>IFERROR(__xludf.DUMMYFUNCTION("""COMPUTED_VALUE"""),"ACTIVE")</f>
        <v>ACTIVE</v>
      </c>
      <c r="E82" s="161" t="s">
        <v>539</v>
      </c>
      <c r="F82" s="161" t="s">
        <v>42</v>
      </c>
      <c r="G82" s="161" t="str">
        <f>IFERROR(__xludf.DUMMYFUNCTION("""COMPUTED_VALUE"""),"God's Lovely Butterflies Maternity Home")</f>
        <v>God's Lovely Butterflies Maternity Home</v>
      </c>
      <c r="K82" s="161" t="s">
        <v>5762</v>
      </c>
      <c r="L82" s="161" t="s">
        <v>1590</v>
      </c>
    </row>
    <row r="83">
      <c r="A83" s="132" t="str">
        <f>CONCATENATE(Data!AA84,"|",Data!N84)</f>
        <v>BakerRipley|ACTIVE</v>
      </c>
      <c r="B83" s="161" t="str">
        <f>IFERROR(__xludf.DUMMYFUNCTION("""COMPUTED_VALUE"""),"BakerRipley")</f>
        <v>BakerRipley</v>
      </c>
      <c r="C83" s="161" t="str">
        <f>IFERROR(__xludf.DUMMYFUNCTION("""COMPUTED_VALUE"""),"ACTIVE")</f>
        <v>ACTIVE</v>
      </c>
      <c r="E83" s="161" t="s">
        <v>539</v>
      </c>
      <c r="F83" s="161" t="s">
        <v>42</v>
      </c>
      <c r="G83" s="161" t="str">
        <f>IFERROR(__xludf.DUMMYFUNCTION("""COMPUTED_VALUE"""),"Good Days")</f>
        <v>Good Days</v>
      </c>
      <c r="K83" s="161" t="s">
        <v>1694</v>
      </c>
      <c r="L83" s="186" t="s">
        <v>1610</v>
      </c>
      <c r="M83" s="161">
        <v>7.60060267E8</v>
      </c>
    </row>
    <row r="84">
      <c r="A84" s="132" t="str">
        <f>CONCATENATE(Data!AA85,"|",Data!N85)</f>
        <v>BakerRipley|ACTIVE</v>
      </c>
      <c r="B84" s="161" t="str">
        <f>IFERROR(__xludf.DUMMYFUNCTION("""COMPUTED_VALUE"""),"BakerRipley")</f>
        <v>BakerRipley</v>
      </c>
      <c r="C84" s="161" t="str">
        <f>IFERROR(__xludf.DUMMYFUNCTION("""COMPUTED_VALUE"""),"ACTIVE")</f>
        <v>ACTIVE</v>
      </c>
      <c r="E84" s="161" t="s">
        <v>539</v>
      </c>
      <c r="F84" s="161" t="s">
        <v>42</v>
      </c>
      <c r="G84" s="161" t="str">
        <f>IFERROR(__xludf.DUMMYFUNCTION("""COMPUTED_VALUE"""),"Good Shepherd Mission")</f>
        <v>Good Shepherd Mission</v>
      </c>
      <c r="K84" s="161" t="s">
        <v>1706</v>
      </c>
      <c r="L84" s="161" t="s">
        <v>1621</v>
      </c>
    </row>
    <row r="85">
      <c r="A85" s="132" t="str">
        <f>CONCATENATE(Data!AA86,"|",Data!N86)</f>
        <v>BakerRipley|ACTIVE</v>
      </c>
      <c r="B85" s="161" t="str">
        <f>IFERROR(__xludf.DUMMYFUNCTION("""COMPUTED_VALUE"""),"BakerRipley")</f>
        <v>BakerRipley</v>
      </c>
      <c r="C85" s="161" t="str">
        <f>IFERROR(__xludf.DUMMYFUNCTION("""COMPUTED_VALUE"""),"ACTIVE")</f>
        <v>ACTIVE</v>
      </c>
      <c r="E85" s="161" t="s">
        <v>539</v>
      </c>
      <c r="F85" s="161" t="s">
        <v>42</v>
      </c>
      <c r="G85" s="161" t="str">
        <f>IFERROR(__xludf.DUMMYFUNCTION("""COMPUTED_VALUE"""),"Goodwill Industries")</f>
        <v>Goodwill Industries</v>
      </c>
      <c r="K85" s="161" t="s">
        <v>1712</v>
      </c>
      <c r="L85" s="161" t="s">
        <v>1651</v>
      </c>
    </row>
    <row r="86">
      <c r="A86" s="132" t="str">
        <f>CONCATENATE(Data!AA87,"|",Data!N87)</f>
        <v>BakerRipley|ACTIVE</v>
      </c>
      <c r="B86" s="161" t="str">
        <f>IFERROR(__xludf.DUMMYFUNCTION("""COMPUTED_VALUE"""),"BakerRipley")</f>
        <v>BakerRipley</v>
      </c>
      <c r="C86" s="161" t="str">
        <f>IFERROR(__xludf.DUMMYFUNCTION("""COMPUTED_VALUE"""),"ACTIVE")</f>
        <v>ACTIVE</v>
      </c>
      <c r="E86" s="161" t="s">
        <v>539</v>
      </c>
      <c r="F86" s="161" t="s">
        <v>42</v>
      </c>
      <c r="G86" s="161" t="str">
        <f>IFERROR(__xludf.DUMMYFUNCTION("""COMPUTED_VALUE"""),"Grace After Fire")</f>
        <v>Grace After Fire</v>
      </c>
      <c r="K86" s="161" t="s">
        <v>1730</v>
      </c>
      <c r="L86" s="161" t="s">
        <v>5762</v>
      </c>
      <c r="M86" s="161">
        <v>2.70635006E8</v>
      </c>
    </row>
    <row r="87">
      <c r="A87" s="132" t="str">
        <f>CONCATENATE(Data!AA88,"|",Data!N88)</f>
        <v>BakerRipley|ACTIVE</v>
      </c>
      <c r="B87" s="161" t="str">
        <f>IFERROR(__xludf.DUMMYFUNCTION("""COMPUTED_VALUE"""),"BakerRipley")</f>
        <v>BakerRipley</v>
      </c>
      <c r="C87" s="161" t="str">
        <f>IFERROR(__xludf.DUMMYFUNCTION("""COMPUTED_VALUE"""),"ACTIVE")</f>
        <v>ACTIVE</v>
      </c>
      <c r="E87" s="161" t="s">
        <v>539</v>
      </c>
      <c r="F87" s="161" t="s">
        <v>42</v>
      </c>
      <c r="G87" s="161" t="str">
        <f>IFERROR(__xludf.DUMMYFUNCTION("""COMPUTED_VALUE"""),"Gratia Plena")</f>
        <v>Gratia Plena</v>
      </c>
      <c r="K87" s="161" t="s">
        <v>1738</v>
      </c>
      <c r="L87" s="161" t="s">
        <v>1694</v>
      </c>
    </row>
    <row r="88">
      <c r="A88" s="132" t="str">
        <f>CONCATENATE(Data!AA89,"|",Data!N89)</f>
        <v>BakerRipley|ACTIVE</v>
      </c>
      <c r="B88" s="161" t="str">
        <f>IFERROR(__xludf.DUMMYFUNCTION("""COMPUTED_VALUE"""),"BakerRipley")</f>
        <v>BakerRipley</v>
      </c>
      <c r="C88" s="161" t="str">
        <f>IFERROR(__xludf.DUMMYFUNCTION("""COMPUTED_VALUE"""),"ACTIVE")</f>
        <v>ACTIVE</v>
      </c>
      <c r="E88" s="161" t="s">
        <v>539</v>
      </c>
      <c r="F88" s="161" t="s">
        <v>42</v>
      </c>
      <c r="G88" s="161" t="str">
        <f>IFERROR(__xludf.DUMMYFUNCTION("""COMPUTED_VALUE"""),"Greater Mt Zion Missionary Baptist Church")</f>
        <v>Greater Mt Zion Missionary Baptist Church</v>
      </c>
      <c r="K88" s="161" t="s">
        <v>1756</v>
      </c>
      <c r="L88" s="161" t="s">
        <v>1706</v>
      </c>
    </row>
    <row r="89">
      <c r="A89" s="132" t="str">
        <f>CONCATENATE(Data!AA90,"|",Data!N90)</f>
        <v>BakerRipley|ACTIVE</v>
      </c>
      <c r="B89" s="161" t="str">
        <f>IFERROR(__xludf.DUMMYFUNCTION("""COMPUTED_VALUE"""),"BakerRipley")</f>
        <v>BakerRipley</v>
      </c>
      <c r="C89" s="161" t="str">
        <f>IFERROR(__xludf.DUMMYFUNCTION("""COMPUTED_VALUE"""),"ACTIVE")</f>
        <v>ACTIVE</v>
      </c>
      <c r="E89" s="161" t="s">
        <v>539</v>
      </c>
      <c r="F89" s="161" t="s">
        <v>42</v>
      </c>
      <c r="G89" s="161" t="str">
        <f>IFERROR(__xludf.DUMMYFUNCTION("""COMPUTED_VALUE"""),"Gulf Coast Community Services")</f>
        <v>Gulf Coast Community Services</v>
      </c>
      <c r="K89" s="161" t="s">
        <v>1769</v>
      </c>
      <c r="L89" s="161" t="s">
        <v>1712</v>
      </c>
    </row>
    <row r="90">
      <c r="A90" s="132" t="str">
        <f>CONCATENATE(Data!AA91,"|",Data!N91)</f>
        <v>BakerRipley|ACTIVE</v>
      </c>
      <c r="B90" s="161" t="str">
        <f>IFERROR(__xludf.DUMMYFUNCTION("""COMPUTED_VALUE"""),"BakerRipley")</f>
        <v>BakerRipley</v>
      </c>
      <c r="C90" s="161" t="str">
        <f>IFERROR(__xludf.DUMMYFUNCTION("""COMPUTED_VALUE"""),"ACTIVE")</f>
        <v>ACTIVE</v>
      </c>
      <c r="E90" s="161" t="s">
        <v>539</v>
      </c>
      <c r="F90" s="161" t="s">
        <v>42</v>
      </c>
      <c r="G90" s="161" t="str">
        <f>IFERROR(__xludf.DUMMYFUNCTION("""COMPUTED_VALUE"""),"Halo House Foundation")</f>
        <v>Halo House Foundation</v>
      </c>
      <c r="K90" s="161" t="s">
        <v>1814</v>
      </c>
      <c r="L90" s="161" t="s">
        <v>5763</v>
      </c>
      <c r="M90" s="161" t="s">
        <v>5893</v>
      </c>
    </row>
    <row r="91">
      <c r="A91" s="132" t="str">
        <f>CONCATENATE(Data!AA92,"|",Data!N92)</f>
        <v>BakerRipley|ACTIVE</v>
      </c>
      <c r="B91" s="161" t="str">
        <f>IFERROR(__xludf.DUMMYFUNCTION("""COMPUTED_VALUE"""),"BakerRipley")</f>
        <v>BakerRipley</v>
      </c>
      <c r="C91" s="161" t="str">
        <f>IFERROR(__xludf.DUMMYFUNCTION("""COMPUTED_VALUE"""),"ACTIVE")</f>
        <v>ACTIVE</v>
      </c>
      <c r="E91" s="161" t="s">
        <v>539</v>
      </c>
      <c r="F91" s="161" t="s">
        <v>42</v>
      </c>
      <c r="G91" s="161" t="str">
        <f>IFERROR(__xludf.DUMMYFUNCTION("""COMPUTED_VALUE"""),"Harmony House, Inc.")</f>
        <v>Harmony House, Inc.</v>
      </c>
      <c r="K91" s="161" t="s">
        <v>1822</v>
      </c>
      <c r="L91" s="161" t="s">
        <v>1730</v>
      </c>
      <c r="M91" s="161" t="s">
        <v>5893</v>
      </c>
    </row>
    <row r="92">
      <c r="A92" s="132" t="str">
        <f>CONCATENATE(Data!AA93,"|",Data!N93)</f>
        <v>BakerRipley|ACTIVE</v>
      </c>
      <c r="B92" s="161" t="str">
        <f>IFERROR(__xludf.DUMMYFUNCTION("""COMPUTED_VALUE"""),"BakerRipley")</f>
        <v>BakerRipley</v>
      </c>
      <c r="C92" s="161" t="str">
        <f>IFERROR(__xludf.DUMMYFUNCTION("""COMPUTED_VALUE"""),"ACTIVE")</f>
        <v>ACTIVE</v>
      </c>
      <c r="E92" s="161" t="s">
        <v>747</v>
      </c>
      <c r="F92" s="161" t="s">
        <v>42</v>
      </c>
      <c r="G92" s="161" t="str">
        <f>IFERROR(__xludf.DUMMYFUNCTION("""COMPUTED_VALUE"""),"Harris County")</f>
        <v>Harris County</v>
      </c>
      <c r="K92" s="161" t="s">
        <v>1838</v>
      </c>
      <c r="L92" s="161" t="s">
        <v>1738</v>
      </c>
      <c r="M92" s="161" t="s">
        <v>5893</v>
      </c>
    </row>
    <row r="93">
      <c r="A93" s="132" t="str">
        <f>CONCATENATE(Data!AA94,"|",Data!N94)</f>
        <v>BakerRipley|ACTIVE</v>
      </c>
      <c r="B93" s="161" t="str">
        <f>IFERROR(__xludf.DUMMYFUNCTION("""COMPUTED_VALUE"""),"BakerRipley")</f>
        <v>BakerRipley</v>
      </c>
      <c r="C93" s="161" t="str">
        <f>IFERROR(__xludf.DUMMYFUNCTION("""COMPUTED_VALUE"""),"ACTIVE")</f>
        <v>ACTIVE</v>
      </c>
      <c r="E93" s="161" t="s">
        <v>747</v>
      </c>
      <c r="F93" s="161" t="s">
        <v>42</v>
      </c>
      <c r="G93" s="161" t="str">
        <f>IFERROR(__xludf.DUMMYFUNCTION("""COMPUTED_VALUE"""),"Harris County Public Health")</f>
        <v>Harris County Public Health</v>
      </c>
      <c r="K93" s="161" t="s">
        <v>1845</v>
      </c>
      <c r="L93" s="161" t="s">
        <v>1746</v>
      </c>
      <c r="M93" s="161" t="s">
        <v>5893</v>
      </c>
    </row>
    <row r="94">
      <c r="A94" s="132" t="str">
        <f>CONCATENATE(Data!AA95,"|",Data!N95)</f>
        <v>BakerRipley|ACTIVE</v>
      </c>
      <c r="B94" s="161" t="str">
        <f>IFERROR(__xludf.DUMMYFUNCTION("""COMPUTED_VALUE"""),"BakerRipley")</f>
        <v>BakerRipley</v>
      </c>
      <c r="C94" s="161" t="str">
        <f>IFERROR(__xludf.DUMMYFUNCTION("""COMPUTED_VALUE"""),"ACTIVE")</f>
        <v>ACTIVE</v>
      </c>
      <c r="E94" s="161" t="s">
        <v>760</v>
      </c>
      <c r="F94" s="161" t="s">
        <v>42</v>
      </c>
      <c r="G94" s="161" t="str">
        <f>IFERROR(__xludf.DUMMYFUNCTION("""COMPUTED_VALUE"""),"Harris Health")</f>
        <v>Harris Health</v>
      </c>
      <c r="K94" s="161" t="s">
        <v>1855</v>
      </c>
      <c r="L94" s="161" t="s">
        <v>1756</v>
      </c>
      <c r="M94" s="161">
        <v>7.60631349E8</v>
      </c>
    </row>
    <row r="95">
      <c r="A95" s="132" t="str">
        <f>CONCATENATE(Data!AA96,"|",Data!N96)</f>
        <v>BakerRipley|ACTIVE</v>
      </c>
      <c r="B95" s="161" t="str">
        <f>IFERROR(__xludf.DUMMYFUNCTION("""COMPUTED_VALUE"""),"BakerRipley")</f>
        <v>BakerRipley</v>
      </c>
      <c r="C95" s="161" t="str">
        <f>IFERROR(__xludf.DUMMYFUNCTION("""COMPUTED_VALUE"""),"ACTIVE")</f>
        <v>ACTIVE</v>
      </c>
      <c r="E95" s="161" t="s">
        <v>772</v>
      </c>
      <c r="F95" s="161" t="s">
        <v>42</v>
      </c>
      <c r="G95" s="161" t="str">
        <f>IFERROR(__xludf.DUMMYFUNCTION("""COMPUTED_VALUE"""),"Healthcare For The Homeless")</f>
        <v>Healthcare For The Homeless</v>
      </c>
      <c r="K95" s="161" t="s">
        <v>1873</v>
      </c>
      <c r="L95" s="161" t="s">
        <v>1769</v>
      </c>
    </row>
    <row r="96">
      <c r="A96" s="132" t="str">
        <f>CONCATENATE(Data!AA97,"|",Data!N97)</f>
        <v>BakerRipley|ACTIVE</v>
      </c>
      <c r="B96" s="161" t="str">
        <f>IFERROR(__xludf.DUMMYFUNCTION("""COMPUTED_VALUE"""),"BakerRipley")</f>
        <v>BakerRipley</v>
      </c>
      <c r="C96" s="161" t="str">
        <f>IFERROR(__xludf.DUMMYFUNCTION("""COMPUTED_VALUE"""),"ACTIVE")</f>
        <v>ACTIVE</v>
      </c>
      <c r="E96" s="161" t="s">
        <v>783</v>
      </c>
      <c r="F96" s="161" t="s">
        <v>42</v>
      </c>
      <c r="G96" s="161" t="str">
        <f>IFERROR(__xludf.DUMMYFUNCTION("""COMPUTED_VALUE"""),"Healthwell Foundation")</f>
        <v>Healthwell Foundation</v>
      </c>
      <c r="K96" s="161" t="s">
        <v>1880</v>
      </c>
      <c r="L96" s="161" t="s">
        <v>1814</v>
      </c>
    </row>
    <row r="97">
      <c r="A97" s="132" t="str">
        <f>CONCATENATE(Data!AA98,"|",Data!N98)</f>
        <v>BakerRipley|ACTIVE</v>
      </c>
      <c r="B97" s="161" t="str">
        <f>IFERROR(__xludf.DUMMYFUNCTION("""COMPUTED_VALUE"""),"BakerRipley")</f>
        <v>BakerRipley</v>
      </c>
      <c r="C97" s="161" t="str">
        <f>IFERROR(__xludf.DUMMYFUNCTION("""COMPUTED_VALUE"""),"ACTIVE")</f>
        <v>ACTIVE</v>
      </c>
      <c r="E97" s="161" t="s">
        <v>792</v>
      </c>
      <c r="F97" s="161" t="s">
        <v>42</v>
      </c>
      <c r="G97" s="161" t="str">
        <f>IFERROR(__xludf.DUMMYFUNCTION("""COMPUTED_VALUE"""),"Heights Interfaith Ministries")</f>
        <v>Heights Interfaith Ministries</v>
      </c>
      <c r="K97" s="161" t="s">
        <v>1887</v>
      </c>
      <c r="L97" s="161" t="s">
        <v>1822</v>
      </c>
      <c r="M97" s="161">
        <v>8.34288447E8</v>
      </c>
    </row>
    <row r="98">
      <c r="A98" s="132" t="str">
        <f>CONCATENATE(Data!AA99,"|",Data!N99)</f>
        <v>BakerRipley|ACTIVE</v>
      </c>
      <c r="B98" s="161" t="str">
        <f>IFERROR(__xludf.DUMMYFUNCTION("""COMPUTED_VALUE"""),"BakerRipley")</f>
        <v>BakerRipley</v>
      </c>
      <c r="C98" s="161" t="str">
        <f>IFERROR(__xludf.DUMMYFUNCTION("""COMPUTED_VALUE"""),"ACTIVE")</f>
        <v>ACTIVE</v>
      </c>
      <c r="E98" s="161" t="s">
        <v>807</v>
      </c>
      <c r="F98" s="161" t="s">
        <v>42</v>
      </c>
      <c r="G98" s="161" t="str">
        <f>IFERROR(__xludf.DUMMYFUNCTION("""COMPUTED_VALUE"""),"Holy Name")</f>
        <v>Holy Name</v>
      </c>
      <c r="K98" s="161" t="s">
        <v>1896</v>
      </c>
      <c r="L98" s="161" t="s">
        <v>1832</v>
      </c>
      <c r="M98" s="161" t="s">
        <v>1</v>
      </c>
    </row>
    <row r="99">
      <c r="A99" s="132" t="str">
        <f>CONCATENATE(Data!AA100,"|",Data!N100)</f>
        <v>BakerRipley|ACTIVE</v>
      </c>
      <c r="B99" s="161" t="str">
        <f>IFERROR(__xludf.DUMMYFUNCTION("""COMPUTED_VALUE"""),"BakerRipley")</f>
        <v>BakerRipley</v>
      </c>
      <c r="C99" s="161" t="str">
        <f>IFERROR(__xludf.DUMMYFUNCTION("""COMPUTED_VALUE"""),"ACTIVE")</f>
        <v>ACTIVE</v>
      </c>
      <c r="E99" s="161" t="s">
        <v>807</v>
      </c>
      <c r="F99" s="161" t="s">
        <v>42</v>
      </c>
      <c r="G99" s="161" t="str">
        <f>IFERROR(__xludf.DUMMYFUNCTION("""COMPUTED_VALUE"""),"Hope Center Houston")</f>
        <v>Hope Center Houston</v>
      </c>
      <c r="K99" s="161" t="s">
        <v>1907</v>
      </c>
      <c r="L99" s="161" t="s">
        <v>1838</v>
      </c>
      <c r="M99" s="161">
        <v>4.51501554E8</v>
      </c>
    </row>
    <row r="100">
      <c r="A100" s="132" t="str">
        <f>CONCATENATE(Data!AA101,"|",Data!N101)</f>
        <v>BakerRipley|ACTIVE</v>
      </c>
      <c r="B100" s="161" t="str">
        <f>IFERROR(__xludf.DUMMYFUNCTION("""COMPUTED_VALUE"""),"BakerRipley")</f>
        <v>BakerRipley</v>
      </c>
      <c r="C100" s="161" t="str">
        <f>IFERROR(__xludf.DUMMYFUNCTION("""COMPUTED_VALUE"""),"ACTIVE")</f>
        <v>ACTIVE</v>
      </c>
      <c r="E100" s="161" t="s">
        <v>807</v>
      </c>
      <c r="F100" s="161" t="s">
        <v>42</v>
      </c>
      <c r="G100" s="161" t="str">
        <f>IFERROR(__xludf.DUMMYFUNCTION("""COMPUTED_VALUE"""),"Hope Clinic")</f>
        <v>Hope Clinic</v>
      </c>
      <c r="K100" s="161" t="s">
        <v>1924</v>
      </c>
      <c r="L100" s="161" t="s">
        <v>1845</v>
      </c>
      <c r="M100" s="161">
        <v>6.11462062E8</v>
      </c>
    </row>
    <row r="101">
      <c r="A101" s="132" t="str">
        <f>CONCATENATE(Data!AA102,"|",Data!N102)</f>
        <v>BakerRipley|ACTIVE</v>
      </c>
      <c r="B101" s="161" t="str">
        <f>IFERROR(__xludf.DUMMYFUNCTION("""COMPUTED_VALUE"""),"BakerRipley")</f>
        <v>BakerRipley</v>
      </c>
      <c r="C101" s="161" t="str">
        <f>IFERROR(__xludf.DUMMYFUNCTION("""COMPUTED_VALUE"""),"ACTIVE")</f>
        <v>ACTIVE</v>
      </c>
      <c r="E101" s="161" t="s">
        <v>820</v>
      </c>
      <c r="F101" s="161" t="s">
        <v>42</v>
      </c>
      <c r="G101" s="161" t="str">
        <f>IFERROR(__xludf.DUMMYFUNCTION("""COMPUTED_VALUE"""),"Hospitality Apartments")</f>
        <v>Hospitality Apartments</v>
      </c>
      <c r="K101" s="161" t="s">
        <v>1932</v>
      </c>
      <c r="L101" s="161" t="s">
        <v>1855</v>
      </c>
      <c r="M101" s="161">
        <v>7.60150999E8</v>
      </c>
    </row>
    <row r="102">
      <c r="A102" s="132" t="str">
        <f>CONCATENATE(Data!AA103,"|",Data!N103)</f>
        <v>BakerRipley|ACTIVE</v>
      </c>
      <c r="B102" s="161" t="str">
        <f>IFERROR(__xludf.DUMMYFUNCTION("""COMPUTED_VALUE"""),"BakerRipley")</f>
        <v>BakerRipley</v>
      </c>
      <c r="C102" s="161" t="str">
        <f>IFERROR(__xludf.DUMMYFUNCTION("""COMPUTED_VALUE"""),"ACTIVE")</f>
        <v>ACTIVE</v>
      </c>
      <c r="E102" s="161" t="s">
        <v>820</v>
      </c>
      <c r="F102" s="161" t="s">
        <v>42</v>
      </c>
      <c r="G102" s="161" t="str">
        <f>IFERROR(__xludf.DUMMYFUNCTION("""COMPUTED_VALUE"""),"House of Amos")</f>
        <v>House of Amos</v>
      </c>
      <c r="K102" s="161" t="s">
        <v>5765</v>
      </c>
      <c r="L102" s="161" t="s">
        <v>1873</v>
      </c>
    </row>
    <row r="103">
      <c r="A103" s="132" t="str">
        <f>CONCATENATE(Data!AA104,"|",Data!N104)</f>
        <v>BakerRipley|ACTIVE</v>
      </c>
      <c r="B103" s="161" t="str">
        <f>IFERROR(__xludf.DUMMYFUNCTION("""COMPUTED_VALUE"""),"BakerRipley")</f>
        <v>BakerRipley</v>
      </c>
      <c r="C103" s="161" t="str">
        <f>IFERROR(__xludf.DUMMYFUNCTION("""COMPUTED_VALUE"""),"ACTIVE")</f>
        <v>ACTIVE</v>
      </c>
      <c r="E103" s="161" t="s">
        <v>833</v>
      </c>
      <c r="F103" s="161" t="s">
        <v>42</v>
      </c>
      <c r="G103" s="161" t="str">
        <f>IFERROR(__xludf.DUMMYFUNCTION("""COMPUTED_VALUE"""),"House of Help")</f>
        <v>House of Help</v>
      </c>
      <c r="K103" s="161" t="s">
        <v>5769</v>
      </c>
      <c r="L103" s="161" t="s">
        <v>1880</v>
      </c>
      <c r="M103" s="161">
        <v>4.63653209E8</v>
      </c>
    </row>
    <row r="104">
      <c r="A104" s="132" t="str">
        <f>CONCATENATE(Data!AA105,"|",Data!N105)</f>
        <v>BakerRipley|ACTIVE</v>
      </c>
      <c r="B104" s="161" t="str">
        <f>IFERROR(__xludf.DUMMYFUNCTION("""COMPUTED_VALUE"""),"BakerRipley")</f>
        <v>BakerRipley</v>
      </c>
      <c r="C104" s="161" t="str">
        <f>IFERROR(__xludf.DUMMYFUNCTION("""COMPUTED_VALUE"""),"ACTIVE")</f>
        <v>ACTIVE</v>
      </c>
      <c r="E104" s="161" t="s">
        <v>833</v>
      </c>
      <c r="F104" s="161" t="s">
        <v>42</v>
      </c>
      <c r="G104" s="161" t="str">
        <f>IFERROR(__xludf.DUMMYFUNCTION("""COMPUTED_VALUE"""),"Houston Area Women's Center")</f>
        <v>Houston Area Women's Center</v>
      </c>
      <c r="K104" s="161" t="s">
        <v>2055</v>
      </c>
      <c r="L104" s="161" t="s">
        <v>1887</v>
      </c>
      <c r="M104" s="161">
        <v>2.74695599E8</v>
      </c>
    </row>
    <row r="105">
      <c r="A105" s="132" t="str">
        <f>CONCATENATE(Data!AA106,"|",Data!N106)</f>
        <v>BakerRipley|ACTIVE</v>
      </c>
      <c r="B105" s="161" t="str">
        <f>IFERROR(__xludf.DUMMYFUNCTION("""COMPUTED_VALUE"""),"BakerRipley")</f>
        <v>BakerRipley</v>
      </c>
      <c r="C105" s="161" t="str">
        <f>IFERROR(__xludf.DUMMYFUNCTION("""COMPUTED_VALUE"""),"ACTIVE")</f>
        <v>ACTIVE</v>
      </c>
      <c r="E105" s="161" t="s">
        <v>5756</v>
      </c>
      <c r="F105" s="161" t="s">
        <v>42</v>
      </c>
      <c r="G105" s="161" t="str">
        <f>IFERROR(__xludf.DUMMYFUNCTION("""COMPUTED_VALUE"""),"Houston Bar Association Veterans Legal Initiative")</f>
        <v>Houston Bar Association Veterans Legal Initiative</v>
      </c>
      <c r="K105" s="161" t="s">
        <v>5770</v>
      </c>
      <c r="L105" s="161" t="s">
        <v>1896</v>
      </c>
      <c r="M105" s="161" t="s">
        <v>5893</v>
      </c>
    </row>
    <row r="106">
      <c r="A106" s="132" t="str">
        <f>CONCATENATE(Data!AA107,"|",Data!N107)</f>
        <v>BakerRipley|ACTIVE</v>
      </c>
      <c r="B106" s="161" t="str">
        <f>IFERROR(__xludf.DUMMYFUNCTION("""COMPUTED_VALUE"""),"BakerRipley")</f>
        <v>BakerRipley</v>
      </c>
      <c r="C106" s="161" t="str">
        <f>IFERROR(__xludf.DUMMYFUNCTION("""COMPUTED_VALUE"""),"ACTIVE")</f>
        <v>ACTIVE</v>
      </c>
      <c r="E106" s="161" t="s">
        <v>5756</v>
      </c>
      <c r="F106" s="161" t="s">
        <v>42</v>
      </c>
      <c r="G106" s="161" t="str">
        <f>IFERROR(__xludf.DUMMYFUNCTION("""COMPUTED_VALUE"""),"Houston Children's Charity")</f>
        <v>Houston Children's Charity</v>
      </c>
      <c r="K106" s="161" t="s">
        <v>2287</v>
      </c>
      <c r="L106" s="161" t="s">
        <v>5764</v>
      </c>
      <c r="M106" s="161" t="s">
        <v>1</v>
      </c>
    </row>
    <row r="107">
      <c r="A107" s="132" t="str">
        <f>CONCATENATE(Data!AA108,"|",Data!N108)</f>
        <v>BakerRipley|ACTIVE</v>
      </c>
      <c r="B107" s="161" t="str">
        <f>IFERROR(__xludf.DUMMYFUNCTION("""COMPUTED_VALUE"""),"BakerRipley")</f>
        <v>BakerRipley</v>
      </c>
      <c r="C107" s="161" t="str">
        <f>IFERROR(__xludf.DUMMYFUNCTION("""COMPUTED_VALUE"""),"ACTIVE")</f>
        <v>ACTIVE</v>
      </c>
      <c r="E107" s="161" t="s">
        <v>5756</v>
      </c>
      <c r="F107" s="161" t="s">
        <v>42</v>
      </c>
      <c r="G107" s="161" t="str">
        <f>IFERROR(__xludf.DUMMYFUNCTION("""COMPUTED_VALUE"""),"Houston Coalition for Life")</f>
        <v>Houston Coalition for Life</v>
      </c>
      <c r="K107" s="161" t="s">
        <v>2298</v>
      </c>
      <c r="L107" s="161" t="s">
        <v>1907</v>
      </c>
      <c r="M107" s="161">
        <v>7.46067937E8</v>
      </c>
    </row>
    <row r="108">
      <c r="A108" s="132" t="str">
        <f>CONCATENATE(Data!AA109,"|",Data!N109)</f>
        <v>BakerRipley|ACTIVE</v>
      </c>
      <c r="B108" s="161" t="str">
        <f>IFERROR(__xludf.DUMMYFUNCTION("""COMPUTED_VALUE"""),"BakerRipley")</f>
        <v>BakerRipley</v>
      </c>
      <c r="C108" s="161" t="str">
        <f>IFERROR(__xludf.DUMMYFUNCTION("""COMPUTED_VALUE"""),"ACTIVE")</f>
        <v>ACTIVE</v>
      </c>
      <c r="E108" s="161" t="s">
        <v>5756</v>
      </c>
      <c r="F108" s="161" t="s">
        <v>42</v>
      </c>
      <c r="G108" s="161" t="str">
        <f>IFERROR(__xludf.DUMMYFUNCTION("""COMPUTED_VALUE"""),"Houston Eviction Advocacy Center")</f>
        <v>Houston Eviction Advocacy Center</v>
      </c>
      <c r="K108" s="161" t="s">
        <v>2335</v>
      </c>
      <c r="L108" s="161" t="s">
        <v>1924</v>
      </c>
      <c r="M108" s="161">
        <v>2.71220705E8</v>
      </c>
    </row>
    <row r="109">
      <c r="A109" s="132" t="str">
        <f>CONCATENATE(Data!AA110,"|",Data!N110)</f>
        <v>BakerRipley|ACTIVE</v>
      </c>
      <c r="B109" s="161" t="str">
        <f>IFERROR(__xludf.DUMMYFUNCTION("""COMPUTED_VALUE"""),"BakerRipley")</f>
        <v>BakerRipley</v>
      </c>
      <c r="C109" s="161" t="str">
        <f>IFERROR(__xludf.DUMMYFUNCTION("""COMPUTED_VALUE"""),"ACTIVE")</f>
        <v>ACTIVE</v>
      </c>
      <c r="E109" s="161" t="s">
        <v>5756</v>
      </c>
      <c r="F109" s="161" t="s">
        <v>42</v>
      </c>
      <c r="G109" s="161" t="str">
        <f>IFERROR(__xludf.DUMMYFUNCTION("""COMPUTED_VALUE"""),"Houston Eye Associates Foundation")</f>
        <v>Houston Eye Associates Foundation</v>
      </c>
      <c r="K109" s="161" t="s">
        <v>2361</v>
      </c>
      <c r="L109" s="161" t="s">
        <v>1932</v>
      </c>
      <c r="M109" s="161">
        <v>7.60393953E8</v>
      </c>
    </row>
    <row r="110">
      <c r="A110" s="132" t="str">
        <f>CONCATENATE(Data!AA111,"|",Data!N111)</f>
        <v>Bammel Church of Christ|ACTIVE</v>
      </c>
      <c r="B110" s="161" t="str">
        <f>IFERROR(__xludf.DUMMYFUNCTION("""COMPUTED_VALUE"""),"Bammel Church of Christ")</f>
        <v>Bammel Church of Christ</v>
      </c>
      <c r="C110" s="161" t="str">
        <f>IFERROR(__xludf.DUMMYFUNCTION("""COMPUTED_VALUE"""),"ACTIVE")</f>
        <v>ACTIVE</v>
      </c>
      <c r="E110" s="161" t="s">
        <v>5756</v>
      </c>
      <c r="F110" s="161" t="s">
        <v>42</v>
      </c>
      <c r="G110" s="161" t="str">
        <f>IFERROR(__xludf.DUMMYFUNCTION("""COMPUTED_VALUE"""),"Houston First Baptist Church")</f>
        <v>Houston First Baptist Church</v>
      </c>
      <c r="K110" s="161" t="s">
        <v>2372</v>
      </c>
      <c r="L110" s="161" t="s">
        <v>5765</v>
      </c>
      <c r="M110" s="161" t="s">
        <v>5894</v>
      </c>
    </row>
    <row r="111">
      <c r="A111" s="132" t="str">
        <f>CONCATENATE(Data!AA112,"|",Data!N112)</f>
        <v>Bammel Church of Christ|ACTIVE</v>
      </c>
      <c r="B111" s="161" t="str">
        <f>IFERROR(__xludf.DUMMYFUNCTION("""COMPUTED_VALUE"""),"Bammel Church of Christ")</f>
        <v>Bammel Church of Christ</v>
      </c>
      <c r="C111" s="161" t="str">
        <f>IFERROR(__xludf.DUMMYFUNCTION("""COMPUTED_VALUE"""),"ACTIVE")</f>
        <v>ACTIVE</v>
      </c>
      <c r="E111" s="161" t="s">
        <v>891</v>
      </c>
      <c r="F111" s="161" t="s">
        <v>42</v>
      </c>
      <c r="G111" s="161" t="str">
        <f>IFERROR(__xludf.DUMMYFUNCTION("""COMPUTED_VALUE"""),"Houston Food Bank")</f>
        <v>Houston Food Bank</v>
      </c>
      <c r="K111" s="161" t="s">
        <v>2386</v>
      </c>
      <c r="L111" s="161" t="s">
        <v>5769</v>
      </c>
      <c r="M111" s="161" t="s">
        <v>5894</v>
      </c>
    </row>
    <row r="112">
      <c r="A112" s="132" t="str">
        <f>CONCATENATE(Data!AA113,"|",Data!N113)</f>
        <v>BARC Animal Shelter &amp; Adoptions|ACTIVE</v>
      </c>
      <c r="B112" s="161" t="str">
        <f>IFERROR(__xludf.DUMMYFUNCTION("""COMPUTED_VALUE"""),"BARC Animal Shelter &amp; Adoptions")</f>
        <v>BARC Animal Shelter &amp; Adoptions</v>
      </c>
      <c r="C112" s="161" t="str">
        <f>IFERROR(__xludf.DUMMYFUNCTION("""COMPUTED_VALUE"""),"ACTIVE")</f>
        <v>ACTIVE</v>
      </c>
      <c r="E112" s="161" t="s">
        <v>899</v>
      </c>
      <c r="F112" s="161" t="s">
        <v>42</v>
      </c>
      <c r="G112" s="161" t="str">
        <f>IFERROR(__xludf.DUMMYFUNCTION("""COMPUTED_VALUE"""),"Houston Hope Lodge")</f>
        <v>Houston Hope Lodge</v>
      </c>
      <c r="K112" s="161" t="s">
        <v>2396</v>
      </c>
      <c r="L112" s="161" t="s">
        <v>2055</v>
      </c>
      <c r="M112" s="161">
        <v>7.60408224E8</v>
      </c>
    </row>
    <row r="113">
      <c r="A113" s="132" t="str">
        <f>CONCATENATE(Data!AA114,"|",Data!N114)</f>
        <v>Bay Area Homeless Services|ACTIVE</v>
      </c>
      <c r="B113" s="161" t="str">
        <f>IFERROR(__xludf.DUMMYFUNCTION("""COMPUTED_VALUE"""),"Bay Area Homeless Services")</f>
        <v>Bay Area Homeless Services</v>
      </c>
      <c r="C113" s="161" t="str">
        <f>IFERROR(__xludf.DUMMYFUNCTION("""COMPUTED_VALUE"""),"ACTIVE")</f>
        <v>ACTIVE</v>
      </c>
      <c r="E113" s="161" t="s">
        <v>917</v>
      </c>
      <c r="F113" s="161" t="s">
        <v>42</v>
      </c>
      <c r="G113" s="161" t="str">
        <f>IFERROR(__xludf.DUMMYFUNCTION("""COMPUTED_VALUE"""),"Houston Humane Society")</f>
        <v>Houston Humane Society</v>
      </c>
      <c r="K113" s="161" t="s">
        <v>2410</v>
      </c>
      <c r="L113" s="161" t="s">
        <v>5770</v>
      </c>
      <c r="M113" s="161">
        <v>7.60647934E8</v>
      </c>
    </row>
    <row r="114">
      <c r="A114" s="132" t="str">
        <f>CONCATENATE(Data!AA115,"|",Data!N115)</f>
        <v>Bay Area Turning Point|ACTIVE</v>
      </c>
      <c r="B114" s="161" t="str">
        <f>IFERROR(__xludf.DUMMYFUNCTION("""COMPUTED_VALUE"""),"Bay Area Turning Point")</f>
        <v>Bay Area Turning Point</v>
      </c>
      <c r="C114" s="161" t="str">
        <f>IFERROR(__xludf.DUMMYFUNCTION("""COMPUTED_VALUE"""),"ACTIVE")</f>
        <v>ACTIVE</v>
      </c>
      <c r="E114" s="161" t="s">
        <v>936</v>
      </c>
      <c r="F114" s="161" t="s">
        <v>42</v>
      </c>
      <c r="G114" s="161" t="str">
        <f>IFERROR(__xludf.DUMMYFUNCTION("""COMPUTED_VALUE"""),"Houston MetroLift")</f>
        <v>Houston MetroLift</v>
      </c>
      <c r="K114" s="161" t="s">
        <v>2428</v>
      </c>
      <c r="L114" s="161" t="s">
        <v>2287</v>
      </c>
    </row>
    <row r="115">
      <c r="A115" s="132" t="str">
        <f>CONCATENATE(Data!AA116,"|",Data!N116)</f>
        <v>Baylor Teen Health Clinic|ACTIVE</v>
      </c>
      <c r="B115" s="161" t="str">
        <f>IFERROR(__xludf.DUMMYFUNCTION("""COMPUTED_VALUE"""),"Baylor Teen Health Clinic")</f>
        <v>Baylor Teen Health Clinic</v>
      </c>
      <c r="C115" s="161" t="str">
        <f>IFERROR(__xludf.DUMMYFUNCTION("""COMPUTED_VALUE"""),"ACTIVE")</f>
        <v>ACTIVE</v>
      </c>
      <c r="E115" s="161" t="s">
        <v>936</v>
      </c>
      <c r="F115" s="161" t="s">
        <v>42</v>
      </c>
      <c r="G115" s="161" t="str">
        <f>IFERROR(__xludf.DUMMYFUNCTION("""COMPUTED_VALUE"""),"Houston Recovery Center")</f>
        <v>Houston Recovery Center</v>
      </c>
      <c r="K115" s="161" t="s">
        <v>2434</v>
      </c>
      <c r="L115" s="161" t="s">
        <v>2298</v>
      </c>
      <c r="M115" s="161">
        <v>7.60237675E8</v>
      </c>
    </row>
    <row r="116">
      <c r="A116" s="132" t="str">
        <f>CONCATENATE(Data!AA117,"|",Data!N117)</f>
        <v>Harris County Public Health|ACTIVE</v>
      </c>
      <c r="B116" s="161" t="str">
        <f>IFERROR(__xludf.DUMMYFUNCTION("""COMPUTED_VALUE"""),"Harris County Public Health")</f>
        <v>Harris County Public Health</v>
      </c>
      <c r="C116" s="161" t="str">
        <f>IFERROR(__xludf.DUMMYFUNCTION("""COMPUTED_VALUE"""),"ACTIVE")</f>
        <v>ACTIVE</v>
      </c>
      <c r="E116" s="161" t="s">
        <v>936</v>
      </c>
      <c r="F116" s="161" t="s">
        <v>42</v>
      </c>
      <c r="G116" s="161" t="str">
        <f>IFERROR(__xludf.DUMMYFUNCTION("""COMPUTED_VALUE"""),"Houston ToolBank")</f>
        <v>Houston ToolBank</v>
      </c>
      <c r="K116" s="161" t="s">
        <v>2444</v>
      </c>
      <c r="L116" s="161" t="s">
        <v>2335</v>
      </c>
      <c r="M116" s="161" t="s">
        <v>5893</v>
      </c>
    </row>
    <row r="117">
      <c r="A117" s="132" t="str">
        <f>CONCATENATE(Data!AA118,"|",Data!N118)</f>
        <v>Be An Angel|ACTIVE</v>
      </c>
      <c r="B117" s="161" t="str">
        <f>IFERROR(__xludf.DUMMYFUNCTION("""COMPUTED_VALUE"""),"Be An Angel")</f>
        <v>Be An Angel</v>
      </c>
      <c r="C117" s="161" t="str">
        <f>IFERROR(__xludf.DUMMYFUNCTION("""COMPUTED_VALUE"""),"ACTIVE")</f>
        <v>ACTIVE</v>
      </c>
      <c r="E117" s="161" t="s">
        <v>936</v>
      </c>
      <c r="F117" s="161" t="s">
        <v>42</v>
      </c>
      <c r="G117" s="161" t="str">
        <f>IFERROR(__xludf.DUMMYFUNCTION("""COMPUTED_VALUE"""),"Houston Volunteer Lawyers")</f>
        <v>Houston Volunteer Lawyers</v>
      </c>
      <c r="K117" s="161" t="s">
        <v>2444</v>
      </c>
      <c r="L117" s="161" t="s">
        <v>2361</v>
      </c>
    </row>
    <row r="118">
      <c r="A118" s="132" t="str">
        <f>CONCATENATE(Data!AA119,"|",Data!N119)</f>
        <v>Be An Angel|ACTIVE</v>
      </c>
      <c r="B118" s="161" t="str">
        <f>IFERROR(__xludf.DUMMYFUNCTION("""COMPUTED_VALUE"""),"Be An Angel")</f>
        <v>Be An Angel</v>
      </c>
      <c r="C118" s="161" t="str">
        <f>IFERROR(__xludf.DUMMYFUNCTION("""COMPUTED_VALUE"""),"ACTIVE")</f>
        <v>ACTIVE</v>
      </c>
      <c r="E118" s="161" t="s">
        <v>949</v>
      </c>
      <c r="F118" s="161" t="s">
        <v>42</v>
      </c>
      <c r="G118" s="161" t="str">
        <f>IFERROR(__xludf.DUMMYFUNCTION("""COMPUTED_VALUE"""),"Humble Area Assistance Ministries")</f>
        <v>Humble Area Assistance Ministries</v>
      </c>
      <c r="K118" s="161" t="s">
        <v>5895</v>
      </c>
      <c r="L118" s="161" t="s">
        <v>2372</v>
      </c>
      <c r="M118" s="161">
        <v>2.05200746E8</v>
      </c>
    </row>
    <row r="119">
      <c r="A119" s="132" t="str">
        <f>CONCATENATE(Data!AA120,"|",Data!N120)</f>
        <v>Be An Angel|ACTIVE</v>
      </c>
      <c r="B119" s="161" t="str">
        <f>IFERROR(__xludf.DUMMYFUNCTION("""COMPUTED_VALUE"""),"Be An Angel")</f>
        <v>Be An Angel</v>
      </c>
      <c r="C119" s="161" t="str">
        <f>IFERROR(__xludf.DUMMYFUNCTION("""COMPUTED_VALUE"""),"ACTIVE")</f>
        <v>ACTIVE</v>
      </c>
      <c r="E119" s="161" t="s">
        <v>949</v>
      </c>
      <c r="F119" s="161" t="s">
        <v>42</v>
      </c>
      <c r="G119" s="161" t="str">
        <f>IFERROR(__xludf.DUMMYFUNCTION("""COMPUTED_VALUE"""),"ICNA Relief")</f>
        <v>ICNA Relief</v>
      </c>
      <c r="K119" s="161" t="s">
        <v>2469</v>
      </c>
      <c r="L119" s="161" t="s">
        <v>2382</v>
      </c>
      <c r="M119" s="161" t="s">
        <v>1</v>
      </c>
    </row>
    <row r="120">
      <c r="A120" s="132" t="str">
        <f>CONCATENATE(Data!AA121,"|",Data!N121)</f>
        <v>Bee Busy Wellness Center|ACTIVE</v>
      </c>
      <c r="B120" s="161" t="str">
        <f>IFERROR(__xludf.DUMMYFUNCTION("""COMPUTED_VALUE"""),"Bee Busy Wellness Center")</f>
        <v>Bee Busy Wellness Center</v>
      </c>
      <c r="C120" s="161" t="str">
        <f>IFERROR(__xludf.DUMMYFUNCTION("""COMPUTED_VALUE"""),"ACTIVE")</f>
        <v>ACTIVE</v>
      </c>
      <c r="E120" s="161" t="s">
        <v>978</v>
      </c>
      <c r="F120" s="161" t="s">
        <v>42</v>
      </c>
      <c r="G120" s="161" t="str">
        <f>IFERROR(__xludf.DUMMYFUNCTION("""COMPUTED_VALUE"""),"Immaculate Conception")</f>
        <v>Immaculate Conception</v>
      </c>
      <c r="K120" s="161" t="s">
        <v>2473</v>
      </c>
      <c r="L120" s="161" t="s">
        <v>2386</v>
      </c>
      <c r="M120" s="161">
        <v>7.417003E8</v>
      </c>
    </row>
    <row r="121">
      <c r="A121" s="132" t="str">
        <f>CONCATENATE(Data!AA122,"|",Data!N122)</f>
        <v>Bee Busy Wellness Center|CLOSED</v>
      </c>
      <c r="B121" s="161" t="str">
        <f>IFERROR(__xludf.DUMMYFUNCTION("""COMPUTED_VALUE"""),"Bee Busy Wellness Center")</f>
        <v>Bee Busy Wellness Center</v>
      </c>
      <c r="C121" s="161" t="str">
        <f>IFERROR(__xludf.DUMMYFUNCTION("""COMPUTED_VALUE"""),"CLOSED")</f>
        <v>CLOSED</v>
      </c>
      <c r="E121" s="161" t="s">
        <v>978</v>
      </c>
      <c r="F121" s="161" t="s">
        <v>42</v>
      </c>
      <c r="G121" s="161" t="str">
        <f>IFERROR(__xludf.DUMMYFUNCTION("""COMPUTED_VALUE"""),"Immaculate Conception Sealy")</f>
        <v>Immaculate Conception Sealy</v>
      </c>
      <c r="K121" s="161" t="s">
        <v>2484</v>
      </c>
      <c r="L121" s="161" t="s">
        <v>2396</v>
      </c>
      <c r="M121" s="161">
        <v>7.6051228E8</v>
      </c>
    </row>
    <row r="122">
      <c r="A122" s="132" t="str">
        <f>CONCATENATE(Data!AA123,"|",Data!N123)</f>
        <v>Bee Busy Wellness Center|ACTIVE</v>
      </c>
      <c r="B122" s="161" t="str">
        <f>IFERROR(__xludf.DUMMYFUNCTION("""COMPUTED_VALUE"""),"Bee Busy Wellness Center")</f>
        <v>Bee Busy Wellness Center</v>
      </c>
      <c r="C122" s="161" t="str">
        <f>IFERROR(__xludf.DUMMYFUNCTION("""COMPUTED_VALUE"""),"ACTIVE")</f>
        <v>ACTIVE</v>
      </c>
      <c r="E122" s="161" t="s">
        <v>987</v>
      </c>
      <c r="F122" s="161" t="s">
        <v>42</v>
      </c>
      <c r="G122" s="161" t="str">
        <f>IFERROR(__xludf.DUMMYFUNCTION("""COMPUTED_VALUE"""),"Immigrant Defense Project")</f>
        <v>Immigrant Defense Project</v>
      </c>
      <c r="K122" s="161" t="s">
        <v>2513</v>
      </c>
      <c r="L122" s="161" t="s">
        <v>2410</v>
      </c>
      <c r="M122" s="161">
        <v>4.62238929E8</v>
      </c>
    </row>
    <row r="123">
      <c r="A123" s="132" t="str">
        <f>CONCATENATE(Data!AA124,"|",Data!N124)</f>
        <v>Bethel Heavenly Hands|ACTIVE</v>
      </c>
      <c r="B123" s="161" t="str">
        <f>IFERROR(__xludf.DUMMYFUNCTION("""COMPUTED_VALUE"""),"Bethel Heavenly Hands")</f>
        <v>Bethel Heavenly Hands</v>
      </c>
      <c r="C123" s="161" t="str">
        <f>IFERROR(__xludf.DUMMYFUNCTION("""COMPUTED_VALUE"""),"ACTIVE")</f>
        <v>ACTIVE</v>
      </c>
      <c r="E123" s="161" t="s">
        <v>996</v>
      </c>
      <c r="F123" s="161" t="s">
        <v>42</v>
      </c>
      <c r="G123" s="161" t="str">
        <f>IFERROR(__xludf.DUMMYFUNCTION("""COMPUTED_VALUE"""),"Immigration Legal Resource Center")</f>
        <v>Immigration Legal Resource Center</v>
      </c>
      <c r="K123" s="161" t="s">
        <v>2523</v>
      </c>
      <c r="L123" s="161" t="s">
        <v>2428</v>
      </c>
    </row>
    <row r="124">
      <c r="A124" s="132" t="str">
        <f>CONCATENATE(Data!AA125,"|",Data!N125)</f>
        <v>Bethel Heavenly Hands|ACTIVE</v>
      </c>
      <c r="B124" s="161" t="str">
        <f>IFERROR(__xludf.DUMMYFUNCTION("""COMPUTED_VALUE"""),"Bethel Heavenly Hands")</f>
        <v>Bethel Heavenly Hands</v>
      </c>
      <c r="C124" s="161" t="str">
        <f>IFERROR(__xludf.DUMMYFUNCTION("""COMPUTED_VALUE"""),"ACTIVE")</f>
        <v>ACTIVE</v>
      </c>
      <c r="E124" s="161" t="s">
        <v>1007</v>
      </c>
      <c r="F124" s="161" t="s">
        <v>42</v>
      </c>
      <c r="G124" s="161" t="str">
        <f>IFERROR(__xludf.DUMMYFUNCTION("""COMPUTED_VALUE"""),"Impact Houston Church of Christ")</f>
        <v>Impact Houston Church of Christ</v>
      </c>
      <c r="K124" s="161" t="s">
        <v>2530</v>
      </c>
      <c r="L124" s="161" t="s">
        <v>2434</v>
      </c>
    </row>
    <row r="125">
      <c r="A125" s="132" t="str">
        <f>CONCATENATE(Data!AA126,"|",Data!N126)</f>
        <v>Bezos Academy|ACTIVE</v>
      </c>
      <c r="B125" s="161" t="str">
        <f>IFERROR(__xludf.DUMMYFUNCTION("""COMPUTED_VALUE"""),"Bezos Academy")</f>
        <v>Bezos Academy</v>
      </c>
      <c r="C125" s="161" t="str">
        <f>IFERROR(__xludf.DUMMYFUNCTION("""COMPUTED_VALUE"""),"ACTIVE")</f>
        <v>ACTIVE</v>
      </c>
      <c r="E125" s="161" t="s">
        <v>1016</v>
      </c>
      <c r="F125" s="161" t="s">
        <v>42</v>
      </c>
      <c r="G125" s="161" t="str">
        <f>IFERROR(__xludf.DUMMYFUNCTION("""COMPUTED_VALUE"""),"India House Houston")</f>
        <v>India House Houston</v>
      </c>
      <c r="K125" s="161" t="s">
        <v>2541</v>
      </c>
      <c r="L125" s="161" t="s">
        <v>2444</v>
      </c>
      <c r="M125" s="161">
        <v>7.60135741E8</v>
      </c>
    </row>
    <row r="126">
      <c r="A126" s="132" t="str">
        <f>CONCATENATE(Data!AA127,"|",Data!N127)</f>
        <v>Bezos Academy|ACTIVE</v>
      </c>
      <c r="B126" s="161" t="str">
        <f>IFERROR(__xludf.DUMMYFUNCTION("""COMPUTED_VALUE"""),"Bezos Academy")</f>
        <v>Bezos Academy</v>
      </c>
      <c r="C126" s="161" t="str">
        <f>IFERROR(__xludf.DUMMYFUNCTION("""COMPUTED_VALUE"""),"ACTIVE")</f>
        <v>ACTIVE</v>
      </c>
      <c r="E126" s="161" t="s">
        <v>1034</v>
      </c>
      <c r="F126" s="161" t="s">
        <v>42</v>
      </c>
      <c r="G126" s="161" t="str">
        <f>IFERROR(__xludf.DUMMYFUNCTION("""COMPUTED_VALUE"""),"Interfaith Caring Ministries")</f>
        <v>Interfaith Caring Ministries</v>
      </c>
      <c r="K126" s="161" t="s">
        <v>2548</v>
      </c>
      <c r="L126" s="161" t="s">
        <v>2469</v>
      </c>
    </row>
    <row r="127">
      <c r="A127" s="132" t="str">
        <f>CONCATENATE(Data!AA128,"|",Data!N128)</f>
        <v>Bezos Academy|ACTIVE</v>
      </c>
      <c r="B127" s="161" t="str">
        <f>IFERROR(__xludf.DUMMYFUNCTION("""COMPUTED_VALUE"""),"Bezos Academy")</f>
        <v>Bezos Academy</v>
      </c>
      <c r="C127" s="161" t="str">
        <f>IFERROR(__xludf.DUMMYFUNCTION("""COMPUTED_VALUE"""),"ACTIVE")</f>
        <v>ACTIVE</v>
      </c>
      <c r="E127" s="161" t="s">
        <v>1034</v>
      </c>
      <c r="F127" s="161" t="s">
        <v>42</v>
      </c>
      <c r="G127" s="161" t="str">
        <f>IFERROR(__xludf.DUMMYFUNCTION("""COMPUTED_VALUE"""),"Interfaith Ministries for Greater Houston")</f>
        <v>Interfaith Ministries for Greater Houston</v>
      </c>
      <c r="K127" s="161" t="s">
        <v>2554</v>
      </c>
      <c r="L127" s="161" t="s">
        <v>2473</v>
      </c>
      <c r="M127" s="161">
        <v>7.60046317E8</v>
      </c>
    </row>
    <row r="128">
      <c r="A128" s="132" t="str">
        <f>CONCATENATE(Data!AA129,"|",Data!N129)</f>
        <v>Bezos Academy|ACTIVE</v>
      </c>
      <c r="B128" s="161" t="str">
        <f>IFERROR(__xludf.DUMMYFUNCTION("""COMPUTED_VALUE"""),"Bezos Academy")</f>
        <v>Bezos Academy</v>
      </c>
      <c r="C128" s="161" t="str">
        <f>IFERROR(__xludf.DUMMYFUNCTION("""COMPUTED_VALUE"""),"ACTIVE")</f>
        <v>ACTIVE</v>
      </c>
      <c r="E128" s="161" t="s">
        <v>1034</v>
      </c>
      <c r="F128" s="161" t="s">
        <v>42</v>
      </c>
      <c r="G128" s="161" t="str">
        <f>IFERROR(__xludf.DUMMYFUNCTION("""COMPUTED_VALUE"""),"Interfaith of the Woodlands")</f>
        <v>Interfaith of the Woodlands</v>
      </c>
      <c r="K128" s="161" t="s">
        <v>2561</v>
      </c>
      <c r="L128" s="161" t="s">
        <v>2484</v>
      </c>
      <c r="M128" s="161" t="s">
        <v>5893</v>
      </c>
    </row>
    <row r="129">
      <c r="A129" s="132" t="str">
        <f>CONCATENATE(Data!AA130,"|",Data!N130)</f>
        <v>Bezos Academy|ACTIVE</v>
      </c>
      <c r="B129" s="161" t="str">
        <f>IFERROR(__xludf.DUMMYFUNCTION("""COMPUTED_VALUE"""),"Bezos Academy")</f>
        <v>Bezos Academy</v>
      </c>
      <c r="C129" s="161" t="str">
        <f>IFERROR(__xludf.DUMMYFUNCTION("""COMPUTED_VALUE"""),"ACTIVE")</f>
        <v>ACTIVE</v>
      </c>
      <c r="E129" s="161" t="s">
        <v>1034</v>
      </c>
      <c r="F129" s="161" t="s">
        <v>42</v>
      </c>
      <c r="G129" s="161" t="str">
        <f>IFERROR(__xludf.DUMMYFUNCTION("""COMPUTED_VALUE"""),"Islamic Society of Greater Houston")</f>
        <v>Islamic Society of Greater Houston</v>
      </c>
      <c r="K129" s="161" t="s">
        <v>2569</v>
      </c>
      <c r="L129" s="161" t="s">
        <v>2513</v>
      </c>
      <c r="M129" s="161">
        <v>7.42181456E8</v>
      </c>
    </row>
    <row r="130">
      <c r="A130" s="132" t="str">
        <f>CONCATENATE(Data!AA131,"|",Data!N131)</f>
        <v>Bezos Academy|ACTIVE</v>
      </c>
      <c r="B130" s="161" t="str">
        <f>IFERROR(__xludf.DUMMYFUNCTION("""COMPUTED_VALUE"""),"Bezos Academy")</f>
        <v>Bezos Academy</v>
      </c>
      <c r="C130" s="161" t="str">
        <f>IFERROR(__xludf.DUMMYFUNCTION("""COMPUTED_VALUE"""),"ACTIVE")</f>
        <v>ACTIVE</v>
      </c>
      <c r="E130" s="161" t="s">
        <v>1034</v>
      </c>
      <c r="F130" s="161" t="s">
        <v>42</v>
      </c>
      <c r="G130" s="161" t="str">
        <f>IFERROR(__xludf.DUMMYFUNCTION("""COMPUTED_VALUE"""),"Katy Christian Ministries")</f>
        <v>Katy Christian Ministries</v>
      </c>
      <c r="K130" s="161" t="s">
        <v>2589</v>
      </c>
      <c r="L130" s="161" t="s">
        <v>2523</v>
      </c>
    </row>
    <row r="131">
      <c r="A131" s="132" t="str">
        <f>CONCATENATE(Data!AA132,"|",Data!N132)</f>
        <v>Blessed Beginnings Life Center|ACTIVE</v>
      </c>
      <c r="B131" s="161" t="str">
        <f>IFERROR(__xludf.DUMMYFUNCTION("""COMPUTED_VALUE"""),"Blessed Beginnings Life Center")</f>
        <v>Blessed Beginnings Life Center</v>
      </c>
      <c r="C131" s="161" t="str">
        <f>IFERROR(__xludf.DUMMYFUNCTION("""COMPUTED_VALUE"""),"ACTIVE")</f>
        <v>ACTIVE</v>
      </c>
      <c r="E131" s="161" t="s">
        <v>1067</v>
      </c>
      <c r="F131" s="161" t="s">
        <v>42</v>
      </c>
      <c r="G131" s="161" t="str">
        <f>IFERROR(__xludf.DUMMYFUNCTION("""COMPUTED_VALUE"""),"Kids' Meals")</f>
        <v>Kids' Meals</v>
      </c>
      <c r="K131" s="161" t="s">
        <v>2599</v>
      </c>
      <c r="L131" s="161" t="s">
        <v>2530</v>
      </c>
      <c r="M131" s="161">
        <v>7.41340341E8</v>
      </c>
    </row>
    <row r="132">
      <c r="A132" s="132" t="str">
        <f>CONCATENATE(Data!AA133,"|",Data!N133)</f>
        <v>Blessed Juan Diego|ACTIVE</v>
      </c>
      <c r="B132" s="161" t="str">
        <f>IFERROR(__xludf.DUMMYFUNCTION("""COMPUTED_VALUE"""),"Blessed Juan Diego")</f>
        <v>Blessed Juan Diego</v>
      </c>
      <c r="C132" s="161" t="str">
        <f>IFERROR(__xludf.DUMMYFUNCTION("""COMPUTED_VALUE"""),"ACTIVE")</f>
        <v>ACTIVE</v>
      </c>
      <c r="E132" s="161" t="s">
        <v>1073</v>
      </c>
      <c r="F132" s="161" t="s">
        <v>42</v>
      </c>
      <c r="G132" s="161" t="str">
        <f>IFERROR(__xludf.DUMMYFUNCTION("""COMPUTED_VALUE"""),"Legacy Community Health")</f>
        <v>Legacy Community Health</v>
      </c>
      <c r="K132" s="161" t="s">
        <v>2606</v>
      </c>
      <c r="L132" s="161" t="s">
        <v>2541</v>
      </c>
    </row>
    <row r="133">
      <c r="A133" s="132" t="str">
        <f>CONCATENATE(Data!AA134,"|",Data!N134)</f>
        <v>Society of St Vincent de Paul|CLOSED</v>
      </c>
      <c r="B133" s="161" t="str">
        <f>IFERROR(__xludf.DUMMYFUNCTION("""COMPUTED_VALUE"""),"Society of St Vincent de Paul")</f>
        <v>Society of St Vincent de Paul</v>
      </c>
      <c r="C133" s="161" t="str">
        <f>IFERROR(__xludf.DUMMYFUNCTION("""COMPUTED_VALUE"""),"CLOSED")</f>
        <v>CLOSED</v>
      </c>
      <c r="E133" s="161" t="s">
        <v>1073</v>
      </c>
      <c r="F133" s="161" t="s">
        <v>42</v>
      </c>
      <c r="G133" s="161" t="str">
        <f>IFERROR(__xludf.DUMMYFUNCTION("""COMPUTED_VALUE"""),"Lifehouse Houston")</f>
        <v>Lifehouse Houston</v>
      </c>
      <c r="K133" s="161" t="s">
        <v>2615</v>
      </c>
      <c r="L133" s="161" t="s">
        <v>2548</v>
      </c>
    </row>
    <row r="134">
      <c r="A134" s="132" t="str">
        <f>CONCATENATE(Data!AA135,"|",Data!N135)</f>
        <v>Bo's Place|ACTIVE</v>
      </c>
      <c r="B134" s="161" t="str">
        <f>IFERROR(__xludf.DUMMYFUNCTION("""COMPUTED_VALUE"""),"Bo's Place")</f>
        <v>Bo's Place</v>
      </c>
      <c r="C134" s="161" t="str">
        <f>IFERROR(__xludf.DUMMYFUNCTION("""COMPUTED_VALUE"""),"ACTIVE")</f>
        <v>ACTIVE</v>
      </c>
      <c r="E134" s="161" t="s">
        <v>1073</v>
      </c>
      <c r="F134" s="161" t="s">
        <v>42</v>
      </c>
      <c r="G134" s="161" t="str">
        <f>IFERROR(__xludf.DUMMYFUNCTION("""COMPUTED_VALUE"""),"Living Hope Wheelchair Association")</f>
        <v>Living Hope Wheelchair Association</v>
      </c>
      <c r="K134" s="161" t="s">
        <v>2623</v>
      </c>
      <c r="L134" s="161" t="s">
        <v>2554</v>
      </c>
    </row>
    <row r="135">
      <c r="A135" s="132" t="str">
        <f>CONCATENATE(Data!AA136,"|",Data!N136)</f>
        <v>Boat People SOS|LIMITED</v>
      </c>
      <c r="B135" s="161" t="str">
        <f>IFERROR(__xludf.DUMMYFUNCTION("""COMPUTED_VALUE"""),"Boat People SOS")</f>
        <v>Boat People SOS</v>
      </c>
      <c r="C135" s="161" t="str">
        <f>IFERROR(__xludf.DUMMYFUNCTION("""COMPUTED_VALUE"""),"LIMITED")</f>
        <v>LIMITED</v>
      </c>
      <c r="E135" s="161" t="s">
        <v>1073</v>
      </c>
      <c r="F135" s="161" t="s">
        <v>42</v>
      </c>
      <c r="G135" s="161" t="str">
        <f>IFERROR(__xludf.DUMMYFUNCTION("""COMPUTED_VALUE"""),"Lonestar Legal Aid")</f>
        <v>Lonestar Legal Aid</v>
      </c>
      <c r="K135" s="161" t="s">
        <v>2626</v>
      </c>
      <c r="L135" s="161" t="s">
        <v>2561</v>
      </c>
      <c r="M135" s="161">
        <v>7.60090652E8</v>
      </c>
    </row>
    <row r="136">
      <c r="A136" s="132" t="str">
        <f>CONCATENATE(Data!AA137,"|",Data!N137)</f>
        <v>Braes Interfaith Ministries|ACTIVE</v>
      </c>
      <c r="B136" s="161" t="str">
        <f>IFERROR(__xludf.DUMMYFUNCTION("""COMPUTED_VALUE"""),"Braes Interfaith Ministries")</f>
        <v>Braes Interfaith Ministries</v>
      </c>
      <c r="C136" s="161" t="str">
        <f>IFERROR(__xludf.DUMMYFUNCTION("""COMPUTED_VALUE"""),"ACTIVE")</f>
        <v>ACTIVE</v>
      </c>
      <c r="E136" s="161" t="s">
        <v>1089</v>
      </c>
      <c r="F136" s="161" t="s">
        <v>42</v>
      </c>
      <c r="G136" s="161" t="str">
        <f>IFERROR(__xludf.DUMMYFUNCTION("""COMPUTED_VALUE"""),"Lord of the Streets")</f>
        <v>Lord of the Streets</v>
      </c>
      <c r="K136" s="161" t="s">
        <v>2638</v>
      </c>
      <c r="L136" s="161" t="s">
        <v>2569</v>
      </c>
      <c r="M136" s="161">
        <v>7.6029882E8</v>
      </c>
    </row>
    <row r="137">
      <c r="A137" s="132" t="str">
        <f>CONCATENATE(Data!AA138,"|",Data!N138)</f>
        <v>Braes Interfaith Ministries|ACTIVE</v>
      </c>
      <c r="B137" s="161" t="str">
        <f>IFERROR(__xludf.DUMMYFUNCTION("""COMPUTED_VALUE"""),"Braes Interfaith Ministries")</f>
        <v>Braes Interfaith Ministries</v>
      </c>
      <c r="C137" s="161" t="str">
        <f>IFERROR(__xludf.DUMMYFUNCTION("""COMPUTED_VALUE"""),"ACTIVE")</f>
        <v>ACTIVE</v>
      </c>
      <c r="E137" s="161" t="s">
        <v>5758</v>
      </c>
      <c r="F137" s="161" t="s">
        <v>42</v>
      </c>
      <c r="G137" s="161" t="str">
        <f>IFERROR(__xludf.DUMMYFUNCTION("""COMPUTED_VALUE"""),"Low Cost Pet Vax")</f>
        <v>Low Cost Pet Vax</v>
      </c>
      <c r="K137" s="161" t="s">
        <v>2658</v>
      </c>
      <c r="L137" s="161" t="s">
        <v>2589</v>
      </c>
    </row>
    <row r="138">
      <c r="A138" s="132" t="str">
        <f>CONCATENATE(Data!AA139,"|",Data!N139)</f>
        <v>Braes Interfaith Ministries|ACTIVE</v>
      </c>
      <c r="B138" s="161" t="str">
        <f>IFERROR(__xludf.DUMMYFUNCTION("""COMPUTED_VALUE"""),"Braes Interfaith Ministries")</f>
        <v>Braes Interfaith Ministries</v>
      </c>
      <c r="C138" s="161" t="str">
        <f>IFERROR(__xludf.DUMMYFUNCTION("""COMPUTED_VALUE"""),"ACTIVE")</f>
        <v>ACTIVE</v>
      </c>
      <c r="E138" s="161" t="s">
        <v>5758</v>
      </c>
      <c r="F138" s="161" t="s">
        <v>42</v>
      </c>
      <c r="G138" s="161" t="str">
        <f>IFERROR(__xludf.DUMMYFUNCTION("""COMPUTED_VALUE"""),"M I Lewis Social Service Center")</f>
        <v>M I Lewis Social Service Center</v>
      </c>
      <c r="K138" s="161" t="s">
        <v>2679</v>
      </c>
      <c r="L138" s="161" t="s">
        <v>2599</v>
      </c>
      <c r="M138" s="161" t="s">
        <v>5893</v>
      </c>
    </row>
    <row r="139">
      <c r="A139" s="132" t="str">
        <f>CONCATENATE(Data!AA140,"|",Data!N140)</f>
        <v>Braes Interfaith Ministries|ACTIVE</v>
      </c>
      <c r="B139" s="161" t="str">
        <f>IFERROR(__xludf.DUMMYFUNCTION("""COMPUTED_VALUE"""),"Braes Interfaith Ministries")</f>
        <v>Braes Interfaith Ministries</v>
      </c>
      <c r="C139" s="161" t="str">
        <f>IFERROR(__xludf.DUMMYFUNCTION("""COMPUTED_VALUE"""),"ACTIVE")</f>
        <v>ACTIVE</v>
      </c>
      <c r="E139" s="161" t="s">
        <v>5758</v>
      </c>
      <c r="F139" s="161" t="s">
        <v>42</v>
      </c>
      <c r="G139" s="161" t="str">
        <f>IFERROR(__xludf.DUMMYFUNCTION("""COMPUTED_VALUE"""),"Magnificat Houses")</f>
        <v>Magnificat Houses</v>
      </c>
      <c r="K139" s="161" t="s">
        <v>2690</v>
      </c>
      <c r="L139" s="161" t="s">
        <v>2606</v>
      </c>
      <c r="M139" s="161" t="s">
        <v>5893</v>
      </c>
    </row>
    <row r="140">
      <c r="A140" s="132" t="str">
        <f>CONCATENATE(Data!AA141,"|",Data!N141)</f>
        <v>Bread of Life Inc.|ACTIVE</v>
      </c>
      <c r="B140" s="161" t="str">
        <f>IFERROR(__xludf.DUMMYFUNCTION("""COMPUTED_VALUE"""),"Bread of Life Inc.")</f>
        <v>Bread of Life Inc.</v>
      </c>
      <c r="C140" s="161" t="str">
        <f>IFERROR(__xludf.DUMMYFUNCTION("""COMPUTED_VALUE"""),"ACTIVE")</f>
        <v>ACTIVE</v>
      </c>
      <c r="E140" s="161" t="s">
        <v>5758</v>
      </c>
      <c r="F140" s="161" t="s">
        <v>42</v>
      </c>
      <c r="G140" s="161" t="str">
        <f>IFERROR(__xludf.DUMMYFUNCTION("""COMPUTED_VALUE"""),"Main Street Ministries")</f>
        <v>Main Street Ministries</v>
      </c>
      <c r="K140" s="161" t="s">
        <v>2706</v>
      </c>
      <c r="L140" s="161" t="s">
        <v>2615</v>
      </c>
    </row>
    <row r="141">
      <c r="A141" s="132" t="str">
        <f>CONCATENATE(Data!AA142,"|",Data!N142)</f>
        <v>Bread of Life Inc.|ACTIVE</v>
      </c>
      <c r="B141" s="161" t="str">
        <f>IFERROR(__xludf.DUMMYFUNCTION("""COMPUTED_VALUE"""),"Bread of Life Inc.")</f>
        <v>Bread of Life Inc.</v>
      </c>
      <c r="C141" s="161" t="str">
        <f>IFERROR(__xludf.DUMMYFUNCTION("""COMPUTED_VALUE"""),"ACTIVE")</f>
        <v>ACTIVE</v>
      </c>
      <c r="E141" s="161" t="s">
        <v>5758</v>
      </c>
      <c r="F141" s="161" t="s">
        <v>42</v>
      </c>
      <c r="G141" s="161" t="str">
        <f>IFERROR(__xludf.DUMMYFUNCTION("""COMPUTED_VALUE"""),"Mamie George Community Center")</f>
        <v>Mamie George Community Center</v>
      </c>
      <c r="K141" s="161" t="s">
        <v>2706</v>
      </c>
      <c r="L141" s="161" t="s">
        <v>2623</v>
      </c>
    </row>
    <row r="142">
      <c r="A142" s="132" t="str">
        <f>CONCATENATE(Data!AA143,"|",Data!N143)</f>
        <v>Brentwood Baptist Church|CLOSED</v>
      </c>
      <c r="B142" s="161" t="str">
        <f>IFERROR(__xludf.DUMMYFUNCTION("""COMPUTED_VALUE"""),"Brentwood Baptist Church")</f>
        <v>Brentwood Baptist Church</v>
      </c>
      <c r="C142" s="161" t="str">
        <f>IFERROR(__xludf.DUMMYFUNCTION("""COMPUTED_VALUE"""),"CLOSED")</f>
        <v>CLOSED</v>
      </c>
      <c r="E142" s="161" t="s">
        <v>5758</v>
      </c>
      <c r="F142" s="161" t="s">
        <v>42</v>
      </c>
      <c r="G142" s="161" t="str">
        <f>IFERROR(__xludf.DUMMYFUNCTION("""COMPUTED_VALUE"""),"Mary Queen Friendswood")</f>
        <v>Mary Queen Friendswood</v>
      </c>
      <c r="K142" s="161" t="s">
        <v>2724</v>
      </c>
      <c r="L142" s="161" t="s">
        <v>2626</v>
      </c>
      <c r="M142" s="161" t="s">
        <v>5893</v>
      </c>
    </row>
    <row r="143">
      <c r="A143" s="132" t="str">
        <f>CONCATENATE(Data!AA144,"|",Data!N144)</f>
        <v>Brentwood Community Foundation|INACTIVE</v>
      </c>
      <c r="B143" s="161" t="str">
        <f>IFERROR(__xludf.DUMMYFUNCTION("""COMPUTED_VALUE"""),"Brentwood Community Foundation")</f>
        <v>Brentwood Community Foundation</v>
      </c>
      <c r="C143" s="161" t="str">
        <f>IFERROR(__xludf.DUMMYFUNCTION("""COMPUTED_VALUE"""),"INACTIVE")</f>
        <v>INACTIVE</v>
      </c>
      <c r="E143" s="161" t="s">
        <v>5758</v>
      </c>
      <c r="F143" s="161" t="s">
        <v>42</v>
      </c>
      <c r="G143" s="161" t="str">
        <f>IFERROR(__xludf.DUMMYFUNCTION("""COMPUTED_VALUE"""),"Masonic Children &amp; Family Services of Texas")</f>
        <v>Masonic Children &amp; Family Services of Texas</v>
      </c>
      <c r="K143" s="161" t="s">
        <v>2733</v>
      </c>
      <c r="L143" s="161" t="s">
        <v>2638</v>
      </c>
    </row>
    <row r="144">
      <c r="A144" s="132" t="str">
        <f>CONCATENATE(Data!AA145,"|",Data!N145)</f>
        <v>Brentwood Community Foundation|INACTIVE</v>
      </c>
      <c r="B144" s="161" t="str">
        <f>IFERROR(__xludf.DUMMYFUNCTION("""COMPUTED_VALUE"""),"Brentwood Community Foundation")</f>
        <v>Brentwood Community Foundation</v>
      </c>
      <c r="C144" s="161" t="str">
        <f>IFERROR(__xludf.DUMMYFUNCTION("""COMPUTED_VALUE"""),"INACTIVE")</f>
        <v>INACTIVE</v>
      </c>
      <c r="E144" s="161" t="s">
        <v>5758</v>
      </c>
      <c r="F144" s="161" t="s">
        <v>42</v>
      </c>
      <c r="G144" s="161" t="str">
        <f>IFERROR(__xludf.DUMMYFUNCTION("""COMPUTED_VALUE"""),"Memorial Assistance Ministries")</f>
        <v>Memorial Assistance Ministries</v>
      </c>
      <c r="K144" s="161" t="s">
        <v>2759</v>
      </c>
      <c r="L144" s="161" t="s">
        <v>2658</v>
      </c>
      <c r="M144" s="161">
        <v>7.60143694E8</v>
      </c>
    </row>
    <row r="145">
      <c r="A145" s="132" t="str">
        <f>CONCATENATE(Data!AA146,"|",Data!N146)</f>
        <v>Brentwood Community Foundation|INACTIVE</v>
      </c>
      <c r="B145" s="161" t="str">
        <f>IFERROR(__xludf.DUMMYFUNCTION("""COMPUTED_VALUE"""),"Brentwood Community Foundation")</f>
        <v>Brentwood Community Foundation</v>
      </c>
      <c r="C145" s="161" t="str">
        <f>IFERROR(__xludf.DUMMYFUNCTION("""COMPUTED_VALUE"""),"INACTIVE")</f>
        <v>INACTIVE</v>
      </c>
      <c r="E145" s="161" t="s">
        <v>5758</v>
      </c>
      <c r="F145" s="161" t="s">
        <v>42</v>
      </c>
      <c r="G145" s="161" t="str">
        <f>IFERROR(__xludf.DUMMYFUNCTION("""COMPUTED_VALUE"""),"Mesa-Outreach Inc")</f>
        <v>Mesa-Outreach Inc</v>
      </c>
      <c r="K145" s="161" t="s">
        <v>5774</v>
      </c>
      <c r="L145" s="161" t="s">
        <v>2679</v>
      </c>
      <c r="M145" s="161">
        <v>7.41488102E8</v>
      </c>
    </row>
    <row r="146">
      <c r="A146" s="132" t="str">
        <f>CONCATENATE(Data!AA147,"|",Data!N147)</f>
        <v>Camp Shield|ACTIVE</v>
      </c>
      <c r="B146" s="161" t="str">
        <f>IFERROR(__xludf.DUMMYFUNCTION("""COMPUTED_VALUE"""),"Camp Shield")</f>
        <v>Camp Shield</v>
      </c>
      <c r="C146" s="161" t="str">
        <f>IFERROR(__xludf.DUMMYFUNCTION("""COMPUTED_VALUE"""),"ACTIVE")</f>
        <v>ACTIVE</v>
      </c>
      <c r="E146" s="161" t="s">
        <v>5758</v>
      </c>
      <c r="F146" s="161" t="s">
        <v>42</v>
      </c>
      <c r="G146" s="161" t="str">
        <f>IFERROR(__xludf.DUMMYFUNCTION("""COMPUTED_VALUE"""),"Mission Bells Food Pantry")</f>
        <v>Mission Bells Food Pantry</v>
      </c>
      <c r="K146" s="161" t="s">
        <v>2900</v>
      </c>
      <c r="L146" s="161" t="s">
        <v>2690</v>
      </c>
    </row>
    <row r="147">
      <c r="A147" s="132" t="str">
        <f>CONCATENATE(Data!AA148,"|",Data!N148)</f>
        <v>Camp Shield|ACTIVE</v>
      </c>
      <c r="B147" s="161" t="str">
        <f>IFERROR(__xludf.DUMMYFUNCTION("""COMPUTED_VALUE"""),"Camp Shield")</f>
        <v>Camp Shield</v>
      </c>
      <c r="C147" s="161" t="str">
        <f>IFERROR(__xludf.DUMMYFUNCTION("""COMPUTED_VALUE"""),"ACTIVE")</f>
        <v>ACTIVE</v>
      </c>
      <c r="E147" s="161" t="s">
        <v>5758</v>
      </c>
      <c r="F147" s="161" t="s">
        <v>42</v>
      </c>
      <c r="G147" s="161" t="str">
        <f>IFERROR(__xludf.DUMMYFUNCTION("""COMPUTED_VALUE"""),"Mission Northeast")</f>
        <v>Mission Northeast</v>
      </c>
      <c r="K147" s="161" t="s">
        <v>2908</v>
      </c>
      <c r="L147" s="161" t="s">
        <v>2706</v>
      </c>
      <c r="M147" s="161" t="s">
        <v>5893</v>
      </c>
    </row>
    <row r="148">
      <c r="A148" s="132" t="str">
        <f>CONCATENATE(Data!AA149,"|",Data!N149)</f>
        <v>Campus of Hope|ACTIVE</v>
      </c>
      <c r="B148" s="161" t="str">
        <f>IFERROR(__xludf.DUMMYFUNCTION("""COMPUTED_VALUE"""),"Campus of Hope")</f>
        <v>Campus of Hope</v>
      </c>
      <c r="C148" s="161" t="str">
        <f>IFERROR(__xludf.DUMMYFUNCTION("""COMPUTED_VALUE"""),"ACTIVE")</f>
        <v>ACTIVE</v>
      </c>
      <c r="E148" s="161" t="s">
        <v>5758</v>
      </c>
      <c r="F148" s="161" t="s">
        <v>42</v>
      </c>
      <c r="G148" s="161" t="str">
        <f>IFERROR(__xludf.DUMMYFUNCTION("""COMPUTED_VALUE"""),"Mission of Yahweh")</f>
        <v>Mission of Yahweh</v>
      </c>
      <c r="K148" s="161" t="s">
        <v>2916</v>
      </c>
      <c r="L148" s="161" t="s">
        <v>2724</v>
      </c>
      <c r="M148" s="161">
        <v>8.23501862E8</v>
      </c>
    </row>
    <row r="149">
      <c r="A149" s="132" t="str">
        <f>CONCATENATE(Data!AA150,"|",Data!N150)</f>
        <v>CancerCare|ACTIVE</v>
      </c>
      <c r="B149" s="161" t="str">
        <f>IFERROR(__xludf.DUMMYFUNCTION("""COMPUTED_VALUE"""),"CancerCare")</f>
        <v>CancerCare</v>
      </c>
      <c r="C149" s="161" t="str">
        <f>IFERROR(__xludf.DUMMYFUNCTION("""COMPUTED_VALUE"""),"ACTIVE")</f>
        <v>ACTIVE</v>
      </c>
      <c r="E149" s="161" t="s">
        <v>5758</v>
      </c>
      <c r="F149" s="161" t="s">
        <v>42</v>
      </c>
      <c r="G149" s="161" t="str">
        <f>IFERROR(__xludf.DUMMYFUNCTION("""COMPUTED_VALUE"""),"Montgomery County Women's Center")</f>
        <v>Montgomery County Women's Center</v>
      </c>
      <c r="K149" s="161" t="s">
        <v>2925</v>
      </c>
      <c r="L149" s="161" t="s">
        <v>2733</v>
      </c>
      <c r="M149" s="161">
        <v>7.60157123E8</v>
      </c>
    </row>
    <row r="150">
      <c r="A150" s="132" t="str">
        <f>CONCATENATE(Data!AA151,"|",Data!N151)</f>
        <v>Casa El Buen Samaritano Houston|ACTIVE</v>
      </c>
      <c r="B150" s="161" t="str">
        <f>IFERROR(__xludf.DUMMYFUNCTION("""COMPUTED_VALUE"""),"Casa El Buen Samaritano Houston")</f>
        <v>Casa El Buen Samaritano Houston</v>
      </c>
      <c r="C150" s="161" t="str">
        <f>IFERROR(__xludf.DUMMYFUNCTION("""COMPUTED_VALUE"""),"ACTIVE")</f>
        <v>ACTIVE</v>
      </c>
      <c r="E150" s="161" t="s">
        <v>1148</v>
      </c>
      <c r="F150" s="161" t="s">
        <v>42</v>
      </c>
      <c r="G150" s="161" t="str">
        <f>IFERROR(__xludf.DUMMYFUNCTION("""COMPUTED_VALUE"""),"Montrose Grace Place")</f>
        <v>Montrose Grace Place</v>
      </c>
      <c r="K150" s="161" t="s">
        <v>2933</v>
      </c>
      <c r="L150" s="161" t="s">
        <v>2751</v>
      </c>
      <c r="M150" s="161" t="s">
        <v>1</v>
      </c>
    </row>
    <row r="151">
      <c r="A151" s="132" t="str">
        <f>CONCATENATE(Data!AA152,"|",Data!N152)</f>
        <v>Casa El Buen Samaritano Missouri City|ACTIVE</v>
      </c>
      <c r="B151" s="161" t="str">
        <f>IFERROR(__xludf.DUMMYFUNCTION("""COMPUTED_VALUE"""),"Casa El Buen Samaritano Missouri City")</f>
        <v>Casa El Buen Samaritano Missouri City</v>
      </c>
      <c r="C151" s="161" t="str">
        <f>IFERROR(__xludf.DUMMYFUNCTION("""COMPUTED_VALUE"""),"ACTIVE")</f>
        <v>ACTIVE</v>
      </c>
      <c r="E151" s="161" t="s">
        <v>5759</v>
      </c>
      <c r="F151" s="161" t="s">
        <v>42</v>
      </c>
      <c r="G151" s="161" t="str">
        <f>IFERROR(__xludf.DUMMYFUNCTION("""COMPUTED_VALUE"""),"Moving Waters Ecclesia")</f>
        <v>Moving Waters Ecclesia</v>
      </c>
      <c r="K151" s="161" t="s">
        <v>2944</v>
      </c>
      <c r="L151" s="161" t="s">
        <v>2759</v>
      </c>
      <c r="M151" s="161">
        <v>7.60330447E8</v>
      </c>
    </row>
    <row r="152">
      <c r="A152" s="132" t="str">
        <f>CONCATENATE(Data!AA153,"|",Data!N153)</f>
        <v>Casa Juan Diego|INACTIVE</v>
      </c>
      <c r="B152" s="161" t="str">
        <f>IFERROR(__xludf.DUMMYFUNCTION("""COMPUTED_VALUE"""),"Casa Juan Diego")</f>
        <v>Casa Juan Diego</v>
      </c>
      <c r="C152" s="161" t="str">
        <f>IFERROR(__xludf.DUMMYFUNCTION("""COMPUTED_VALUE"""),"INACTIVE")</f>
        <v>INACTIVE</v>
      </c>
      <c r="E152" s="161" t="s">
        <v>5759</v>
      </c>
      <c r="F152" s="161" t="s">
        <v>42</v>
      </c>
      <c r="G152" s="161" t="str">
        <f>IFERROR(__xludf.DUMMYFUNCTION("""COMPUTED_VALUE"""),"Moving Waters Emergency Aid Coalition")</f>
        <v>Moving Waters Emergency Aid Coalition</v>
      </c>
      <c r="K152" s="161" t="s">
        <v>2959</v>
      </c>
      <c r="L152" s="161" t="s">
        <v>5774</v>
      </c>
      <c r="M152" s="161">
        <v>7.60009637E8</v>
      </c>
    </row>
    <row r="153">
      <c r="A153" s="132" t="str">
        <f>CONCATENATE(Data!AA154,"|",Data!N154)</f>
        <v>Casa Juan Diego|INACTIVE</v>
      </c>
      <c r="B153" s="161" t="str">
        <f>IFERROR(__xludf.DUMMYFUNCTION("""COMPUTED_VALUE"""),"Casa Juan Diego")</f>
        <v>Casa Juan Diego</v>
      </c>
      <c r="C153" s="161" t="str">
        <f>IFERROR(__xludf.DUMMYFUNCTION("""COMPUTED_VALUE"""),"INACTIVE")</f>
        <v>INACTIVE</v>
      </c>
      <c r="E153" s="161" t="s">
        <v>5759</v>
      </c>
      <c r="F153" s="161" t="s">
        <v>42</v>
      </c>
      <c r="G153" s="161" t="str">
        <f>IFERROR(__xludf.DUMMYFUNCTION("""COMPUTED_VALUE"""),"Moving Waters Northwest Assistance Ministries")</f>
        <v>Moving Waters Northwest Assistance Ministries</v>
      </c>
      <c r="K153" s="161" t="s">
        <v>2991</v>
      </c>
      <c r="L153" s="161" t="s">
        <v>2900</v>
      </c>
    </row>
    <row r="154">
      <c r="A154" s="132" t="str">
        <f>CONCATENATE(Data!AA155,"|",Data!N155)</f>
        <v>Catholic Charities|INACTIVE</v>
      </c>
      <c r="B154" s="161" t="str">
        <f>IFERROR(__xludf.DUMMYFUNCTION("""COMPUTED_VALUE"""),"Catholic Charities")</f>
        <v>Catholic Charities</v>
      </c>
      <c r="C154" s="161" t="str">
        <f>IFERROR(__xludf.DUMMYFUNCTION("""COMPUTED_VALUE"""),"INACTIVE")</f>
        <v>INACTIVE</v>
      </c>
      <c r="E154" s="161" t="s">
        <v>5759</v>
      </c>
      <c r="F154" s="161" t="s">
        <v>42</v>
      </c>
      <c r="G154" s="161" t="str">
        <f>IFERROR(__xludf.DUMMYFUNCTION("""COMPUTED_VALUE"""),"Moving Waters St Joseph Catholic Church")</f>
        <v>Moving Waters St Joseph Catholic Church</v>
      </c>
      <c r="K154" s="161" t="s">
        <v>3001</v>
      </c>
      <c r="L154" s="161" t="s">
        <v>2908</v>
      </c>
      <c r="M154" s="161">
        <v>6.11491319E8</v>
      </c>
    </row>
    <row r="155">
      <c r="A155" s="132" t="str">
        <f>CONCATENATE(Data!AA156,"|",Data!N156)</f>
        <v>Catholic Charities|ACTIVE</v>
      </c>
      <c r="B155" s="161" t="str">
        <f>IFERROR(__xludf.DUMMYFUNCTION("""COMPUTED_VALUE"""),"Catholic Charities")</f>
        <v>Catholic Charities</v>
      </c>
      <c r="C155" s="161" t="str">
        <f>IFERROR(__xludf.DUMMYFUNCTION("""COMPUTED_VALUE"""),"ACTIVE")</f>
        <v>ACTIVE</v>
      </c>
      <c r="E155" s="161" t="s">
        <v>5759</v>
      </c>
      <c r="F155" s="161" t="s">
        <v>42</v>
      </c>
      <c r="G155" s="161" t="str">
        <f>IFERROR(__xludf.DUMMYFUNCTION("""COMPUTED_VALUE"""),"My Brother's Keeper")</f>
        <v>My Brother's Keeper</v>
      </c>
      <c r="K155" s="161" t="s">
        <v>3011</v>
      </c>
      <c r="L155" s="161" t="s">
        <v>2916</v>
      </c>
    </row>
    <row r="156">
      <c r="A156" s="132" t="str">
        <f>CONCATENATE(Data!AA157,"|",Data!N157)</f>
        <v>Catholic Charities|INACTIVE</v>
      </c>
      <c r="B156" s="161" t="str">
        <f>IFERROR(__xludf.DUMMYFUNCTION("""COMPUTED_VALUE"""),"Catholic Charities")</f>
        <v>Catholic Charities</v>
      </c>
      <c r="C156" s="161" t="str">
        <f>IFERROR(__xludf.DUMMYFUNCTION("""COMPUTED_VALUE"""),"INACTIVE")</f>
        <v>INACTIVE</v>
      </c>
      <c r="E156" s="161" t="s">
        <v>5759</v>
      </c>
      <c r="F156" s="161" t="s">
        <v>42</v>
      </c>
      <c r="G156" s="161" t="str">
        <f>IFERROR(__xludf.DUMMYFUNCTION("""COMPUTED_VALUE"""),"Nabor House Community")</f>
        <v>Nabor House Community</v>
      </c>
      <c r="K156" s="161" t="s">
        <v>3021</v>
      </c>
      <c r="L156" s="161" t="s">
        <v>2925</v>
      </c>
      <c r="M156" s="161">
        <v>7.6039534E8</v>
      </c>
    </row>
    <row r="157">
      <c r="A157" s="132" t="str">
        <f>CONCATENATE(Data!AA158,"|",Data!N158)</f>
        <v>Catholic Charities|ACTIVE</v>
      </c>
      <c r="B157" s="161" t="str">
        <f>IFERROR(__xludf.DUMMYFUNCTION("""COMPUTED_VALUE"""),"Catholic Charities")</f>
        <v>Catholic Charities</v>
      </c>
      <c r="C157" s="161" t="str">
        <f>IFERROR(__xludf.DUMMYFUNCTION("""COMPUTED_VALUE"""),"ACTIVE")</f>
        <v>ACTIVE</v>
      </c>
      <c r="E157" s="161" t="s">
        <v>5759</v>
      </c>
      <c r="F157" s="161" t="s">
        <v>42</v>
      </c>
      <c r="G157" s="161" t="str">
        <f>IFERROR(__xludf.DUMMYFUNCTION("""COMPUTED_VALUE"""),"National Organization for Rare Disorders (NORD)")</f>
        <v>National Organization for Rare Disorders (NORD)</v>
      </c>
      <c r="K157" s="161" t="s">
        <v>5775</v>
      </c>
      <c r="L157" s="161" t="s">
        <v>2933</v>
      </c>
    </row>
    <row r="158">
      <c r="A158" s="132" t="str">
        <f>CONCATENATE(Data!AA159,"|",Data!N159)</f>
        <v>Catholic Charities|ACTIVE</v>
      </c>
      <c r="B158" s="161" t="str">
        <f>IFERROR(__xludf.DUMMYFUNCTION("""COMPUTED_VALUE"""),"Catholic Charities")</f>
        <v>Catholic Charities</v>
      </c>
      <c r="C158" s="161" t="str">
        <f>IFERROR(__xludf.DUMMYFUNCTION("""COMPUTED_VALUE"""),"ACTIVE")</f>
        <v>ACTIVE</v>
      </c>
      <c r="E158" s="161" t="s">
        <v>5759</v>
      </c>
      <c r="F158" s="161" t="s">
        <v>42</v>
      </c>
      <c r="G158" s="161" t="str">
        <f>IFERROR(__xludf.DUMMYFUNCTION("""COMPUTED_VALUE"""),"NeedyMeds")</f>
        <v>NeedyMeds</v>
      </c>
      <c r="K158" s="161" t="s">
        <v>3062</v>
      </c>
      <c r="L158" s="161" t="s">
        <v>2944</v>
      </c>
    </row>
    <row r="159">
      <c r="A159" s="132" t="str">
        <f>CONCATENATE(Data!AA160,"|",Data!N160)</f>
        <v>Catholic Charities|ACTIVE</v>
      </c>
      <c r="B159" s="161" t="str">
        <f>IFERROR(__xludf.DUMMYFUNCTION("""COMPUTED_VALUE"""),"Catholic Charities")</f>
        <v>Catholic Charities</v>
      </c>
      <c r="C159" s="161" t="str">
        <f>IFERROR(__xludf.DUMMYFUNCTION("""COMPUTED_VALUE"""),"ACTIVE")</f>
        <v>ACTIVE</v>
      </c>
      <c r="E159" s="161" t="s">
        <v>5759</v>
      </c>
      <c r="F159" s="161" t="s">
        <v>42</v>
      </c>
      <c r="G159" s="161" t="str">
        <f>IFERROR(__xludf.DUMMYFUNCTION("""COMPUTED_VALUE"""),"New Hope Housing")</f>
        <v>New Hope Housing</v>
      </c>
      <c r="K159" s="161" t="s">
        <v>3072</v>
      </c>
      <c r="L159" s="161" t="s">
        <v>2959</v>
      </c>
      <c r="M159" s="161">
        <v>2.37003471E8</v>
      </c>
    </row>
    <row r="160">
      <c r="A160" s="132" t="str">
        <f>CONCATENATE(Data!AA161,"|",Data!N161)</f>
        <v>Catholic Charities|LIMITED</v>
      </c>
      <c r="B160" s="161" t="str">
        <f>IFERROR(__xludf.DUMMYFUNCTION("""COMPUTED_VALUE"""),"Catholic Charities")</f>
        <v>Catholic Charities</v>
      </c>
      <c r="C160" s="161" t="str">
        <f>IFERROR(__xludf.DUMMYFUNCTION("""COMPUTED_VALUE"""),"LIMITED")</f>
        <v>LIMITED</v>
      </c>
      <c r="E160" s="161" t="s">
        <v>5759</v>
      </c>
      <c r="F160" s="161" t="s">
        <v>42</v>
      </c>
      <c r="G160" s="161" t="str">
        <f>IFERROR(__xludf.DUMMYFUNCTION("""COMPUTED_VALUE"""),"New Life")</f>
        <v>New Life</v>
      </c>
      <c r="K160" s="161" t="s">
        <v>3084</v>
      </c>
      <c r="L160" s="161" t="s">
        <v>2991</v>
      </c>
      <c r="M160" s="161">
        <v>7.60586335E8</v>
      </c>
    </row>
    <row r="161">
      <c r="A161" s="132" t="str">
        <f>CONCATENATE(Data!AA162,"|",Data!N162)</f>
        <v>Catholic Charities|ACTIVE</v>
      </c>
      <c r="B161" s="161" t="str">
        <f>IFERROR(__xludf.DUMMYFUNCTION("""COMPUTED_VALUE"""),"Catholic Charities")</f>
        <v>Catholic Charities</v>
      </c>
      <c r="C161" s="161" t="str">
        <f>IFERROR(__xludf.DUMMYFUNCTION("""COMPUTED_VALUE"""),"ACTIVE")</f>
        <v>ACTIVE</v>
      </c>
      <c r="E161" s="161" t="s">
        <v>5759</v>
      </c>
      <c r="F161" s="161" t="s">
        <v>42</v>
      </c>
      <c r="G161" s="161" t="str">
        <f>IFERROR(__xludf.DUMMYFUNCTION("""COMPUTED_VALUE"""),"Nora's Home")</f>
        <v>Nora's Home</v>
      </c>
      <c r="K161" s="161" t="s">
        <v>3098</v>
      </c>
      <c r="L161" s="161" t="s">
        <v>3001</v>
      </c>
    </row>
    <row r="162">
      <c r="A162" s="132" t="str">
        <f>CONCATENATE(Data!AA163,"|",Data!N163)</f>
        <v>Central American Resource Center (CARECEN)|LIMITED</v>
      </c>
      <c r="B162" s="161" t="str">
        <f>IFERROR(__xludf.DUMMYFUNCTION("""COMPUTED_VALUE"""),"Central American Resource Center (CARECEN)")</f>
        <v>Central American Resource Center (CARECEN)</v>
      </c>
      <c r="C162" s="161" t="str">
        <f>IFERROR(__xludf.DUMMYFUNCTION("""COMPUTED_VALUE"""),"LIMITED")</f>
        <v>LIMITED</v>
      </c>
      <c r="E162" s="161" t="s">
        <v>5759</v>
      </c>
      <c r="F162" s="161" t="s">
        <v>42</v>
      </c>
      <c r="G162" s="161" t="str">
        <f>IFERROR(__xludf.DUMMYFUNCTION("""COMPUTED_VALUE"""),"North Channel Assistance Ministries")</f>
        <v>North Channel Assistance Ministries</v>
      </c>
      <c r="K162" s="161" t="s">
        <v>3135</v>
      </c>
      <c r="L162" s="161" t="s">
        <v>3011</v>
      </c>
      <c r="M162" s="161" t="s">
        <v>5893</v>
      </c>
    </row>
    <row r="163">
      <c r="A163" s="132" t="str">
        <f>CONCATENATE(Data!AA164,"|",Data!N164)</f>
        <v>Children's Health Insurance Program (CHIP)|ACTIVE</v>
      </c>
      <c r="B163" s="161" t="str">
        <f>IFERROR(__xludf.DUMMYFUNCTION("""COMPUTED_VALUE"""),"Children's Health Insurance Program (CHIP)")</f>
        <v>Children's Health Insurance Program (CHIP)</v>
      </c>
      <c r="C163" s="161" t="str">
        <f>IFERROR(__xludf.DUMMYFUNCTION("""COMPUTED_VALUE"""),"ACTIVE")</f>
        <v>ACTIVE</v>
      </c>
      <c r="E163" s="161" t="s">
        <v>5759</v>
      </c>
      <c r="F163" s="161" t="s">
        <v>42</v>
      </c>
      <c r="G163" s="161" t="str">
        <f>IFERROR(__xludf.DUMMYFUNCTION("""COMPUTED_VALUE"""),"Northvale Village (RHF)")</f>
        <v>Northvale Village (RHF)</v>
      </c>
      <c r="K163" s="161" t="s">
        <v>3141</v>
      </c>
      <c r="L163" s="161" t="s">
        <v>3021</v>
      </c>
    </row>
    <row r="164">
      <c r="A164" s="132" t="str">
        <f>CONCATENATE(Data!AA165,"|",Data!N165)</f>
        <v>Chinese Community Service Center|ACTIVE</v>
      </c>
      <c r="B164" s="161" t="str">
        <f>IFERROR(__xludf.DUMMYFUNCTION("""COMPUTED_VALUE"""),"Chinese Community Service Center")</f>
        <v>Chinese Community Service Center</v>
      </c>
      <c r="C164" s="161" t="str">
        <f>IFERROR(__xludf.DUMMYFUNCTION("""COMPUTED_VALUE"""),"ACTIVE")</f>
        <v>ACTIVE</v>
      </c>
      <c r="E164" s="161" t="s">
        <v>5759</v>
      </c>
      <c r="F164" s="161" t="s">
        <v>42</v>
      </c>
      <c r="G164" s="161" t="str">
        <f>IFERROR(__xludf.DUMMYFUNCTION("""COMPUTED_VALUE"""),"Northwest Area Ministries")</f>
        <v>Northwest Area Ministries</v>
      </c>
      <c r="K164" s="161" t="s">
        <v>3150</v>
      </c>
      <c r="L164" s="161" t="s">
        <v>5775</v>
      </c>
      <c r="M164" s="161">
        <v>7.60044172E8</v>
      </c>
    </row>
    <row r="165">
      <c r="A165" s="132" t="str">
        <f>CONCATENATE(Data!AA166,"|",Data!N166)</f>
        <v>Chinese Community Service Center|ACTIVE</v>
      </c>
      <c r="B165" s="161" t="str">
        <f>IFERROR(__xludf.DUMMYFUNCTION("""COMPUTED_VALUE"""),"Chinese Community Service Center")</f>
        <v>Chinese Community Service Center</v>
      </c>
      <c r="C165" s="161" t="str">
        <f>IFERROR(__xludf.DUMMYFUNCTION("""COMPUTED_VALUE"""),"ACTIVE")</f>
        <v>ACTIVE</v>
      </c>
      <c r="E165" s="161" t="s">
        <v>1263</v>
      </c>
      <c r="F165" s="161" t="s">
        <v>42</v>
      </c>
      <c r="G165" s="161" t="str">
        <f>IFERROR(__xludf.DUMMYFUNCTION("""COMPUTED_VALUE"""),"Notre Dame Catholic Church")</f>
        <v>Notre Dame Catholic Church</v>
      </c>
      <c r="K165" s="161" t="s">
        <v>3157</v>
      </c>
      <c r="L165" s="161" t="s">
        <v>3062</v>
      </c>
      <c r="M165" s="161">
        <v>2.71022537E8</v>
      </c>
    </row>
    <row r="166">
      <c r="A166" s="132" t="str">
        <f>CONCATENATE(Data!AA167,"|",Data!N167)</f>
        <v>Chinese Community Service Center|ACTIVE</v>
      </c>
      <c r="B166" s="161" t="str">
        <f>IFERROR(__xludf.DUMMYFUNCTION("""COMPUTED_VALUE"""),"Chinese Community Service Center")</f>
        <v>Chinese Community Service Center</v>
      </c>
      <c r="C166" s="161" t="str">
        <f>IFERROR(__xludf.DUMMYFUNCTION("""COMPUTED_VALUE"""),"ACTIVE")</f>
        <v>ACTIVE</v>
      </c>
      <c r="E166" s="161" t="s">
        <v>1272</v>
      </c>
      <c r="F166" s="161" t="s">
        <v>42</v>
      </c>
      <c r="G166" s="161" t="str">
        <f>IFERROR(__xludf.DUMMYFUNCTION("""COMPUTED_VALUE"""),"Open Door Mission")</f>
        <v>Open Door Mission</v>
      </c>
      <c r="K166" s="161" t="s">
        <v>3162</v>
      </c>
      <c r="L166" s="161" t="s">
        <v>3072</v>
      </c>
    </row>
    <row r="167">
      <c r="A167" s="132" t="str">
        <f>CONCATENATE(Data!AA168,"|",Data!N168)</f>
        <v>Chinese Community Service Center|ACTIVE</v>
      </c>
      <c r="B167" s="161" t="str">
        <f>IFERROR(__xludf.DUMMYFUNCTION("""COMPUTED_VALUE"""),"Chinese Community Service Center")</f>
        <v>Chinese Community Service Center</v>
      </c>
      <c r="C167" s="161" t="str">
        <f>IFERROR(__xludf.DUMMYFUNCTION("""COMPUTED_VALUE"""),"ACTIVE")</f>
        <v>ACTIVE</v>
      </c>
      <c r="E167" s="161" t="s">
        <v>1272</v>
      </c>
      <c r="F167" s="161" t="s">
        <v>42</v>
      </c>
      <c r="G167" s="161" t="str">
        <f>IFERROR(__xludf.DUMMYFUNCTION("""COMPUTED_VALUE"""),"Our Lady of Fatima")</f>
        <v>Our Lady of Fatima</v>
      </c>
      <c r="K167" s="161" t="s">
        <v>3170</v>
      </c>
      <c r="L167" s="161" t="s">
        <v>3084</v>
      </c>
      <c r="M167" s="161">
        <v>7.60608128E8</v>
      </c>
    </row>
    <row r="168">
      <c r="A168" s="132" t="str">
        <f>CONCATENATE(Data!AA169,"|",Data!N169)</f>
        <v>Christ Clinic|ACTIVE</v>
      </c>
      <c r="B168" s="161" t="str">
        <f>IFERROR(__xludf.DUMMYFUNCTION("""COMPUTED_VALUE"""),"Christ Clinic")</f>
        <v>Christ Clinic</v>
      </c>
      <c r="C168" s="161" t="str">
        <f>IFERROR(__xludf.DUMMYFUNCTION("""COMPUTED_VALUE"""),"ACTIVE")</f>
        <v>ACTIVE</v>
      </c>
      <c r="E168" s="161" t="s">
        <v>1272</v>
      </c>
      <c r="F168" s="161" t="s">
        <v>42</v>
      </c>
      <c r="G168" s="161" t="str">
        <f>IFERROR(__xludf.DUMMYFUNCTION("""COMPUTED_VALUE"""),"Our Lady of Guadalupe Baytown")</f>
        <v>Our Lady of Guadalupe Baytown</v>
      </c>
      <c r="K168" s="161" t="s">
        <v>3178</v>
      </c>
      <c r="L168" s="161" t="s">
        <v>3098</v>
      </c>
    </row>
    <row r="169">
      <c r="A169" s="132" t="str">
        <f>CONCATENATE(Data!AA170,"|",Data!N170)</f>
        <v>Christ the Redeemer|CLOSED</v>
      </c>
      <c r="B169" s="161" t="str">
        <f>IFERROR(__xludf.DUMMYFUNCTION("""COMPUTED_VALUE"""),"Christ the Redeemer")</f>
        <v>Christ the Redeemer</v>
      </c>
      <c r="C169" s="161" t="str">
        <f>IFERROR(__xludf.DUMMYFUNCTION("""COMPUTED_VALUE"""),"CLOSED")</f>
        <v>CLOSED</v>
      </c>
      <c r="E169" s="161" t="s">
        <v>1272</v>
      </c>
      <c r="F169" s="161" t="s">
        <v>42</v>
      </c>
      <c r="G169" s="161" t="str">
        <f>IFERROR(__xludf.DUMMYFUNCTION("""COMPUTED_VALUE"""),"Pasadena Community Ministries")</f>
        <v>Pasadena Community Ministries</v>
      </c>
      <c r="K169" s="161" t="s">
        <v>5776</v>
      </c>
      <c r="L169" s="161" t="s">
        <v>3135</v>
      </c>
    </row>
    <row r="170">
      <c r="A170" s="132" t="str">
        <f>CONCATENATE(Data!AA171,"|",Data!N171)</f>
        <v>Christ the Redeemer|CLOSED</v>
      </c>
      <c r="B170" s="161" t="str">
        <f>IFERROR(__xludf.DUMMYFUNCTION("""COMPUTED_VALUE"""),"Christ the Redeemer")</f>
        <v>Christ the Redeemer</v>
      </c>
      <c r="C170" s="161" t="str">
        <f>IFERROR(__xludf.DUMMYFUNCTION("""COMPUTED_VALUE"""),"CLOSED")</f>
        <v>CLOSED</v>
      </c>
      <c r="E170" s="161" t="s">
        <v>1272</v>
      </c>
      <c r="F170" s="161" t="s">
        <v>42</v>
      </c>
      <c r="G170" s="161" t="str">
        <f>IFERROR(__xludf.DUMMYFUNCTION("""COMPUTED_VALUE"""),"Patient Access Network (PAN) Foundation")</f>
        <v>Patient Access Network (PAN) Foundation</v>
      </c>
      <c r="K170" s="161" t="s">
        <v>3205</v>
      </c>
      <c r="L170" s="161" t="s">
        <v>3141</v>
      </c>
      <c r="M170" s="161">
        <v>2.72773965E8</v>
      </c>
    </row>
    <row r="171">
      <c r="A171" s="132" t="str">
        <f>CONCATENATE(Data!AA172,"|",Data!N172)</f>
        <v>Christ the Redeemer|CLOSED</v>
      </c>
      <c r="B171" s="161" t="str">
        <f>IFERROR(__xludf.DUMMYFUNCTION("""COMPUTED_VALUE"""),"Christ the Redeemer")</f>
        <v>Christ the Redeemer</v>
      </c>
      <c r="C171" s="161" t="str">
        <f>IFERROR(__xludf.DUMMYFUNCTION("""COMPUTED_VALUE"""),"CLOSED")</f>
        <v>CLOSED</v>
      </c>
      <c r="E171" s="161" t="s">
        <v>253</v>
      </c>
      <c r="F171" s="161" t="s">
        <v>42</v>
      </c>
      <c r="G171" s="161" t="str">
        <f>IFERROR(__xludf.DUMMYFUNCTION("""COMPUTED_VALUE"""),"Patient Advocate Foundation")</f>
        <v>Patient Advocate Foundation</v>
      </c>
      <c r="K171" s="161" t="s">
        <v>3216</v>
      </c>
      <c r="L171" s="161" t="s">
        <v>3150</v>
      </c>
    </row>
    <row r="172">
      <c r="A172" s="132" t="str">
        <f>CONCATENATE(Data!AA173,"|",Data!N173)</f>
        <v>Christ the Redeemer|CLOSED</v>
      </c>
      <c r="B172" s="161" t="str">
        <f>IFERROR(__xludf.DUMMYFUNCTION("""COMPUTED_VALUE"""),"Christ the Redeemer")</f>
        <v>Christ the Redeemer</v>
      </c>
      <c r="C172" s="161" t="str">
        <f>IFERROR(__xludf.DUMMYFUNCTION("""COMPUTED_VALUE"""),"CLOSED")</f>
        <v>CLOSED</v>
      </c>
      <c r="E172" s="161" t="s">
        <v>253</v>
      </c>
      <c r="F172" s="161" t="s">
        <v>42</v>
      </c>
      <c r="G172" s="161" t="str">
        <f>IFERROR(__xludf.DUMMYFUNCTION("""COMPUTED_VALUE"""),"PetSet")</f>
        <v>PetSet</v>
      </c>
      <c r="K172" s="161" t="s">
        <v>5777</v>
      </c>
      <c r="L172" s="161" t="s">
        <v>3157</v>
      </c>
    </row>
    <row r="173">
      <c r="A173" s="132" t="str">
        <f>CONCATENATE(Data!AA174,"|",Data!N174)</f>
        <v>Christ the Redeemer|LIMITED</v>
      </c>
      <c r="B173" s="161" t="str">
        <f>IFERROR(__xludf.DUMMYFUNCTION("""COMPUTED_VALUE"""),"Christ the Redeemer")</f>
        <v>Christ the Redeemer</v>
      </c>
      <c r="C173" s="161" t="str">
        <f>IFERROR(__xludf.DUMMYFUNCTION("""COMPUTED_VALUE"""),"LIMITED")</f>
        <v>LIMITED</v>
      </c>
      <c r="E173" s="161" t="s">
        <v>253</v>
      </c>
      <c r="F173" s="161" t="s">
        <v>42</v>
      </c>
      <c r="G173" s="161" t="str">
        <f>IFERROR(__xludf.DUMMYFUNCTION("""COMPUTED_VALUE"""),"Pink Fund")</f>
        <v>Pink Fund</v>
      </c>
      <c r="K173" s="161" t="s">
        <v>3298</v>
      </c>
      <c r="L173" s="161" t="s">
        <v>3162</v>
      </c>
    </row>
    <row r="174">
      <c r="A174" s="132" t="str">
        <f>CONCATENATE(Data!AA175,"|",Data!N175)</f>
        <v>Christ the Redeemer|LIMITED</v>
      </c>
      <c r="B174" s="161" t="str">
        <f>IFERROR(__xludf.DUMMYFUNCTION("""COMPUTED_VALUE"""),"Christ the Redeemer")</f>
        <v>Christ the Redeemer</v>
      </c>
      <c r="C174" s="161" t="str">
        <f>IFERROR(__xludf.DUMMYFUNCTION("""COMPUTED_VALUE"""),"LIMITED")</f>
        <v>LIMITED</v>
      </c>
      <c r="E174" s="161" t="s">
        <v>253</v>
      </c>
      <c r="F174" s="161" t="s">
        <v>42</v>
      </c>
      <c r="G174" s="161" t="str">
        <f>IFERROR(__xludf.DUMMYFUNCTION("""COMPUTED_VALUE"""),"POZ Impact Mobile Mechanic")</f>
        <v>POZ Impact Mobile Mechanic</v>
      </c>
      <c r="K174" s="161" t="s">
        <v>3308</v>
      </c>
      <c r="L174" s="161" t="s">
        <v>3170</v>
      </c>
      <c r="M174" s="161" t="s">
        <v>5893</v>
      </c>
    </row>
    <row r="175">
      <c r="A175" s="132" t="str">
        <f>CONCATENATE(Data!AA176,"|",Data!N176)</f>
        <v>Christian Community Service Center (CCSC)|ACTIVE</v>
      </c>
      <c r="B175" s="161" t="str">
        <f>IFERROR(__xludf.DUMMYFUNCTION("""COMPUTED_VALUE"""),"Christian Community Service Center (CCSC)")</f>
        <v>Christian Community Service Center (CCSC)</v>
      </c>
      <c r="C175" s="161" t="str">
        <f>IFERROR(__xludf.DUMMYFUNCTION("""COMPUTED_VALUE"""),"ACTIVE")</f>
        <v>ACTIVE</v>
      </c>
      <c r="E175" s="161" t="s">
        <v>253</v>
      </c>
      <c r="F175" s="161" t="s">
        <v>42</v>
      </c>
      <c r="G175" s="161" t="str">
        <f>IFERROR(__xludf.DUMMYFUNCTION("""COMPUTED_VALUE"""),"Presbyterian Children's Homes and Services")</f>
        <v>Presbyterian Children's Homes and Services</v>
      </c>
      <c r="K175" s="161" t="s">
        <v>3317</v>
      </c>
      <c r="L175" s="161" t="s">
        <v>3178</v>
      </c>
    </row>
    <row r="176">
      <c r="A176" s="132" t="str">
        <f>CONCATENATE(Data!AA177,"|",Data!N177)</f>
        <v>Christian Community Service Center (CCSC)|ACTIVE</v>
      </c>
      <c r="B176" s="161" t="str">
        <f>IFERROR(__xludf.DUMMYFUNCTION("""COMPUTED_VALUE"""),"Christian Community Service Center (CCSC)")</f>
        <v>Christian Community Service Center (CCSC)</v>
      </c>
      <c r="C176" s="161" t="str">
        <f>IFERROR(__xludf.DUMMYFUNCTION("""COMPUTED_VALUE"""),"ACTIVE")</f>
        <v>ACTIVE</v>
      </c>
      <c r="E176" s="161" t="s">
        <v>253</v>
      </c>
      <c r="F176" s="161" t="s">
        <v>42</v>
      </c>
      <c r="G176" s="161" t="str">
        <f>IFERROR(__xludf.DUMMYFUNCTION("""COMPUTED_VALUE"""),"Prince of Peace")</f>
        <v>Prince of Peace</v>
      </c>
      <c r="K176" s="161" t="s">
        <v>3335</v>
      </c>
      <c r="L176" s="161" t="s">
        <v>5776</v>
      </c>
      <c r="M176" s="161">
        <v>4.62726844E8</v>
      </c>
    </row>
    <row r="177">
      <c r="A177" s="132" t="str">
        <f>CONCATENATE(Data!AA178,"|",Data!N178)</f>
        <v>Christian Community Service Center (CCSC)|ACTIVE</v>
      </c>
      <c r="B177" s="161" t="str">
        <f>IFERROR(__xludf.DUMMYFUNCTION("""COMPUTED_VALUE"""),"Christian Community Service Center (CCSC)")</f>
        <v>Christian Community Service Center (CCSC)</v>
      </c>
      <c r="C177" s="161" t="str">
        <f>IFERROR(__xludf.DUMMYFUNCTION("""COMPUTED_VALUE"""),"ACTIVE")</f>
        <v>ACTIVE</v>
      </c>
      <c r="E177" s="161" t="s">
        <v>253</v>
      </c>
      <c r="F177" s="161" t="s">
        <v>42</v>
      </c>
      <c r="G177" s="161" t="str">
        <f>IFERROR(__xludf.DUMMYFUNCTION("""COMPUTED_VALUE"""),"Project One Day")</f>
        <v>Project One Day</v>
      </c>
      <c r="K177" s="161" t="s">
        <v>3342</v>
      </c>
      <c r="L177" s="161" t="s">
        <v>3205</v>
      </c>
    </row>
    <row r="178">
      <c r="A178" s="132" t="str">
        <f>CONCATENATE(Data!AA179,"|",Data!N179)</f>
        <v>Christian Community Service Center (CCSC)|ACTIVE</v>
      </c>
      <c r="B178" s="161" t="str">
        <f>IFERROR(__xludf.DUMMYFUNCTION("""COMPUTED_VALUE"""),"Christian Community Service Center (CCSC)")</f>
        <v>Christian Community Service Center (CCSC)</v>
      </c>
      <c r="C178" s="161" t="str">
        <f>IFERROR(__xludf.DUMMYFUNCTION("""COMPUTED_VALUE"""),"ACTIVE")</f>
        <v>ACTIVE</v>
      </c>
      <c r="E178" s="161" t="s">
        <v>253</v>
      </c>
      <c r="F178" s="161" t="s">
        <v>42</v>
      </c>
      <c r="G178" s="161" t="str">
        <f>IFERROR(__xludf.DUMMYFUNCTION("""COMPUTED_VALUE"""),"Queen of Peace LaMarque")</f>
        <v>Queen of Peace LaMarque</v>
      </c>
      <c r="K178" s="161" t="s">
        <v>3371</v>
      </c>
      <c r="L178" s="161" t="s">
        <v>3216</v>
      </c>
    </row>
    <row r="179">
      <c r="A179" s="132" t="str">
        <f>CONCATENATE(Data!AA180,"|",Data!N180)</f>
        <v>Christian Community Service Center (CCSC)|ACTIVE</v>
      </c>
      <c r="B179" s="161" t="str">
        <f>IFERROR(__xludf.DUMMYFUNCTION("""COMPUTED_VALUE"""),"Christian Community Service Center (CCSC)")</f>
        <v>Christian Community Service Center (CCSC)</v>
      </c>
      <c r="C179" s="161" t="str">
        <f>IFERROR(__xludf.DUMMYFUNCTION("""COMPUTED_VALUE"""),"ACTIVE")</f>
        <v>ACTIVE</v>
      </c>
      <c r="E179" s="161" t="s">
        <v>253</v>
      </c>
      <c r="F179" s="161" t="s">
        <v>42</v>
      </c>
      <c r="G179" s="161" t="str">
        <f>IFERROR(__xludf.DUMMYFUNCTION("""COMPUTED_VALUE"""),"Rainbow of Love")</f>
        <v>Rainbow of Love</v>
      </c>
      <c r="K179" s="161" t="s">
        <v>3384</v>
      </c>
      <c r="L179" s="161" t="s">
        <v>5777</v>
      </c>
      <c r="M179" s="161">
        <v>7.31419279E8</v>
      </c>
    </row>
    <row r="180">
      <c r="A180" s="132" t="str">
        <f>CONCATENATE(Data!AA181,"|",Data!N181)</f>
        <v>Christian Community Service Center (CCSC)|ACTIVE</v>
      </c>
      <c r="B180" s="161" t="str">
        <f>IFERROR(__xludf.DUMMYFUNCTION("""COMPUTED_VALUE"""),"Christian Community Service Center (CCSC)")</f>
        <v>Christian Community Service Center (CCSC)</v>
      </c>
      <c r="C180" s="161" t="str">
        <f>IFERROR(__xludf.DUMMYFUNCTION("""COMPUTED_VALUE"""),"ACTIVE")</f>
        <v>ACTIVE</v>
      </c>
      <c r="E180" s="161" t="s">
        <v>253</v>
      </c>
      <c r="F180" s="161" t="s">
        <v>42</v>
      </c>
      <c r="G180" s="161" t="str">
        <f>IFERROR(__xludf.DUMMYFUNCTION("""COMPUTED_VALUE"""),"Refugee &amp; Immigrant Center for Education and Legal Services (RAICES)")</f>
        <v>Refugee &amp; Immigrant Center for Education and Legal Services (RAICES)</v>
      </c>
      <c r="K180" s="161" t="s">
        <v>3391</v>
      </c>
      <c r="L180" s="161" t="s">
        <v>3298</v>
      </c>
      <c r="M180" s="161">
        <v>7.52820473E8</v>
      </c>
    </row>
    <row r="181">
      <c r="A181" s="132" t="str">
        <f>CONCATENATE(Data!AA182,"|",Data!N182)</f>
        <v>Christian Community Service Center (CCSC)|ACTIVE</v>
      </c>
      <c r="B181" s="161" t="str">
        <f>IFERROR(__xludf.DUMMYFUNCTION("""COMPUTED_VALUE"""),"Christian Community Service Center (CCSC)")</f>
        <v>Christian Community Service Center (CCSC)</v>
      </c>
      <c r="C181" s="161" t="str">
        <f>IFERROR(__xludf.DUMMYFUNCTION("""COMPUTED_VALUE"""),"ACTIVE")</f>
        <v>ACTIVE</v>
      </c>
      <c r="E181" s="161" t="s">
        <v>253</v>
      </c>
      <c r="F181" s="161" t="s">
        <v>42</v>
      </c>
      <c r="G181" s="161" t="str">
        <f>IFERROR(__xludf.DUMMYFUNCTION("""COMPUTED_VALUE"""),"Rehabilitation Services Volunteer Project (RSVP)")</f>
        <v>Rehabilitation Services Volunteer Project (RSVP)</v>
      </c>
      <c r="K181" s="161" t="s">
        <v>3396</v>
      </c>
      <c r="L181" s="161" t="s">
        <v>3308</v>
      </c>
    </row>
    <row r="182">
      <c r="A182" s="132" t="str">
        <f>CONCATENATE(Data!AA183,"|",Data!N183)</f>
        <v>Christian Community Service Center (CCSC)|ACTIVE</v>
      </c>
      <c r="B182" s="161" t="str">
        <f>IFERROR(__xludf.DUMMYFUNCTION("""COMPUTED_VALUE"""),"Christian Community Service Center (CCSC)")</f>
        <v>Christian Community Service Center (CCSC)</v>
      </c>
      <c r="C182" s="161" t="str">
        <f>IFERROR(__xludf.DUMMYFUNCTION("""COMPUTED_VALUE"""),"ACTIVE")</f>
        <v>ACTIVE</v>
      </c>
      <c r="E182" s="161" t="s">
        <v>253</v>
      </c>
      <c r="F182" s="161" t="s">
        <v>42</v>
      </c>
      <c r="G182" s="161" t="str">
        <f>IFERROR(__xludf.DUMMYFUNCTION("""COMPUTED_VALUE"""),"Rejoice Counseling Apostolate")</f>
        <v>Rejoice Counseling Apostolate</v>
      </c>
      <c r="K182" s="161" t="s">
        <v>3423</v>
      </c>
      <c r="L182" s="161" t="s">
        <v>3317</v>
      </c>
      <c r="M182" s="161">
        <v>7.60152675E8</v>
      </c>
    </row>
    <row r="183">
      <c r="A183" s="132" t="str">
        <f>CONCATENATE(Data!AA184,"|",Data!N184)</f>
        <v>Christian Community Service Center (CCSC)|ACTIVE</v>
      </c>
      <c r="B183" s="161" t="str">
        <f>IFERROR(__xludf.DUMMYFUNCTION("""COMPUTED_VALUE"""),"Christian Community Service Center (CCSC)")</f>
        <v>Christian Community Service Center (CCSC)</v>
      </c>
      <c r="C183" s="161" t="str">
        <f>IFERROR(__xludf.DUMMYFUNCTION("""COMPUTED_VALUE"""),"ACTIVE")</f>
        <v>ACTIVE</v>
      </c>
      <c r="E183" s="161" t="s">
        <v>253</v>
      </c>
      <c r="F183" s="161" t="s">
        <v>42</v>
      </c>
      <c r="G183" s="161" t="str">
        <f>IFERROR(__xludf.DUMMYFUNCTION("""COMPUTED_VALUE"""),"Resource &amp; Crisis Center of Galveston County Inc.")</f>
        <v>Resource &amp; Crisis Center of Galveston County Inc.</v>
      </c>
      <c r="K183" s="161" t="s">
        <v>3427</v>
      </c>
      <c r="L183" s="161" t="s">
        <v>3335</v>
      </c>
    </row>
    <row r="184">
      <c r="A184" s="132" t="str">
        <f>CONCATENATE(Data!AA185,"|",Data!N185)</f>
        <v>Christian Community Service Center (CCSC)|ACTIVE</v>
      </c>
      <c r="B184" s="161" t="str">
        <f>IFERROR(__xludf.DUMMYFUNCTION("""COMPUTED_VALUE"""),"Christian Community Service Center (CCSC)")</f>
        <v>Christian Community Service Center (CCSC)</v>
      </c>
      <c r="C184" s="161" t="str">
        <f>IFERROR(__xludf.DUMMYFUNCTION("""COMPUTED_VALUE"""),"ACTIVE")</f>
        <v>ACTIVE</v>
      </c>
      <c r="E184" s="161" t="s">
        <v>253</v>
      </c>
      <c r="F184" s="161" t="s">
        <v>42</v>
      </c>
      <c r="G184" s="161" t="str">
        <f>IFERROR(__xludf.DUMMYFUNCTION("""COMPUTED_VALUE"""),"Riceville Mt Olive Baptist Church")</f>
        <v>Riceville Mt Olive Baptist Church</v>
      </c>
      <c r="K184" s="161" t="s">
        <v>3439</v>
      </c>
      <c r="L184" s="161" t="s">
        <v>3342</v>
      </c>
    </row>
    <row r="185">
      <c r="A185" s="132" t="str">
        <f>CONCATENATE(Data!AA186,"|",Data!N186)</f>
        <v>Christian Community Service Center (CCSC)|ACTIVE</v>
      </c>
      <c r="B185" s="161" t="str">
        <f>IFERROR(__xludf.DUMMYFUNCTION("""COMPUTED_VALUE"""),"Christian Community Service Center (CCSC)")</f>
        <v>Christian Community Service Center (CCSC)</v>
      </c>
      <c r="C185" s="161" t="str">
        <f>IFERROR(__xludf.DUMMYFUNCTION("""COMPUTED_VALUE"""),"ACTIVE")</f>
        <v>ACTIVE</v>
      </c>
      <c r="E185" s="161" t="s">
        <v>253</v>
      </c>
      <c r="F185" s="161" t="s">
        <v>42</v>
      </c>
      <c r="G185" s="161" t="str">
        <f>IFERROR(__xludf.DUMMYFUNCTION("""COMPUTED_VALUE"""),"Ronald McDonald House")</f>
        <v>Ronald McDonald House</v>
      </c>
      <c r="K185" s="161" t="s">
        <v>3453</v>
      </c>
      <c r="L185" s="161" t="s">
        <v>3371</v>
      </c>
      <c r="M185" s="161" t="s">
        <v>5893</v>
      </c>
    </row>
    <row r="186">
      <c r="A186" s="132" t="str">
        <f>CONCATENATE(Data!AA187,"|",Data!N187)</f>
        <v>Christian Community Service Center (CCSC)|ACTIVE</v>
      </c>
      <c r="B186" s="161" t="str">
        <f>IFERROR(__xludf.DUMMYFUNCTION("""COMPUTED_VALUE"""),"Christian Community Service Center (CCSC)")</f>
        <v>Christian Community Service Center (CCSC)</v>
      </c>
      <c r="C186" s="161" t="str">
        <f>IFERROR(__xludf.DUMMYFUNCTION("""COMPUTED_VALUE"""),"ACTIVE")</f>
        <v>ACTIVE</v>
      </c>
      <c r="E186" s="161" t="s">
        <v>253</v>
      </c>
      <c r="F186" s="161" t="s">
        <v>42</v>
      </c>
      <c r="G186" s="161" t="str">
        <f>IFERROR(__xludf.DUMMYFUNCTION("""COMPUTED_VALUE"""),"Sacred Heart Co-Cathedral")</f>
        <v>Sacred Heart Co-Cathedral</v>
      </c>
      <c r="K186" s="161" t="s">
        <v>3465</v>
      </c>
      <c r="L186" s="161" t="s">
        <v>3384</v>
      </c>
      <c r="M186" s="161">
        <v>7.6014689E8</v>
      </c>
    </row>
    <row r="187">
      <c r="A187" s="132" t="str">
        <f>CONCATENATE(Data!AA188,"|",Data!N188)</f>
        <v>Christian Community Service Center (CCSC)|ACTIVE</v>
      </c>
      <c r="B187" s="161" t="str">
        <f>IFERROR(__xludf.DUMMYFUNCTION("""COMPUTED_VALUE"""),"Christian Community Service Center (CCSC)")</f>
        <v>Christian Community Service Center (CCSC)</v>
      </c>
      <c r="C187" s="161" t="str">
        <f>IFERROR(__xludf.DUMMYFUNCTION("""COMPUTED_VALUE"""),"ACTIVE")</f>
        <v>ACTIVE</v>
      </c>
      <c r="E187" s="161" t="s">
        <v>253</v>
      </c>
      <c r="F187" s="161" t="s">
        <v>42</v>
      </c>
      <c r="G187" s="161" t="str">
        <f>IFERROR(__xludf.DUMMYFUNCTION("""COMPUTED_VALUE"""),"Sacred Heart of Jesus/Manvel")</f>
        <v>Sacred Heart of Jesus/Manvel</v>
      </c>
      <c r="K187" s="161" t="s">
        <v>3475</v>
      </c>
      <c r="L187" s="161" t="s">
        <v>3391</v>
      </c>
      <c r="M187" s="161" t="s">
        <v>5893</v>
      </c>
    </row>
    <row r="188">
      <c r="A188" s="132" t="str">
        <f>CONCATENATE(Data!AA189,"|",Data!N189)</f>
        <v>Christian Helping Hands|ACTIVE</v>
      </c>
      <c r="B188" s="161" t="str">
        <f>IFERROR(__xludf.DUMMYFUNCTION("""COMPUTED_VALUE"""),"Christian Helping Hands")</f>
        <v>Christian Helping Hands</v>
      </c>
      <c r="C188" s="161" t="str">
        <f>IFERROR(__xludf.DUMMYFUNCTION("""COMPUTED_VALUE"""),"ACTIVE")</f>
        <v>ACTIVE</v>
      </c>
      <c r="E188" s="161" t="s">
        <v>253</v>
      </c>
      <c r="F188" s="161" t="s">
        <v>42</v>
      </c>
      <c r="G188" s="161" t="str">
        <f>IFERROR(__xludf.DUMMYFUNCTION("""COMPUTED_VALUE"""),"Sagetree Terrace (RHF)")</f>
        <v>Sagetree Terrace (RHF)</v>
      </c>
      <c r="K188" s="161" t="s">
        <v>3485</v>
      </c>
      <c r="L188" s="161" t="s">
        <v>3396</v>
      </c>
      <c r="M188" s="161" t="s">
        <v>5893</v>
      </c>
    </row>
    <row r="189">
      <c r="A189" s="132" t="str">
        <f>CONCATENATE(Data!AA190,"|",Data!N190)</f>
        <v>Christian Helping Hands|CLOSED</v>
      </c>
      <c r="B189" s="161" t="str">
        <f>IFERROR(__xludf.DUMMYFUNCTION("""COMPUTED_VALUE"""),"Christian Helping Hands")</f>
        <v>Christian Helping Hands</v>
      </c>
      <c r="C189" s="161" t="str">
        <f>IFERROR(__xludf.DUMMYFUNCTION("""COMPUTED_VALUE"""),"CLOSED")</f>
        <v>CLOSED</v>
      </c>
      <c r="E189" s="161" t="s">
        <v>253</v>
      </c>
      <c r="F189" s="161" t="s">
        <v>42</v>
      </c>
      <c r="G189" s="161" t="str">
        <f>IFERROR(__xludf.DUMMYFUNCTION("""COMPUTED_VALUE"""),"Salvation Army of Greater Houston")</f>
        <v>Salvation Army of Greater Houston</v>
      </c>
      <c r="K189" s="161" t="s">
        <v>3492</v>
      </c>
      <c r="L189" s="161" t="s">
        <v>3423</v>
      </c>
    </row>
    <row r="190">
      <c r="A190" s="132" t="str">
        <f>CONCATENATE(Data!AA191,"|",Data!N191)</f>
        <v>Christus Foundation for HealthCare|ACTIVE</v>
      </c>
      <c r="B190" s="161" t="str">
        <f>IFERROR(__xludf.DUMMYFUNCTION("""COMPUTED_VALUE"""),"Christus Foundation for HealthCare")</f>
        <v>Christus Foundation for HealthCare</v>
      </c>
      <c r="C190" s="161" t="str">
        <f>IFERROR(__xludf.DUMMYFUNCTION("""COMPUTED_VALUE"""),"ACTIVE")</f>
        <v>ACTIVE</v>
      </c>
      <c r="E190" s="161" t="s">
        <v>253</v>
      </c>
      <c r="F190" s="161" t="s">
        <v>42</v>
      </c>
      <c r="G190" s="161" t="str">
        <f>IFERROR(__xludf.DUMMYFUNCTION("""COMPUTED_VALUE"""),"San Jose Clinic")</f>
        <v>San Jose Clinic</v>
      </c>
      <c r="K190" s="161" t="s">
        <v>3500</v>
      </c>
      <c r="L190" s="161" t="s">
        <v>3427</v>
      </c>
      <c r="M190" s="161">
        <v>7.60540139E8</v>
      </c>
    </row>
    <row r="191">
      <c r="A191" s="132" t="str">
        <f>CONCATENATE(Data!AA192,"|",Data!N192)</f>
        <v>Christus Foundation for HealthCare|ACTIVE</v>
      </c>
      <c r="B191" s="161" t="str">
        <f>IFERROR(__xludf.DUMMYFUNCTION("""COMPUTED_VALUE"""),"Christus Foundation for HealthCare")</f>
        <v>Christus Foundation for HealthCare</v>
      </c>
      <c r="C191" s="161" t="str">
        <f>IFERROR(__xludf.DUMMYFUNCTION("""COMPUTED_VALUE"""),"ACTIVE")</f>
        <v>ACTIVE</v>
      </c>
      <c r="E191" s="161" t="s">
        <v>253</v>
      </c>
      <c r="F191" s="161" t="s">
        <v>42</v>
      </c>
      <c r="G191" s="161" t="str">
        <f>IFERROR(__xludf.DUMMYFUNCTION("""COMPUTED_VALUE"""),"Santa Maria")</f>
        <v>Santa Maria</v>
      </c>
      <c r="K191" s="161" t="s">
        <v>3512</v>
      </c>
      <c r="L191" s="161" t="s">
        <v>3439</v>
      </c>
    </row>
    <row r="192">
      <c r="A192" s="132" t="str">
        <f>CONCATENATE(Data!AA193,"|",Data!N193)</f>
        <v>Christus Foundation for HealthCare|ACTIVE</v>
      </c>
      <c r="B192" s="161" t="str">
        <f>IFERROR(__xludf.DUMMYFUNCTION("""COMPUTED_VALUE"""),"Christus Foundation for HealthCare")</f>
        <v>Christus Foundation for HealthCare</v>
      </c>
      <c r="C192" s="161" t="str">
        <f>IFERROR(__xludf.DUMMYFUNCTION("""COMPUTED_VALUE"""),"ACTIVE")</f>
        <v>ACTIVE</v>
      </c>
      <c r="E192" s="161" t="s">
        <v>253</v>
      </c>
      <c r="F192" s="161" t="s">
        <v>42</v>
      </c>
      <c r="G192" s="161" t="str">
        <f>IFERROR(__xludf.DUMMYFUNCTION("""COMPUTED_VALUE"""),"Sarah's House")</f>
        <v>Sarah's House</v>
      </c>
      <c r="K192" s="161" t="s">
        <v>3518</v>
      </c>
      <c r="L192" s="161" t="s">
        <v>3453</v>
      </c>
    </row>
    <row r="193">
      <c r="A193" s="132" t="str">
        <f>CONCATENATE(Data!AA194,"|",Data!N194)</f>
        <v>Christus Foundation for HealthCare|ACTIVE</v>
      </c>
      <c r="B193" s="161" t="str">
        <f>IFERROR(__xludf.DUMMYFUNCTION("""COMPUTED_VALUE"""),"Christus Foundation for HealthCare")</f>
        <v>Christus Foundation for HealthCare</v>
      </c>
      <c r="C193" s="161" t="str">
        <f>IFERROR(__xludf.DUMMYFUNCTION("""COMPUTED_VALUE"""),"ACTIVE")</f>
        <v>ACTIVE</v>
      </c>
      <c r="E193" s="161" t="s">
        <v>253</v>
      </c>
      <c r="F193" s="161" t="s">
        <v>42</v>
      </c>
      <c r="G193" s="161" t="str">
        <f>IFERROR(__xludf.DUMMYFUNCTION("""COMPUTED_VALUE"""),"Search Homeless Services")</f>
        <v>Search Homeless Services</v>
      </c>
      <c r="K193" s="161" t="s">
        <v>3527</v>
      </c>
      <c r="L193" s="161" t="s">
        <v>3465</v>
      </c>
      <c r="M193" s="161">
        <v>2.00800623E8</v>
      </c>
    </row>
    <row r="194">
      <c r="A194" s="132" t="str">
        <f>CONCATENATE(Data!AA195,"|",Data!N195)</f>
        <v>Christus Foundation for HealthCare|ACTIVE</v>
      </c>
      <c r="B194" s="161" t="str">
        <f>IFERROR(__xludf.DUMMYFUNCTION("""COMPUTED_VALUE"""),"Christus Foundation for HealthCare")</f>
        <v>Christus Foundation for HealthCare</v>
      </c>
      <c r="C194" s="161" t="str">
        <f>IFERROR(__xludf.DUMMYFUNCTION("""COMPUTED_VALUE"""),"ACTIVE")</f>
        <v>ACTIVE</v>
      </c>
      <c r="E194" s="161" t="s">
        <v>253</v>
      </c>
      <c r="F194" s="161" t="s">
        <v>42</v>
      </c>
      <c r="G194" s="161" t="str">
        <f>IFERROR(__xludf.DUMMYFUNCTION("""COMPUTED_VALUE"""),"Second Mile")</f>
        <v>Second Mile</v>
      </c>
      <c r="K194" s="161" t="s">
        <v>3534</v>
      </c>
      <c r="L194" s="161" t="s">
        <v>3475</v>
      </c>
      <c r="M194" s="161">
        <v>2.01872188E8</v>
      </c>
    </row>
    <row r="195">
      <c r="A195" s="132" t="str">
        <f>CONCATENATE(Data!AA196,"|",Data!N196)</f>
        <v>Christus Foundation for HealthCare|ACTIVE</v>
      </c>
      <c r="B195" s="161" t="str">
        <f>IFERROR(__xludf.DUMMYFUNCTION("""COMPUTED_VALUE"""),"Christus Foundation for HealthCare")</f>
        <v>Christus Foundation for HealthCare</v>
      </c>
      <c r="C195" s="161" t="str">
        <f>IFERROR(__xludf.DUMMYFUNCTION("""COMPUTED_VALUE"""),"ACTIVE")</f>
        <v>ACTIVE</v>
      </c>
      <c r="E195" s="161" t="s">
        <v>253</v>
      </c>
      <c r="F195" s="161" t="s">
        <v>42</v>
      </c>
      <c r="G195" s="161" t="str">
        <f>IFERROR(__xludf.DUMMYFUNCTION("""COMPUTED_VALUE"""),"SERJobs Houston")</f>
        <v>SERJobs Houston</v>
      </c>
      <c r="K195" s="161" t="s">
        <v>3539</v>
      </c>
      <c r="L195" s="161" t="s">
        <v>3485</v>
      </c>
    </row>
    <row r="196">
      <c r="A196" s="132" t="str">
        <f>CONCATENATE(Data!AA197,"|",Data!N197)</f>
        <v>Christus Foundation for HealthCare|ACTIVE</v>
      </c>
      <c r="B196" s="161" t="str">
        <f>IFERROR(__xludf.DUMMYFUNCTION("""COMPUTED_VALUE"""),"Christus Foundation for HealthCare")</f>
        <v>Christus Foundation for HealthCare</v>
      </c>
      <c r="C196" s="161" t="str">
        <f>IFERROR(__xludf.DUMMYFUNCTION("""COMPUTED_VALUE"""),"ACTIVE")</f>
        <v>ACTIVE</v>
      </c>
      <c r="E196" s="161" t="s">
        <v>253</v>
      </c>
      <c r="F196" s="161" t="s">
        <v>42</v>
      </c>
      <c r="G196" s="161" t="str">
        <f>IFERROR(__xludf.DUMMYFUNCTION("""COMPUTED_VALUE"""),"Small Steps Nurturing Center")</f>
        <v>Small Steps Nurturing Center</v>
      </c>
      <c r="K196" s="161" t="s">
        <v>3547</v>
      </c>
      <c r="L196" s="161" t="s">
        <v>3492</v>
      </c>
      <c r="M196" s="161">
        <v>7.50818172E8</v>
      </c>
    </row>
    <row r="197">
      <c r="A197" s="132" t="str">
        <f>CONCATENATE(Data!AA198,"|",Data!N198)</f>
        <v>Christus Foundation for HealthCare|ACTIVE</v>
      </c>
      <c r="B197" s="161" t="str">
        <f>IFERROR(__xludf.DUMMYFUNCTION("""COMPUTED_VALUE"""),"Christus Foundation for HealthCare")</f>
        <v>Christus Foundation for HealthCare</v>
      </c>
      <c r="C197" s="161" t="str">
        <f>IFERROR(__xludf.DUMMYFUNCTION("""COMPUTED_VALUE"""),"ACTIVE")</f>
        <v>ACTIVE</v>
      </c>
      <c r="E197" s="161" t="s">
        <v>5760</v>
      </c>
      <c r="F197" s="161" t="s">
        <v>42</v>
      </c>
      <c r="G197" s="161" t="str">
        <f>IFERROR(__xludf.DUMMYFUNCTION("""COMPUTED_VALUE"""),"Society of St Stephen")</f>
        <v>Society of St Stephen</v>
      </c>
      <c r="K197" s="161" t="s">
        <v>3555</v>
      </c>
      <c r="L197" s="161" t="s">
        <v>3500</v>
      </c>
      <c r="M197" s="161" t="s">
        <v>5893</v>
      </c>
    </row>
    <row r="198">
      <c r="A198" s="132" t="str">
        <f>CONCATENATE(Data!AA199,"|",Data!N199)</f>
        <v>Christus Foundation for HealthCare|ACTIVE</v>
      </c>
      <c r="B198" s="161" t="str">
        <f>IFERROR(__xludf.DUMMYFUNCTION("""COMPUTED_VALUE"""),"Christus Foundation for HealthCare")</f>
        <v>Christus Foundation for HealthCare</v>
      </c>
      <c r="C198" s="161" t="str">
        <f>IFERROR(__xludf.DUMMYFUNCTION("""COMPUTED_VALUE"""),"ACTIVE")</f>
        <v>ACTIVE</v>
      </c>
      <c r="E198" s="161" t="s">
        <v>5760</v>
      </c>
      <c r="F198" s="161" t="s">
        <v>42</v>
      </c>
      <c r="G198" s="161" t="str">
        <f>IFERROR(__xludf.DUMMYFUNCTION("""COMPUTED_VALUE"""),"Society of St Vincent de Paul")</f>
        <v>Society of St Vincent de Paul</v>
      </c>
      <c r="K198" s="161" t="s">
        <v>3561</v>
      </c>
      <c r="L198" s="161" t="s">
        <v>3512</v>
      </c>
      <c r="M198" s="161">
        <v>8.43963489E8</v>
      </c>
    </row>
    <row r="199">
      <c r="A199" s="132" t="str">
        <f>CONCATENATE(Data!AA200,"|",Data!N200)</f>
        <v>Christus Foundation for HealthCare|ACTIVE</v>
      </c>
      <c r="B199" s="161" t="str">
        <f>IFERROR(__xludf.DUMMYFUNCTION("""COMPUTED_VALUE"""),"Christus Foundation for HealthCare")</f>
        <v>Christus Foundation for HealthCare</v>
      </c>
      <c r="C199" s="161" t="str">
        <f>IFERROR(__xludf.DUMMYFUNCTION("""COMPUTED_VALUE"""),"ACTIVE")</f>
        <v>ACTIVE</v>
      </c>
      <c r="E199" s="161" t="s">
        <v>5760</v>
      </c>
      <c r="F199" s="161" t="s">
        <v>42</v>
      </c>
      <c r="G199" s="161" t="str">
        <f>IFERROR(__xludf.DUMMYFUNCTION("""COMPUTED_VALUE"""),"South Texas College of Law Houston")</f>
        <v>South Texas College of Law Houston</v>
      </c>
      <c r="K199" s="161" t="s">
        <v>3561</v>
      </c>
      <c r="L199" s="161" t="s">
        <v>3518</v>
      </c>
      <c r="M199" s="161" t="s">
        <v>5893</v>
      </c>
    </row>
    <row r="200">
      <c r="A200" s="132" t="str">
        <f>CONCATENATE(Data!AA201,"|",Data!N201)</f>
        <v>Christus Foundation for HealthCare|ACTIVE</v>
      </c>
      <c r="B200" s="161" t="str">
        <f>IFERROR(__xludf.DUMMYFUNCTION("""COMPUTED_VALUE"""),"Christus Foundation for HealthCare")</f>
        <v>Christus Foundation for HealthCare</v>
      </c>
      <c r="C200" s="161" t="str">
        <f>IFERROR(__xludf.DUMMYFUNCTION("""COMPUTED_VALUE"""),"ACTIVE")</f>
        <v>ACTIVE</v>
      </c>
      <c r="E200" s="161" t="s">
        <v>5760</v>
      </c>
      <c r="F200" s="161" t="s">
        <v>42</v>
      </c>
      <c r="G200" s="161" t="str">
        <f>IFERROR(__xludf.DUMMYFUNCTION("""COMPUTED_VALUE"""),"St Anthony Bread")</f>
        <v>St Anthony Bread</v>
      </c>
      <c r="K200" s="161" t="s">
        <v>5778</v>
      </c>
      <c r="L200" s="161" t="s">
        <v>3527</v>
      </c>
      <c r="M200" s="161">
        <v>7.21580957E8</v>
      </c>
    </row>
    <row r="201">
      <c r="A201" s="132" t="str">
        <f>CONCATENATE(Data!AA202,"|",Data!N202)</f>
        <v>Christus Foundation for HealthCare|ACTIVE</v>
      </c>
      <c r="B201" s="161" t="str">
        <f>IFERROR(__xludf.DUMMYFUNCTION("""COMPUTED_VALUE"""),"Christus Foundation for HealthCare")</f>
        <v>Christus Foundation for HealthCare</v>
      </c>
      <c r="C201" s="161" t="str">
        <f>IFERROR(__xludf.DUMMYFUNCTION("""COMPUTED_VALUE"""),"ACTIVE")</f>
        <v>ACTIVE</v>
      </c>
      <c r="E201" s="161" t="s">
        <v>5760</v>
      </c>
      <c r="F201" s="161" t="s">
        <v>42</v>
      </c>
      <c r="G201" s="161" t="str">
        <f>IFERROR(__xludf.DUMMYFUNCTION("""COMPUTED_VALUE"""),"St Bernadette Clear Lake")</f>
        <v>St Bernadette Clear Lake</v>
      </c>
      <c r="K201" s="161" t="s">
        <v>3628</v>
      </c>
      <c r="L201" s="161" t="s">
        <v>3534</v>
      </c>
    </row>
    <row r="202">
      <c r="A202" s="132" t="str">
        <f>CONCATENATE(Data!AA203,"|",Data!N203)</f>
        <v>Christus Foundation for HealthCare|ACTIVE</v>
      </c>
      <c r="B202" s="161" t="str">
        <f>IFERROR(__xludf.DUMMYFUNCTION("""COMPUTED_VALUE"""),"Christus Foundation for HealthCare")</f>
        <v>Christus Foundation for HealthCare</v>
      </c>
      <c r="C202" s="161" t="str">
        <f>IFERROR(__xludf.DUMMYFUNCTION("""COMPUTED_VALUE"""),"ACTIVE")</f>
        <v>ACTIVE</v>
      </c>
      <c r="E202" s="161" t="s">
        <v>5760</v>
      </c>
      <c r="F202" s="161" t="s">
        <v>42</v>
      </c>
      <c r="G202" s="161" t="str">
        <f>IFERROR(__xludf.DUMMYFUNCTION("""COMPUTED_VALUE"""),"St Catherine of Sienna")</f>
        <v>St Catherine of Sienna</v>
      </c>
      <c r="K202" s="161" t="s">
        <v>3642</v>
      </c>
      <c r="L202" s="161" t="s">
        <v>3539</v>
      </c>
      <c r="M202" s="161">
        <v>4.55048195E8</v>
      </c>
    </row>
    <row r="203">
      <c r="A203" s="132" t="str">
        <f>CONCATENATE(Data!AA204,"|",Data!N204)</f>
        <v>Christus Foundation for HealthCare|ACTIVE</v>
      </c>
      <c r="B203" s="161" t="str">
        <f>IFERROR(__xludf.DUMMYFUNCTION("""COMPUTED_VALUE"""),"Christus Foundation for HealthCare")</f>
        <v>Christus Foundation for HealthCare</v>
      </c>
      <c r="C203" s="161" t="str">
        <f>IFERROR(__xludf.DUMMYFUNCTION("""COMPUTED_VALUE"""),"ACTIVE")</f>
        <v>ACTIVE</v>
      </c>
      <c r="E203" s="161" t="s">
        <v>1326</v>
      </c>
      <c r="F203" s="161" t="s">
        <v>42</v>
      </c>
      <c r="G203" s="161" t="str">
        <f>IFERROR(__xludf.DUMMYFUNCTION("""COMPUTED_VALUE"""),"St Clare of Assisi (Christ in Action)")</f>
        <v>St Clare of Assisi (Christ in Action)</v>
      </c>
      <c r="K203" s="161" t="s">
        <v>3654</v>
      </c>
      <c r="L203" s="161" t="s">
        <v>3547</v>
      </c>
    </row>
    <row r="204">
      <c r="A204" s="132" t="str">
        <f>CONCATENATE(Data!AA205,"|",Data!N205)</f>
        <v>Church Without Walls|ACTIVE</v>
      </c>
      <c r="B204" s="161" t="str">
        <f>IFERROR(__xludf.DUMMYFUNCTION("""COMPUTED_VALUE"""),"Church Without Walls")</f>
        <v>Church Without Walls</v>
      </c>
      <c r="C204" s="161" t="str">
        <f>IFERROR(__xludf.DUMMYFUNCTION("""COMPUTED_VALUE"""),"ACTIVE")</f>
        <v>ACTIVE</v>
      </c>
      <c r="E204" s="161" t="s">
        <v>1334</v>
      </c>
      <c r="F204" s="161" t="s">
        <v>42</v>
      </c>
      <c r="G204" s="161" t="str">
        <f>IFERROR(__xludf.DUMMYFUNCTION("""COMPUTED_VALUE"""),"St Edward Spring")</f>
        <v>St Edward Spring</v>
      </c>
      <c r="K204" s="161" t="s">
        <v>3660</v>
      </c>
      <c r="L204" s="161" t="s">
        <v>3555</v>
      </c>
    </row>
    <row r="205">
      <c r="A205" s="132" t="str">
        <f>CONCATENATE(Data!AA206,"|",Data!N206)</f>
        <v>Churches United in Caring|ACTIVE</v>
      </c>
      <c r="B205" s="161" t="str">
        <f>IFERROR(__xludf.DUMMYFUNCTION("""COMPUTED_VALUE"""),"Churches United in Caring")</f>
        <v>Churches United in Caring</v>
      </c>
      <c r="C205" s="161" t="str">
        <f>IFERROR(__xludf.DUMMYFUNCTION("""COMPUTED_VALUE"""),"ACTIVE")</f>
        <v>ACTIVE</v>
      </c>
      <c r="E205" s="161" t="s">
        <v>1334</v>
      </c>
      <c r="F205" s="161" t="s">
        <v>42</v>
      </c>
      <c r="G205" s="161" t="str">
        <f>IFERROR(__xludf.DUMMYFUNCTION("""COMPUTED_VALUE"""),"St Francis of Assisi")</f>
        <v>St Francis of Assisi</v>
      </c>
      <c r="K205" s="161" t="s">
        <v>3696</v>
      </c>
      <c r="L205" s="161" t="s">
        <v>3561</v>
      </c>
      <c r="M205" s="161" t="s">
        <v>5893</v>
      </c>
    </row>
    <row r="206">
      <c r="A206" s="132" t="str">
        <f>CONCATENATE(Data!AA207,"|",Data!N207)</f>
        <v>Churches United in Caring|ACTIVE</v>
      </c>
      <c r="B206" s="161" t="str">
        <f>IFERROR(__xludf.DUMMYFUNCTION("""COMPUTED_VALUE"""),"Churches United in Caring")</f>
        <v>Churches United in Caring</v>
      </c>
      <c r="C206" s="161" t="str">
        <f>IFERROR(__xludf.DUMMYFUNCTION("""COMPUTED_VALUE"""),"ACTIVE")</f>
        <v>ACTIVE</v>
      </c>
      <c r="E206" s="161" t="s">
        <v>1334</v>
      </c>
      <c r="F206" s="161" t="s">
        <v>42</v>
      </c>
      <c r="G206" s="161" t="str">
        <f>IFERROR(__xludf.DUMMYFUNCTION("""COMPUTED_VALUE"""),"St James Spring")</f>
        <v>St James Spring</v>
      </c>
      <c r="K206" s="161" t="s">
        <v>3707</v>
      </c>
      <c r="L206" s="161" t="s">
        <v>5778</v>
      </c>
      <c r="M206" s="161">
        <v>7.41984499E8</v>
      </c>
    </row>
    <row r="207">
      <c r="A207" s="132" t="str">
        <f>CONCATENATE(Data!AA208,"|",Data!N208)</f>
        <v>Churches United in Caring|ACTIVE</v>
      </c>
      <c r="B207" s="161" t="str">
        <f>IFERROR(__xludf.DUMMYFUNCTION("""COMPUTED_VALUE"""),"Churches United in Caring")</f>
        <v>Churches United in Caring</v>
      </c>
      <c r="C207" s="161" t="str">
        <f>IFERROR(__xludf.DUMMYFUNCTION("""COMPUTED_VALUE"""),"ACTIVE")</f>
        <v>ACTIVE</v>
      </c>
      <c r="E207" s="161" t="s">
        <v>1334</v>
      </c>
      <c r="F207" s="161" t="s">
        <v>42</v>
      </c>
      <c r="G207" s="161" t="str">
        <f>IFERROR(__xludf.DUMMYFUNCTION("""COMPUTED_VALUE"""),"St John of the Cross New Caney")</f>
        <v>St John of the Cross New Caney</v>
      </c>
      <c r="K207" s="161" t="s">
        <v>5779</v>
      </c>
      <c r="L207" s="161" t="s">
        <v>3628</v>
      </c>
      <c r="M207" s="161" t="s">
        <v>5893</v>
      </c>
    </row>
    <row r="208">
      <c r="A208" s="132" t="str">
        <f>CONCATENATE(Data!AA209,"|",Data!N209)</f>
        <v>Churches United in Caring|ACTIVE</v>
      </c>
      <c r="B208" s="161" t="str">
        <f>IFERROR(__xludf.DUMMYFUNCTION("""COMPUTED_VALUE"""),"Churches United in Caring")</f>
        <v>Churches United in Caring</v>
      </c>
      <c r="C208" s="161" t="str">
        <f>IFERROR(__xludf.DUMMYFUNCTION("""COMPUTED_VALUE"""),"ACTIVE")</f>
        <v>ACTIVE</v>
      </c>
      <c r="E208" s="161" t="s">
        <v>1350</v>
      </c>
      <c r="F208" s="161" t="s">
        <v>42</v>
      </c>
      <c r="G208" s="161" t="str">
        <f>IFERROR(__xludf.DUMMYFUNCTION("""COMPUTED_VALUE"""),"St John the Baptist Alvin")</f>
        <v>St John the Baptist Alvin</v>
      </c>
      <c r="K208" s="161" t="s">
        <v>3727</v>
      </c>
      <c r="L208" s="161" t="s">
        <v>3642</v>
      </c>
    </row>
    <row r="209">
      <c r="A209" s="132" t="str">
        <f>CONCATENATE(Data!AA210,"|",Data!N210)</f>
        <v>Churches United in Caring|ACTIVE</v>
      </c>
      <c r="B209" s="161" t="str">
        <f>IFERROR(__xludf.DUMMYFUNCTION("""COMPUTED_VALUE"""),"Churches United in Caring")</f>
        <v>Churches United in Caring</v>
      </c>
      <c r="C209" s="161" t="str">
        <f>IFERROR(__xludf.DUMMYFUNCTION("""COMPUTED_VALUE"""),"ACTIVE")</f>
        <v>ACTIVE</v>
      </c>
      <c r="E209" s="161" t="s">
        <v>1350</v>
      </c>
      <c r="F209" s="161" t="s">
        <v>42</v>
      </c>
      <c r="G209" s="161" t="str">
        <f>IFERROR(__xludf.DUMMYFUNCTION("""COMPUTED_VALUE"""),"St John Vianney")</f>
        <v>St John Vianney</v>
      </c>
      <c r="K209" s="161" t="s">
        <v>3734</v>
      </c>
      <c r="L209" s="161" t="s">
        <v>3654</v>
      </c>
    </row>
    <row r="210">
      <c r="A210" s="132" t="str">
        <f>CONCATENATE(Data!AA211,"|",Data!N211)</f>
        <v>City of Houston|LIMITED</v>
      </c>
      <c r="B210" s="161" t="str">
        <f>IFERROR(__xludf.DUMMYFUNCTION("""COMPUTED_VALUE"""),"City of Houston")</f>
        <v>City of Houston</v>
      </c>
      <c r="C210" s="161" t="str">
        <f>IFERROR(__xludf.DUMMYFUNCTION("""COMPUTED_VALUE"""),"LIMITED")</f>
        <v>LIMITED</v>
      </c>
      <c r="E210" s="161" t="s">
        <v>1350</v>
      </c>
      <c r="F210" s="161" t="s">
        <v>42</v>
      </c>
      <c r="G210" s="161" t="str">
        <f>IFERROR(__xludf.DUMMYFUNCTION("""COMPUTED_VALUE"""),"St Joseph Brazoria")</f>
        <v>St Joseph Brazoria</v>
      </c>
      <c r="K210" s="161" t="s">
        <v>3741</v>
      </c>
      <c r="L210" s="161" t="s">
        <v>3660</v>
      </c>
    </row>
    <row r="211">
      <c r="A211" s="132" t="str">
        <f>CONCATENATE(Data!AA212,"|",Data!N212)</f>
        <v>City Wide Club|INACTIVE</v>
      </c>
      <c r="B211" s="161" t="str">
        <f>IFERROR(__xludf.DUMMYFUNCTION("""COMPUTED_VALUE"""),"City Wide Club")</f>
        <v>City Wide Club</v>
      </c>
      <c r="C211" s="161" t="str">
        <f>IFERROR(__xludf.DUMMYFUNCTION("""COMPUTED_VALUE"""),"INACTIVE")</f>
        <v>INACTIVE</v>
      </c>
      <c r="E211" s="161" t="s">
        <v>1350</v>
      </c>
      <c r="F211" s="161" t="s">
        <v>42</v>
      </c>
      <c r="G211" s="161" t="str">
        <f>IFERROR(__xludf.DUMMYFUNCTION("""COMPUTED_VALUE"""),"St Joseph Catholic Church")</f>
        <v>St Joseph Catholic Church</v>
      </c>
      <c r="K211" s="161" t="s">
        <v>3750</v>
      </c>
      <c r="L211" s="161" t="s">
        <v>3696</v>
      </c>
    </row>
    <row r="212">
      <c r="A212" s="132" t="str">
        <f>CONCATENATE(Data!AA213,"|",Data!N213)</f>
        <v>City Wide Club|INACTIVE</v>
      </c>
      <c r="B212" s="161" t="str">
        <f>IFERROR(__xludf.DUMMYFUNCTION("""COMPUTED_VALUE"""),"City Wide Club")</f>
        <v>City Wide Club</v>
      </c>
      <c r="C212" s="161" t="str">
        <f>IFERROR(__xludf.DUMMYFUNCTION("""COMPUTED_VALUE"""),"INACTIVE")</f>
        <v>INACTIVE</v>
      </c>
      <c r="E212" s="161" t="s">
        <v>1359</v>
      </c>
      <c r="F212" s="161" t="s">
        <v>42</v>
      </c>
      <c r="G212" s="161" t="str">
        <f>IFERROR(__xludf.DUMMYFUNCTION("""COMPUTED_VALUE"""),"St Joseph the Worker Dayton")</f>
        <v>St Joseph the Worker Dayton</v>
      </c>
      <c r="K212" s="161" t="s">
        <v>3777</v>
      </c>
      <c r="L212" s="161" t="s">
        <v>3707</v>
      </c>
      <c r="M212" s="161">
        <v>7.60373703E8</v>
      </c>
    </row>
    <row r="213">
      <c r="A213" s="132" t="str">
        <f>CONCATENATE(Data!AA214,"|",Data!N214)</f>
        <v>City Wide Club|INACTIVE</v>
      </c>
      <c r="B213" s="161" t="str">
        <f>IFERROR(__xludf.DUMMYFUNCTION("""COMPUTED_VALUE"""),"City Wide Club")</f>
        <v>City Wide Club</v>
      </c>
      <c r="C213" s="161" t="str">
        <f>IFERROR(__xludf.DUMMYFUNCTION("""COMPUTED_VALUE"""),"INACTIVE")</f>
        <v>INACTIVE</v>
      </c>
      <c r="E213" s="161" t="s">
        <v>1359</v>
      </c>
      <c r="F213" s="161" t="s">
        <v>42</v>
      </c>
      <c r="G213" s="161" t="str">
        <f>IFERROR(__xludf.DUMMYFUNCTION("""COMPUTED_VALUE"""),"St Justin Martyr")</f>
        <v>St Justin Martyr</v>
      </c>
      <c r="K213" s="161" t="s">
        <v>3788</v>
      </c>
      <c r="L213" s="161" t="s">
        <v>5779</v>
      </c>
      <c r="M213" s="161">
        <v>7.41669131E8</v>
      </c>
    </row>
    <row r="214">
      <c r="A214" s="132" t="str">
        <f>CONCATENATE(Data!AA215,"|",Data!N215)</f>
        <v>City Wide Club|INACTIVE</v>
      </c>
      <c r="B214" s="161" t="str">
        <f>IFERROR(__xludf.DUMMYFUNCTION("""COMPUTED_VALUE"""),"City Wide Club")</f>
        <v>City Wide Club</v>
      </c>
      <c r="C214" s="161" t="str">
        <f>IFERROR(__xludf.DUMMYFUNCTION("""COMPUTED_VALUE"""),"INACTIVE")</f>
        <v>INACTIVE</v>
      </c>
      <c r="E214" s="161" t="s">
        <v>1386</v>
      </c>
      <c r="F214" s="161" t="s">
        <v>42</v>
      </c>
      <c r="G214" s="161" t="str">
        <f>IFERROR(__xludf.DUMMYFUNCTION("""COMPUTED_VALUE"""),"St Katherine of Drexel Hempstead")</f>
        <v>St Katherine of Drexel Hempstead</v>
      </c>
      <c r="K214" s="161" t="s">
        <v>5780</v>
      </c>
      <c r="L214" s="161" t="s">
        <v>3727</v>
      </c>
    </row>
    <row r="215">
      <c r="A215" s="132" t="str">
        <f>CONCATENATE(Data!AA216,"|",Data!N216)</f>
        <v>Coastal Health &amp; Wellness|ACTIVE</v>
      </c>
      <c r="B215" s="161" t="str">
        <f>IFERROR(__xludf.DUMMYFUNCTION("""COMPUTED_VALUE"""),"Coastal Health &amp; Wellness")</f>
        <v>Coastal Health &amp; Wellness</v>
      </c>
      <c r="C215" s="161" t="str">
        <f>IFERROR(__xludf.DUMMYFUNCTION("""COMPUTED_VALUE"""),"ACTIVE")</f>
        <v>ACTIVE</v>
      </c>
      <c r="E215" s="161" t="s">
        <v>1395</v>
      </c>
      <c r="F215" s="161" t="s">
        <v>42</v>
      </c>
      <c r="G215" s="161" t="str">
        <f>IFERROR(__xludf.DUMMYFUNCTION("""COMPUTED_VALUE"""),"St Mary Magdalene Humble")</f>
        <v>St Mary Magdalene Humble</v>
      </c>
      <c r="K215" s="161" t="s">
        <v>3803</v>
      </c>
      <c r="L215" s="161" t="s">
        <v>3734</v>
      </c>
      <c r="M215" s="161">
        <v>7.60260403E8</v>
      </c>
    </row>
    <row r="216">
      <c r="A216" s="132" t="str">
        <f>CONCATENATE(Data!AA217,"|",Data!N217)</f>
        <v>Coastal Health &amp; Wellness|ACTIVE</v>
      </c>
      <c r="B216" s="161" t="str">
        <f>IFERROR(__xludf.DUMMYFUNCTION("""COMPUTED_VALUE"""),"Coastal Health &amp; Wellness")</f>
        <v>Coastal Health &amp; Wellness</v>
      </c>
      <c r="C216" s="161" t="str">
        <f>IFERROR(__xludf.DUMMYFUNCTION("""COMPUTED_VALUE"""),"ACTIVE")</f>
        <v>ACTIVE</v>
      </c>
      <c r="E216" s="161" t="s">
        <v>1403</v>
      </c>
      <c r="F216" s="161" t="s">
        <v>42</v>
      </c>
      <c r="G216" s="161" t="str">
        <f>IFERROR(__xludf.DUMMYFUNCTION("""COMPUTED_VALUE"""),"St Mary of the Expectation")</f>
        <v>St Mary of the Expectation</v>
      </c>
      <c r="K216" s="161" t="s">
        <v>3907</v>
      </c>
      <c r="L216" s="161" t="s">
        <v>3741</v>
      </c>
      <c r="M216" s="161">
        <v>8.10556112E8</v>
      </c>
    </row>
    <row r="217">
      <c r="A217" s="132" t="str">
        <f>CONCATENATE(Data!AA218,"|",Data!N218)</f>
        <v>Coastal Health &amp; Wellness|ACTIVE</v>
      </c>
      <c r="B217" s="161" t="str">
        <f>IFERROR(__xludf.DUMMYFUNCTION("""COMPUTED_VALUE"""),"Coastal Health &amp; Wellness")</f>
        <v>Coastal Health &amp; Wellness</v>
      </c>
      <c r="C217" s="161" t="str">
        <f>IFERROR(__xludf.DUMMYFUNCTION("""COMPUTED_VALUE"""),"ACTIVE")</f>
        <v>ACTIVE</v>
      </c>
      <c r="E217" s="161" t="s">
        <v>1412</v>
      </c>
      <c r="F217" s="161" t="s">
        <v>42</v>
      </c>
      <c r="G217" s="161" t="str">
        <f>IFERROR(__xludf.DUMMYFUNCTION("""COMPUTED_VALUE"""),"St Matthew the Evangelist")</f>
        <v>St Matthew the Evangelist</v>
      </c>
      <c r="K217" s="161" t="s">
        <v>3938</v>
      </c>
      <c r="L217" s="161" t="s">
        <v>3750</v>
      </c>
    </row>
    <row r="218">
      <c r="A218" s="132" t="str">
        <f>CONCATENATE(Data!AA219,"|",Data!N219)</f>
        <v>Coastal Health &amp; Wellness|ACTIVE</v>
      </c>
      <c r="B218" s="161" t="str">
        <f>IFERROR(__xludf.DUMMYFUNCTION("""COMPUTED_VALUE"""),"Coastal Health &amp; Wellness")</f>
        <v>Coastal Health &amp; Wellness</v>
      </c>
      <c r="C218" s="161" t="str">
        <f>IFERROR(__xludf.DUMMYFUNCTION("""COMPUTED_VALUE"""),"ACTIVE")</f>
        <v>ACTIVE</v>
      </c>
      <c r="E218" s="161" t="s">
        <v>1412</v>
      </c>
      <c r="F218" s="161" t="s">
        <v>42</v>
      </c>
      <c r="G218" s="161" t="str">
        <f>IFERROR(__xludf.DUMMYFUNCTION("""COMPUTED_VALUE"""),"St Peter &amp; Paul Bellville")</f>
        <v>St Peter &amp; Paul Bellville</v>
      </c>
      <c r="K218" s="161" t="s">
        <v>3947</v>
      </c>
      <c r="L218" s="161" t="s">
        <v>3763</v>
      </c>
      <c r="M218" s="161" t="s">
        <v>57</v>
      </c>
    </row>
    <row r="219">
      <c r="A219" s="132" t="str">
        <f>CONCATENATE(Data!AA220,"|",Data!N220)</f>
        <v>Coastal Health &amp; Wellness|ACTIVE</v>
      </c>
      <c r="B219" s="161" t="str">
        <f>IFERROR(__xludf.DUMMYFUNCTION("""COMPUTED_VALUE"""),"Coastal Health &amp; Wellness")</f>
        <v>Coastal Health &amp; Wellness</v>
      </c>
      <c r="C219" s="161" t="str">
        <f>IFERROR(__xludf.DUMMYFUNCTION("""COMPUTED_VALUE"""),"ACTIVE")</f>
        <v>ACTIVE</v>
      </c>
      <c r="E219" s="161" t="s">
        <v>1412</v>
      </c>
      <c r="F219" s="161" t="s">
        <v>42</v>
      </c>
      <c r="G219" s="161" t="str">
        <f>IFERROR(__xludf.DUMMYFUNCTION("""COMPUTED_VALUE"""),"St Philip the Apostle")</f>
        <v>St Philip the Apostle</v>
      </c>
      <c r="K219" s="161" t="s">
        <v>3974</v>
      </c>
      <c r="L219" s="161" t="s">
        <v>3777</v>
      </c>
      <c r="M219" s="161">
        <v>7.60471755E8</v>
      </c>
    </row>
    <row r="220">
      <c r="A220" s="132" t="str">
        <f>CONCATENATE(Data!AA221,"|",Data!N221)</f>
        <v>Coastal Health &amp; Wellness|ACTIVE</v>
      </c>
      <c r="B220" s="161" t="str">
        <f>IFERROR(__xludf.DUMMYFUNCTION("""COMPUTED_VALUE"""),"Coastal Health &amp; Wellness")</f>
        <v>Coastal Health &amp; Wellness</v>
      </c>
      <c r="C220" s="161" t="str">
        <f>IFERROR(__xludf.DUMMYFUNCTION("""COMPUTED_VALUE"""),"ACTIVE")</f>
        <v>ACTIVE</v>
      </c>
      <c r="E220" s="161" t="s">
        <v>1432</v>
      </c>
      <c r="F220" s="161" t="s">
        <v>42</v>
      </c>
      <c r="G220" s="161" t="str">
        <f>IFERROR(__xludf.DUMMYFUNCTION("""COMPUTED_VALUE"""),"St Pius Pasadena")</f>
        <v>St Pius Pasadena</v>
      </c>
      <c r="K220" s="161" t="s">
        <v>3983</v>
      </c>
      <c r="L220" s="161" t="s">
        <v>3788</v>
      </c>
      <c r="M220" s="161">
        <v>7.60511657E8</v>
      </c>
    </row>
    <row r="221">
      <c r="A221" s="132" t="str">
        <f>CONCATENATE(Data!AA222,"|",Data!N222)</f>
        <v>Collaborative for Children|ACTIVE</v>
      </c>
      <c r="B221" s="161" t="str">
        <f>IFERROR(__xludf.DUMMYFUNCTION("""COMPUTED_VALUE"""),"Collaborative for Children")</f>
        <v>Collaborative for Children</v>
      </c>
      <c r="C221" s="161" t="str">
        <f>IFERROR(__xludf.DUMMYFUNCTION("""COMPUTED_VALUE"""),"ACTIVE")</f>
        <v>ACTIVE</v>
      </c>
      <c r="E221" s="161" t="s">
        <v>1432</v>
      </c>
      <c r="F221" s="161" t="s">
        <v>42</v>
      </c>
      <c r="G221" s="161" t="str">
        <f>IFERROR(__xludf.DUMMYFUNCTION("""COMPUTED_VALUE"""),"St Thomas Presbyterian Church")</f>
        <v>St Thomas Presbyterian Church</v>
      </c>
      <c r="K221" s="161" t="s">
        <v>4022</v>
      </c>
      <c r="L221" s="161" t="s">
        <v>5780</v>
      </c>
      <c r="M221" s="161">
        <v>7.4146421E8</v>
      </c>
    </row>
    <row r="222">
      <c r="A222" s="132" t="str">
        <f>CONCATENATE(Data!AA223,"|",Data!N223)</f>
        <v>Community Assistance Center|ACTIVE</v>
      </c>
      <c r="B222" s="161" t="str">
        <f>IFERROR(__xludf.DUMMYFUNCTION("""COMPUTED_VALUE"""),"Community Assistance Center")</f>
        <v>Community Assistance Center</v>
      </c>
      <c r="C222" s="161" t="str">
        <f>IFERROR(__xludf.DUMMYFUNCTION("""COMPUTED_VALUE"""),"ACTIVE")</f>
        <v>ACTIVE</v>
      </c>
      <c r="E222" s="161" t="s">
        <v>1432</v>
      </c>
      <c r="F222" s="161" t="s">
        <v>42</v>
      </c>
      <c r="G222" s="161" t="str">
        <f>IFERROR(__xludf.DUMMYFUNCTION("""COMPUTED_VALUE"""),"St Vincent's House")</f>
        <v>St Vincent's House</v>
      </c>
      <c r="K222" s="161" t="s">
        <v>4058</v>
      </c>
      <c r="L222" s="161" t="s">
        <v>3803</v>
      </c>
      <c r="M222" s="161">
        <v>7.41554976E8</v>
      </c>
    </row>
    <row r="223">
      <c r="A223" s="132" t="str">
        <f>CONCATENATE(Data!AA224,"|",Data!N224)</f>
        <v>Community Assistance Center|ACTIVE</v>
      </c>
      <c r="B223" s="161" t="str">
        <f>IFERROR(__xludf.DUMMYFUNCTION("""COMPUTED_VALUE"""),"Community Assistance Center")</f>
        <v>Community Assistance Center</v>
      </c>
      <c r="C223" s="161" t="str">
        <f>IFERROR(__xludf.DUMMYFUNCTION("""COMPUTED_VALUE"""),"ACTIVE")</f>
        <v>ACTIVE</v>
      </c>
      <c r="E223" s="161" t="s">
        <v>1432</v>
      </c>
      <c r="F223" s="161" t="s">
        <v>42</v>
      </c>
      <c r="G223" s="161" t="str">
        <f>IFERROR(__xludf.DUMMYFUNCTION("""COMPUTED_VALUE"""),"Star of Hope Mission")</f>
        <v>Star of Hope Mission</v>
      </c>
      <c r="K223" s="161" t="s">
        <v>4075</v>
      </c>
      <c r="L223" s="161" t="s">
        <v>3809</v>
      </c>
      <c r="M223" s="161" t="s">
        <v>57</v>
      </c>
    </row>
    <row r="224">
      <c r="A224" s="132" t="str">
        <f>CONCATENATE(Data!AA225,"|",Data!N225)</f>
        <v>Community Assistance Center|ACTIVE</v>
      </c>
      <c r="B224" s="161" t="str">
        <f>IFERROR(__xludf.DUMMYFUNCTION("""COMPUTED_VALUE"""),"Community Assistance Center")</f>
        <v>Community Assistance Center</v>
      </c>
      <c r="C224" s="161" t="str">
        <f>IFERROR(__xludf.DUMMYFUNCTION("""COMPUTED_VALUE"""),"ACTIVE")</f>
        <v>ACTIVE</v>
      </c>
      <c r="E224" s="161" t="s">
        <v>1432</v>
      </c>
      <c r="F224" s="161" t="s">
        <v>42</v>
      </c>
      <c r="G224" s="161" t="str">
        <f>IFERROR(__xludf.DUMMYFUNCTION("""COMPUTED_VALUE"""),"Tahirih Justice Center")</f>
        <v>Tahirih Justice Center</v>
      </c>
      <c r="K224" s="161" t="s">
        <v>4084</v>
      </c>
      <c r="L224" s="161" t="s">
        <v>3837</v>
      </c>
      <c r="M224" s="161" t="s">
        <v>5893</v>
      </c>
    </row>
    <row r="225">
      <c r="A225" s="132" t="str">
        <f>CONCATENATE(Data!AA226,"|",Data!N226)</f>
        <v>Community Assistance Center|ACTIVE</v>
      </c>
      <c r="B225" s="161" t="str">
        <f>IFERROR(__xludf.DUMMYFUNCTION("""COMPUTED_VALUE"""),"Community Assistance Center")</f>
        <v>Community Assistance Center</v>
      </c>
      <c r="C225" s="161" t="str">
        <f>IFERROR(__xludf.DUMMYFUNCTION("""COMPUTED_VALUE"""),"ACTIVE")</f>
        <v>ACTIVE</v>
      </c>
      <c r="E225" s="161" t="s">
        <v>1432</v>
      </c>
      <c r="F225" s="161" t="s">
        <v>42</v>
      </c>
      <c r="G225" s="161" t="str">
        <f>IFERROR(__xludf.DUMMYFUNCTION("""COMPUTED_VALUE"""),"Target Hunger")</f>
        <v>Target Hunger</v>
      </c>
      <c r="K225" s="161" t="s">
        <v>4094</v>
      </c>
      <c r="L225" s="161" t="s">
        <v>3907</v>
      </c>
      <c r="M225" s="161">
        <v>9.93291559E8</v>
      </c>
    </row>
    <row r="226">
      <c r="A226" s="132" t="str">
        <f>CONCATENATE(Data!AA227,"|",Data!N227)</f>
        <v>Community Family Center|INACTIVE</v>
      </c>
      <c r="B226" s="161" t="str">
        <f>IFERROR(__xludf.DUMMYFUNCTION("""COMPUTED_VALUE"""),"Community Family Center")</f>
        <v>Community Family Center</v>
      </c>
      <c r="C226" s="161" t="str">
        <f>IFERROR(__xludf.DUMMYFUNCTION("""COMPUTED_VALUE"""),"INACTIVE")</f>
        <v>INACTIVE</v>
      </c>
      <c r="E226" s="161" t="s">
        <v>1432</v>
      </c>
      <c r="F226" s="161" t="s">
        <v>42</v>
      </c>
      <c r="G226" s="161" t="str">
        <f>IFERROR(__xludf.DUMMYFUNCTION("""COMPUTED_VALUE"""),"Texas Defender Service")</f>
        <v>Texas Defender Service</v>
      </c>
      <c r="K226" s="161" t="s">
        <v>4115</v>
      </c>
      <c r="L226" s="161" t="s">
        <v>3938</v>
      </c>
      <c r="M226" s="161" t="s">
        <v>5893</v>
      </c>
    </row>
    <row r="227">
      <c r="A227" s="132" t="str">
        <f>CONCATENATE(Data!AA228,"|",Data!N228)</f>
        <v>Community Family Center|INACTIVE</v>
      </c>
      <c r="B227" s="161" t="str">
        <f>IFERROR(__xludf.DUMMYFUNCTION("""COMPUTED_VALUE"""),"Community Family Center")</f>
        <v>Community Family Center</v>
      </c>
      <c r="C227" s="161" t="str">
        <f>IFERROR(__xludf.DUMMYFUNCTION("""COMPUTED_VALUE"""),"INACTIVE")</f>
        <v>INACTIVE</v>
      </c>
      <c r="E227" s="161" t="s">
        <v>1451</v>
      </c>
      <c r="F227" s="161" t="s">
        <v>42</v>
      </c>
      <c r="G227" s="161" t="str">
        <f>IFERROR(__xludf.DUMMYFUNCTION("""COMPUTED_VALUE"""),"Texas Health &amp; Human Services")</f>
        <v>Texas Health &amp; Human Services</v>
      </c>
      <c r="K227" s="161" t="s">
        <v>4123</v>
      </c>
      <c r="L227" s="161" t="s">
        <v>3947</v>
      </c>
      <c r="M227" s="161" t="s">
        <v>5893</v>
      </c>
    </row>
    <row r="228">
      <c r="A228" s="132" t="str">
        <f>CONCATENATE(Data!AA229,"|",Data!N229)</f>
        <v>Community Family Center|ACTIVE</v>
      </c>
      <c r="B228" s="161" t="str">
        <f>IFERROR(__xludf.DUMMYFUNCTION("""COMPUTED_VALUE"""),"Community Family Center")</f>
        <v>Community Family Center</v>
      </c>
      <c r="C228" s="161" t="str">
        <f>IFERROR(__xludf.DUMMYFUNCTION("""COMPUTED_VALUE"""),"ACTIVE")</f>
        <v>ACTIVE</v>
      </c>
      <c r="E228" s="161" t="s">
        <v>1457</v>
      </c>
      <c r="F228" s="161" t="s">
        <v>42</v>
      </c>
      <c r="G228" s="161" t="str">
        <f>IFERROR(__xludf.DUMMYFUNCTION("""COMPUTED_VALUE"""),"Texas Legal Services Center")</f>
        <v>Texas Legal Services Center</v>
      </c>
      <c r="K228" s="161" t="s">
        <v>4132</v>
      </c>
      <c r="L228" s="161" t="s">
        <v>3974</v>
      </c>
      <c r="M228" s="161" t="s">
        <v>5893</v>
      </c>
    </row>
    <row r="229">
      <c r="A229" s="132" t="str">
        <f>CONCATENATE(Data!AA230,"|",Data!N230)</f>
        <v>Community Family Center|ACTIVE</v>
      </c>
      <c r="B229" s="161" t="str">
        <f>IFERROR(__xludf.DUMMYFUNCTION("""COMPUTED_VALUE"""),"Community Family Center")</f>
        <v>Community Family Center</v>
      </c>
      <c r="C229" s="161" t="str">
        <f>IFERROR(__xludf.DUMMYFUNCTION("""COMPUTED_VALUE"""),"ACTIVE")</f>
        <v>ACTIVE</v>
      </c>
      <c r="E229" s="161" t="s">
        <v>1465</v>
      </c>
      <c r="F229" s="161" t="s">
        <v>42</v>
      </c>
      <c r="G229" s="161" t="str">
        <f>IFERROR(__xludf.DUMMYFUNCTION("""COMPUTED_VALUE"""),"Texas National Guard Family Support Foundation")</f>
        <v>Texas National Guard Family Support Foundation</v>
      </c>
      <c r="K229" s="161" t="s">
        <v>4142</v>
      </c>
      <c r="L229" s="161" t="s">
        <v>3983</v>
      </c>
      <c r="M229" s="161" t="s">
        <v>5893</v>
      </c>
    </row>
    <row r="230">
      <c r="A230" s="132" t="str">
        <f>CONCATENATE(Data!AA231,"|",Data!N231)</f>
        <v>Community Family Center|ACTIVE</v>
      </c>
      <c r="B230" s="161" t="str">
        <f>IFERROR(__xludf.DUMMYFUNCTION("""COMPUTED_VALUE"""),"Community Family Center")</f>
        <v>Community Family Center</v>
      </c>
      <c r="C230" s="161" t="str">
        <f>IFERROR(__xludf.DUMMYFUNCTION("""COMPUTED_VALUE"""),"ACTIVE")</f>
        <v>ACTIVE</v>
      </c>
      <c r="E230" s="161" t="s">
        <v>1479</v>
      </c>
      <c r="F230" s="161" t="s">
        <v>42</v>
      </c>
      <c r="G230" s="161" t="str">
        <f>IFERROR(__xludf.DUMMYFUNCTION("""COMPUTED_VALUE"""),"Texas Rio Grande Legal Aid")</f>
        <v>Texas Rio Grande Legal Aid</v>
      </c>
      <c r="K230" s="161" t="s">
        <v>4151</v>
      </c>
      <c r="L230" s="161" t="s">
        <v>4004</v>
      </c>
      <c r="M230" s="161" t="s">
        <v>5893</v>
      </c>
    </row>
    <row r="231">
      <c r="A231" s="132" t="str">
        <f>CONCATENATE(Data!AA232,"|",Data!N232)</f>
        <v>Community Family Center|ACTIVE</v>
      </c>
      <c r="B231" s="161" t="str">
        <f>IFERROR(__xludf.DUMMYFUNCTION("""COMPUTED_VALUE"""),"Community Family Center")</f>
        <v>Community Family Center</v>
      </c>
      <c r="C231" s="161" t="str">
        <f>IFERROR(__xludf.DUMMYFUNCTION("""COMPUTED_VALUE"""),"ACTIVE")</f>
        <v>ACTIVE</v>
      </c>
      <c r="E231" s="161" t="s">
        <v>1479</v>
      </c>
      <c r="F231" s="161" t="s">
        <v>42</v>
      </c>
      <c r="G231" s="161" t="str">
        <f>IFERROR(__xludf.DUMMYFUNCTION("""COMPUTED_VALUE"""),"Texas Temporary Assistance for Needy Families (TANF)")</f>
        <v>Texas Temporary Assistance for Needy Families (TANF)</v>
      </c>
      <c r="K231" s="161" t="s">
        <v>4160</v>
      </c>
      <c r="L231" s="161" t="s">
        <v>4022</v>
      </c>
      <c r="M231" s="161" t="s">
        <v>5893</v>
      </c>
    </row>
    <row r="232">
      <c r="A232" s="132" t="str">
        <f>CONCATENATE(Data!AA233,"|",Data!N233)</f>
        <v>Compassion United|ACTIVE</v>
      </c>
      <c r="B232" s="161" t="str">
        <f>IFERROR(__xludf.DUMMYFUNCTION("""COMPUTED_VALUE"""),"Compassion United")</f>
        <v>Compassion United</v>
      </c>
      <c r="C232" s="161" t="str">
        <f>IFERROR(__xludf.DUMMYFUNCTION("""COMPUTED_VALUE"""),"ACTIVE")</f>
        <v>ACTIVE</v>
      </c>
      <c r="E232" s="161" t="s">
        <v>1479</v>
      </c>
      <c r="F232" s="161" t="s">
        <v>42</v>
      </c>
      <c r="G232" s="161" t="str">
        <f>IFERROR(__xludf.DUMMYFUNCTION("""COMPUTED_VALUE"""),"Texas Veterans Commission")</f>
        <v>Texas Veterans Commission</v>
      </c>
      <c r="K232" s="161" t="s">
        <v>4189</v>
      </c>
      <c r="L232" s="161" t="s">
        <v>4058</v>
      </c>
      <c r="M232" s="161" t="s">
        <v>5893</v>
      </c>
    </row>
    <row r="233">
      <c r="A233" s="132" t="str">
        <f>CONCATENATE(Data!AA234,"|",Data!N234)</f>
        <v>Compassion United|ACTIVE</v>
      </c>
      <c r="B233" s="161" t="str">
        <f>IFERROR(__xludf.DUMMYFUNCTION("""COMPUTED_VALUE"""),"Compassion United")</f>
        <v>Compassion United</v>
      </c>
      <c r="C233" s="161" t="str">
        <f>IFERROR(__xludf.DUMMYFUNCTION("""COMPUTED_VALUE"""),"ACTIVE")</f>
        <v>ACTIVE</v>
      </c>
      <c r="E233" s="161" t="s">
        <v>1499</v>
      </c>
      <c r="F233" s="161" t="s">
        <v>42</v>
      </c>
      <c r="G233" s="161" t="str">
        <f>IFERROR(__xludf.DUMMYFUNCTION("""COMPUTED_VALUE"""),"The Assistance Fund (TAF)")</f>
        <v>The Assistance Fund (TAF)</v>
      </c>
      <c r="K233" s="161" t="s">
        <v>4198</v>
      </c>
      <c r="L233" s="161" t="s">
        <v>4075</v>
      </c>
      <c r="M233" s="161" t="s">
        <v>5893</v>
      </c>
    </row>
    <row r="234">
      <c r="A234" s="132" t="str">
        <f>CONCATENATE(Data!AA235,"|",Data!N235)</f>
        <v>Coordinated Access Intake|LIMITED</v>
      </c>
      <c r="B234" s="161" t="str">
        <f>IFERROR(__xludf.DUMMYFUNCTION("""COMPUTED_VALUE"""),"Coordinated Access Intake")</f>
        <v>Coordinated Access Intake</v>
      </c>
      <c r="C234" s="161" t="str">
        <f>IFERROR(__xludf.DUMMYFUNCTION("""COMPUTED_VALUE"""),"LIMITED")</f>
        <v>LIMITED</v>
      </c>
      <c r="E234" s="161" t="s">
        <v>1510</v>
      </c>
      <c r="F234" s="161" t="s">
        <v>42</v>
      </c>
      <c r="G234" s="161" t="str">
        <f>IFERROR(__xludf.DUMMYFUNCTION("""COMPUTED_VALUE"""),"The Ballard House")</f>
        <v>The Ballard House</v>
      </c>
      <c r="K234" s="161" t="s">
        <v>4240</v>
      </c>
      <c r="L234" s="161" t="s">
        <v>4084</v>
      </c>
      <c r="M234" s="161" t="s">
        <v>5893</v>
      </c>
    </row>
    <row r="235">
      <c r="A235" s="132" t="str">
        <f>CONCATENATE(Data!AA236,"|",Data!N236)</f>
        <v>Cornerstone Gardens (RHF)|ACTIVE</v>
      </c>
      <c r="B235" s="161" t="str">
        <f>IFERROR(__xludf.DUMMYFUNCTION("""COMPUTED_VALUE"""),"Cornerstone Gardens (RHF)")</f>
        <v>Cornerstone Gardens (RHF)</v>
      </c>
      <c r="C235" s="161" t="str">
        <f>IFERROR(__xludf.DUMMYFUNCTION("""COMPUTED_VALUE"""),"ACTIVE")</f>
        <v>ACTIVE</v>
      </c>
      <c r="E235" s="161" t="s">
        <v>1517</v>
      </c>
      <c r="F235" s="161" t="s">
        <v>42</v>
      </c>
      <c r="G235" s="161" t="str">
        <f>IFERROR(__xludf.DUMMYFUNCTION("""COMPUTED_VALUE"""),"The Beacon")</f>
        <v>The Beacon</v>
      </c>
      <c r="K235" s="161" t="s">
        <v>4315</v>
      </c>
      <c r="L235" s="161" t="s">
        <v>4094</v>
      </c>
      <c r="M235" s="161" t="s">
        <v>5893</v>
      </c>
    </row>
    <row r="236">
      <c r="A236" s="132" t="str">
        <f>CONCATENATE(Data!AA237,"|",Data!N237)</f>
        <v>Covenant House Texas|ACTIVE</v>
      </c>
      <c r="B236" s="161" t="str">
        <f>IFERROR(__xludf.DUMMYFUNCTION("""COMPUTED_VALUE"""),"Covenant House Texas")</f>
        <v>Covenant House Texas</v>
      </c>
      <c r="C236" s="161" t="str">
        <f>IFERROR(__xludf.DUMMYFUNCTION("""COMPUTED_VALUE"""),"ACTIVE")</f>
        <v>ACTIVE</v>
      </c>
      <c r="E236" s="161" t="s">
        <v>1527</v>
      </c>
      <c r="F236" s="161" t="s">
        <v>42</v>
      </c>
      <c r="G236" s="161" t="str">
        <f>IFERROR(__xludf.DUMMYFUNCTION("""COMPUTED_VALUE"""),"The Bridge Over Troubled Waters")</f>
        <v>The Bridge Over Troubled Waters</v>
      </c>
      <c r="K236" s="161" t="s">
        <v>4331</v>
      </c>
      <c r="L236" s="161" t="s">
        <v>4115</v>
      </c>
      <c r="M236" s="161" t="s">
        <v>5893</v>
      </c>
    </row>
    <row r="237">
      <c r="A237" s="132" t="str">
        <f>CONCATENATE(Data!AA238,"|",Data!N238)</f>
        <v>Creekbend Gardens (RHF)|ACTIVE</v>
      </c>
      <c r="B237" s="161" t="str">
        <f>IFERROR(__xludf.DUMMYFUNCTION("""COMPUTED_VALUE"""),"Creekbend Gardens (RHF)")</f>
        <v>Creekbend Gardens (RHF)</v>
      </c>
      <c r="C237" s="161" t="str">
        <f>IFERROR(__xludf.DUMMYFUNCTION("""COMPUTED_VALUE"""),"ACTIVE")</f>
        <v>ACTIVE</v>
      </c>
      <c r="E237" s="161" t="s">
        <v>1527</v>
      </c>
      <c r="F237" s="161" t="s">
        <v>42</v>
      </c>
      <c r="G237" s="161" t="str">
        <f>IFERROR(__xludf.DUMMYFUNCTION("""COMPUTED_VALUE"""),"The Council on Recovery")</f>
        <v>The Council on Recovery</v>
      </c>
      <c r="K237" s="161" t="s">
        <v>4340</v>
      </c>
      <c r="L237" s="161" t="s">
        <v>4123</v>
      </c>
      <c r="M237" s="161" t="s">
        <v>5893</v>
      </c>
    </row>
    <row r="238">
      <c r="A238" s="132" t="str">
        <f>CONCATENATE(Data!AA239,"|",Data!N239)</f>
        <v>Cy-Fair Helping Hands|ACTIVE</v>
      </c>
      <c r="B238" s="161" t="str">
        <f>IFERROR(__xludf.DUMMYFUNCTION("""COMPUTED_VALUE"""),"Cy-Fair Helping Hands")</f>
        <v>Cy-Fair Helping Hands</v>
      </c>
      <c r="C238" s="161" t="str">
        <f>IFERROR(__xludf.DUMMYFUNCTION("""COMPUTED_VALUE"""),"ACTIVE")</f>
        <v>ACTIVE</v>
      </c>
      <c r="E238" s="161" t="s">
        <v>1527</v>
      </c>
      <c r="F238" s="161" t="s">
        <v>42</v>
      </c>
      <c r="G238" s="161" t="str">
        <f>IFERROR(__xludf.DUMMYFUNCTION("""COMPUTED_VALUE"""),"The Harris Center for Mental Health &amp; IDD")</f>
        <v>The Harris Center for Mental Health &amp; IDD</v>
      </c>
      <c r="K238" s="161" t="s">
        <v>4385</v>
      </c>
      <c r="L238" s="161" t="s">
        <v>4132</v>
      </c>
      <c r="M238" s="161" t="s">
        <v>5893</v>
      </c>
    </row>
    <row r="239">
      <c r="A239" s="132" t="str">
        <f>CONCATENATE(Data!AA240,"|",Data!N240)</f>
        <v>Cy-Fair Helping Hands|ACTIVE</v>
      </c>
      <c r="B239" s="161" t="str">
        <f>IFERROR(__xludf.DUMMYFUNCTION("""COMPUTED_VALUE"""),"Cy-Fair Helping Hands")</f>
        <v>Cy-Fair Helping Hands</v>
      </c>
      <c r="C239" s="161" t="str">
        <f>IFERROR(__xludf.DUMMYFUNCTION("""COMPUTED_VALUE"""),"ACTIVE")</f>
        <v>ACTIVE</v>
      </c>
      <c r="E239" s="161" t="s">
        <v>1527</v>
      </c>
      <c r="F239" s="161" t="s">
        <v>42</v>
      </c>
      <c r="G239" s="161" t="str">
        <f>IFERROR(__xludf.DUMMYFUNCTION("""COMPUTED_VALUE"""),"The Houston Alumni and Youth Center (HAY)")</f>
        <v>The Houston Alumni and Youth Center (HAY)</v>
      </c>
      <c r="K239" s="161" t="s">
        <v>4410</v>
      </c>
      <c r="L239" s="161" t="s">
        <v>4142</v>
      </c>
      <c r="M239" s="161" t="s">
        <v>5893</v>
      </c>
    </row>
    <row r="240">
      <c r="A240" s="132" t="str">
        <f>CONCATENATE(Data!AA241,"|",Data!N241)</f>
        <v>Cy-Fair Helping Hands|LIMITED</v>
      </c>
      <c r="B240" s="161" t="str">
        <f>IFERROR(__xludf.DUMMYFUNCTION("""COMPUTED_VALUE"""),"Cy-Fair Helping Hands")</f>
        <v>Cy-Fair Helping Hands</v>
      </c>
      <c r="C240" s="161" t="str">
        <f>IFERROR(__xludf.DUMMYFUNCTION("""COMPUTED_VALUE"""),"LIMITED")</f>
        <v>LIMITED</v>
      </c>
      <c r="E240" s="161" t="s">
        <v>1544</v>
      </c>
      <c r="F240" s="161" t="s">
        <v>42</v>
      </c>
      <c r="G240" s="161" t="str">
        <f>IFERROR(__xludf.DUMMYFUNCTION("""COMPUTED_VALUE"""),"The Lamp Project")</f>
        <v>The Lamp Project</v>
      </c>
      <c r="K240" s="161" t="s">
        <v>5781</v>
      </c>
      <c r="L240" s="161" t="s">
        <v>4151</v>
      </c>
      <c r="M240" s="161" t="s">
        <v>5893</v>
      </c>
    </row>
    <row r="241">
      <c r="A241" s="132" t="str">
        <f>CONCATENATE(Data!AA242,"|",Data!N242)</f>
        <v>Cy-Fair Helping Hands|ACTIVE</v>
      </c>
      <c r="B241" s="161" t="str">
        <f>IFERROR(__xludf.DUMMYFUNCTION("""COMPUTED_VALUE"""),"Cy-Fair Helping Hands")</f>
        <v>Cy-Fair Helping Hands</v>
      </c>
      <c r="C241" s="161" t="str">
        <f>IFERROR(__xludf.DUMMYFUNCTION("""COMPUTED_VALUE"""),"ACTIVE")</f>
        <v>ACTIVE</v>
      </c>
      <c r="E241" s="161" t="s">
        <v>1552</v>
      </c>
      <c r="F241" s="161" t="s">
        <v>42</v>
      </c>
      <c r="G241" s="161" t="str">
        <f>IFERROR(__xludf.DUMMYFUNCTION("""COMPUTED_VALUE"""),"The Landing")</f>
        <v>The Landing</v>
      </c>
      <c r="K241" s="161" t="s">
        <v>4474</v>
      </c>
      <c r="L241" s="161" t="s">
        <v>4160</v>
      </c>
      <c r="M241" s="161" t="s">
        <v>5893</v>
      </c>
    </row>
    <row r="242">
      <c r="A242" s="132" t="str">
        <f>CONCATENATE(Data!AA243,"|",Data!N243)</f>
        <v>Cypress Assistance Ministries|ACTIVE</v>
      </c>
      <c r="B242" s="161" t="str">
        <f>IFERROR(__xludf.DUMMYFUNCTION("""COMPUTED_VALUE"""),"Cypress Assistance Ministries")</f>
        <v>Cypress Assistance Ministries</v>
      </c>
      <c r="C242" s="161" t="str">
        <f>IFERROR(__xludf.DUMMYFUNCTION("""COMPUTED_VALUE"""),"ACTIVE")</f>
        <v>ACTIVE</v>
      </c>
      <c r="E242" s="161" t="s">
        <v>1552</v>
      </c>
      <c r="F242" s="161" t="s">
        <v>42</v>
      </c>
      <c r="G242" s="161" t="str">
        <f>IFERROR(__xludf.DUMMYFUNCTION("""COMPUTED_VALUE"""),"The Lighthouse of Houston")</f>
        <v>The Lighthouse of Houston</v>
      </c>
      <c r="K242" s="161" t="s">
        <v>4480</v>
      </c>
      <c r="L242" s="161" t="s">
        <v>4189</v>
      </c>
      <c r="M242" s="161" t="s">
        <v>5893</v>
      </c>
    </row>
    <row r="243">
      <c r="A243" s="132" t="str">
        <f>CONCATENATE(Data!AA244,"|",Data!N244)</f>
        <v>Cypress Assistance Ministries|ACTIVE</v>
      </c>
      <c r="B243" s="161" t="str">
        <f>IFERROR(__xludf.DUMMYFUNCTION("""COMPUTED_VALUE"""),"Cypress Assistance Ministries")</f>
        <v>Cypress Assistance Ministries</v>
      </c>
      <c r="C243" s="161" t="str">
        <f>IFERROR(__xludf.DUMMYFUNCTION("""COMPUTED_VALUE"""),"ACTIVE")</f>
        <v>ACTIVE</v>
      </c>
      <c r="E243" s="161" t="s">
        <v>5761</v>
      </c>
      <c r="F243" s="161" t="s">
        <v>42</v>
      </c>
      <c r="G243" s="161" t="str">
        <f>IFERROR(__xludf.DUMMYFUNCTION("""COMPUTED_VALUE"""),"The Women's Home")</f>
        <v>The Women's Home</v>
      </c>
      <c r="K243" s="161" t="s">
        <v>4494</v>
      </c>
      <c r="L243" s="161" t="s">
        <v>4198</v>
      </c>
      <c r="M243" s="161" t="s">
        <v>5893</v>
      </c>
    </row>
    <row r="244">
      <c r="A244" s="132" t="str">
        <f>CONCATENATE(Data!AA245,"|",Data!N245)</f>
        <v>Cypress Assistance Ministries|ACTIVE</v>
      </c>
      <c r="B244" s="161" t="str">
        <f>IFERROR(__xludf.DUMMYFUNCTION("""COMPUTED_VALUE"""),"Cypress Assistance Ministries")</f>
        <v>Cypress Assistance Ministries</v>
      </c>
      <c r="C244" s="161" t="str">
        <f>IFERROR(__xludf.DUMMYFUNCTION("""COMPUTED_VALUE"""),"ACTIVE")</f>
        <v>ACTIVE</v>
      </c>
      <c r="E244" s="161" t="s">
        <v>5761</v>
      </c>
      <c r="F244" s="161" t="s">
        <v>42</v>
      </c>
      <c r="G244" s="161" t="str">
        <f>IFERROR(__xludf.DUMMYFUNCTION("""COMPUTED_VALUE"""),"Tomball Emergency Asst Ministry")</f>
        <v>Tomball Emergency Asst Ministry</v>
      </c>
      <c r="K244" s="161" t="s">
        <v>4501</v>
      </c>
      <c r="L244" s="161" t="s">
        <v>4240</v>
      </c>
      <c r="M244" s="161" t="s">
        <v>5893</v>
      </c>
    </row>
    <row r="245">
      <c r="A245" s="132" t="str">
        <f>CONCATENATE(Data!AA246,"|",Data!N246)</f>
        <v>Cypress Assistance Ministries|ACTIVE</v>
      </c>
      <c r="B245" s="161" t="str">
        <f>IFERROR(__xludf.DUMMYFUNCTION("""COMPUTED_VALUE"""),"Cypress Assistance Ministries")</f>
        <v>Cypress Assistance Ministries</v>
      </c>
      <c r="C245" s="161" t="str">
        <f>IFERROR(__xludf.DUMMYFUNCTION("""COMPUTED_VALUE"""),"ACTIVE")</f>
        <v>ACTIVE</v>
      </c>
      <c r="E245" s="161" t="s">
        <v>5761</v>
      </c>
      <c r="F245" s="161" t="s">
        <v>42</v>
      </c>
      <c r="G245" s="161" t="str">
        <f>IFERROR(__xludf.DUMMYFUNCTION("""COMPUTED_VALUE"""),"Trinity Lutheran")</f>
        <v>Trinity Lutheran</v>
      </c>
      <c r="K245" s="161" t="s">
        <v>4508</v>
      </c>
      <c r="L245" s="161" t="s">
        <v>4315</v>
      </c>
      <c r="M245" s="161" t="s">
        <v>5893</v>
      </c>
    </row>
    <row r="246">
      <c r="A246" s="132" t="str">
        <f>CONCATENATE(Data!AA247,"|",Data!N247)</f>
        <v>Cypress Assistance Ministries|ACTIVE</v>
      </c>
      <c r="B246" s="161" t="str">
        <f>IFERROR(__xludf.DUMMYFUNCTION("""COMPUTED_VALUE"""),"Cypress Assistance Ministries")</f>
        <v>Cypress Assistance Ministries</v>
      </c>
      <c r="C246" s="161" t="str">
        <f>IFERROR(__xludf.DUMMYFUNCTION("""COMPUTED_VALUE"""),"ACTIVE")</f>
        <v>ACTIVE</v>
      </c>
      <c r="E246" s="161" t="s">
        <v>5761</v>
      </c>
      <c r="F246" s="161" t="s">
        <v>42</v>
      </c>
      <c r="G246" s="161" t="str">
        <f>IFERROR(__xludf.DUMMYFUNCTION("""COMPUTED_VALUE"""),"UH Health Family Care Center")</f>
        <v>UH Health Family Care Center</v>
      </c>
      <c r="K246" s="161" t="s">
        <v>4519</v>
      </c>
      <c r="L246" s="161" t="s">
        <v>4331</v>
      </c>
      <c r="M246" s="161" t="s">
        <v>5893</v>
      </c>
    </row>
    <row r="247">
      <c r="A247" s="132" t="str">
        <f>CONCATENATE(Data!AA248,"|",Data!N248)</f>
        <v>Cypress Assistance Ministries|ACTIVE</v>
      </c>
      <c r="B247" s="161" t="str">
        <f>IFERROR(__xludf.DUMMYFUNCTION("""COMPUTED_VALUE"""),"Cypress Assistance Ministries")</f>
        <v>Cypress Assistance Ministries</v>
      </c>
      <c r="C247" s="161" t="str">
        <f>IFERROR(__xludf.DUMMYFUNCTION("""COMPUTED_VALUE"""),"ACTIVE")</f>
        <v>ACTIVE</v>
      </c>
      <c r="E247" s="161" t="s">
        <v>5761</v>
      </c>
      <c r="F247" s="161" t="s">
        <v>42</v>
      </c>
      <c r="G247" s="161" t="str">
        <f>IFERROR(__xludf.DUMMYFUNCTION("""COMPUTED_VALUE"""),"United Way of Greater Houston")</f>
        <v>United Way of Greater Houston</v>
      </c>
      <c r="K247" s="161" t="s">
        <v>4528</v>
      </c>
      <c r="L247" s="161" t="s">
        <v>4340</v>
      </c>
      <c r="M247" s="161" t="s">
        <v>5893</v>
      </c>
    </row>
    <row r="248">
      <c r="A248" s="132" t="str">
        <f>CONCATENATE(Data!AA249,"|",Data!N249)</f>
        <v>Cypress Assistance Ministries|ACTIVE</v>
      </c>
      <c r="B248" s="161" t="str">
        <f>IFERROR(__xludf.DUMMYFUNCTION("""COMPUTED_VALUE"""),"Cypress Assistance Ministries")</f>
        <v>Cypress Assistance Ministries</v>
      </c>
      <c r="C248" s="161" t="str">
        <f>IFERROR(__xludf.DUMMYFUNCTION("""COMPUTED_VALUE"""),"ACTIVE")</f>
        <v>ACTIVE</v>
      </c>
      <c r="E248" s="161" t="s">
        <v>5761</v>
      </c>
      <c r="F248" s="161" t="s">
        <v>42</v>
      </c>
      <c r="G248" s="161" t="str">
        <f>IFERROR(__xludf.DUMMYFUNCTION("""COMPUTED_VALUE"""),"University of Houston Law Center Immigration Clinic")</f>
        <v>University of Houston Law Center Immigration Clinic</v>
      </c>
      <c r="K248" s="161" t="s">
        <v>4536</v>
      </c>
      <c r="L248" s="161" t="s">
        <v>4385</v>
      </c>
      <c r="M248" s="161" t="s">
        <v>5893</v>
      </c>
    </row>
    <row r="249">
      <c r="A249" s="132" t="str">
        <f>CONCATENATE(Data!AA250,"|",Data!N250)</f>
        <v>Dan's House of Hope|ACTIVE</v>
      </c>
      <c r="B249" s="161" t="str">
        <f>IFERROR(__xludf.DUMMYFUNCTION("""COMPUTED_VALUE"""),"Dan's House of Hope")</f>
        <v>Dan's House of Hope</v>
      </c>
      <c r="C249" s="161" t="str">
        <f>IFERROR(__xludf.DUMMYFUNCTION("""COMPUTED_VALUE"""),"ACTIVE")</f>
        <v>ACTIVE</v>
      </c>
      <c r="E249" s="161" t="s">
        <v>1590</v>
      </c>
      <c r="F249" s="161" t="s">
        <v>42</v>
      </c>
      <c r="G249" s="161" t="str">
        <f>IFERROR(__xludf.DUMMYFUNCTION("""COMPUTED_VALUE"""),"USA Cares")</f>
        <v>USA Cares</v>
      </c>
      <c r="K249" s="161" t="s">
        <v>4539</v>
      </c>
      <c r="L249" s="161" t="s">
        <v>4410</v>
      </c>
    </row>
    <row r="250">
      <c r="A250" s="132" t="str">
        <f>CONCATENATE(Data!AA251,"|",Data!N251)</f>
        <v>Daya|ACTIVE</v>
      </c>
      <c r="B250" s="161" t="str">
        <f>IFERROR(__xludf.DUMMYFUNCTION("""COMPUTED_VALUE"""),"Daya")</f>
        <v>Daya</v>
      </c>
      <c r="C250" s="161" t="str">
        <f>IFERROR(__xludf.DUMMYFUNCTION("""COMPUTED_VALUE"""),"ACTIVE")</f>
        <v>ACTIVE</v>
      </c>
      <c r="E250" s="161" t="s">
        <v>1590</v>
      </c>
      <c r="F250" s="161" t="s">
        <v>42</v>
      </c>
      <c r="G250" s="161" t="str">
        <f>IFERROR(__xludf.DUMMYFUNCTION("""COMPUTED_VALUE"""),"VA Community Resource &amp; Referral Center")</f>
        <v>VA Community Resource &amp; Referral Center</v>
      </c>
      <c r="K250" s="161" t="s">
        <v>4545</v>
      </c>
      <c r="L250" s="161" t="s">
        <v>5781</v>
      </c>
      <c r="M250" s="161">
        <v>7.41152599E8</v>
      </c>
    </row>
    <row r="251">
      <c r="A251" s="132" t="str">
        <f>CONCATENATE(Data!AA252,"|",Data!N252)</f>
        <v>Deer Park First Baptist|LIMITED</v>
      </c>
      <c r="B251" s="161" t="str">
        <f>IFERROR(__xludf.DUMMYFUNCTION("""COMPUTED_VALUE"""),"Deer Park First Baptist")</f>
        <v>Deer Park First Baptist</v>
      </c>
      <c r="C251" s="161" t="str">
        <f>IFERROR(__xludf.DUMMYFUNCTION("""COMPUTED_VALUE"""),"LIMITED")</f>
        <v>LIMITED</v>
      </c>
      <c r="E251" s="161" t="s">
        <v>1590</v>
      </c>
      <c r="F251" s="161" t="s">
        <v>42</v>
      </c>
      <c r="G251" s="161" t="str">
        <f>IFERROR(__xludf.DUMMYFUNCTION("""COMPUTED_VALUE"""),"Vecino Health Centers")</f>
        <v>Vecino Health Centers</v>
      </c>
      <c r="K251" s="161" t="s">
        <v>4555</v>
      </c>
      <c r="L251" s="161" t="s">
        <v>4474</v>
      </c>
    </row>
    <row r="252">
      <c r="A252" s="132" t="str">
        <f>CONCATENATE(Data!AA253,"|",Data!N253)</f>
        <v>Deer Park First Baptist|LIMITED</v>
      </c>
      <c r="B252" s="161" t="str">
        <f>IFERROR(__xludf.DUMMYFUNCTION("""COMPUTED_VALUE"""),"Deer Park First Baptist")</f>
        <v>Deer Park First Baptist</v>
      </c>
      <c r="C252" s="161" t="str">
        <f>IFERROR(__xludf.DUMMYFUNCTION("""COMPUTED_VALUE"""),"LIMITED")</f>
        <v>LIMITED</v>
      </c>
      <c r="E252" s="161" t="s">
        <v>1610</v>
      </c>
      <c r="F252" s="161" t="s">
        <v>42</v>
      </c>
      <c r="G252" s="161" t="str">
        <f>IFERROR(__xludf.DUMMYFUNCTION("""COMPUTED_VALUE"""),"Waller Assistance &amp; Restoration Ministries")</f>
        <v>Waller Assistance &amp; Restoration Ministries</v>
      </c>
      <c r="K252" s="161" t="s">
        <v>4563</v>
      </c>
      <c r="L252" s="161" t="s">
        <v>4480</v>
      </c>
      <c r="M252" s="161">
        <v>3.11548849E8</v>
      </c>
    </row>
    <row r="253">
      <c r="A253" s="132" t="str">
        <f>CONCATENATE(Data!AA254,"|",Data!N254)</f>
        <v>Deer Park First Baptist|ACTIVE</v>
      </c>
      <c r="B253" s="161" t="str">
        <f>IFERROR(__xludf.DUMMYFUNCTION("""COMPUTED_VALUE"""),"Deer Park First Baptist")</f>
        <v>Deer Park First Baptist</v>
      </c>
      <c r="C253" s="161" t="str">
        <f>IFERROR(__xludf.DUMMYFUNCTION("""COMPUTED_VALUE"""),"ACTIVE")</f>
        <v>ACTIVE</v>
      </c>
      <c r="E253" s="161" t="s">
        <v>1610</v>
      </c>
      <c r="F253" s="161" t="s">
        <v>42</v>
      </c>
      <c r="G253" s="161" t="str">
        <f>IFERROR(__xludf.DUMMYFUNCTION("""COMPUTED_VALUE"""),"Wellsprings Village Inc.")</f>
        <v>Wellsprings Village Inc.</v>
      </c>
      <c r="K253" s="161" t="s">
        <v>4574</v>
      </c>
      <c r="L253" s="161" t="s">
        <v>4494</v>
      </c>
      <c r="M253" s="161">
        <v>7.60481649E8</v>
      </c>
    </row>
    <row r="254">
      <c r="A254" s="132" t="str">
        <f>CONCATENATE(Data!AA255,"|",Data!N255)</f>
        <v>Deer Park UMC|ACTIVE</v>
      </c>
      <c r="B254" s="161" t="str">
        <f>IFERROR(__xludf.DUMMYFUNCTION("""COMPUTED_VALUE"""),"Deer Park UMC")</f>
        <v>Deer Park UMC</v>
      </c>
      <c r="C254" s="161" t="str">
        <f>IFERROR(__xludf.DUMMYFUNCTION("""COMPUTED_VALUE"""),"ACTIVE")</f>
        <v>ACTIVE</v>
      </c>
      <c r="E254" s="161" t="s">
        <v>1621</v>
      </c>
      <c r="F254" s="161" t="s">
        <v>42</v>
      </c>
      <c r="G254" s="161" t="str">
        <f>IFERROR(__xludf.DUMMYFUNCTION("""COMPUTED_VALUE"""),"Wesley Community Center")</f>
        <v>Wesley Community Center</v>
      </c>
      <c r="K254" s="161" t="s">
        <v>4584</v>
      </c>
      <c r="L254" s="161" t="s">
        <v>4501</v>
      </c>
      <c r="M254" s="161" t="s">
        <v>5894</v>
      </c>
    </row>
    <row r="255">
      <c r="A255" s="132" t="str">
        <f>CONCATENATE(Data!AA256,"|",Data!N256)</f>
        <v>Deer Park UMC|ACTIVE</v>
      </c>
      <c r="B255" s="161" t="str">
        <f>IFERROR(__xludf.DUMMYFUNCTION("""COMPUTED_VALUE"""),"Deer Park UMC")</f>
        <v>Deer Park UMC</v>
      </c>
      <c r="C255" s="161" t="str">
        <f>IFERROR(__xludf.DUMMYFUNCTION("""COMPUTED_VALUE"""),"ACTIVE")</f>
        <v>ACTIVE</v>
      </c>
      <c r="E255" s="161" t="s">
        <v>1651</v>
      </c>
      <c r="F255" s="161" t="s">
        <v>42</v>
      </c>
      <c r="G255" s="161" t="str">
        <f>IFERROR(__xludf.DUMMYFUNCTION("""COMPUTED_VALUE"""),"West Houston Assistance Ministries (WHAM)")</f>
        <v>West Houston Assistance Ministries (WHAM)</v>
      </c>
      <c r="K255" s="161" t="s">
        <v>5782</v>
      </c>
      <c r="L255" s="161" t="s">
        <v>4508</v>
      </c>
      <c r="M255" s="161">
        <v>7.4222075E8</v>
      </c>
    </row>
    <row r="256">
      <c r="A256" s="132" t="str">
        <f>CONCATENATE(Data!AA257,"|",Data!N257)</f>
        <v>Deer Park UMC|ACTIVE</v>
      </c>
      <c r="B256" s="161" t="str">
        <f>IFERROR(__xludf.DUMMYFUNCTION("""COMPUTED_VALUE"""),"Deer Park UMC")</f>
        <v>Deer Park UMC</v>
      </c>
      <c r="C256" s="161" t="str">
        <f>IFERROR(__xludf.DUMMYFUNCTION("""COMPUTED_VALUE"""),"ACTIVE")</f>
        <v>ACTIVE</v>
      </c>
      <c r="E256" s="161" t="s">
        <v>5762</v>
      </c>
      <c r="F256" s="161" t="s">
        <v>42</v>
      </c>
      <c r="G256" s="161" t="str">
        <f>IFERROR(__xludf.DUMMYFUNCTION("""COMPUTED_VALUE"""),"Wheeler Avenue Baptist Church")</f>
        <v>Wheeler Avenue Baptist Church</v>
      </c>
      <c r="K256" s="161" t="s">
        <v>4591</v>
      </c>
      <c r="L256" s="161" t="s">
        <v>4519</v>
      </c>
      <c r="M256" s="161">
        <v>2.01850234E8</v>
      </c>
    </row>
    <row r="257">
      <c r="A257" s="132" t="str">
        <f>CONCATENATE(Data!AA258,"|",Data!N258)</f>
        <v>Vecino Health Centers|ACTIVE</v>
      </c>
      <c r="B257" s="161" t="str">
        <f>IFERROR(__xludf.DUMMYFUNCTION("""COMPUTED_VALUE"""),"Vecino Health Centers")</f>
        <v>Vecino Health Centers</v>
      </c>
      <c r="C257" s="161" t="str">
        <f>IFERROR(__xludf.DUMMYFUNCTION("""COMPUTED_VALUE"""),"ACTIVE")</f>
        <v>ACTIVE</v>
      </c>
      <c r="E257" s="161" t="s">
        <v>5762</v>
      </c>
      <c r="F257" s="161" t="s">
        <v>42</v>
      </c>
      <c r="G257" s="161" t="str">
        <f>IFERROR(__xludf.DUMMYFUNCTION("""COMPUTED_VALUE"""),"Windsor Village Social Services")</f>
        <v>Windsor Village Social Services</v>
      </c>
      <c r="K257" s="161" t="s">
        <v>4598</v>
      </c>
      <c r="L257" s="161" t="s">
        <v>4528</v>
      </c>
      <c r="M257" s="161">
        <v>7.4167523E8</v>
      </c>
    </row>
    <row r="258">
      <c r="A258" s="132" t="str">
        <f>CONCATENATE(Data!AA259,"|",Data!N259)</f>
        <v>Vecino Health Centers|ACTIVE</v>
      </c>
      <c r="B258" s="161" t="str">
        <f>IFERROR(__xludf.DUMMYFUNCTION("""COMPUTED_VALUE"""),"Vecino Health Centers")</f>
        <v>Vecino Health Centers</v>
      </c>
      <c r="C258" s="161" t="str">
        <f>IFERROR(__xludf.DUMMYFUNCTION("""COMPUTED_VALUE"""),"ACTIVE")</f>
        <v>ACTIVE</v>
      </c>
      <c r="E258" s="161" t="s">
        <v>5762</v>
      </c>
      <c r="F258" s="161" t="s">
        <v>42</v>
      </c>
      <c r="G258" s="161" t="str">
        <f>IFERROR(__xludf.DUMMYFUNCTION("""COMPUTED_VALUE"""),"WorkFaith")</f>
        <v>WorkFaith</v>
      </c>
      <c r="K258" s="161" t="s">
        <v>4605</v>
      </c>
      <c r="L258" s="161" t="s">
        <v>4536</v>
      </c>
      <c r="M258" s="161" t="s">
        <v>5894</v>
      </c>
    </row>
    <row r="259">
      <c r="A259" s="132" t="str">
        <f>CONCATENATE(Data!AA260,"|",Data!N260)</f>
        <v>Vecino Health Centers|ACTIVE</v>
      </c>
      <c r="B259" s="161" t="str">
        <f>IFERROR(__xludf.DUMMYFUNCTION("""COMPUTED_VALUE"""),"Vecino Health Centers")</f>
        <v>Vecino Health Centers</v>
      </c>
      <c r="C259" s="161" t="str">
        <f>IFERROR(__xludf.DUMMYFUNCTION("""COMPUTED_VALUE"""),"ACTIVE")</f>
        <v>ACTIVE</v>
      </c>
      <c r="E259" s="161" t="s">
        <v>5762</v>
      </c>
      <c r="F259" s="161" t="s">
        <v>42</v>
      </c>
      <c r="G259" s="161" t="str">
        <f>IFERROR(__xludf.DUMMYFUNCTION("""COMPUTED_VALUE"""),"Workforce Solutions")</f>
        <v>Workforce Solutions</v>
      </c>
      <c r="K259" s="161" t="s">
        <v>4613</v>
      </c>
      <c r="L259" s="161" t="s">
        <v>4539</v>
      </c>
      <c r="M259" s="161" t="s">
        <v>5894</v>
      </c>
    </row>
    <row r="260">
      <c r="A260" s="132" t="str">
        <f>CONCATENATE(Data!AA261,"|",Data!N261)</f>
        <v>Vecino Health Centers|ACTIVE</v>
      </c>
      <c r="B260" s="161" t="str">
        <f>IFERROR(__xludf.DUMMYFUNCTION("""COMPUTED_VALUE"""),"Vecino Health Centers")</f>
        <v>Vecino Health Centers</v>
      </c>
      <c r="C260" s="161" t="str">
        <f>IFERROR(__xludf.DUMMYFUNCTION("""COMPUTED_VALUE"""),"ACTIVE")</f>
        <v>ACTIVE</v>
      </c>
      <c r="E260" s="161" t="s">
        <v>5762</v>
      </c>
      <c r="F260" s="161" t="s">
        <v>42</v>
      </c>
      <c r="K260" s="161" t="s">
        <v>4623</v>
      </c>
      <c r="L260" s="161" t="s">
        <v>4545</v>
      </c>
    </row>
    <row r="261">
      <c r="A261" s="132" t="str">
        <f>CONCATENATE(Data!AA262,"|",Data!N262)</f>
        <v>City of Houston|ACTIVE</v>
      </c>
      <c r="B261" s="161" t="str">
        <f>IFERROR(__xludf.DUMMYFUNCTION("""COMPUTED_VALUE"""),"City of Houston")</f>
        <v>City of Houston</v>
      </c>
      <c r="C261" s="161" t="str">
        <f>IFERROR(__xludf.DUMMYFUNCTION("""COMPUTED_VALUE"""),"ACTIVE")</f>
        <v>ACTIVE</v>
      </c>
      <c r="E261" s="161" t="s">
        <v>5762</v>
      </c>
      <c r="F261" s="161" t="s">
        <v>42</v>
      </c>
      <c r="K261" s="161" t="s">
        <v>4638</v>
      </c>
      <c r="L261" s="161" t="s">
        <v>4555</v>
      </c>
    </row>
    <row r="262">
      <c r="A262" s="132" t="str">
        <f>CONCATENATE(Data!AA263,"|",Data!N263)</f>
        <v>City of Houston|ACTIVE</v>
      </c>
      <c r="B262" s="161" t="str">
        <f>IFERROR(__xludf.DUMMYFUNCTION("""COMPUTED_VALUE"""),"City of Houston")</f>
        <v>City of Houston</v>
      </c>
      <c r="C262" s="161" t="str">
        <f>IFERROR(__xludf.DUMMYFUNCTION("""COMPUTED_VALUE"""),"ACTIVE")</f>
        <v>ACTIVE</v>
      </c>
      <c r="E262" s="161" t="s">
        <v>5762</v>
      </c>
      <c r="F262" s="161" t="s">
        <v>42</v>
      </c>
      <c r="K262" s="161" t="s">
        <v>4654</v>
      </c>
      <c r="L262" s="161" t="s">
        <v>4563</v>
      </c>
      <c r="M262" s="161">
        <v>7.10933434E8</v>
      </c>
    </row>
    <row r="263">
      <c r="A263" s="132" t="str">
        <f>CONCATENATE(Data!AA264,"|",Data!N264)</f>
        <v>Dollar For|ACTIVE</v>
      </c>
      <c r="B263" s="161" t="str">
        <f>IFERROR(__xludf.DUMMYFUNCTION("""COMPUTED_VALUE"""),"Dollar For")</f>
        <v>Dollar For</v>
      </c>
      <c r="C263" s="161" t="str">
        <f>IFERROR(__xludf.DUMMYFUNCTION("""COMPUTED_VALUE"""),"ACTIVE")</f>
        <v>ACTIVE</v>
      </c>
      <c r="E263" s="161" t="s">
        <v>5762</v>
      </c>
      <c r="F263" s="161" t="s">
        <v>42</v>
      </c>
      <c r="K263" s="161" t="s">
        <v>4665</v>
      </c>
      <c r="L263" s="161" t="s">
        <v>4574</v>
      </c>
    </row>
    <row r="264">
      <c r="A264" s="132" t="str">
        <f>CONCATENATE(Data!AA265,"|",Data!N265)</f>
        <v>Dress For Success|ACTIVE</v>
      </c>
      <c r="B264" s="161" t="str">
        <f>IFERROR(__xludf.DUMMYFUNCTION("""COMPUTED_VALUE"""),"Dress For Success")</f>
        <v>Dress For Success</v>
      </c>
      <c r="C264" s="161" t="str">
        <f>IFERROR(__xludf.DUMMYFUNCTION("""COMPUTED_VALUE"""),"ACTIVE")</f>
        <v>ACTIVE</v>
      </c>
      <c r="E264" s="161" t="s">
        <v>5762</v>
      </c>
      <c r="F264" s="161" t="s">
        <v>42</v>
      </c>
      <c r="K264" s="161" t="s">
        <v>4672</v>
      </c>
      <c r="L264" s="161" t="s">
        <v>4584</v>
      </c>
      <c r="M264" s="161">
        <v>7.41173235E8</v>
      </c>
    </row>
    <row r="265">
      <c r="A265" s="132" t="str">
        <f>CONCATENATE(Data!AA266,"|",Data!N266)</f>
        <v>East End Social Services, Inc.|ACTIVE</v>
      </c>
      <c r="B265" s="161" t="str">
        <f>IFERROR(__xludf.DUMMYFUNCTION("""COMPUTED_VALUE"""),"East End Social Services, Inc.")</f>
        <v>East End Social Services, Inc.</v>
      </c>
      <c r="C265" s="161" t="str">
        <f>IFERROR(__xludf.DUMMYFUNCTION("""COMPUTED_VALUE"""),"ACTIVE")</f>
        <v>ACTIVE</v>
      </c>
      <c r="E265" s="161" t="s">
        <v>5762</v>
      </c>
      <c r="F265" s="161" t="s">
        <v>42</v>
      </c>
      <c r="K265" s="161" t="s">
        <v>4677</v>
      </c>
      <c r="L265" s="161" t="s">
        <v>5782</v>
      </c>
      <c r="M265" s="161" t="s">
        <v>5894</v>
      </c>
    </row>
    <row r="266">
      <c r="A266" s="132" t="str">
        <f>CONCATENATE(Data!AA267,"|",Data!N267)</f>
        <v>East Ft Bend Human Needs|ACTIVE</v>
      </c>
      <c r="B266" s="161" t="str">
        <f>IFERROR(__xludf.DUMMYFUNCTION("""COMPUTED_VALUE"""),"East Ft Bend Human Needs")</f>
        <v>East Ft Bend Human Needs</v>
      </c>
      <c r="C266" s="161" t="str">
        <f>IFERROR(__xludf.DUMMYFUNCTION("""COMPUTED_VALUE"""),"ACTIVE")</f>
        <v>ACTIVE</v>
      </c>
      <c r="E266" s="161" t="s">
        <v>5762</v>
      </c>
      <c r="F266" s="161" t="s">
        <v>42</v>
      </c>
      <c r="K266" s="161" t="s">
        <v>4682</v>
      </c>
      <c r="L266" s="161" t="s">
        <v>4591</v>
      </c>
    </row>
    <row r="267">
      <c r="A267" s="132" t="str">
        <f>CONCATENATE(Data!AA268,"|",Data!N268)</f>
        <v>East Ft Bend Human Needs|ACTIVE</v>
      </c>
      <c r="B267" s="161" t="str">
        <f>IFERROR(__xludf.DUMMYFUNCTION("""COMPUTED_VALUE"""),"East Ft Bend Human Needs")</f>
        <v>East Ft Bend Human Needs</v>
      </c>
      <c r="C267" s="161" t="str">
        <f>IFERROR(__xludf.DUMMYFUNCTION("""COMPUTED_VALUE"""),"ACTIVE")</f>
        <v>ACTIVE</v>
      </c>
      <c r="E267" s="161" t="s">
        <v>5762</v>
      </c>
      <c r="F267" s="161" t="s">
        <v>42</v>
      </c>
      <c r="K267" s="161" t="s">
        <v>4689</v>
      </c>
      <c r="L267" s="161" t="s">
        <v>4598</v>
      </c>
    </row>
    <row r="268">
      <c r="A268" s="132" t="str">
        <f>CONCATENATE(Data!AA269,"|",Data!N269)</f>
        <v>East Ft Bend Human Needs|ACTIVE</v>
      </c>
      <c r="B268" s="161" t="str">
        <f>IFERROR(__xludf.DUMMYFUNCTION("""COMPUTED_VALUE"""),"East Ft Bend Human Needs")</f>
        <v>East Ft Bend Human Needs</v>
      </c>
      <c r="C268" s="161" t="str">
        <f>IFERROR(__xludf.DUMMYFUNCTION("""COMPUTED_VALUE"""),"ACTIVE")</f>
        <v>ACTIVE</v>
      </c>
      <c r="E268" s="161" t="s">
        <v>5762</v>
      </c>
      <c r="F268" s="161" t="s">
        <v>42</v>
      </c>
      <c r="K268" s="161" t="s">
        <v>5783</v>
      </c>
      <c r="L268" s="161" t="s">
        <v>4605</v>
      </c>
    </row>
    <row r="269">
      <c r="A269" s="132" t="str">
        <f>CONCATENATE(Data!AA270,"|",Data!N270)</f>
        <v>East Ft Bend Human Needs|ACTIVE</v>
      </c>
      <c r="B269" s="161" t="str">
        <f>IFERROR(__xludf.DUMMYFUNCTION("""COMPUTED_VALUE"""),"East Ft Bend Human Needs")</f>
        <v>East Ft Bend Human Needs</v>
      </c>
      <c r="C269" s="161" t="str">
        <f>IFERROR(__xludf.DUMMYFUNCTION("""COMPUTED_VALUE"""),"ACTIVE")</f>
        <v>ACTIVE</v>
      </c>
      <c r="E269" s="161" t="s">
        <v>5762</v>
      </c>
      <c r="F269" s="161" t="s">
        <v>42</v>
      </c>
      <c r="K269" s="161" t="s">
        <v>5784</v>
      </c>
      <c r="L269" s="161" t="s">
        <v>4613</v>
      </c>
    </row>
    <row r="270">
      <c r="A270" s="132" t="str">
        <f>CONCATENATE(Data!AA271,"|",Data!N271)</f>
        <v>East Spring Branch Food Pantry|ACTIVE</v>
      </c>
      <c r="B270" s="161" t="str">
        <f>IFERROR(__xludf.DUMMYFUNCTION("""COMPUTED_VALUE"""),"East Spring Branch Food Pantry")</f>
        <v>East Spring Branch Food Pantry</v>
      </c>
      <c r="C270" s="161" t="str">
        <f>IFERROR(__xludf.DUMMYFUNCTION("""COMPUTED_VALUE"""),"ACTIVE")</f>
        <v>ACTIVE</v>
      </c>
      <c r="E270" s="161" t="s">
        <v>5762</v>
      </c>
      <c r="F270" s="161" t="s">
        <v>42</v>
      </c>
      <c r="K270" s="161" t="s">
        <v>4721</v>
      </c>
      <c r="L270" s="161" t="s">
        <v>4623</v>
      </c>
    </row>
    <row r="271">
      <c r="A271" s="132" t="str">
        <f>CONCATENATE(Data!AA272,"|",Data!N272)</f>
        <v>ECDC Houston Multicultural Center|LIMITED</v>
      </c>
      <c r="B271" s="161" t="str">
        <f>IFERROR(__xludf.DUMMYFUNCTION("""COMPUTED_VALUE"""),"ECDC Houston Multicultural Center")</f>
        <v>ECDC Houston Multicultural Center</v>
      </c>
      <c r="C271" s="161" t="str">
        <f>IFERROR(__xludf.DUMMYFUNCTION("""COMPUTED_VALUE"""),"LIMITED")</f>
        <v>LIMITED</v>
      </c>
      <c r="E271" s="161" t="s">
        <v>5762</v>
      </c>
      <c r="F271" s="161" t="s">
        <v>42</v>
      </c>
      <c r="K271" s="161" t="s">
        <v>4728</v>
      </c>
      <c r="L271" s="161" t="s">
        <v>4638</v>
      </c>
    </row>
    <row r="272">
      <c r="A272" s="132" t="str">
        <f>CONCATENATE(Data!AA273,"|",Data!N273)</f>
        <v>ECDC Houston Multicultural Center|ACTIVE</v>
      </c>
      <c r="B272" s="161" t="str">
        <f>IFERROR(__xludf.DUMMYFUNCTION("""COMPUTED_VALUE"""),"ECDC Houston Multicultural Center")</f>
        <v>ECDC Houston Multicultural Center</v>
      </c>
      <c r="C272" s="161" t="str">
        <f>IFERROR(__xludf.DUMMYFUNCTION("""COMPUTED_VALUE"""),"ACTIVE")</f>
        <v>ACTIVE</v>
      </c>
      <c r="E272" s="161" t="s">
        <v>5762</v>
      </c>
      <c r="F272" s="161" t="s">
        <v>42</v>
      </c>
      <c r="K272" s="161" t="s">
        <v>4762</v>
      </c>
      <c r="L272" s="161" t="s">
        <v>4654</v>
      </c>
      <c r="M272" s="161" t="s">
        <v>5893</v>
      </c>
    </row>
    <row r="273">
      <c r="A273" s="132" t="str">
        <f>CONCATENATE(Data!AA274,"|",Data!N274)</f>
        <v>ECDC Houston Multicultural Center|ACTIVE</v>
      </c>
      <c r="B273" s="161" t="str">
        <f>IFERROR(__xludf.DUMMYFUNCTION("""COMPUTED_VALUE"""),"ECDC Houston Multicultural Center")</f>
        <v>ECDC Houston Multicultural Center</v>
      </c>
      <c r="C273" s="161" t="str">
        <f>IFERROR(__xludf.DUMMYFUNCTION("""COMPUTED_VALUE"""),"ACTIVE")</f>
        <v>ACTIVE</v>
      </c>
      <c r="E273" s="161" t="s">
        <v>5762</v>
      </c>
      <c r="F273" s="161" t="s">
        <v>42</v>
      </c>
      <c r="K273" s="161" t="s">
        <v>4783</v>
      </c>
      <c r="L273" s="161" t="s">
        <v>4665</v>
      </c>
    </row>
    <row r="274">
      <c r="A274" s="132" t="str">
        <f>CONCATENATE(Data!AA275,"|",Data!N275)</f>
        <v>El Centro de Corazón|INACTIVE</v>
      </c>
      <c r="B274" s="161" t="str">
        <f>IFERROR(__xludf.DUMMYFUNCTION("""COMPUTED_VALUE"""),"El Centro de Corazón")</f>
        <v>El Centro de Corazón</v>
      </c>
      <c r="C274" s="161" t="str">
        <f>IFERROR(__xludf.DUMMYFUNCTION("""COMPUTED_VALUE"""),"INACTIVE")</f>
        <v>INACTIVE</v>
      </c>
      <c r="E274" s="161" t="s">
        <v>5762</v>
      </c>
      <c r="F274" s="161" t="s">
        <v>42</v>
      </c>
      <c r="K274" s="161" t="s">
        <v>4793</v>
      </c>
      <c r="L274" s="161" t="s">
        <v>4672</v>
      </c>
      <c r="M274" s="161">
        <v>7.41167964E8</v>
      </c>
    </row>
    <row r="275">
      <c r="A275" s="132" t="str">
        <f>CONCATENATE(Data!AA276,"|",Data!N276)</f>
        <v>El Centro de Corazón|INACTIVE</v>
      </c>
      <c r="B275" s="161" t="str">
        <f>IFERROR(__xludf.DUMMYFUNCTION("""COMPUTED_VALUE"""),"El Centro de Corazón")</f>
        <v>El Centro de Corazón</v>
      </c>
      <c r="C275" s="161" t="str">
        <f>IFERROR(__xludf.DUMMYFUNCTION("""COMPUTED_VALUE"""),"INACTIVE")</f>
        <v>INACTIVE</v>
      </c>
      <c r="E275" s="161" t="s">
        <v>1694</v>
      </c>
      <c r="F275" s="161" t="s">
        <v>42</v>
      </c>
      <c r="K275" s="161" t="s">
        <v>5785</v>
      </c>
      <c r="L275" s="161" t="s">
        <v>4677</v>
      </c>
    </row>
    <row r="276">
      <c r="A276" s="132" t="str">
        <f>CONCATENATE(Data!AA277,"|",Data!N277)</f>
        <v>El Centro de Corazón|INACTIVE</v>
      </c>
      <c r="B276" s="161" t="str">
        <f>IFERROR(__xludf.DUMMYFUNCTION("""COMPUTED_VALUE"""),"El Centro de Corazón")</f>
        <v>El Centro de Corazón</v>
      </c>
      <c r="C276" s="161" t="str">
        <f>IFERROR(__xludf.DUMMYFUNCTION("""COMPUTED_VALUE"""),"INACTIVE")</f>
        <v>INACTIVE</v>
      </c>
      <c r="E276" s="161" t="s">
        <v>1706</v>
      </c>
      <c r="F276" s="161" t="s">
        <v>42</v>
      </c>
      <c r="K276" s="161" t="s">
        <v>4817</v>
      </c>
      <c r="L276" s="161" t="s">
        <v>4682</v>
      </c>
    </row>
    <row r="277">
      <c r="A277" s="132" t="str">
        <f>CONCATENATE(Data!AA278,"|",Data!N278)</f>
        <v>El Centro de Corazón|ACTIVE</v>
      </c>
      <c r="B277" s="161" t="str">
        <f>IFERROR(__xludf.DUMMYFUNCTION("""COMPUTED_VALUE"""),"El Centro de Corazón")</f>
        <v>El Centro de Corazón</v>
      </c>
      <c r="C277" s="161" t="str">
        <f>IFERROR(__xludf.DUMMYFUNCTION("""COMPUTED_VALUE"""),"ACTIVE")</f>
        <v>ACTIVE</v>
      </c>
      <c r="E277" s="161" t="s">
        <v>1712</v>
      </c>
      <c r="F277" s="161" t="s">
        <v>42</v>
      </c>
      <c r="K277" s="161" t="s">
        <v>4817</v>
      </c>
      <c r="L277" s="161" t="s">
        <v>4689</v>
      </c>
    </row>
    <row r="278">
      <c r="A278" s="132" t="str">
        <f>CONCATENATE(Data!AA279,"|",Data!N279)</f>
        <v>El Centro de Corazón|ACTIVE</v>
      </c>
      <c r="B278" s="161" t="str">
        <f>IFERROR(__xludf.DUMMYFUNCTION("""COMPUTED_VALUE"""),"El Centro de Corazón")</f>
        <v>El Centro de Corazón</v>
      </c>
      <c r="C278" s="161" t="str">
        <f>IFERROR(__xludf.DUMMYFUNCTION("""COMPUTED_VALUE"""),"ACTIVE")</f>
        <v>ACTIVE</v>
      </c>
      <c r="E278" s="161" t="s">
        <v>1730</v>
      </c>
      <c r="F278" s="161" t="s">
        <v>42</v>
      </c>
      <c r="K278" s="161" t="s">
        <v>4827</v>
      </c>
      <c r="L278" s="161" t="s">
        <v>5783</v>
      </c>
      <c r="M278" s="161">
        <v>8.25421842E8</v>
      </c>
    </row>
    <row r="279">
      <c r="A279" s="132" t="str">
        <f>CONCATENATE(Data!AA280,"|",Data!N280)</f>
        <v>El Centro de Corazón|ACTIVE</v>
      </c>
      <c r="B279" s="161" t="str">
        <f>IFERROR(__xludf.DUMMYFUNCTION("""COMPUTED_VALUE"""),"El Centro de Corazón")</f>
        <v>El Centro de Corazón</v>
      </c>
      <c r="C279" s="161" t="str">
        <f>IFERROR(__xludf.DUMMYFUNCTION("""COMPUTED_VALUE"""),"ACTIVE")</f>
        <v>ACTIVE</v>
      </c>
      <c r="E279" s="161" t="s">
        <v>1738</v>
      </c>
      <c r="F279" s="161" t="s">
        <v>42</v>
      </c>
      <c r="L279" s="161" t="s">
        <v>5784</v>
      </c>
      <c r="M279" s="161">
        <v>2.02649651E8</v>
      </c>
    </row>
    <row r="280">
      <c r="A280" s="132" t="str">
        <f>CONCATENATE(Data!AA281,"|",Data!N281)</f>
        <v>El Centro de Corazón|ACTIVE</v>
      </c>
      <c r="B280" s="161" t="str">
        <f>IFERROR(__xludf.DUMMYFUNCTION("""COMPUTED_VALUE"""),"El Centro de Corazón")</f>
        <v>El Centro de Corazón</v>
      </c>
      <c r="C280" s="161" t="str">
        <f>IFERROR(__xludf.DUMMYFUNCTION("""COMPUTED_VALUE"""),"ACTIVE")</f>
        <v>ACTIVE</v>
      </c>
      <c r="E280" s="161" t="s">
        <v>1756</v>
      </c>
      <c r="F280" s="161" t="s">
        <v>42</v>
      </c>
      <c r="L280" s="161" t="s">
        <v>4721</v>
      </c>
      <c r="M280" s="161">
        <v>7.6025113E8</v>
      </c>
    </row>
    <row r="281">
      <c r="A281" s="132" t="str">
        <f>CONCATENATE(Data!AA282,"|",Data!N282)</f>
        <v>El Centro de Corazón|ACTIVE</v>
      </c>
      <c r="B281" s="161" t="str">
        <f>IFERROR(__xludf.DUMMYFUNCTION("""COMPUTED_VALUE"""),"El Centro de Corazón")</f>
        <v>El Centro de Corazón</v>
      </c>
      <c r="C281" s="161" t="str">
        <f>IFERROR(__xludf.DUMMYFUNCTION("""COMPUTED_VALUE"""),"ACTIVE")</f>
        <v>ACTIVE</v>
      </c>
      <c r="E281" s="161" t="s">
        <v>1756</v>
      </c>
      <c r="F281" s="161" t="s">
        <v>42</v>
      </c>
      <c r="L281" s="161" t="s">
        <v>4728</v>
      </c>
      <c r="M281" s="161">
        <v>7.41185657E8</v>
      </c>
    </row>
    <row r="282">
      <c r="A282" s="132" t="str">
        <f>CONCATENATE(Data!AA283,"|",Data!N283)</f>
        <v>El Centro de Corazón|ACTIVE</v>
      </c>
      <c r="B282" s="161" t="str">
        <f>IFERROR(__xludf.DUMMYFUNCTION("""COMPUTED_VALUE"""),"El Centro de Corazón")</f>
        <v>El Centro de Corazón</v>
      </c>
      <c r="C282" s="161" t="str">
        <f>IFERROR(__xludf.DUMMYFUNCTION("""COMPUTED_VALUE"""),"ACTIVE")</f>
        <v>ACTIVE</v>
      </c>
      <c r="E282" s="161" t="s">
        <v>1769</v>
      </c>
      <c r="F282" s="161" t="s">
        <v>42</v>
      </c>
      <c r="L282" s="161" t="s">
        <v>4762</v>
      </c>
      <c r="M282" s="161">
        <v>7.60001309E8</v>
      </c>
    </row>
    <row r="283">
      <c r="A283" s="132" t="str">
        <f>CONCATENATE(Data!AA284,"|",Data!N284)</f>
        <v>Emancipet Clinics|ACTIVE</v>
      </c>
      <c r="B283" s="161" t="str">
        <f>IFERROR(__xludf.DUMMYFUNCTION("""COMPUTED_VALUE"""),"Emancipet Clinics")</f>
        <v>Emancipet Clinics</v>
      </c>
      <c r="C283" s="161" t="str">
        <f>IFERROR(__xludf.DUMMYFUNCTION("""COMPUTED_VALUE"""),"ACTIVE")</f>
        <v>ACTIVE</v>
      </c>
      <c r="E283" s="161" t="s">
        <v>1769</v>
      </c>
      <c r="F283" s="161" t="s">
        <v>42</v>
      </c>
      <c r="L283" s="161" t="s">
        <v>4783</v>
      </c>
      <c r="M283" s="161">
        <v>7.4155884E8</v>
      </c>
    </row>
    <row r="284">
      <c r="A284" s="132" t="str">
        <f>CONCATENATE(Data!AA285,"|",Data!N285)</f>
        <v>Emancipet Clinics|ACTIVE</v>
      </c>
      <c r="B284" s="161" t="str">
        <f>IFERROR(__xludf.DUMMYFUNCTION("""COMPUTED_VALUE"""),"Emancipet Clinics")</f>
        <v>Emancipet Clinics</v>
      </c>
      <c r="C284" s="161" t="str">
        <f>IFERROR(__xludf.DUMMYFUNCTION("""COMPUTED_VALUE"""),"ACTIVE")</f>
        <v>ACTIVE</v>
      </c>
      <c r="E284" s="161" t="s">
        <v>1769</v>
      </c>
      <c r="F284" s="161" t="s">
        <v>42</v>
      </c>
      <c r="L284" s="161" t="s">
        <v>4793</v>
      </c>
    </row>
    <row r="285">
      <c r="A285" s="132" t="str">
        <f>CONCATENATE(Data!AA286,"|",Data!N286)</f>
        <v>Emancipet Clinics|ACTIVE</v>
      </c>
      <c r="B285" s="161" t="str">
        <f>IFERROR(__xludf.DUMMYFUNCTION("""COMPUTED_VALUE"""),"Emancipet Clinics")</f>
        <v>Emancipet Clinics</v>
      </c>
      <c r="C285" s="161" t="str">
        <f>IFERROR(__xludf.DUMMYFUNCTION("""COMPUTED_VALUE"""),"ACTIVE")</f>
        <v>ACTIVE</v>
      </c>
      <c r="E285" s="161" t="s">
        <v>1769</v>
      </c>
      <c r="F285" s="161" t="s">
        <v>42</v>
      </c>
      <c r="L285" s="161" t="s">
        <v>5785</v>
      </c>
      <c r="M285" s="161">
        <v>2.04295703E8</v>
      </c>
    </row>
    <row r="286">
      <c r="A286" s="132" t="str">
        <f>CONCATENATE(Data!AA287,"|",Data!N287)</f>
        <v>Emergency Aid Coalition|ACTIVE</v>
      </c>
      <c r="B286" s="161" t="str">
        <f>IFERROR(__xludf.DUMMYFUNCTION("""COMPUTED_VALUE"""),"Emergency Aid Coalition")</f>
        <v>Emergency Aid Coalition</v>
      </c>
      <c r="C286" s="161" t="str">
        <f>IFERROR(__xludf.DUMMYFUNCTION("""COMPUTED_VALUE"""),"ACTIVE")</f>
        <v>ACTIVE</v>
      </c>
      <c r="E286" s="161" t="s">
        <v>1769</v>
      </c>
      <c r="F286" s="161" t="s">
        <v>42</v>
      </c>
      <c r="L286" s="161" t="s">
        <v>4817</v>
      </c>
      <c r="M286" s="161" t="s">
        <v>5894</v>
      </c>
    </row>
    <row r="287">
      <c r="A287" s="132" t="str">
        <f>CONCATENATE(Data!AA288,"|",Data!N288)</f>
        <v>Emergency Aid Coalition|ACTIVE</v>
      </c>
      <c r="B287" s="161" t="str">
        <f>IFERROR(__xludf.DUMMYFUNCTION("""COMPUTED_VALUE"""),"Emergency Aid Coalition")</f>
        <v>Emergency Aid Coalition</v>
      </c>
      <c r="C287" s="161" t="str">
        <f>IFERROR(__xludf.DUMMYFUNCTION("""COMPUTED_VALUE"""),"ACTIVE")</f>
        <v>ACTIVE</v>
      </c>
      <c r="E287" s="161" t="s">
        <v>1769</v>
      </c>
      <c r="F287" s="161" t="s">
        <v>42</v>
      </c>
      <c r="L287" s="161" t="s">
        <v>4827</v>
      </c>
    </row>
    <row r="288">
      <c r="A288" s="132" t="str">
        <f>CONCATENATE(Data!AA289,"|",Data!N289)</f>
        <v>Epiphany Community Health Outreach Services ECHOS (SW Harris County)|INACTIVE</v>
      </c>
      <c r="B288" s="161" t="str">
        <f>IFERROR(__xludf.DUMMYFUNCTION("""COMPUTED_VALUE"""),"Epiphany Community Health Outreach Services ECHOS (SW Harris County)")</f>
        <v>Epiphany Community Health Outreach Services ECHOS (SW Harris County)</v>
      </c>
      <c r="C288" s="161" t="str">
        <f>IFERROR(__xludf.DUMMYFUNCTION("""COMPUTED_VALUE"""),"INACTIVE")</f>
        <v>INACTIVE</v>
      </c>
      <c r="E288" s="161" t="s">
        <v>1769</v>
      </c>
      <c r="F288" s="161" t="s">
        <v>42</v>
      </c>
    </row>
    <row r="289">
      <c r="A289" s="132" t="str">
        <f>CONCATENATE(Data!AA290,"|",Data!N290)</f>
        <v>Epiphany Community Health Outreach Services ECHOS (SW Harris County)|INACTIVE</v>
      </c>
      <c r="B289" s="161" t="str">
        <f>IFERROR(__xludf.DUMMYFUNCTION("""COMPUTED_VALUE"""),"Epiphany Community Health Outreach Services ECHOS (SW Harris County)")</f>
        <v>Epiphany Community Health Outreach Services ECHOS (SW Harris County)</v>
      </c>
      <c r="C289" s="161" t="str">
        <f>IFERROR(__xludf.DUMMYFUNCTION("""COMPUTED_VALUE"""),"INACTIVE")</f>
        <v>INACTIVE</v>
      </c>
      <c r="E289" s="161" t="s">
        <v>1769</v>
      </c>
      <c r="F289" s="161" t="s">
        <v>42</v>
      </c>
    </row>
    <row r="290">
      <c r="A290" s="132" t="str">
        <f>CONCATENATE(Data!AA291,"|",Data!N291)</f>
        <v>Epiphany Community Health Outreach Services ECHOS (SW Harris County)|INACTIVE</v>
      </c>
      <c r="B290" s="161" t="str">
        <f>IFERROR(__xludf.DUMMYFUNCTION("""COMPUTED_VALUE"""),"Epiphany Community Health Outreach Services ECHOS (SW Harris County)")</f>
        <v>Epiphany Community Health Outreach Services ECHOS (SW Harris County)</v>
      </c>
      <c r="C290" s="161" t="str">
        <f>IFERROR(__xludf.DUMMYFUNCTION("""COMPUTED_VALUE"""),"INACTIVE")</f>
        <v>INACTIVE</v>
      </c>
      <c r="E290" s="161" t="s">
        <v>1769</v>
      </c>
      <c r="F290" s="161" t="s">
        <v>42</v>
      </c>
    </row>
    <row r="291">
      <c r="A291" s="132" t="str">
        <f>CONCATENATE(Data!AA292,"|",Data!N292)</f>
        <v>Epiphany Community Health Outreach Services ECHOS (SW Harris County)|ACTIVE</v>
      </c>
      <c r="B291" s="161" t="str">
        <f>IFERROR(__xludf.DUMMYFUNCTION("""COMPUTED_VALUE"""),"Epiphany Community Health Outreach Services ECHOS (SW Harris County)")</f>
        <v>Epiphany Community Health Outreach Services ECHOS (SW Harris County)</v>
      </c>
      <c r="C291" s="161" t="str">
        <f>IFERROR(__xludf.DUMMYFUNCTION("""COMPUTED_VALUE"""),"ACTIVE")</f>
        <v>ACTIVE</v>
      </c>
      <c r="E291" s="161" t="s">
        <v>1814</v>
      </c>
      <c r="F291" s="161" t="s">
        <v>42</v>
      </c>
    </row>
    <row r="292">
      <c r="A292" s="132" t="str">
        <f>CONCATENATE(Data!AA293,"|",Data!N293)</f>
        <v>Society of St Vincent de Paul|ACTIVE</v>
      </c>
      <c r="B292" s="161" t="str">
        <f>IFERROR(__xludf.DUMMYFUNCTION("""COMPUTED_VALUE"""),"Society of St Vincent de Paul")</f>
        <v>Society of St Vincent de Paul</v>
      </c>
      <c r="C292" s="161" t="str">
        <f>IFERROR(__xludf.DUMMYFUNCTION("""COMPUTED_VALUE"""),"ACTIVE")</f>
        <v>ACTIVE</v>
      </c>
      <c r="E292" s="161" t="s">
        <v>1822</v>
      </c>
      <c r="F292" s="161" t="s">
        <v>42</v>
      </c>
    </row>
    <row r="293">
      <c r="A293" s="132" t="str">
        <f>CONCATENATE(Data!AA294,"|",Data!N294)</f>
        <v>Society of St Vincent de Paul|ACTIVE</v>
      </c>
      <c r="B293" s="161" t="str">
        <f>IFERROR(__xludf.DUMMYFUNCTION("""COMPUTED_VALUE"""),"Society of St Vincent de Paul")</f>
        <v>Society of St Vincent de Paul</v>
      </c>
      <c r="C293" s="161" t="str">
        <f>IFERROR(__xludf.DUMMYFUNCTION("""COMPUTED_VALUE"""),"ACTIVE")</f>
        <v>ACTIVE</v>
      </c>
      <c r="E293" s="161" t="s">
        <v>1838</v>
      </c>
      <c r="F293" s="161" t="s">
        <v>42</v>
      </c>
    </row>
    <row r="294">
      <c r="A294" s="132" t="str">
        <f>CONCATENATE(Data!AA295,"|",Data!N295)</f>
        <v>Society of St Vincent de Paul|ACTIVE</v>
      </c>
      <c r="B294" s="161" t="str">
        <f>IFERROR(__xludf.DUMMYFUNCTION("""COMPUTED_VALUE"""),"Society of St Vincent de Paul")</f>
        <v>Society of St Vincent de Paul</v>
      </c>
      <c r="C294" s="161" t="str">
        <f>IFERROR(__xludf.DUMMYFUNCTION("""COMPUTED_VALUE"""),"ACTIVE")</f>
        <v>ACTIVE</v>
      </c>
      <c r="E294" s="161" t="s">
        <v>1845</v>
      </c>
      <c r="F294" s="161" t="s">
        <v>42</v>
      </c>
    </row>
    <row r="295">
      <c r="A295" s="132" t="str">
        <f>CONCATENATE(Data!AA296,"|",Data!N296)</f>
        <v>Fair Haven Methodist Church|ACTIVE</v>
      </c>
      <c r="B295" s="161" t="str">
        <f>IFERROR(__xludf.DUMMYFUNCTION("""COMPUTED_VALUE"""),"Fair Haven Methodist Church")</f>
        <v>Fair Haven Methodist Church</v>
      </c>
      <c r="C295" s="161" t="str">
        <f>IFERROR(__xludf.DUMMYFUNCTION("""COMPUTED_VALUE"""),"ACTIVE")</f>
        <v>ACTIVE</v>
      </c>
      <c r="E295" s="161" t="s">
        <v>1855</v>
      </c>
      <c r="F295" s="161" t="s">
        <v>42</v>
      </c>
    </row>
    <row r="296">
      <c r="A296" s="132" t="str">
        <f>CONCATENATE(Data!AA297,"|",Data!N297)</f>
        <v>Family Promise|ACTIVE</v>
      </c>
      <c r="B296" s="161" t="str">
        <f>IFERROR(__xludf.DUMMYFUNCTION("""COMPUTED_VALUE"""),"Family Promise")</f>
        <v>Family Promise</v>
      </c>
      <c r="C296" s="161" t="str">
        <f>IFERROR(__xludf.DUMMYFUNCTION("""COMPUTED_VALUE"""),"ACTIVE")</f>
        <v>ACTIVE</v>
      </c>
      <c r="E296" s="161" t="s">
        <v>1855</v>
      </c>
      <c r="F296" s="161" t="s">
        <v>42</v>
      </c>
    </row>
    <row r="297">
      <c r="A297" s="132" t="str">
        <f>CONCATENATE(Data!AA298,"|",Data!N298)</f>
        <v>Family Promise|ACTIVE</v>
      </c>
      <c r="B297" s="161" t="str">
        <f>IFERROR(__xludf.DUMMYFUNCTION("""COMPUTED_VALUE"""),"Family Promise")</f>
        <v>Family Promise</v>
      </c>
      <c r="C297" s="161" t="str">
        <f>IFERROR(__xludf.DUMMYFUNCTION("""COMPUTED_VALUE"""),"ACTIVE")</f>
        <v>ACTIVE</v>
      </c>
      <c r="E297" s="161" t="s">
        <v>1855</v>
      </c>
      <c r="F297" s="161" t="s">
        <v>42</v>
      </c>
    </row>
    <row r="298">
      <c r="A298" s="132" t="str">
        <f>CONCATENATE(Data!AA299,"|",Data!N299)</f>
        <v>Family Promise|ACTIVE</v>
      </c>
      <c r="B298" s="161" t="str">
        <f>IFERROR(__xludf.DUMMYFUNCTION("""COMPUTED_VALUE"""),"Family Promise")</f>
        <v>Family Promise</v>
      </c>
      <c r="C298" s="161" t="str">
        <f>IFERROR(__xludf.DUMMYFUNCTION("""COMPUTED_VALUE"""),"ACTIVE")</f>
        <v>ACTIVE</v>
      </c>
      <c r="E298" s="161" t="s">
        <v>1855</v>
      </c>
      <c r="F298" s="161" t="s">
        <v>42</v>
      </c>
    </row>
    <row r="299">
      <c r="A299" s="132" t="str">
        <f>CONCATENATE(Data!AA300,"|",Data!N300)</f>
        <v>Family Promise|ACTIVE</v>
      </c>
      <c r="B299" s="161" t="str">
        <f>IFERROR(__xludf.DUMMYFUNCTION("""COMPUTED_VALUE"""),"Family Promise")</f>
        <v>Family Promise</v>
      </c>
      <c r="C299" s="161" t="str">
        <f>IFERROR(__xludf.DUMMYFUNCTION("""COMPUTED_VALUE"""),"ACTIVE")</f>
        <v>ACTIVE</v>
      </c>
      <c r="E299" s="161" t="s">
        <v>1873</v>
      </c>
      <c r="F299" s="161" t="s">
        <v>42</v>
      </c>
    </row>
    <row r="300">
      <c r="A300" s="132" t="str">
        <f>CONCATENATE(Data!AA301,"|",Data!N301)</f>
        <v>Family Promise|ACTIVE</v>
      </c>
      <c r="B300" s="161" t="str">
        <f>IFERROR(__xludf.DUMMYFUNCTION("""COMPUTED_VALUE"""),"Family Promise")</f>
        <v>Family Promise</v>
      </c>
      <c r="C300" s="161" t="str">
        <f>IFERROR(__xludf.DUMMYFUNCTION("""COMPUTED_VALUE"""),"ACTIVE")</f>
        <v>ACTIVE</v>
      </c>
      <c r="E300" s="161" t="s">
        <v>1880</v>
      </c>
      <c r="F300" s="161" t="s">
        <v>42</v>
      </c>
    </row>
    <row r="301">
      <c r="A301" s="132" t="str">
        <f>CONCATENATE(Data!AA302,"|",Data!N302)</f>
        <v>Family Promise|ACTIVE</v>
      </c>
      <c r="B301" s="161" t="str">
        <f>IFERROR(__xludf.DUMMYFUNCTION("""COMPUTED_VALUE"""),"Family Promise")</f>
        <v>Family Promise</v>
      </c>
      <c r="C301" s="161" t="str">
        <f>IFERROR(__xludf.DUMMYFUNCTION("""COMPUTED_VALUE"""),"ACTIVE")</f>
        <v>ACTIVE</v>
      </c>
      <c r="E301" s="161" t="s">
        <v>1887</v>
      </c>
      <c r="F301" s="161" t="s">
        <v>42</v>
      </c>
    </row>
    <row r="302">
      <c r="A302" s="132" t="str">
        <f>CONCATENATE(Data!AA303,"|",Data!N303)</f>
        <v>Family Promise|ACTIVE</v>
      </c>
      <c r="B302" s="161" t="str">
        <f>IFERROR(__xludf.DUMMYFUNCTION("""COMPUTED_VALUE"""),"Family Promise")</f>
        <v>Family Promise</v>
      </c>
      <c r="C302" s="161" t="str">
        <f>IFERROR(__xludf.DUMMYFUNCTION("""COMPUTED_VALUE"""),"ACTIVE")</f>
        <v>ACTIVE</v>
      </c>
      <c r="E302" s="161" t="s">
        <v>1896</v>
      </c>
      <c r="F302" s="161" t="s">
        <v>42</v>
      </c>
    </row>
    <row r="303">
      <c r="A303" s="132" t="str">
        <f>CONCATENATE(Data!AA304,"|",Data!N304)</f>
        <v>Family Promise|ACTIVE</v>
      </c>
      <c r="B303" s="161" t="str">
        <f>IFERROR(__xludf.DUMMYFUNCTION("""COMPUTED_VALUE"""),"Family Promise")</f>
        <v>Family Promise</v>
      </c>
      <c r="C303" s="161" t="str">
        <f>IFERROR(__xludf.DUMMYFUNCTION("""COMPUTED_VALUE"""),"ACTIVE")</f>
        <v>ACTIVE</v>
      </c>
      <c r="E303" s="161" t="s">
        <v>1907</v>
      </c>
      <c r="F303" s="161" t="s">
        <v>42</v>
      </c>
    </row>
    <row r="304">
      <c r="A304" s="132" t="str">
        <f>CONCATENATE(Data!AA305,"|",Data!N305)</f>
        <v>Family Promise|ACTIVE</v>
      </c>
      <c r="B304" s="161" t="str">
        <f>IFERROR(__xludf.DUMMYFUNCTION("""COMPUTED_VALUE"""),"Family Promise")</f>
        <v>Family Promise</v>
      </c>
      <c r="C304" s="161" t="str">
        <f>IFERROR(__xludf.DUMMYFUNCTION("""COMPUTED_VALUE"""),"ACTIVE")</f>
        <v>ACTIVE</v>
      </c>
      <c r="E304" s="161" t="s">
        <v>1907</v>
      </c>
      <c r="F304" s="161" t="s">
        <v>42</v>
      </c>
    </row>
    <row r="305">
      <c r="A305" s="132" t="str">
        <f>CONCATENATE(Data!AA306,"|",Data!N306)</f>
        <v>Family Reach|ACTIVE</v>
      </c>
      <c r="B305" s="161" t="str">
        <f>IFERROR(__xludf.DUMMYFUNCTION("""COMPUTED_VALUE"""),"Family Reach")</f>
        <v>Family Reach</v>
      </c>
      <c r="C305" s="161" t="str">
        <f>IFERROR(__xludf.DUMMYFUNCTION("""COMPUTED_VALUE"""),"ACTIVE")</f>
        <v>ACTIVE</v>
      </c>
      <c r="E305" s="161" t="s">
        <v>1907</v>
      </c>
      <c r="F305" s="161" t="s">
        <v>42</v>
      </c>
    </row>
    <row r="306">
      <c r="A306" s="132" t="str">
        <f>CONCATENATE(Data!AA307,"|",Data!N307)</f>
        <v>Family Time Crisis &amp; Counseling Center|ACTIVE</v>
      </c>
      <c r="B306" s="161" t="str">
        <f>IFERROR(__xludf.DUMMYFUNCTION("""COMPUTED_VALUE"""),"Family Time Crisis &amp; Counseling Center")</f>
        <v>Family Time Crisis &amp; Counseling Center</v>
      </c>
      <c r="C306" s="161" t="str">
        <f>IFERROR(__xludf.DUMMYFUNCTION("""COMPUTED_VALUE"""),"ACTIVE")</f>
        <v>ACTIVE</v>
      </c>
      <c r="E306" s="161" t="s">
        <v>1907</v>
      </c>
      <c r="F306" s="161" t="s">
        <v>42</v>
      </c>
    </row>
    <row r="307">
      <c r="A307" s="132" t="str">
        <f>CONCATENATE(Data!AA308,"|",Data!N308)</f>
        <v>FIEL For Families and Their Education|ACTIVE</v>
      </c>
      <c r="B307" s="161" t="str">
        <f>IFERROR(__xludf.DUMMYFUNCTION("""COMPUTED_VALUE"""),"FIEL For Families and Their Education")</f>
        <v>FIEL For Families and Their Education</v>
      </c>
      <c r="C307" s="161" t="str">
        <f>IFERROR(__xludf.DUMMYFUNCTION("""COMPUTED_VALUE"""),"ACTIVE")</f>
        <v>ACTIVE</v>
      </c>
      <c r="E307" s="161" t="s">
        <v>1907</v>
      </c>
      <c r="F307" s="161" t="s">
        <v>42</v>
      </c>
    </row>
    <row r="308">
      <c r="A308" s="132" t="str">
        <f>CONCATENATE(Data!AA309,"|",Data!N309)</f>
        <v>City of Houston|ACTIVE</v>
      </c>
      <c r="B308" s="161" t="str">
        <f>IFERROR(__xludf.DUMMYFUNCTION("""COMPUTED_VALUE"""),"City of Houston")</f>
        <v>City of Houston</v>
      </c>
      <c r="C308" s="161" t="str">
        <f>IFERROR(__xludf.DUMMYFUNCTION("""COMPUTED_VALUE"""),"ACTIVE")</f>
        <v>ACTIVE</v>
      </c>
      <c r="E308" s="161" t="s">
        <v>1924</v>
      </c>
      <c r="F308" s="161" t="s">
        <v>42</v>
      </c>
    </row>
    <row r="309">
      <c r="A309" s="132" t="str">
        <f>CONCATENATE(Data!AA310,"|",Data!N310)</f>
        <v>City of Houston|ACTIVE</v>
      </c>
      <c r="B309" s="161" t="str">
        <f>IFERROR(__xludf.DUMMYFUNCTION("""COMPUTED_VALUE"""),"City of Houston")</f>
        <v>City of Houston</v>
      </c>
      <c r="C309" s="161" t="str">
        <f>IFERROR(__xludf.DUMMYFUNCTION("""COMPUTED_VALUE"""),"ACTIVE")</f>
        <v>ACTIVE</v>
      </c>
      <c r="E309" s="161" t="s">
        <v>1932</v>
      </c>
      <c r="F309" s="161" t="s">
        <v>42</v>
      </c>
    </row>
    <row r="310">
      <c r="A310" s="132" t="str">
        <f>CONCATENATE(Data!AA311,"|",Data!N311)</f>
        <v>First Baptist Highlands Magnolia|ACTIVE</v>
      </c>
      <c r="B310" s="161" t="str">
        <f>IFERROR(__xludf.DUMMYFUNCTION("""COMPUTED_VALUE"""),"First Baptist Highlands Magnolia")</f>
        <v>First Baptist Highlands Magnolia</v>
      </c>
      <c r="C310" s="161" t="str">
        <f>IFERROR(__xludf.DUMMYFUNCTION("""COMPUTED_VALUE"""),"ACTIVE")</f>
        <v>ACTIVE</v>
      </c>
      <c r="E310" s="161" t="s">
        <v>5765</v>
      </c>
      <c r="F310" s="161" t="s">
        <v>42</v>
      </c>
    </row>
    <row r="311">
      <c r="A311" s="132" t="str">
        <f>CONCATENATE(Data!AA312,"|",Data!N312)</f>
        <v>First Baptist North Houston|ACTIVE</v>
      </c>
      <c r="B311" s="161" t="str">
        <f>IFERROR(__xludf.DUMMYFUNCTION("""COMPUTED_VALUE"""),"First Baptist North Houston")</f>
        <v>First Baptist North Houston</v>
      </c>
      <c r="C311" s="161" t="str">
        <f>IFERROR(__xludf.DUMMYFUNCTION("""COMPUTED_VALUE"""),"ACTIVE")</f>
        <v>ACTIVE</v>
      </c>
      <c r="E311" s="161" t="s">
        <v>5765</v>
      </c>
      <c r="F311" s="161" t="s">
        <v>42</v>
      </c>
    </row>
    <row r="312">
      <c r="A312" s="132" t="str">
        <f>CONCATENATE(Data!AA313,"|",Data!N313)</f>
        <v>First Presbyterian Church|CLOSED</v>
      </c>
      <c r="B312" s="161" t="str">
        <f>IFERROR(__xludf.DUMMYFUNCTION("""COMPUTED_VALUE"""),"First Presbyterian Church")</f>
        <v>First Presbyterian Church</v>
      </c>
      <c r="C312" s="161" t="str">
        <f>IFERROR(__xludf.DUMMYFUNCTION("""COMPUTED_VALUE"""),"CLOSED")</f>
        <v>CLOSED</v>
      </c>
      <c r="E312" s="161" t="s">
        <v>5765</v>
      </c>
      <c r="F312" s="161" t="s">
        <v>42</v>
      </c>
    </row>
    <row r="313">
      <c r="A313" s="132" t="str">
        <f>CONCATENATE(Data!AA314,"|",Data!N314)</f>
        <v>First Presbyterian Church|CLOSED</v>
      </c>
      <c r="B313" s="161" t="str">
        <f>IFERROR(__xludf.DUMMYFUNCTION("""COMPUTED_VALUE"""),"First Presbyterian Church")</f>
        <v>First Presbyterian Church</v>
      </c>
      <c r="C313" s="161" t="str">
        <f>IFERROR(__xludf.DUMMYFUNCTION("""COMPUTED_VALUE"""),"CLOSED")</f>
        <v>CLOSED</v>
      </c>
      <c r="E313" s="161" t="s">
        <v>5765</v>
      </c>
      <c r="F313" s="161" t="s">
        <v>42</v>
      </c>
    </row>
    <row r="314">
      <c r="A314" s="132" t="str">
        <f>CONCATENATE(Data!AA315,"|",Data!N315)</f>
        <v>Focusing Families|ACTIVE</v>
      </c>
      <c r="B314" s="161" t="str">
        <f>IFERROR(__xludf.DUMMYFUNCTION("""COMPUTED_VALUE"""),"Focusing Families")</f>
        <v>Focusing Families</v>
      </c>
      <c r="C314" s="161" t="str">
        <f>IFERROR(__xludf.DUMMYFUNCTION("""COMPUTED_VALUE"""),"ACTIVE")</f>
        <v>ACTIVE</v>
      </c>
      <c r="E314" s="161" t="s">
        <v>5765</v>
      </c>
      <c r="F314" s="161" t="s">
        <v>42</v>
      </c>
    </row>
    <row r="315">
      <c r="A315" s="132" t="str">
        <f>CONCATENATE(Data!AA316,"|",Data!N316)</f>
        <v>Focusing Families|ACTIVE</v>
      </c>
      <c r="B315" s="161" t="str">
        <f>IFERROR(__xludf.DUMMYFUNCTION("""COMPUTED_VALUE"""),"Focusing Families")</f>
        <v>Focusing Families</v>
      </c>
      <c r="C315" s="161" t="str">
        <f>IFERROR(__xludf.DUMMYFUNCTION("""COMPUTED_VALUE"""),"ACTIVE")</f>
        <v>ACTIVE</v>
      </c>
      <c r="E315" s="161" t="s">
        <v>5765</v>
      </c>
      <c r="F315" s="161" t="s">
        <v>42</v>
      </c>
    </row>
    <row r="316">
      <c r="A316" s="132" t="str">
        <f>CONCATENATE(Data!AA317,"|",Data!N317)</f>
        <v>Fort Bend County Social Services|ACTIVE</v>
      </c>
      <c r="B316" s="161" t="str">
        <f>IFERROR(__xludf.DUMMYFUNCTION("""COMPUTED_VALUE"""),"Fort Bend County Social Services")</f>
        <v>Fort Bend County Social Services</v>
      </c>
      <c r="C316" s="161" t="str">
        <f>IFERROR(__xludf.DUMMYFUNCTION("""COMPUTED_VALUE"""),"ACTIVE")</f>
        <v>ACTIVE</v>
      </c>
      <c r="E316" s="161" t="s">
        <v>5765</v>
      </c>
      <c r="F316" s="161" t="s">
        <v>42</v>
      </c>
    </row>
    <row r="317">
      <c r="A317" s="132" t="str">
        <f>CONCATENATE(Data!AA318,"|",Data!N318)</f>
        <v>Fort Bend County Social Services|ACTIVE</v>
      </c>
      <c r="B317" s="161" t="str">
        <f>IFERROR(__xludf.DUMMYFUNCTION("""COMPUTED_VALUE"""),"Fort Bend County Social Services")</f>
        <v>Fort Bend County Social Services</v>
      </c>
      <c r="C317" s="161" t="str">
        <f>IFERROR(__xludf.DUMMYFUNCTION("""COMPUTED_VALUE"""),"ACTIVE")</f>
        <v>ACTIVE</v>
      </c>
      <c r="E317" s="161" t="s">
        <v>5769</v>
      </c>
      <c r="F317" s="161" t="s">
        <v>42</v>
      </c>
    </row>
    <row r="318">
      <c r="A318" s="132" t="str">
        <f>CONCATENATE(Data!AA319,"|",Data!N319)</f>
        <v>Fort Bend County Social Services|ACTIVE</v>
      </c>
      <c r="B318" s="161" t="str">
        <f>IFERROR(__xludf.DUMMYFUNCTION("""COMPUTED_VALUE"""),"Fort Bend County Social Services")</f>
        <v>Fort Bend County Social Services</v>
      </c>
      <c r="C318" s="161" t="str">
        <f>IFERROR(__xludf.DUMMYFUNCTION("""COMPUTED_VALUE"""),"ACTIVE")</f>
        <v>ACTIVE</v>
      </c>
      <c r="E318" s="161" t="s">
        <v>5769</v>
      </c>
      <c r="F318" s="161" t="s">
        <v>42</v>
      </c>
    </row>
    <row r="319">
      <c r="A319" s="132" t="str">
        <f>CONCATENATE(Data!AA320,"|",Data!N320)</f>
        <v>Fort Bend County Social Services|ACTIVE</v>
      </c>
      <c r="B319" s="161" t="str">
        <f>IFERROR(__xludf.DUMMYFUNCTION("""COMPUTED_VALUE"""),"Fort Bend County Social Services")</f>
        <v>Fort Bend County Social Services</v>
      </c>
      <c r="C319" s="161" t="str">
        <f>IFERROR(__xludf.DUMMYFUNCTION("""COMPUTED_VALUE"""),"ACTIVE")</f>
        <v>ACTIVE</v>
      </c>
      <c r="E319" s="161" t="s">
        <v>5769</v>
      </c>
      <c r="F319" s="161" t="s">
        <v>42</v>
      </c>
    </row>
    <row r="320">
      <c r="A320" s="132" t="str">
        <f>CONCATENATE(Data!AA321,"|",Data!N321)</f>
        <v>Fort Bend County Social Services|ACTIVE</v>
      </c>
      <c r="B320" s="161" t="str">
        <f>IFERROR(__xludf.DUMMYFUNCTION("""COMPUTED_VALUE"""),"Fort Bend County Social Services")</f>
        <v>Fort Bend County Social Services</v>
      </c>
      <c r="C320" s="161" t="str">
        <f>IFERROR(__xludf.DUMMYFUNCTION("""COMPUTED_VALUE"""),"ACTIVE")</f>
        <v>ACTIVE</v>
      </c>
      <c r="E320" s="161" t="s">
        <v>5769</v>
      </c>
      <c r="F320" s="161" t="s">
        <v>42</v>
      </c>
    </row>
    <row r="321">
      <c r="A321" s="132" t="str">
        <f>CONCATENATE(Data!AA322,"|",Data!N322)</f>
        <v>Fort Bend County Social Services|ACTIVE</v>
      </c>
      <c r="B321" s="161" t="str">
        <f>IFERROR(__xludf.DUMMYFUNCTION("""COMPUTED_VALUE"""),"Fort Bend County Social Services")</f>
        <v>Fort Bend County Social Services</v>
      </c>
      <c r="C321" s="161" t="str">
        <f>IFERROR(__xludf.DUMMYFUNCTION("""COMPUTED_VALUE"""),"ACTIVE")</f>
        <v>ACTIVE</v>
      </c>
      <c r="E321" s="161" t="s">
        <v>5769</v>
      </c>
      <c r="F321" s="161" t="s">
        <v>42</v>
      </c>
    </row>
    <row r="322">
      <c r="A322" s="132" t="str">
        <f>CONCATENATE(Data!AA323,"|",Data!N323)</f>
        <v>Fort Bend County Social Services|ACTIVE</v>
      </c>
      <c r="B322" s="161" t="str">
        <f>IFERROR(__xludf.DUMMYFUNCTION("""COMPUTED_VALUE"""),"Fort Bend County Social Services")</f>
        <v>Fort Bend County Social Services</v>
      </c>
      <c r="C322" s="161" t="str">
        <f>IFERROR(__xludf.DUMMYFUNCTION("""COMPUTED_VALUE"""),"ACTIVE")</f>
        <v>ACTIVE</v>
      </c>
      <c r="E322" s="161" t="s">
        <v>5769</v>
      </c>
      <c r="F322" s="161" t="s">
        <v>42</v>
      </c>
    </row>
    <row r="323">
      <c r="A323" s="132" t="str">
        <f>CONCATENATE(Data!AA324,"|",Data!N324)</f>
        <v>Fort Bend County Social Services|ACTIVE</v>
      </c>
      <c r="B323" s="161" t="str">
        <f>IFERROR(__xludf.DUMMYFUNCTION("""COMPUTED_VALUE"""),"Fort Bend County Social Services")</f>
        <v>Fort Bend County Social Services</v>
      </c>
      <c r="C323" s="161" t="str">
        <f>IFERROR(__xludf.DUMMYFUNCTION("""COMPUTED_VALUE"""),"ACTIVE")</f>
        <v>ACTIVE</v>
      </c>
      <c r="E323" s="161" t="s">
        <v>5769</v>
      </c>
      <c r="F323" s="161" t="s">
        <v>42</v>
      </c>
    </row>
    <row r="324">
      <c r="A324" s="132" t="str">
        <f>CONCATENATE(Data!AA325,"|",Data!N325)</f>
        <v>Fort Bend County Social Services|ACTIVE</v>
      </c>
      <c r="B324" s="161" t="str">
        <f>IFERROR(__xludf.DUMMYFUNCTION("""COMPUTED_VALUE"""),"Fort Bend County Social Services")</f>
        <v>Fort Bend County Social Services</v>
      </c>
      <c r="C324" s="161" t="str">
        <f>IFERROR(__xludf.DUMMYFUNCTION("""COMPUTED_VALUE"""),"ACTIVE")</f>
        <v>ACTIVE</v>
      </c>
      <c r="E324" s="161" t="s">
        <v>5769</v>
      </c>
      <c r="F324" s="161" t="s">
        <v>42</v>
      </c>
    </row>
    <row r="325">
      <c r="A325" s="132" t="str">
        <f>CONCATENATE(Data!AA326,"|",Data!N326)</f>
        <v>Family Promise|ACTIVE</v>
      </c>
      <c r="B325" s="161" t="str">
        <f>IFERROR(__xludf.DUMMYFUNCTION("""COMPUTED_VALUE"""),"Family Promise")</f>
        <v>Family Promise</v>
      </c>
      <c r="C325" s="161" t="str">
        <f>IFERROR(__xludf.DUMMYFUNCTION("""COMPUTED_VALUE"""),"ACTIVE")</f>
        <v>ACTIVE</v>
      </c>
      <c r="E325" s="161" t="s">
        <v>5769</v>
      </c>
      <c r="F325" s="161" t="s">
        <v>42</v>
      </c>
    </row>
    <row r="326">
      <c r="A326" s="132" t="str">
        <f>CONCATENATE(Data!AA327,"|",Data!N327)</f>
        <v>Family Promise|ACTIVE</v>
      </c>
      <c r="B326" s="161" t="str">
        <f>IFERROR(__xludf.DUMMYFUNCTION("""COMPUTED_VALUE"""),"Family Promise")</f>
        <v>Family Promise</v>
      </c>
      <c r="C326" s="161" t="str">
        <f>IFERROR(__xludf.DUMMYFUNCTION("""COMPUTED_VALUE"""),"ACTIVE")</f>
        <v>ACTIVE</v>
      </c>
      <c r="E326" s="161" t="s">
        <v>5769</v>
      </c>
      <c r="F326" s="161" t="s">
        <v>42</v>
      </c>
    </row>
    <row r="327">
      <c r="A327" s="132" t="str">
        <f>CONCATENATE(Data!AA328,"|",Data!N328)</f>
        <v>Family Promise|ACTIVE</v>
      </c>
      <c r="B327" s="161" t="str">
        <f>IFERROR(__xludf.DUMMYFUNCTION("""COMPUTED_VALUE"""),"Family Promise")</f>
        <v>Family Promise</v>
      </c>
      <c r="C327" s="161" t="str">
        <f>IFERROR(__xludf.DUMMYFUNCTION("""COMPUTED_VALUE"""),"ACTIVE")</f>
        <v>ACTIVE</v>
      </c>
      <c r="E327" s="161" t="s">
        <v>5769</v>
      </c>
      <c r="F327" s="161" t="s">
        <v>42</v>
      </c>
    </row>
    <row r="328">
      <c r="A328" s="132" t="str">
        <f>CONCATENATE(Data!AA329,"|",Data!N329)</f>
        <v>Family Promise|ACTIVE</v>
      </c>
      <c r="B328" s="161" t="str">
        <f>IFERROR(__xludf.DUMMYFUNCTION("""COMPUTED_VALUE"""),"Family Promise")</f>
        <v>Family Promise</v>
      </c>
      <c r="C328" s="161" t="str">
        <f>IFERROR(__xludf.DUMMYFUNCTION("""COMPUTED_VALUE"""),"ACTIVE")</f>
        <v>ACTIVE</v>
      </c>
      <c r="E328" s="161" t="s">
        <v>5769</v>
      </c>
      <c r="F328" s="161" t="s">
        <v>42</v>
      </c>
    </row>
    <row r="329">
      <c r="A329" s="132" t="str">
        <f>CONCATENATE(Data!AA330,"|",Data!N330)</f>
        <v>Family Promise|ACTIVE</v>
      </c>
      <c r="B329" s="161" t="str">
        <f>IFERROR(__xludf.DUMMYFUNCTION("""COMPUTED_VALUE"""),"Family Promise")</f>
        <v>Family Promise</v>
      </c>
      <c r="C329" s="161" t="str">
        <f>IFERROR(__xludf.DUMMYFUNCTION("""COMPUTED_VALUE"""),"ACTIVE")</f>
        <v>ACTIVE</v>
      </c>
      <c r="E329" s="161" t="s">
        <v>5769</v>
      </c>
      <c r="F329" s="161" t="s">
        <v>42</v>
      </c>
    </row>
    <row r="330">
      <c r="A330" s="132" t="str">
        <f>CONCATENATE(Data!AA331,"|",Data!N331)</f>
        <v>Family Promise|ACTIVE</v>
      </c>
      <c r="B330" s="161" t="str">
        <f>IFERROR(__xludf.DUMMYFUNCTION("""COMPUTED_VALUE"""),"Family Promise")</f>
        <v>Family Promise</v>
      </c>
      <c r="C330" s="161" t="str">
        <f>IFERROR(__xludf.DUMMYFUNCTION("""COMPUTED_VALUE"""),"ACTIVE")</f>
        <v>ACTIVE</v>
      </c>
      <c r="E330" s="161" t="s">
        <v>5769</v>
      </c>
      <c r="F330" s="161" t="s">
        <v>42</v>
      </c>
    </row>
    <row r="331">
      <c r="A331" s="132" t="str">
        <f>CONCATENATE(Data!AA332,"|",Data!N332)</f>
        <v>Family Promise|ACTIVE</v>
      </c>
      <c r="B331" s="161" t="str">
        <f>IFERROR(__xludf.DUMMYFUNCTION("""COMPUTED_VALUE"""),"Family Promise")</f>
        <v>Family Promise</v>
      </c>
      <c r="C331" s="161" t="str">
        <f>IFERROR(__xludf.DUMMYFUNCTION("""COMPUTED_VALUE"""),"ACTIVE")</f>
        <v>ACTIVE</v>
      </c>
      <c r="E331" s="161" t="s">
        <v>5769</v>
      </c>
      <c r="F331" s="161" t="s">
        <v>42</v>
      </c>
    </row>
    <row r="332">
      <c r="A332" s="132" t="str">
        <f>CONCATENATE(Data!AA333,"|",Data!N333)</f>
        <v>Family Promise|ACTIVE</v>
      </c>
      <c r="B332" s="161" t="str">
        <f>IFERROR(__xludf.DUMMYFUNCTION("""COMPUTED_VALUE"""),"Family Promise")</f>
        <v>Family Promise</v>
      </c>
      <c r="C332" s="161" t="str">
        <f>IFERROR(__xludf.DUMMYFUNCTION("""COMPUTED_VALUE"""),"ACTIVE")</f>
        <v>ACTIVE</v>
      </c>
      <c r="E332" s="161" t="s">
        <v>5769</v>
      </c>
      <c r="F332" s="161" t="s">
        <v>42</v>
      </c>
    </row>
    <row r="333">
      <c r="A333" s="132" t="str">
        <f>CONCATENATE(Data!AA334,"|",Data!N334)</f>
        <v>Family Promise|ACTIVE</v>
      </c>
      <c r="B333" s="161" t="str">
        <f>IFERROR(__xludf.DUMMYFUNCTION("""COMPUTED_VALUE"""),"Family Promise")</f>
        <v>Family Promise</v>
      </c>
      <c r="C333" s="161" t="str">
        <f>IFERROR(__xludf.DUMMYFUNCTION("""COMPUTED_VALUE"""),"ACTIVE")</f>
        <v>ACTIVE</v>
      </c>
      <c r="E333" s="161" t="s">
        <v>5769</v>
      </c>
      <c r="F333" s="161" t="s">
        <v>42</v>
      </c>
    </row>
    <row r="334">
      <c r="A334" s="132" t="str">
        <f>CONCATENATE(Data!AA335,"|",Data!N335)</f>
        <v>Family Promise|ACTIVE</v>
      </c>
      <c r="B334" s="161" t="str">
        <f>IFERROR(__xludf.DUMMYFUNCTION("""COMPUTED_VALUE"""),"Family Promise")</f>
        <v>Family Promise</v>
      </c>
      <c r="C334" s="161" t="str">
        <f>IFERROR(__xludf.DUMMYFUNCTION("""COMPUTED_VALUE"""),"ACTIVE")</f>
        <v>ACTIVE</v>
      </c>
      <c r="E334" s="161" t="s">
        <v>5769</v>
      </c>
      <c r="F334" s="161" t="s">
        <v>42</v>
      </c>
    </row>
    <row r="335">
      <c r="A335" s="132" t="str">
        <f>CONCATENATE(Data!AA336,"|",Data!N336)</f>
        <v>Fort Bend Women's Center|ACTIVE</v>
      </c>
      <c r="B335" s="161" t="str">
        <f>IFERROR(__xludf.DUMMYFUNCTION("""COMPUTED_VALUE"""),"Fort Bend Women's Center")</f>
        <v>Fort Bend Women's Center</v>
      </c>
      <c r="C335" s="161" t="str">
        <f>IFERROR(__xludf.DUMMYFUNCTION("""COMPUTED_VALUE"""),"ACTIVE")</f>
        <v>ACTIVE</v>
      </c>
      <c r="E335" s="161" t="s">
        <v>5769</v>
      </c>
      <c r="F335" s="161" t="s">
        <v>42</v>
      </c>
    </row>
    <row r="336">
      <c r="A336" s="132" t="str">
        <f>CONCATENATE(Data!AA337,"|",Data!N337)</f>
        <v>Freewheels Houston|ACTIVE</v>
      </c>
      <c r="B336" s="161" t="str">
        <f>IFERROR(__xludf.DUMMYFUNCTION("""COMPUTED_VALUE"""),"Freewheels Houston")</f>
        <v>Freewheels Houston</v>
      </c>
      <c r="C336" s="161" t="str">
        <f>IFERROR(__xludf.DUMMYFUNCTION("""COMPUTED_VALUE"""),"ACTIVE")</f>
        <v>ACTIVE</v>
      </c>
      <c r="E336" s="161" t="s">
        <v>5769</v>
      </c>
      <c r="F336" s="161" t="s">
        <v>42</v>
      </c>
    </row>
    <row r="337">
      <c r="A337" s="132" t="str">
        <f>CONCATENATE(Data!AA338,"|",Data!N338)</f>
        <v>God's Garage|INACTIVE</v>
      </c>
      <c r="B337" s="161" t="str">
        <f>IFERROR(__xludf.DUMMYFUNCTION("""COMPUTED_VALUE"""),"God's Garage")</f>
        <v>God's Garage</v>
      </c>
      <c r="C337" s="161" t="str">
        <f>IFERROR(__xludf.DUMMYFUNCTION("""COMPUTED_VALUE"""),"INACTIVE")</f>
        <v>INACTIVE</v>
      </c>
      <c r="E337" s="161" t="s">
        <v>5769</v>
      </c>
      <c r="F337" s="161" t="s">
        <v>42</v>
      </c>
    </row>
    <row r="338">
      <c r="A338" s="132" t="str">
        <f>CONCATENATE(Data!AA339,"|",Data!N339)</f>
        <v>God's Lovely Butterflies Maternity Home|ACTIVE</v>
      </c>
      <c r="B338" s="161" t="str">
        <f>IFERROR(__xludf.DUMMYFUNCTION("""COMPUTED_VALUE"""),"God's Lovely Butterflies Maternity Home")</f>
        <v>God's Lovely Butterflies Maternity Home</v>
      </c>
      <c r="C338" s="161" t="str">
        <f>IFERROR(__xludf.DUMMYFUNCTION("""COMPUTED_VALUE"""),"ACTIVE")</f>
        <v>ACTIVE</v>
      </c>
      <c r="E338" s="161" t="s">
        <v>2055</v>
      </c>
      <c r="F338" s="161" t="s">
        <v>42</v>
      </c>
    </row>
    <row r="339">
      <c r="A339" s="132" t="str">
        <f>CONCATENATE(Data!AA340,"|",Data!N340)</f>
        <v>Good Days|ACTIVE</v>
      </c>
      <c r="B339" s="161" t="str">
        <f>IFERROR(__xludf.DUMMYFUNCTION("""COMPUTED_VALUE"""),"Good Days")</f>
        <v>Good Days</v>
      </c>
      <c r="C339" s="161" t="str">
        <f>IFERROR(__xludf.DUMMYFUNCTION("""COMPUTED_VALUE"""),"ACTIVE")</f>
        <v>ACTIVE</v>
      </c>
      <c r="E339" s="161" t="s">
        <v>2055</v>
      </c>
      <c r="F339" s="161" t="s">
        <v>42</v>
      </c>
    </row>
    <row r="340">
      <c r="A340" s="132" t="str">
        <f>CONCATENATE(Data!AA341,"|",Data!N341)</f>
        <v>Good Shepherd Mission|ACTIVE</v>
      </c>
      <c r="B340" s="161" t="str">
        <f>IFERROR(__xludf.DUMMYFUNCTION("""COMPUTED_VALUE"""),"Good Shepherd Mission")</f>
        <v>Good Shepherd Mission</v>
      </c>
      <c r="C340" s="161" t="str">
        <f>IFERROR(__xludf.DUMMYFUNCTION("""COMPUTED_VALUE"""),"ACTIVE")</f>
        <v>ACTIVE</v>
      </c>
      <c r="E340" s="161" t="s">
        <v>2055</v>
      </c>
      <c r="F340" s="161" t="s">
        <v>42</v>
      </c>
    </row>
    <row r="341">
      <c r="A341" s="132" t="str">
        <f>CONCATENATE(Data!AA342,"|",Data!N342)</f>
        <v>Good Shepherd Mission|ACTIVE</v>
      </c>
      <c r="B341" s="161" t="str">
        <f>IFERROR(__xludf.DUMMYFUNCTION("""COMPUTED_VALUE"""),"Good Shepherd Mission")</f>
        <v>Good Shepherd Mission</v>
      </c>
      <c r="C341" s="161" t="str">
        <f>IFERROR(__xludf.DUMMYFUNCTION("""COMPUTED_VALUE"""),"ACTIVE")</f>
        <v>ACTIVE</v>
      </c>
      <c r="E341" s="161" t="s">
        <v>2055</v>
      </c>
      <c r="F341" s="161" t="s">
        <v>42</v>
      </c>
    </row>
    <row r="342">
      <c r="A342" s="132" t="str">
        <f>CONCATENATE(Data!AA343,"|",Data!N343)</f>
        <v>Good Shepherd Mission|ACTIVE</v>
      </c>
      <c r="B342" s="161" t="str">
        <f>IFERROR(__xludf.DUMMYFUNCTION("""COMPUTED_VALUE"""),"Good Shepherd Mission")</f>
        <v>Good Shepherd Mission</v>
      </c>
      <c r="C342" s="161" t="str">
        <f>IFERROR(__xludf.DUMMYFUNCTION("""COMPUTED_VALUE"""),"ACTIVE")</f>
        <v>ACTIVE</v>
      </c>
      <c r="E342" s="161" t="s">
        <v>2055</v>
      </c>
      <c r="F342" s="161" t="s">
        <v>42</v>
      </c>
    </row>
    <row r="343">
      <c r="A343" s="132" t="str">
        <f>CONCATENATE(Data!AA344,"|",Data!N344)</f>
        <v>Good Shepherd Mission|ACTIVE</v>
      </c>
      <c r="B343" s="161" t="str">
        <f>IFERROR(__xludf.DUMMYFUNCTION("""COMPUTED_VALUE"""),"Good Shepherd Mission")</f>
        <v>Good Shepherd Mission</v>
      </c>
      <c r="C343" s="161" t="str">
        <f>IFERROR(__xludf.DUMMYFUNCTION("""COMPUTED_VALUE"""),"ACTIVE")</f>
        <v>ACTIVE</v>
      </c>
      <c r="E343" s="161" t="s">
        <v>2055</v>
      </c>
      <c r="F343" s="161" t="s">
        <v>42</v>
      </c>
    </row>
    <row r="344">
      <c r="A344" s="132" t="str">
        <f>CONCATENATE(Data!AA345,"|",Data!N345)</f>
        <v>Goodwill Industries|ACTIVE</v>
      </c>
      <c r="B344" s="161" t="str">
        <f>IFERROR(__xludf.DUMMYFUNCTION("""COMPUTED_VALUE"""),"Goodwill Industries")</f>
        <v>Goodwill Industries</v>
      </c>
      <c r="C344" s="161" t="str">
        <f>IFERROR(__xludf.DUMMYFUNCTION("""COMPUTED_VALUE"""),"ACTIVE")</f>
        <v>ACTIVE</v>
      </c>
      <c r="E344" s="161" t="s">
        <v>2055</v>
      </c>
      <c r="F344" s="161" t="s">
        <v>42</v>
      </c>
    </row>
    <row r="345">
      <c r="A345" s="132" t="str">
        <f>CONCATENATE(Data!AA346,"|",Data!N346)</f>
        <v>Grace After Fire|ACTIVE</v>
      </c>
      <c r="B345" s="161" t="str">
        <f>IFERROR(__xludf.DUMMYFUNCTION("""COMPUTED_VALUE"""),"Grace After Fire")</f>
        <v>Grace After Fire</v>
      </c>
      <c r="C345" s="161" t="str">
        <f>IFERROR(__xludf.DUMMYFUNCTION("""COMPUTED_VALUE"""),"ACTIVE")</f>
        <v>ACTIVE</v>
      </c>
      <c r="E345" s="161" t="s">
        <v>2055</v>
      </c>
      <c r="F345" s="161" t="s">
        <v>42</v>
      </c>
    </row>
    <row r="346">
      <c r="A346" s="132" t="str">
        <f>CONCATENATE(Data!AA347,"|",Data!N347)</f>
        <v>Gratia Plena|ACTIVE</v>
      </c>
      <c r="B346" s="161" t="str">
        <f>IFERROR(__xludf.DUMMYFUNCTION("""COMPUTED_VALUE"""),"Gratia Plena")</f>
        <v>Gratia Plena</v>
      </c>
      <c r="C346" s="161" t="str">
        <f>IFERROR(__xludf.DUMMYFUNCTION("""COMPUTED_VALUE"""),"ACTIVE")</f>
        <v>ACTIVE</v>
      </c>
      <c r="E346" s="161" t="s">
        <v>2055</v>
      </c>
      <c r="F346" s="161" t="s">
        <v>42</v>
      </c>
    </row>
    <row r="347">
      <c r="A347" s="132" t="str">
        <f>CONCATENATE(Data!AA348,"|",Data!N348)</f>
        <v>Greater Mt Zion Missionary Baptist Church|ACTIVE</v>
      </c>
      <c r="B347" s="161" t="str">
        <f>IFERROR(__xludf.DUMMYFUNCTION("""COMPUTED_VALUE"""),"Greater Mt Zion Missionary Baptist Church")</f>
        <v>Greater Mt Zion Missionary Baptist Church</v>
      </c>
      <c r="C347" s="161" t="str">
        <f>IFERROR(__xludf.DUMMYFUNCTION("""COMPUTED_VALUE"""),"ACTIVE")</f>
        <v>ACTIVE</v>
      </c>
      <c r="E347" s="161" t="s">
        <v>2055</v>
      </c>
      <c r="F347" s="161" t="s">
        <v>42</v>
      </c>
    </row>
    <row r="348">
      <c r="A348" s="132" t="str">
        <f>CONCATENATE(Data!AA349,"|",Data!N349)</f>
        <v>Gulf Coast Community Services|ACTIVE</v>
      </c>
      <c r="B348" s="161" t="str">
        <f>IFERROR(__xludf.DUMMYFUNCTION("""COMPUTED_VALUE"""),"Gulf Coast Community Services")</f>
        <v>Gulf Coast Community Services</v>
      </c>
      <c r="C348" s="161" t="str">
        <f>IFERROR(__xludf.DUMMYFUNCTION("""COMPUTED_VALUE"""),"ACTIVE")</f>
        <v>ACTIVE</v>
      </c>
      <c r="E348" s="161" t="s">
        <v>2055</v>
      </c>
      <c r="F348" s="161" t="s">
        <v>42</v>
      </c>
    </row>
    <row r="349">
      <c r="A349" s="132" t="str">
        <f>CONCATENATE(Data!AA350,"|",Data!N350)</f>
        <v>Gulf Coast Community Services|ACTIVE</v>
      </c>
      <c r="B349" s="161" t="str">
        <f>IFERROR(__xludf.DUMMYFUNCTION("""COMPUTED_VALUE"""),"Gulf Coast Community Services")</f>
        <v>Gulf Coast Community Services</v>
      </c>
      <c r="C349" s="161" t="str">
        <f>IFERROR(__xludf.DUMMYFUNCTION("""COMPUTED_VALUE"""),"ACTIVE")</f>
        <v>ACTIVE</v>
      </c>
      <c r="E349" s="161" t="s">
        <v>2055</v>
      </c>
      <c r="F349" s="161" t="s">
        <v>42</v>
      </c>
    </row>
    <row r="350">
      <c r="A350" s="132" t="str">
        <f>CONCATENATE(Data!AA351,"|",Data!N351)</f>
        <v>Gulf Coast Community Services|ACTIVE</v>
      </c>
      <c r="B350" s="161" t="str">
        <f>IFERROR(__xludf.DUMMYFUNCTION("""COMPUTED_VALUE"""),"Gulf Coast Community Services")</f>
        <v>Gulf Coast Community Services</v>
      </c>
      <c r="C350" s="161" t="str">
        <f>IFERROR(__xludf.DUMMYFUNCTION("""COMPUTED_VALUE"""),"ACTIVE")</f>
        <v>ACTIVE</v>
      </c>
      <c r="E350" s="161" t="s">
        <v>2055</v>
      </c>
      <c r="F350" s="161" t="s">
        <v>42</v>
      </c>
    </row>
    <row r="351">
      <c r="A351" s="132" t="str">
        <f>CONCATENATE(Data!AA352,"|",Data!N352)</f>
        <v>Gulf Coast Community Services|ACTIVE</v>
      </c>
      <c r="B351" s="161" t="str">
        <f>IFERROR(__xludf.DUMMYFUNCTION("""COMPUTED_VALUE"""),"Gulf Coast Community Services")</f>
        <v>Gulf Coast Community Services</v>
      </c>
      <c r="C351" s="161" t="str">
        <f>IFERROR(__xludf.DUMMYFUNCTION("""COMPUTED_VALUE"""),"ACTIVE")</f>
        <v>ACTIVE</v>
      </c>
      <c r="E351" s="161" t="s">
        <v>2055</v>
      </c>
      <c r="F351" s="161" t="s">
        <v>42</v>
      </c>
    </row>
    <row r="352">
      <c r="A352" s="132" t="str">
        <f>CONCATENATE(Data!AA353,"|",Data!N353)</f>
        <v>Gulf Coast Community Services|ACTIVE</v>
      </c>
      <c r="B352" s="161" t="str">
        <f>IFERROR(__xludf.DUMMYFUNCTION("""COMPUTED_VALUE"""),"Gulf Coast Community Services")</f>
        <v>Gulf Coast Community Services</v>
      </c>
      <c r="C352" s="161" t="str">
        <f>IFERROR(__xludf.DUMMYFUNCTION("""COMPUTED_VALUE"""),"ACTIVE")</f>
        <v>ACTIVE</v>
      </c>
      <c r="E352" s="161" t="s">
        <v>2055</v>
      </c>
      <c r="F352" s="161" t="s">
        <v>42</v>
      </c>
    </row>
    <row r="353">
      <c r="A353" s="132" t="str">
        <f>CONCATENATE(Data!AA354,"|",Data!N354)</f>
        <v>Gulf Coast Community Services|CLOSED</v>
      </c>
      <c r="B353" s="161" t="str">
        <f>IFERROR(__xludf.DUMMYFUNCTION("""COMPUTED_VALUE"""),"Gulf Coast Community Services")</f>
        <v>Gulf Coast Community Services</v>
      </c>
      <c r="C353" s="161" t="str">
        <f>IFERROR(__xludf.DUMMYFUNCTION("""COMPUTED_VALUE"""),"CLOSED")</f>
        <v>CLOSED</v>
      </c>
      <c r="E353" s="161" t="s">
        <v>2055</v>
      </c>
      <c r="F353" s="161" t="s">
        <v>42</v>
      </c>
    </row>
    <row r="354">
      <c r="A354" s="132" t="str">
        <f>CONCATENATE(Data!AA355,"|",Data!N355)</f>
        <v>Halo House Foundation|ACTIVE</v>
      </c>
      <c r="B354" s="161" t="str">
        <f>IFERROR(__xludf.DUMMYFUNCTION("""COMPUTED_VALUE"""),"Halo House Foundation")</f>
        <v>Halo House Foundation</v>
      </c>
      <c r="C354" s="161" t="str">
        <f>IFERROR(__xludf.DUMMYFUNCTION("""COMPUTED_VALUE"""),"ACTIVE")</f>
        <v>ACTIVE</v>
      </c>
      <c r="E354" s="161" t="s">
        <v>2055</v>
      </c>
      <c r="F354" s="161" t="s">
        <v>42</v>
      </c>
    </row>
    <row r="355">
      <c r="A355" s="132" t="str">
        <f>CONCATENATE(Data!AA356,"|",Data!N356)</f>
        <v>Harmony House, Inc.|ACTIVE</v>
      </c>
      <c r="B355" s="161" t="str">
        <f>IFERROR(__xludf.DUMMYFUNCTION("""COMPUTED_VALUE"""),"Harmony House, Inc.")</f>
        <v>Harmony House, Inc.</v>
      </c>
      <c r="C355" s="161" t="str">
        <f>IFERROR(__xludf.DUMMYFUNCTION("""COMPUTED_VALUE"""),"ACTIVE")</f>
        <v>ACTIVE</v>
      </c>
      <c r="E355" s="161" t="s">
        <v>2055</v>
      </c>
      <c r="F355" s="161" t="s">
        <v>42</v>
      </c>
    </row>
    <row r="356">
      <c r="A356" s="132" t="str">
        <f>CONCATENATE(Data!AA357,"|",Data!N357)</f>
        <v>The Harris Center for Mental Health &amp; IDD|ACTIVE</v>
      </c>
      <c r="B356" s="161" t="str">
        <f>IFERROR(__xludf.DUMMYFUNCTION("""COMPUTED_VALUE"""),"The Harris Center for Mental Health &amp; IDD")</f>
        <v>The Harris Center for Mental Health &amp; IDD</v>
      </c>
      <c r="C356" s="161" t="str">
        <f>IFERROR(__xludf.DUMMYFUNCTION("""COMPUTED_VALUE"""),"ACTIVE")</f>
        <v>ACTIVE</v>
      </c>
      <c r="E356" s="161" t="s">
        <v>2055</v>
      </c>
      <c r="F356" s="161" t="s">
        <v>42</v>
      </c>
    </row>
    <row r="357">
      <c r="A357" s="132" t="str">
        <f>CONCATENATE(Data!AA358,"|",Data!N358)</f>
        <v>The Harris Center for Mental Health &amp; IDD|ACTIVE</v>
      </c>
      <c r="B357" s="161" t="str">
        <f>IFERROR(__xludf.DUMMYFUNCTION("""COMPUTED_VALUE"""),"The Harris Center for Mental Health &amp; IDD")</f>
        <v>The Harris Center for Mental Health &amp; IDD</v>
      </c>
      <c r="C357" s="161" t="str">
        <f>IFERROR(__xludf.DUMMYFUNCTION("""COMPUTED_VALUE"""),"ACTIVE")</f>
        <v>ACTIVE</v>
      </c>
      <c r="E357" s="161" t="s">
        <v>2055</v>
      </c>
      <c r="F357" s="161" t="s">
        <v>42</v>
      </c>
    </row>
    <row r="358">
      <c r="A358" s="132" t="str">
        <f>CONCATENATE(Data!AA359,"|",Data!N359)</f>
        <v>The Harris Center for Mental Health &amp; IDD|ACTIVE</v>
      </c>
      <c r="B358" s="161" t="str">
        <f>IFERROR(__xludf.DUMMYFUNCTION("""COMPUTED_VALUE"""),"The Harris Center for Mental Health &amp; IDD")</f>
        <v>The Harris Center for Mental Health &amp; IDD</v>
      </c>
      <c r="C358" s="161" t="str">
        <f>IFERROR(__xludf.DUMMYFUNCTION("""COMPUTED_VALUE"""),"ACTIVE")</f>
        <v>ACTIVE</v>
      </c>
      <c r="E358" s="161" t="s">
        <v>2055</v>
      </c>
      <c r="F358" s="161" t="s">
        <v>42</v>
      </c>
    </row>
    <row r="359">
      <c r="A359" s="132" t="str">
        <f>CONCATENATE(Data!AA360,"|",Data!N360)</f>
        <v>The Harris Center for Mental Health &amp; IDD|ACTIVE</v>
      </c>
      <c r="B359" s="161" t="str">
        <f>IFERROR(__xludf.DUMMYFUNCTION("""COMPUTED_VALUE"""),"The Harris Center for Mental Health &amp; IDD")</f>
        <v>The Harris Center for Mental Health &amp; IDD</v>
      </c>
      <c r="C359" s="161" t="str">
        <f>IFERROR(__xludf.DUMMYFUNCTION("""COMPUTED_VALUE"""),"ACTIVE")</f>
        <v>ACTIVE</v>
      </c>
      <c r="E359" s="161" t="s">
        <v>2055</v>
      </c>
      <c r="F359" s="161" t="s">
        <v>42</v>
      </c>
    </row>
    <row r="360">
      <c r="A360" s="132" t="str">
        <f>CONCATENATE(Data!AA361,"|",Data!N361)</f>
        <v>The Harris Center for Mental Health &amp; IDD|ACTIVE</v>
      </c>
      <c r="B360" s="161" t="str">
        <f>IFERROR(__xludf.DUMMYFUNCTION("""COMPUTED_VALUE"""),"The Harris Center for Mental Health &amp; IDD")</f>
        <v>The Harris Center for Mental Health &amp; IDD</v>
      </c>
      <c r="C360" s="161" t="str">
        <f>IFERROR(__xludf.DUMMYFUNCTION("""COMPUTED_VALUE"""),"ACTIVE")</f>
        <v>ACTIVE</v>
      </c>
      <c r="E360" s="161" t="s">
        <v>2055</v>
      </c>
      <c r="F360" s="161" t="s">
        <v>42</v>
      </c>
    </row>
    <row r="361">
      <c r="A361" s="132" t="str">
        <f>CONCATENATE(Data!AA362,"|",Data!N362)</f>
        <v>The Harris Center for Mental Health &amp; IDD|ACTIVE</v>
      </c>
      <c r="B361" s="161" t="str">
        <f>IFERROR(__xludf.DUMMYFUNCTION("""COMPUTED_VALUE"""),"The Harris Center for Mental Health &amp; IDD")</f>
        <v>The Harris Center for Mental Health &amp; IDD</v>
      </c>
      <c r="C361" s="161" t="str">
        <f>IFERROR(__xludf.DUMMYFUNCTION("""COMPUTED_VALUE"""),"ACTIVE")</f>
        <v>ACTIVE</v>
      </c>
      <c r="E361" s="161" t="s">
        <v>2055</v>
      </c>
      <c r="F361" s="161" t="s">
        <v>42</v>
      </c>
    </row>
    <row r="362">
      <c r="A362" s="132" t="str">
        <f>CONCATENATE(Data!AA363,"|",Data!N363)</f>
        <v>The Harris Center for Mental Health &amp; IDD|ACTIVE</v>
      </c>
      <c r="B362" s="161" t="str">
        <f>IFERROR(__xludf.DUMMYFUNCTION("""COMPUTED_VALUE"""),"The Harris Center for Mental Health &amp; IDD")</f>
        <v>The Harris Center for Mental Health &amp; IDD</v>
      </c>
      <c r="C362" s="161" t="str">
        <f>IFERROR(__xludf.DUMMYFUNCTION("""COMPUTED_VALUE"""),"ACTIVE")</f>
        <v>ACTIVE</v>
      </c>
      <c r="E362" s="161" t="s">
        <v>2055</v>
      </c>
      <c r="F362" s="161" t="s">
        <v>42</v>
      </c>
    </row>
    <row r="363">
      <c r="A363" s="132" t="str">
        <f>CONCATENATE(Data!AA364,"|",Data!N364)</f>
        <v>The Harris Center for Mental Health &amp; IDD|ACTIVE</v>
      </c>
      <c r="B363" s="161" t="str">
        <f>IFERROR(__xludf.DUMMYFUNCTION("""COMPUTED_VALUE"""),"The Harris Center for Mental Health &amp; IDD")</f>
        <v>The Harris Center for Mental Health &amp; IDD</v>
      </c>
      <c r="C363" s="161" t="str">
        <f>IFERROR(__xludf.DUMMYFUNCTION("""COMPUTED_VALUE"""),"ACTIVE")</f>
        <v>ACTIVE</v>
      </c>
      <c r="E363" s="161" t="s">
        <v>2055</v>
      </c>
      <c r="F363" s="161" t="s">
        <v>42</v>
      </c>
    </row>
    <row r="364">
      <c r="A364" s="132" t="str">
        <f>CONCATENATE(Data!AA365,"|",Data!N365)</f>
        <v>The Harris Center for Mental Health &amp; IDD|ACTIVE</v>
      </c>
      <c r="B364" s="161" t="str">
        <f>IFERROR(__xludf.DUMMYFUNCTION("""COMPUTED_VALUE"""),"The Harris Center for Mental Health &amp; IDD")</f>
        <v>The Harris Center for Mental Health &amp; IDD</v>
      </c>
      <c r="C364" s="161" t="str">
        <f>IFERROR(__xludf.DUMMYFUNCTION("""COMPUTED_VALUE"""),"ACTIVE")</f>
        <v>ACTIVE</v>
      </c>
      <c r="E364" s="161" t="s">
        <v>2055</v>
      </c>
      <c r="F364" s="161" t="s">
        <v>42</v>
      </c>
    </row>
    <row r="365">
      <c r="A365" s="132" t="str">
        <f>CONCATENATE(Data!AA366,"|",Data!N366)</f>
        <v>The Harris Center for Mental Health &amp; IDD|ACTIVE</v>
      </c>
      <c r="B365" s="161" t="str">
        <f>IFERROR(__xludf.DUMMYFUNCTION("""COMPUTED_VALUE"""),"The Harris Center for Mental Health &amp; IDD")</f>
        <v>The Harris Center for Mental Health &amp; IDD</v>
      </c>
      <c r="C365" s="161" t="str">
        <f>IFERROR(__xludf.DUMMYFUNCTION("""COMPUTED_VALUE"""),"ACTIVE")</f>
        <v>ACTIVE</v>
      </c>
      <c r="E365" s="161" t="s">
        <v>2055</v>
      </c>
      <c r="F365" s="161" t="s">
        <v>42</v>
      </c>
    </row>
    <row r="366">
      <c r="A366" s="132" t="str">
        <f>CONCATENATE(Data!AA367,"|",Data!N367)</f>
        <v>The Harris Center for Mental Health &amp; IDD|ACTIVE</v>
      </c>
      <c r="B366" s="161" t="str">
        <f>IFERROR(__xludf.DUMMYFUNCTION("""COMPUTED_VALUE"""),"The Harris Center for Mental Health &amp; IDD")</f>
        <v>The Harris Center for Mental Health &amp; IDD</v>
      </c>
      <c r="C366" s="161" t="str">
        <f>IFERROR(__xludf.DUMMYFUNCTION("""COMPUTED_VALUE"""),"ACTIVE")</f>
        <v>ACTIVE</v>
      </c>
      <c r="E366" s="161" t="s">
        <v>2055</v>
      </c>
      <c r="F366" s="161" t="s">
        <v>42</v>
      </c>
    </row>
    <row r="367">
      <c r="A367" s="132" t="str">
        <f>CONCATENATE(Data!AA368,"|",Data!N368)</f>
        <v>The Harris Center for Mental Health &amp; IDD|ACTIVE</v>
      </c>
      <c r="B367" s="161" t="str">
        <f>IFERROR(__xludf.DUMMYFUNCTION("""COMPUTED_VALUE"""),"The Harris Center for Mental Health &amp; IDD")</f>
        <v>The Harris Center for Mental Health &amp; IDD</v>
      </c>
      <c r="C367" s="161" t="str">
        <f>IFERROR(__xludf.DUMMYFUNCTION("""COMPUTED_VALUE"""),"ACTIVE")</f>
        <v>ACTIVE</v>
      </c>
      <c r="E367" s="161" t="s">
        <v>2055</v>
      </c>
      <c r="F367" s="161" t="s">
        <v>42</v>
      </c>
    </row>
    <row r="368">
      <c r="A368" s="132" t="str">
        <f>CONCATENATE(Data!AA369,"|",Data!N369)</f>
        <v>The Harris Center for Mental Health &amp; IDD|ACTIVE</v>
      </c>
      <c r="B368" s="161" t="str">
        <f>IFERROR(__xludf.DUMMYFUNCTION("""COMPUTED_VALUE"""),"The Harris Center for Mental Health &amp; IDD")</f>
        <v>The Harris Center for Mental Health &amp; IDD</v>
      </c>
      <c r="C368" s="161" t="str">
        <f>IFERROR(__xludf.DUMMYFUNCTION("""COMPUTED_VALUE"""),"ACTIVE")</f>
        <v>ACTIVE</v>
      </c>
      <c r="E368" s="161" t="s">
        <v>2055</v>
      </c>
      <c r="F368" s="161" t="s">
        <v>42</v>
      </c>
    </row>
    <row r="369">
      <c r="A369" s="132" t="str">
        <f>CONCATENATE(Data!AA370,"|",Data!N370)</f>
        <v>Harris County|ACTIVE</v>
      </c>
      <c r="B369" s="161" t="str">
        <f>IFERROR(__xludf.DUMMYFUNCTION("""COMPUTED_VALUE"""),"Harris County")</f>
        <v>Harris County</v>
      </c>
      <c r="C369" s="161" t="str">
        <f>IFERROR(__xludf.DUMMYFUNCTION("""COMPUTED_VALUE"""),"ACTIVE")</f>
        <v>ACTIVE</v>
      </c>
      <c r="E369" s="161" t="s">
        <v>2055</v>
      </c>
      <c r="F369" s="161" t="s">
        <v>42</v>
      </c>
    </row>
    <row r="370">
      <c r="A370" s="132" t="str">
        <f>CONCATENATE(Data!AA371,"|",Data!N371)</f>
        <v>Harris County|ACTIVE</v>
      </c>
      <c r="B370" s="161" t="str">
        <f>IFERROR(__xludf.DUMMYFUNCTION("""COMPUTED_VALUE"""),"Harris County")</f>
        <v>Harris County</v>
      </c>
      <c r="C370" s="161" t="str">
        <f>IFERROR(__xludf.DUMMYFUNCTION("""COMPUTED_VALUE"""),"ACTIVE")</f>
        <v>ACTIVE</v>
      </c>
      <c r="E370" s="161" t="s">
        <v>2055</v>
      </c>
      <c r="F370" s="161" t="s">
        <v>42</v>
      </c>
    </row>
    <row r="371">
      <c r="A371" s="132" t="str">
        <f>CONCATENATE(Data!AA372,"|",Data!N372)</f>
        <v>Harris County|ACTIVE</v>
      </c>
      <c r="B371" s="161" t="str">
        <f>IFERROR(__xludf.DUMMYFUNCTION("""COMPUTED_VALUE"""),"Harris County")</f>
        <v>Harris County</v>
      </c>
      <c r="C371" s="161" t="str">
        <f>IFERROR(__xludf.DUMMYFUNCTION("""COMPUTED_VALUE"""),"ACTIVE")</f>
        <v>ACTIVE</v>
      </c>
      <c r="E371" s="161" t="s">
        <v>5770</v>
      </c>
      <c r="F371" s="161" t="s">
        <v>42</v>
      </c>
    </row>
    <row r="372">
      <c r="A372" s="132" t="str">
        <f>CONCATENATE(Data!AA373,"|",Data!N373)</f>
        <v>Harris County|ACTIVE</v>
      </c>
      <c r="B372" s="161" t="str">
        <f>IFERROR(__xludf.DUMMYFUNCTION("""COMPUTED_VALUE"""),"Harris County")</f>
        <v>Harris County</v>
      </c>
      <c r="C372" s="161" t="str">
        <f>IFERROR(__xludf.DUMMYFUNCTION("""COMPUTED_VALUE"""),"ACTIVE")</f>
        <v>ACTIVE</v>
      </c>
      <c r="E372" s="161" t="s">
        <v>5770</v>
      </c>
      <c r="F372" s="161" t="s">
        <v>42</v>
      </c>
    </row>
    <row r="373">
      <c r="A373" s="132" t="str">
        <f>CONCATENATE(Data!AA374,"|",Data!N374)</f>
        <v>Harris County|INACTIVE</v>
      </c>
      <c r="B373" s="161" t="str">
        <f>IFERROR(__xludf.DUMMYFUNCTION("""COMPUTED_VALUE"""),"Harris County")</f>
        <v>Harris County</v>
      </c>
      <c r="C373" s="161" t="str">
        <f>IFERROR(__xludf.DUMMYFUNCTION("""COMPUTED_VALUE"""),"INACTIVE")</f>
        <v>INACTIVE</v>
      </c>
      <c r="E373" s="161" t="s">
        <v>5770</v>
      </c>
      <c r="F373" s="161" t="s">
        <v>42</v>
      </c>
    </row>
    <row r="374">
      <c r="A374" s="132" t="str">
        <f>CONCATENATE(Data!AA375,"|",Data!N375)</f>
        <v>Harris County|ACTIVE</v>
      </c>
      <c r="B374" s="161" t="str">
        <f>IFERROR(__xludf.DUMMYFUNCTION("""COMPUTED_VALUE"""),"Harris County")</f>
        <v>Harris County</v>
      </c>
      <c r="C374" s="161" t="str">
        <f>IFERROR(__xludf.DUMMYFUNCTION("""COMPUTED_VALUE"""),"ACTIVE")</f>
        <v>ACTIVE</v>
      </c>
      <c r="E374" s="161" t="s">
        <v>5770</v>
      </c>
      <c r="F374" s="161" t="s">
        <v>42</v>
      </c>
    </row>
    <row r="375">
      <c r="A375" s="132" t="str">
        <f>CONCATENATE(Data!AA376,"|",Data!N376)</f>
        <v>Harris County|ACTIVE</v>
      </c>
      <c r="B375" s="161" t="str">
        <f>IFERROR(__xludf.DUMMYFUNCTION("""COMPUTED_VALUE"""),"Harris County")</f>
        <v>Harris County</v>
      </c>
      <c r="C375" s="161" t="str">
        <f>IFERROR(__xludf.DUMMYFUNCTION("""COMPUTED_VALUE"""),"ACTIVE")</f>
        <v>ACTIVE</v>
      </c>
      <c r="E375" s="161" t="s">
        <v>5770</v>
      </c>
      <c r="F375" s="161" t="s">
        <v>42</v>
      </c>
    </row>
    <row r="376">
      <c r="A376" s="132" t="str">
        <f>CONCATENATE(Data!AA377,"|",Data!N377)</f>
        <v>Harris County|CLOSED</v>
      </c>
      <c r="B376" s="161" t="str">
        <f>IFERROR(__xludf.DUMMYFUNCTION("""COMPUTED_VALUE"""),"Harris County")</f>
        <v>Harris County</v>
      </c>
      <c r="C376" s="161" t="str">
        <f>IFERROR(__xludf.DUMMYFUNCTION("""COMPUTED_VALUE"""),"CLOSED")</f>
        <v>CLOSED</v>
      </c>
      <c r="E376" s="161" t="s">
        <v>5770</v>
      </c>
      <c r="F376" s="161" t="s">
        <v>42</v>
      </c>
    </row>
    <row r="377">
      <c r="A377" s="132" t="str">
        <f>CONCATENATE(Data!AA378,"|",Data!N378)</f>
        <v>Harris County|ACTIVE</v>
      </c>
      <c r="B377" s="161" t="str">
        <f>IFERROR(__xludf.DUMMYFUNCTION("""COMPUTED_VALUE"""),"Harris County")</f>
        <v>Harris County</v>
      </c>
      <c r="C377" s="161" t="str">
        <f>IFERROR(__xludf.DUMMYFUNCTION("""COMPUTED_VALUE"""),"ACTIVE")</f>
        <v>ACTIVE</v>
      </c>
      <c r="E377" s="161" t="s">
        <v>5770</v>
      </c>
      <c r="F377" s="161" t="s">
        <v>42</v>
      </c>
    </row>
    <row r="378">
      <c r="A378" s="132" t="str">
        <f>CONCATENATE(Data!AA379,"|",Data!N379)</f>
        <v>Harris Health|ACTIVE</v>
      </c>
      <c r="B378" s="161" t="str">
        <f>IFERROR(__xludf.DUMMYFUNCTION("""COMPUTED_VALUE"""),"Harris Health")</f>
        <v>Harris Health</v>
      </c>
      <c r="C378" s="161" t="str">
        <f>IFERROR(__xludf.DUMMYFUNCTION("""COMPUTED_VALUE"""),"ACTIVE")</f>
        <v>ACTIVE</v>
      </c>
      <c r="E378" s="161" t="s">
        <v>5770</v>
      </c>
      <c r="F378" s="161" t="s">
        <v>42</v>
      </c>
    </row>
    <row r="379">
      <c r="A379" s="132" t="str">
        <f>CONCATENATE(Data!AA380,"|",Data!N380)</f>
        <v>Harris Health|ACTIVE</v>
      </c>
      <c r="B379" s="161" t="str">
        <f>IFERROR(__xludf.DUMMYFUNCTION("""COMPUTED_VALUE"""),"Harris Health")</f>
        <v>Harris Health</v>
      </c>
      <c r="C379" s="161" t="str">
        <f>IFERROR(__xludf.DUMMYFUNCTION("""COMPUTED_VALUE"""),"ACTIVE")</f>
        <v>ACTIVE</v>
      </c>
      <c r="E379" s="161" t="s">
        <v>5770</v>
      </c>
      <c r="F379" s="161" t="s">
        <v>42</v>
      </c>
    </row>
    <row r="380">
      <c r="A380" s="132" t="str">
        <f>CONCATENATE(Data!AA381,"|",Data!N381)</f>
        <v>Harris Health|ACTIVE</v>
      </c>
      <c r="B380" s="161" t="str">
        <f>IFERROR(__xludf.DUMMYFUNCTION("""COMPUTED_VALUE"""),"Harris Health")</f>
        <v>Harris Health</v>
      </c>
      <c r="C380" s="161" t="str">
        <f>IFERROR(__xludf.DUMMYFUNCTION("""COMPUTED_VALUE"""),"ACTIVE")</f>
        <v>ACTIVE</v>
      </c>
      <c r="E380" s="161" t="s">
        <v>2287</v>
      </c>
      <c r="F380" s="161" t="s">
        <v>42</v>
      </c>
    </row>
    <row r="381">
      <c r="A381" s="132" t="str">
        <f>CONCATENATE(Data!AA382,"|",Data!N382)</f>
        <v>Harris Health|ACTIVE</v>
      </c>
      <c r="B381" s="161" t="str">
        <f>IFERROR(__xludf.DUMMYFUNCTION("""COMPUTED_VALUE"""),"Harris Health")</f>
        <v>Harris Health</v>
      </c>
      <c r="C381" s="161" t="str">
        <f>IFERROR(__xludf.DUMMYFUNCTION("""COMPUTED_VALUE"""),"ACTIVE")</f>
        <v>ACTIVE</v>
      </c>
      <c r="E381" s="161" t="s">
        <v>2298</v>
      </c>
      <c r="F381" s="161" t="s">
        <v>42</v>
      </c>
    </row>
    <row r="382">
      <c r="A382" s="132" t="str">
        <f>CONCATENATE(Data!AA383,"|",Data!N383)</f>
        <v>Harris Health|ACTIVE</v>
      </c>
      <c r="B382" s="161" t="str">
        <f>IFERROR(__xludf.DUMMYFUNCTION("""COMPUTED_VALUE"""),"Harris Health")</f>
        <v>Harris Health</v>
      </c>
      <c r="C382" s="161" t="str">
        <f>IFERROR(__xludf.DUMMYFUNCTION("""COMPUTED_VALUE"""),"ACTIVE")</f>
        <v>ACTIVE</v>
      </c>
      <c r="E382" s="161" t="s">
        <v>2335</v>
      </c>
      <c r="F382" s="161" t="s">
        <v>42</v>
      </c>
    </row>
    <row r="383">
      <c r="A383" s="132" t="str">
        <f>CONCATENATE(Data!AA384,"|",Data!N384)</f>
        <v>Harris Health|ACTIVE</v>
      </c>
      <c r="B383" s="161" t="str">
        <f>IFERROR(__xludf.DUMMYFUNCTION("""COMPUTED_VALUE"""),"Harris Health")</f>
        <v>Harris Health</v>
      </c>
      <c r="C383" s="161" t="str">
        <f>IFERROR(__xludf.DUMMYFUNCTION("""COMPUTED_VALUE"""),"ACTIVE")</f>
        <v>ACTIVE</v>
      </c>
      <c r="E383" s="161" t="s">
        <v>2361</v>
      </c>
      <c r="F383" s="161" t="s">
        <v>42</v>
      </c>
    </row>
    <row r="384">
      <c r="A384" s="132" t="str">
        <f>CONCATENATE(Data!AA385,"|",Data!N385)</f>
        <v>Harris Health|ACTIVE</v>
      </c>
      <c r="B384" s="161" t="str">
        <f>IFERROR(__xludf.DUMMYFUNCTION("""COMPUTED_VALUE"""),"Harris Health")</f>
        <v>Harris Health</v>
      </c>
      <c r="C384" s="161" t="str">
        <f>IFERROR(__xludf.DUMMYFUNCTION("""COMPUTED_VALUE"""),"ACTIVE")</f>
        <v>ACTIVE</v>
      </c>
      <c r="E384" s="161" t="s">
        <v>2361</v>
      </c>
      <c r="F384" s="161" t="s">
        <v>42</v>
      </c>
    </row>
    <row r="385">
      <c r="A385" s="132" t="str">
        <f>CONCATENATE(Data!AA386,"|",Data!N386)</f>
        <v>Harris Health|ACTIVE</v>
      </c>
      <c r="B385" s="161" t="str">
        <f>IFERROR(__xludf.DUMMYFUNCTION("""COMPUTED_VALUE"""),"Harris Health")</f>
        <v>Harris Health</v>
      </c>
      <c r="C385" s="161" t="str">
        <f>IFERROR(__xludf.DUMMYFUNCTION("""COMPUTED_VALUE"""),"ACTIVE")</f>
        <v>ACTIVE</v>
      </c>
      <c r="E385" s="161" t="s">
        <v>2372</v>
      </c>
      <c r="F385" s="161" t="s">
        <v>42</v>
      </c>
    </row>
    <row r="386">
      <c r="A386" s="132" t="str">
        <f>CONCATENATE(Data!AA387,"|",Data!N387)</f>
        <v>Harris Health|ACTIVE</v>
      </c>
      <c r="B386" s="161" t="str">
        <f>IFERROR(__xludf.DUMMYFUNCTION("""COMPUTED_VALUE"""),"Harris Health")</f>
        <v>Harris Health</v>
      </c>
      <c r="C386" s="161" t="str">
        <f>IFERROR(__xludf.DUMMYFUNCTION("""COMPUTED_VALUE"""),"ACTIVE")</f>
        <v>ACTIVE</v>
      </c>
      <c r="E386" s="161" t="s">
        <v>2372</v>
      </c>
      <c r="F386" s="161" t="s">
        <v>42</v>
      </c>
    </row>
    <row r="387">
      <c r="A387" s="132" t="str">
        <f>CONCATENATE(Data!AA388,"|",Data!N388)</f>
        <v>Harris Health|ACTIVE</v>
      </c>
      <c r="B387" s="161" t="str">
        <f>IFERROR(__xludf.DUMMYFUNCTION("""COMPUTED_VALUE"""),"Harris Health")</f>
        <v>Harris Health</v>
      </c>
      <c r="C387" s="161" t="str">
        <f>IFERROR(__xludf.DUMMYFUNCTION("""COMPUTED_VALUE"""),"ACTIVE")</f>
        <v>ACTIVE</v>
      </c>
      <c r="E387" s="161" t="s">
        <v>2372</v>
      </c>
      <c r="F387" s="161" t="s">
        <v>42</v>
      </c>
    </row>
    <row r="388">
      <c r="A388" s="132" t="str">
        <f>CONCATENATE(Data!AA389,"|",Data!N389)</f>
        <v>Harris Health|ACTIVE</v>
      </c>
      <c r="B388" s="161" t="str">
        <f>IFERROR(__xludf.DUMMYFUNCTION("""COMPUTED_VALUE"""),"Harris Health")</f>
        <v>Harris Health</v>
      </c>
      <c r="C388" s="161" t="str">
        <f>IFERROR(__xludf.DUMMYFUNCTION("""COMPUTED_VALUE"""),"ACTIVE")</f>
        <v>ACTIVE</v>
      </c>
      <c r="E388" s="161" t="s">
        <v>2386</v>
      </c>
      <c r="F388" s="161" t="s">
        <v>42</v>
      </c>
    </row>
    <row r="389">
      <c r="A389" s="132" t="str">
        <f>CONCATENATE(Data!AA390,"|",Data!N390)</f>
        <v>Harris Health|ACTIVE</v>
      </c>
      <c r="B389" s="161" t="str">
        <f>IFERROR(__xludf.DUMMYFUNCTION("""COMPUTED_VALUE"""),"Harris Health")</f>
        <v>Harris Health</v>
      </c>
      <c r="C389" s="161" t="str">
        <f>IFERROR(__xludf.DUMMYFUNCTION("""COMPUTED_VALUE"""),"ACTIVE")</f>
        <v>ACTIVE</v>
      </c>
      <c r="E389" s="161" t="s">
        <v>2396</v>
      </c>
      <c r="F389" s="161" t="s">
        <v>42</v>
      </c>
    </row>
    <row r="390">
      <c r="A390" s="132" t="str">
        <f>CONCATENATE(Data!AA391,"|",Data!N391)</f>
        <v>Harris Health|ACTIVE</v>
      </c>
      <c r="B390" s="161" t="str">
        <f>IFERROR(__xludf.DUMMYFUNCTION("""COMPUTED_VALUE"""),"Harris Health")</f>
        <v>Harris Health</v>
      </c>
      <c r="C390" s="161" t="str">
        <f>IFERROR(__xludf.DUMMYFUNCTION("""COMPUTED_VALUE"""),"ACTIVE")</f>
        <v>ACTIVE</v>
      </c>
      <c r="E390" s="161" t="s">
        <v>2396</v>
      </c>
      <c r="F390" s="161" t="s">
        <v>42</v>
      </c>
    </row>
    <row r="391">
      <c r="A391" s="132" t="str">
        <f>CONCATENATE(Data!AA392,"|",Data!N392)</f>
        <v>Harris Health|ACTIVE</v>
      </c>
      <c r="B391" s="161" t="str">
        <f>IFERROR(__xludf.DUMMYFUNCTION("""COMPUTED_VALUE"""),"Harris Health")</f>
        <v>Harris Health</v>
      </c>
      <c r="C391" s="161" t="str">
        <f>IFERROR(__xludf.DUMMYFUNCTION("""COMPUTED_VALUE"""),"ACTIVE")</f>
        <v>ACTIVE</v>
      </c>
      <c r="E391" s="161" t="s">
        <v>2396</v>
      </c>
      <c r="F391" s="161" t="s">
        <v>42</v>
      </c>
    </row>
    <row r="392">
      <c r="A392" s="132" t="str">
        <f>CONCATENATE(Data!AA393,"|",Data!N393)</f>
        <v>Harris Health|ACTIVE</v>
      </c>
      <c r="B392" s="161" t="str">
        <f>IFERROR(__xludf.DUMMYFUNCTION("""COMPUTED_VALUE"""),"Harris Health")</f>
        <v>Harris Health</v>
      </c>
      <c r="C392" s="161" t="str">
        <f>IFERROR(__xludf.DUMMYFUNCTION("""COMPUTED_VALUE"""),"ACTIVE")</f>
        <v>ACTIVE</v>
      </c>
      <c r="E392" s="161" t="s">
        <v>2410</v>
      </c>
      <c r="F392" s="161" t="s">
        <v>42</v>
      </c>
    </row>
    <row r="393">
      <c r="A393" s="132" t="str">
        <f>CONCATENATE(Data!AA394,"|",Data!N394)</f>
        <v>Harris Health|ACTIVE</v>
      </c>
      <c r="B393" s="161" t="str">
        <f>IFERROR(__xludf.DUMMYFUNCTION("""COMPUTED_VALUE"""),"Harris Health")</f>
        <v>Harris Health</v>
      </c>
      <c r="C393" s="161" t="str">
        <f>IFERROR(__xludf.DUMMYFUNCTION("""COMPUTED_VALUE"""),"ACTIVE")</f>
        <v>ACTIVE</v>
      </c>
      <c r="E393" s="161" t="s">
        <v>2428</v>
      </c>
      <c r="F393" s="161" t="s">
        <v>42</v>
      </c>
    </row>
    <row r="394">
      <c r="A394" s="132" t="str">
        <f>CONCATENATE(Data!AA395,"|",Data!N395)</f>
        <v>Harris Health|ACTIVE</v>
      </c>
      <c r="B394" s="161" t="str">
        <f>IFERROR(__xludf.DUMMYFUNCTION("""COMPUTED_VALUE"""),"Harris Health")</f>
        <v>Harris Health</v>
      </c>
      <c r="C394" s="161" t="str">
        <f>IFERROR(__xludf.DUMMYFUNCTION("""COMPUTED_VALUE"""),"ACTIVE")</f>
        <v>ACTIVE</v>
      </c>
      <c r="E394" s="161" t="s">
        <v>2434</v>
      </c>
      <c r="F394" s="161" t="s">
        <v>42</v>
      </c>
    </row>
    <row r="395">
      <c r="A395" s="132" t="str">
        <f>CONCATENATE(Data!AA396,"|",Data!N396)</f>
        <v>Harris Health|ACTIVE</v>
      </c>
      <c r="B395" s="161" t="str">
        <f>IFERROR(__xludf.DUMMYFUNCTION("""COMPUTED_VALUE"""),"Harris Health")</f>
        <v>Harris Health</v>
      </c>
      <c r="C395" s="161" t="str">
        <f>IFERROR(__xludf.DUMMYFUNCTION("""COMPUTED_VALUE"""),"ACTIVE")</f>
        <v>ACTIVE</v>
      </c>
      <c r="E395" s="161" t="s">
        <v>2444</v>
      </c>
      <c r="F395" s="161" t="s">
        <v>42</v>
      </c>
    </row>
    <row r="396">
      <c r="A396" s="132" t="str">
        <f>CONCATENATE(Data!AA397,"|",Data!N397)</f>
        <v>Harris Health|ACTIVE</v>
      </c>
      <c r="B396" s="161" t="str">
        <f>IFERROR(__xludf.DUMMYFUNCTION("""COMPUTED_VALUE"""),"Harris Health")</f>
        <v>Harris Health</v>
      </c>
      <c r="C396" s="161" t="str">
        <f>IFERROR(__xludf.DUMMYFUNCTION("""COMPUTED_VALUE"""),"ACTIVE")</f>
        <v>ACTIVE</v>
      </c>
      <c r="E396" s="161" t="s">
        <v>2444</v>
      </c>
      <c r="F396" s="161" t="s">
        <v>42</v>
      </c>
    </row>
    <row r="397">
      <c r="A397" s="132" t="str">
        <f>CONCATENATE(Data!AA398,"|",Data!N398)</f>
        <v>Harris Health|ACTIVE</v>
      </c>
      <c r="B397" s="161" t="str">
        <f>IFERROR(__xludf.DUMMYFUNCTION("""COMPUTED_VALUE"""),"Harris Health")</f>
        <v>Harris Health</v>
      </c>
      <c r="C397" s="161" t="str">
        <f>IFERROR(__xludf.DUMMYFUNCTION("""COMPUTED_VALUE"""),"ACTIVE")</f>
        <v>ACTIVE</v>
      </c>
      <c r="E397" s="161" t="s">
        <v>2444</v>
      </c>
      <c r="F397" s="161" t="s">
        <v>42</v>
      </c>
    </row>
    <row r="398">
      <c r="A398" s="132" t="str">
        <f>CONCATENATE(Data!AA399,"|",Data!N399)</f>
        <v>Harris Health|ACTIVE</v>
      </c>
      <c r="B398" s="161" t="str">
        <f>IFERROR(__xludf.DUMMYFUNCTION("""COMPUTED_VALUE"""),"Harris Health")</f>
        <v>Harris Health</v>
      </c>
      <c r="C398" s="161" t="str">
        <f>IFERROR(__xludf.DUMMYFUNCTION("""COMPUTED_VALUE"""),"ACTIVE")</f>
        <v>ACTIVE</v>
      </c>
      <c r="E398" s="161" t="s">
        <v>2444</v>
      </c>
      <c r="F398" s="161" t="s">
        <v>42</v>
      </c>
    </row>
    <row r="399">
      <c r="A399" s="132" t="str">
        <f>CONCATENATE(Data!AA400,"|",Data!N400)</f>
        <v>Harris Health|ACTIVE</v>
      </c>
      <c r="B399" s="161" t="str">
        <f>IFERROR(__xludf.DUMMYFUNCTION("""COMPUTED_VALUE"""),"Harris Health")</f>
        <v>Harris Health</v>
      </c>
      <c r="C399" s="161" t="str">
        <f>IFERROR(__xludf.DUMMYFUNCTION("""COMPUTED_VALUE"""),"ACTIVE")</f>
        <v>ACTIVE</v>
      </c>
      <c r="E399" s="161" t="s">
        <v>2444</v>
      </c>
      <c r="F399" s="161" t="s">
        <v>42</v>
      </c>
    </row>
    <row r="400">
      <c r="A400" s="132" t="str">
        <f>CONCATENATE(Data!AA401,"|",Data!N401)</f>
        <v>Harris Health|ACTIVE</v>
      </c>
      <c r="B400" s="161" t="str">
        <f>IFERROR(__xludf.DUMMYFUNCTION("""COMPUTED_VALUE"""),"Harris Health")</f>
        <v>Harris Health</v>
      </c>
      <c r="C400" s="161" t="str">
        <f>IFERROR(__xludf.DUMMYFUNCTION("""COMPUTED_VALUE"""),"ACTIVE")</f>
        <v>ACTIVE</v>
      </c>
      <c r="E400" s="161" t="s">
        <v>5895</v>
      </c>
      <c r="F400" s="161" t="s">
        <v>42</v>
      </c>
    </row>
    <row r="401">
      <c r="A401" s="132" t="str">
        <f>CONCATENATE(Data!AA402,"|",Data!N402)</f>
        <v>Harris Health|ACTIVE</v>
      </c>
      <c r="B401" s="161" t="str">
        <f>IFERROR(__xludf.DUMMYFUNCTION("""COMPUTED_VALUE"""),"Harris Health")</f>
        <v>Harris Health</v>
      </c>
      <c r="C401" s="161" t="str">
        <f>IFERROR(__xludf.DUMMYFUNCTION("""COMPUTED_VALUE"""),"ACTIVE")</f>
        <v>ACTIVE</v>
      </c>
      <c r="E401" s="161" t="s">
        <v>2469</v>
      </c>
      <c r="F401" s="161" t="s">
        <v>42</v>
      </c>
    </row>
    <row r="402">
      <c r="A402" s="132" t="str">
        <f>CONCATENATE(Data!AA403,"|",Data!N403)</f>
        <v>Harris Health|ACTIVE</v>
      </c>
      <c r="B402" s="161" t="str">
        <f>IFERROR(__xludf.DUMMYFUNCTION("""COMPUTED_VALUE"""),"Harris Health")</f>
        <v>Harris Health</v>
      </c>
      <c r="C402" s="161" t="str">
        <f>IFERROR(__xludf.DUMMYFUNCTION("""COMPUTED_VALUE"""),"ACTIVE")</f>
        <v>ACTIVE</v>
      </c>
      <c r="E402" s="161" t="s">
        <v>2473</v>
      </c>
      <c r="F402" s="161" t="s">
        <v>42</v>
      </c>
    </row>
    <row r="403">
      <c r="A403" s="132" t="str">
        <f>CONCATENATE(Data!AA404,"|",Data!N404)</f>
        <v>Harris Health|ACTIVE</v>
      </c>
      <c r="B403" s="161" t="str">
        <f>IFERROR(__xludf.DUMMYFUNCTION("""COMPUTED_VALUE"""),"Harris Health")</f>
        <v>Harris Health</v>
      </c>
      <c r="C403" s="161" t="str">
        <f>IFERROR(__xludf.DUMMYFUNCTION("""COMPUTED_VALUE"""),"ACTIVE")</f>
        <v>ACTIVE</v>
      </c>
      <c r="E403" s="161" t="s">
        <v>2484</v>
      </c>
      <c r="F403" s="161" t="s">
        <v>42</v>
      </c>
    </row>
    <row r="404">
      <c r="A404" s="132" t="str">
        <f>CONCATENATE(Data!AA405,"|",Data!N405)</f>
        <v>Harris Health|ACTIVE</v>
      </c>
      <c r="B404" s="161" t="str">
        <f>IFERROR(__xludf.DUMMYFUNCTION("""COMPUTED_VALUE"""),"Harris Health")</f>
        <v>Harris Health</v>
      </c>
      <c r="C404" s="161" t="str">
        <f>IFERROR(__xludf.DUMMYFUNCTION("""COMPUTED_VALUE"""),"ACTIVE")</f>
        <v>ACTIVE</v>
      </c>
      <c r="E404" s="161" t="s">
        <v>2484</v>
      </c>
      <c r="F404" s="161" t="s">
        <v>42</v>
      </c>
    </row>
    <row r="405">
      <c r="A405" s="132" t="str">
        <f>CONCATENATE(Data!AA406,"|",Data!N406)</f>
        <v>Harris Health|ACTIVE</v>
      </c>
      <c r="B405" s="161" t="str">
        <f>IFERROR(__xludf.DUMMYFUNCTION("""COMPUTED_VALUE"""),"Harris Health")</f>
        <v>Harris Health</v>
      </c>
      <c r="C405" s="161" t="str">
        <f>IFERROR(__xludf.DUMMYFUNCTION("""COMPUTED_VALUE"""),"ACTIVE")</f>
        <v>ACTIVE</v>
      </c>
      <c r="E405" s="161" t="s">
        <v>2484</v>
      </c>
      <c r="F405" s="161" t="s">
        <v>42</v>
      </c>
    </row>
    <row r="406">
      <c r="A406" s="132" t="str">
        <f>CONCATENATE(Data!AA407,"|",Data!N407)</f>
        <v>Harris Health|ACTIVE</v>
      </c>
      <c r="B406" s="161" t="str">
        <f>IFERROR(__xludf.DUMMYFUNCTION("""COMPUTED_VALUE"""),"Harris Health")</f>
        <v>Harris Health</v>
      </c>
      <c r="C406" s="161" t="str">
        <f>IFERROR(__xludf.DUMMYFUNCTION("""COMPUTED_VALUE"""),"ACTIVE")</f>
        <v>ACTIVE</v>
      </c>
      <c r="E406" s="161" t="s">
        <v>2484</v>
      </c>
      <c r="F406" s="161" t="s">
        <v>42</v>
      </c>
    </row>
    <row r="407">
      <c r="A407" s="132" t="str">
        <f>CONCATENATE(Data!AA408,"|",Data!N408)</f>
        <v>Harris Health|ACTIVE</v>
      </c>
      <c r="B407" s="161" t="str">
        <f>IFERROR(__xludf.DUMMYFUNCTION("""COMPUTED_VALUE"""),"Harris Health")</f>
        <v>Harris Health</v>
      </c>
      <c r="C407" s="161" t="str">
        <f>IFERROR(__xludf.DUMMYFUNCTION("""COMPUTED_VALUE"""),"ACTIVE")</f>
        <v>ACTIVE</v>
      </c>
      <c r="E407" s="161" t="s">
        <v>2484</v>
      </c>
      <c r="F407" s="161" t="s">
        <v>42</v>
      </c>
    </row>
    <row r="408">
      <c r="A408" s="132" t="str">
        <f>CONCATENATE(Data!AA409,"|",Data!N409)</f>
        <v>Harris Health|ACTIVE</v>
      </c>
      <c r="B408" s="161" t="str">
        <f>IFERROR(__xludf.DUMMYFUNCTION("""COMPUTED_VALUE"""),"Harris Health")</f>
        <v>Harris Health</v>
      </c>
      <c r="C408" s="161" t="str">
        <f>IFERROR(__xludf.DUMMYFUNCTION("""COMPUTED_VALUE"""),"ACTIVE")</f>
        <v>ACTIVE</v>
      </c>
      <c r="E408" s="161" t="s">
        <v>2513</v>
      </c>
      <c r="F408" s="161" t="s">
        <v>42</v>
      </c>
    </row>
    <row r="409">
      <c r="A409" s="132" t="str">
        <f>CONCATENATE(Data!AA410,"|",Data!N410)</f>
        <v>Harris Health|ACTIVE</v>
      </c>
      <c r="B409" s="161" t="str">
        <f>IFERROR(__xludf.DUMMYFUNCTION("""COMPUTED_VALUE"""),"Harris Health")</f>
        <v>Harris Health</v>
      </c>
      <c r="C409" s="161" t="str">
        <f>IFERROR(__xludf.DUMMYFUNCTION("""COMPUTED_VALUE"""),"ACTIVE")</f>
        <v>ACTIVE</v>
      </c>
      <c r="E409" s="161" t="s">
        <v>2513</v>
      </c>
      <c r="F409" s="161" t="s">
        <v>42</v>
      </c>
    </row>
    <row r="410">
      <c r="A410" s="132" t="str">
        <f>CONCATENATE(Data!AA411,"|",Data!N411)</f>
        <v>Harris Health|ACTIVE</v>
      </c>
      <c r="B410" s="161" t="str">
        <f>IFERROR(__xludf.DUMMYFUNCTION("""COMPUTED_VALUE"""),"Harris Health")</f>
        <v>Harris Health</v>
      </c>
      <c r="C410" s="161" t="str">
        <f>IFERROR(__xludf.DUMMYFUNCTION("""COMPUTED_VALUE"""),"ACTIVE")</f>
        <v>ACTIVE</v>
      </c>
      <c r="E410" s="161" t="s">
        <v>2523</v>
      </c>
      <c r="F410" s="161" t="s">
        <v>42</v>
      </c>
    </row>
    <row r="411">
      <c r="A411" s="132" t="str">
        <f>CONCATENATE(Data!AA412,"|",Data!N412)</f>
        <v>Healthcare For The Homeless|ACTIVE</v>
      </c>
      <c r="B411" s="161" t="str">
        <f>IFERROR(__xludf.DUMMYFUNCTION("""COMPUTED_VALUE"""),"Healthcare For The Homeless")</f>
        <v>Healthcare For The Homeless</v>
      </c>
      <c r="C411" s="161" t="str">
        <f>IFERROR(__xludf.DUMMYFUNCTION("""COMPUTED_VALUE"""),"ACTIVE")</f>
        <v>ACTIVE</v>
      </c>
      <c r="E411" s="161" t="s">
        <v>2530</v>
      </c>
      <c r="F411" s="161" t="s">
        <v>42</v>
      </c>
    </row>
    <row r="412">
      <c r="A412" s="132" t="str">
        <f>CONCATENATE(Data!AA413,"|",Data!N413)</f>
        <v>Healthcare For The Homeless|ACTIVE</v>
      </c>
      <c r="B412" s="161" t="str">
        <f>IFERROR(__xludf.DUMMYFUNCTION("""COMPUTED_VALUE"""),"Healthcare For The Homeless")</f>
        <v>Healthcare For The Homeless</v>
      </c>
      <c r="C412" s="161" t="str">
        <f>IFERROR(__xludf.DUMMYFUNCTION("""COMPUTED_VALUE"""),"ACTIVE")</f>
        <v>ACTIVE</v>
      </c>
      <c r="E412" s="161" t="s">
        <v>2541</v>
      </c>
      <c r="F412" s="161" t="s">
        <v>42</v>
      </c>
    </row>
    <row r="413">
      <c r="A413" s="132" t="str">
        <f>CONCATENATE(Data!AA414,"|",Data!N414)</f>
        <v>Healthcare For The Homeless|ACTIVE</v>
      </c>
      <c r="B413" s="161" t="str">
        <f>IFERROR(__xludf.DUMMYFUNCTION("""COMPUTED_VALUE"""),"Healthcare For The Homeless")</f>
        <v>Healthcare For The Homeless</v>
      </c>
      <c r="C413" s="161" t="str">
        <f>IFERROR(__xludf.DUMMYFUNCTION("""COMPUTED_VALUE"""),"ACTIVE")</f>
        <v>ACTIVE</v>
      </c>
      <c r="E413" s="161" t="s">
        <v>2548</v>
      </c>
      <c r="F413" s="161" t="s">
        <v>42</v>
      </c>
    </row>
    <row r="414">
      <c r="A414" s="132" t="str">
        <f>CONCATENATE(Data!AA415,"|",Data!N415)</f>
        <v>Healthcare For The Homeless|ACTIVE</v>
      </c>
      <c r="B414" s="161" t="str">
        <f>IFERROR(__xludf.DUMMYFUNCTION("""COMPUTED_VALUE"""),"Healthcare For The Homeless")</f>
        <v>Healthcare For The Homeless</v>
      </c>
      <c r="C414" s="161" t="str">
        <f>IFERROR(__xludf.DUMMYFUNCTION("""COMPUTED_VALUE"""),"ACTIVE")</f>
        <v>ACTIVE</v>
      </c>
      <c r="E414" s="161" t="s">
        <v>2554</v>
      </c>
      <c r="F414" s="161" t="s">
        <v>42</v>
      </c>
    </row>
    <row r="415">
      <c r="A415" s="132" t="str">
        <f>CONCATENATE(Data!AA416,"|",Data!N416)</f>
        <v>Healthcare For The Homeless|ACTIVE</v>
      </c>
      <c r="B415" s="161" t="str">
        <f>IFERROR(__xludf.DUMMYFUNCTION("""COMPUTED_VALUE"""),"Healthcare For The Homeless")</f>
        <v>Healthcare For The Homeless</v>
      </c>
      <c r="C415" s="161" t="str">
        <f>IFERROR(__xludf.DUMMYFUNCTION("""COMPUTED_VALUE"""),"ACTIVE")</f>
        <v>ACTIVE</v>
      </c>
      <c r="E415" s="161" t="s">
        <v>2561</v>
      </c>
      <c r="F415" s="161" t="s">
        <v>42</v>
      </c>
    </row>
    <row r="416">
      <c r="A416" s="132" t="str">
        <f>CONCATENATE(Data!AA417,"|",Data!N417)</f>
        <v>Healthcare For The Homeless|ACTIVE</v>
      </c>
      <c r="B416" s="161" t="str">
        <f>IFERROR(__xludf.DUMMYFUNCTION("""COMPUTED_VALUE"""),"Healthcare For The Homeless")</f>
        <v>Healthcare For The Homeless</v>
      </c>
      <c r="C416" s="161" t="str">
        <f>IFERROR(__xludf.DUMMYFUNCTION("""COMPUTED_VALUE"""),"ACTIVE")</f>
        <v>ACTIVE</v>
      </c>
      <c r="E416" s="161" t="s">
        <v>2569</v>
      </c>
      <c r="F416" s="161" t="s">
        <v>42</v>
      </c>
    </row>
    <row r="417">
      <c r="A417" s="132" t="str">
        <f>CONCATENATE(Data!AA418,"|",Data!N418)</f>
        <v>Healthcare For The Homeless|ACTIVE</v>
      </c>
      <c r="B417" s="161" t="str">
        <f>IFERROR(__xludf.DUMMYFUNCTION("""COMPUTED_VALUE"""),"Healthcare For The Homeless")</f>
        <v>Healthcare For The Homeless</v>
      </c>
      <c r="C417" s="161" t="str">
        <f>IFERROR(__xludf.DUMMYFUNCTION("""COMPUTED_VALUE"""),"ACTIVE")</f>
        <v>ACTIVE</v>
      </c>
      <c r="E417" s="161" t="s">
        <v>2569</v>
      </c>
      <c r="F417" s="161" t="s">
        <v>42</v>
      </c>
    </row>
    <row r="418">
      <c r="A418" s="132" t="str">
        <f>CONCATENATE(Data!AA419,"|",Data!N419)</f>
        <v>Healthcare For The Homeless|ACTIVE</v>
      </c>
      <c r="B418" s="161" t="str">
        <f>IFERROR(__xludf.DUMMYFUNCTION("""COMPUTED_VALUE"""),"Healthcare For The Homeless")</f>
        <v>Healthcare For The Homeless</v>
      </c>
      <c r="C418" s="161" t="str">
        <f>IFERROR(__xludf.DUMMYFUNCTION("""COMPUTED_VALUE"""),"ACTIVE")</f>
        <v>ACTIVE</v>
      </c>
      <c r="E418" s="161" t="s">
        <v>2569</v>
      </c>
      <c r="F418" s="161" t="s">
        <v>42</v>
      </c>
    </row>
    <row r="419">
      <c r="A419" s="132" t="str">
        <f>CONCATENATE(Data!AA420,"|",Data!N420)</f>
        <v>Healthcare For The Homeless|ACTIVE</v>
      </c>
      <c r="B419" s="161" t="str">
        <f>IFERROR(__xludf.DUMMYFUNCTION("""COMPUTED_VALUE"""),"Healthcare For The Homeless")</f>
        <v>Healthcare For The Homeless</v>
      </c>
      <c r="C419" s="161" t="str">
        <f>IFERROR(__xludf.DUMMYFUNCTION("""COMPUTED_VALUE"""),"ACTIVE")</f>
        <v>ACTIVE</v>
      </c>
      <c r="E419" s="161" t="s">
        <v>2569</v>
      </c>
      <c r="F419" s="161" t="s">
        <v>42</v>
      </c>
    </row>
    <row r="420">
      <c r="A420" s="132" t="str">
        <f>CONCATENATE(Data!AA421,"|",Data!N421)</f>
        <v>Healthwell Foundation|ACTIVE</v>
      </c>
      <c r="B420" s="161" t="str">
        <f>IFERROR(__xludf.DUMMYFUNCTION("""COMPUTED_VALUE"""),"Healthwell Foundation")</f>
        <v>Healthwell Foundation</v>
      </c>
      <c r="C420" s="161" t="str">
        <f>IFERROR(__xludf.DUMMYFUNCTION("""COMPUTED_VALUE"""),"ACTIVE")</f>
        <v>ACTIVE</v>
      </c>
      <c r="E420" s="161" t="s">
        <v>2569</v>
      </c>
      <c r="F420" s="161" t="s">
        <v>42</v>
      </c>
    </row>
    <row r="421">
      <c r="A421" s="132" t="str">
        <f>CONCATENATE(Data!AA422,"|",Data!N422)</f>
        <v>Heights Interfaith Ministries|ACTIVE</v>
      </c>
      <c r="B421" s="161" t="str">
        <f>IFERROR(__xludf.DUMMYFUNCTION("""COMPUTED_VALUE"""),"Heights Interfaith Ministries")</f>
        <v>Heights Interfaith Ministries</v>
      </c>
      <c r="C421" s="161" t="str">
        <f>IFERROR(__xludf.DUMMYFUNCTION("""COMPUTED_VALUE"""),"ACTIVE")</f>
        <v>ACTIVE</v>
      </c>
      <c r="E421" s="161" t="s">
        <v>2569</v>
      </c>
      <c r="F421" s="161" t="s">
        <v>42</v>
      </c>
    </row>
    <row r="422">
      <c r="A422" s="132" t="str">
        <f>CONCATENATE(Data!AA423,"|",Data!N423)</f>
        <v>City of Houston|ACTIVE</v>
      </c>
      <c r="B422" s="161" t="str">
        <f>IFERROR(__xludf.DUMMYFUNCTION("""COMPUTED_VALUE"""),"City of Houston")</f>
        <v>City of Houston</v>
      </c>
      <c r="C422" s="161" t="str">
        <f>IFERROR(__xludf.DUMMYFUNCTION("""COMPUTED_VALUE"""),"ACTIVE")</f>
        <v>ACTIVE</v>
      </c>
      <c r="E422" s="161" t="s">
        <v>2569</v>
      </c>
      <c r="F422" s="161" t="s">
        <v>42</v>
      </c>
    </row>
    <row r="423">
      <c r="A423" s="132" t="str">
        <f>CONCATENATE(Data!AA424,"|",Data!N424)</f>
        <v>Society of St Vincent de Paul|ACTIVE</v>
      </c>
      <c r="B423" s="161" t="str">
        <f>IFERROR(__xludf.DUMMYFUNCTION("""COMPUTED_VALUE"""),"Society of St Vincent de Paul")</f>
        <v>Society of St Vincent de Paul</v>
      </c>
      <c r="C423" s="161" t="str">
        <f>IFERROR(__xludf.DUMMYFUNCTION("""COMPUTED_VALUE"""),"ACTIVE")</f>
        <v>ACTIVE</v>
      </c>
      <c r="E423" s="161" t="s">
        <v>2589</v>
      </c>
      <c r="F423" s="161" t="s">
        <v>42</v>
      </c>
    </row>
    <row r="424">
      <c r="A424" s="132" t="str">
        <f>CONCATENATE(Data!AA425,"|",Data!N425)</f>
        <v>Society of St Vincent de Paul|ACTIVE</v>
      </c>
      <c r="B424" s="161" t="str">
        <f>IFERROR(__xludf.DUMMYFUNCTION("""COMPUTED_VALUE"""),"Society of St Vincent de Paul")</f>
        <v>Society of St Vincent de Paul</v>
      </c>
      <c r="C424" s="161" t="str">
        <f>IFERROR(__xludf.DUMMYFUNCTION("""COMPUTED_VALUE"""),"ACTIVE")</f>
        <v>ACTIVE</v>
      </c>
      <c r="E424" s="161" t="s">
        <v>2599</v>
      </c>
      <c r="F424" s="161" t="s">
        <v>42</v>
      </c>
    </row>
    <row r="425">
      <c r="A425" s="132" t="str">
        <f>CONCATENATE(Data!AA426,"|",Data!N426)</f>
        <v>Society of St Vincent de Paul|ACTIVE</v>
      </c>
      <c r="B425" s="161" t="str">
        <f>IFERROR(__xludf.DUMMYFUNCTION("""COMPUTED_VALUE"""),"Society of St Vincent de Paul")</f>
        <v>Society of St Vincent de Paul</v>
      </c>
      <c r="C425" s="161" t="str">
        <f>IFERROR(__xludf.DUMMYFUNCTION("""COMPUTED_VALUE"""),"ACTIVE")</f>
        <v>ACTIVE</v>
      </c>
      <c r="E425" s="161" t="s">
        <v>2606</v>
      </c>
      <c r="F425" s="161" t="s">
        <v>42</v>
      </c>
    </row>
    <row r="426">
      <c r="A426" s="132" t="str">
        <f>CONCATENATE(Data!AA427,"|",Data!N427)</f>
        <v>Society of St Vincent de Paul|ACTIVE</v>
      </c>
      <c r="B426" s="161" t="str">
        <f>IFERROR(__xludf.DUMMYFUNCTION("""COMPUTED_VALUE"""),"Society of St Vincent de Paul")</f>
        <v>Society of St Vincent de Paul</v>
      </c>
      <c r="C426" s="161" t="str">
        <f>IFERROR(__xludf.DUMMYFUNCTION("""COMPUTED_VALUE"""),"ACTIVE")</f>
        <v>ACTIVE</v>
      </c>
      <c r="E426" s="161" t="s">
        <v>2606</v>
      </c>
      <c r="F426" s="161" t="s">
        <v>42</v>
      </c>
    </row>
    <row r="427">
      <c r="A427" s="132" t="str">
        <f>CONCATENATE(Data!AA428,"|",Data!N428)</f>
        <v>Society of St Vincent de Paul|ACTIVE</v>
      </c>
      <c r="B427" s="161" t="str">
        <f>IFERROR(__xludf.DUMMYFUNCTION("""COMPUTED_VALUE"""),"Society of St Vincent de Paul")</f>
        <v>Society of St Vincent de Paul</v>
      </c>
      <c r="C427" s="161" t="str">
        <f>IFERROR(__xludf.DUMMYFUNCTION("""COMPUTED_VALUE"""),"ACTIVE")</f>
        <v>ACTIVE</v>
      </c>
      <c r="E427" s="161" t="s">
        <v>2606</v>
      </c>
      <c r="F427" s="161" t="s">
        <v>42</v>
      </c>
    </row>
    <row r="428">
      <c r="A428" s="132" t="str">
        <f>CONCATENATE(Data!AA429,"|",Data!N429)</f>
        <v>Holy Name|ACTIVE</v>
      </c>
      <c r="B428" s="161" t="str">
        <f>IFERROR(__xludf.DUMMYFUNCTION("""COMPUTED_VALUE"""),"Holy Name")</f>
        <v>Holy Name</v>
      </c>
      <c r="C428" s="161" t="str">
        <f>IFERROR(__xludf.DUMMYFUNCTION("""COMPUTED_VALUE"""),"ACTIVE")</f>
        <v>ACTIVE</v>
      </c>
      <c r="E428" s="161" t="s">
        <v>2615</v>
      </c>
      <c r="F428" s="161" t="s">
        <v>42</v>
      </c>
    </row>
    <row r="429">
      <c r="A429" s="132" t="str">
        <f>CONCATENATE(Data!AA430,"|",Data!N430)</f>
        <v>Society of St Vincent de Paul|ACTIVE</v>
      </c>
      <c r="B429" s="161" t="str">
        <f>IFERROR(__xludf.DUMMYFUNCTION("""COMPUTED_VALUE"""),"Society of St Vincent de Paul")</f>
        <v>Society of St Vincent de Paul</v>
      </c>
      <c r="C429" s="161" t="str">
        <f>IFERROR(__xludf.DUMMYFUNCTION("""COMPUTED_VALUE"""),"ACTIVE")</f>
        <v>ACTIVE</v>
      </c>
      <c r="E429" s="161" t="s">
        <v>2623</v>
      </c>
      <c r="F429" s="161" t="s">
        <v>42</v>
      </c>
    </row>
    <row r="430">
      <c r="A430" s="132" t="str">
        <f>CONCATENATE(Data!AA431,"|",Data!N431)</f>
        <v>Society of St Vincent de Paul|ACTIVE</v>
      </c>
      <c r="B430" s="161" t="str">
        <f>IFERROR(__xludf.DUMMYFUNCTION("""COMPUTED_VALUE"""),"Society of St Vincent de Paul")</f>
        <v>Society of St Vincent de Paul</v>
      </c>
      <c r="C430" s="161" t="str">
        <f>IFERROR(__xludf.DUMMYFUNCTION("""COMPUTED_VALUE"""),"ACTIVE")</f>
        <v>ACTIVE</v>
      </c>
      <c r="E430" s="161" t="s">
        <v>2626</v>
      </c>
      <c r="F430" s="161" t="s">
        <v>42</v>
      </c>
    </row>
    <row r="431">
      <c r="A431" s="132" t="str">
        <f>CONCATENATE(Data!AA432,"|",Data!N432)</f>
        <v>Society of St Vincent de Paul|ACTIVE</v>
      </c>
      <c r="B431" s="161" t="str">
        <f>IFERROR(__xludf.DUMMYFUNCTION("""COMPUTED_VALUE"""),"Society of St Vincent de Paul")</f>
        <v>Society of St Vincent de Paul</v>
      </c>
      <c r="C431" s="161" t="str">
        <f>IFERROR(__xludf.DUMMYFUNCTION("""COMPUTED_VALUE"""),"ACTIVE")</f>
        <v>ACTIVE</v>
      </c>
      <c r="E431" s="161" t="s">
        <v>2626</v>
      </c>
      <c r="F431" s="161" t="s">
        <v>42</v>
      </c>
    </row>
    <row r="432">
      <c r="A432" s="132" t="str">
        <f>CONCATENATE(Data!AA433,"|",Data!N433)</f>
        <v>Society of St Vincent de Paul|ACTIVE</v>
      </c>
      <c r="B432" s="161" t="str">
        <f>IFERROR(__xludf.DUMMYFUNCTION("""COMPUTED_VALUE"""),"Society of St Vincent de Paul")</f>
        <v>Society of St Vincent de Paul</v>
      </c>
      <c r="C432" s="161" t="str">
        <f>IFERROR(__xludf.DUMMYFUNCTION("""COMPUTED_VALUE"""),"ACTIVE")</f>
        <v>ACTIVE</v>
      </c>
      <c r="E432" s="161" t="s">
        <v>2638</v>
      </c>
      <c r="F432" s="161" t="s">
        <v>42</v>
      </c>
    </row>
    <row r="433">
      <c r="A433" s="132" t="str">
        <f>CONCATENATE(Data!AA434,"|",Data!N434)</f>
        <v>Society of St Vincent de Paul|ACTIVE</v>
      </c>
      <c r="B433" s="161" t="str">
        <f>IFERROR(__xludf.DUMMYFUNCTION("""COMPUTED_VALUE"""),"Society of St Vincent de Paul")</f>
        <v>Society of St Vincent de Paul</v>
      </c>
      <c r="C433" s="161" t="str">
        <f>IFERROR(__xludf.DUMMYFUNCTION("""COMPUTED_VALUE"""),"ACTIVE")</f>
        <v>ACTIVE</v>
      </c>
      <c r="E433" s="161" t="s">
        <v>2638</v>
      </c>
      <c r="F433" s="161" t="s">
        <v>42</v>
      </c>
    </row>
    <row r="434">
      <c r="A434" s="132" t="str">
        <f>CONCATENATE(Data!AA435,"|",Data!N435)</f>
        <v>Society of St Vincent de Paul|ACTIVE</v>
      </c>
      <c r="B434" s="161" t="str">
        <f>IFERROR(__xludf.DUMMYFUNCTION("""COMPUTED_VALUE"""),"Society of St Vincent de Paul")</f>
        <v>Society of St Vincent de Paul</v>
      </c>
      <c r="C434" s="161" t="str">
        <f>IFERROR(__xludf.DUMMYFUNCTION("""COMPUTED_VALUE"""),"ACTIVE")</f>
        <v>ACTIVE</v>
      </c>
      <c r="E434" s="161" t="s">
        <v>2638</v>
      </c>
      <c r="F434" s="161" t="s">
        <v>42</v>
      </c>
    </row>
    <row r="435">
      <c r="A435" s="132" t="str">
        <f>CONCATENATE(Data!AA436,"|",Data!N436)</f>
        <v>Hope Center Houston|ACTIVE</v>
      </c>
      <c r="B435" s="161" t="str">
        <f>IFERROR(__xludf.DUMMYFUNCTION("""COMPUTED_VALUE"""),"Hope Center Houston")</f>
        <v>Hope Center Houston</v>
      </c>
      <c r="C435" s="161" t="str">
        <f>IFERROR(__xludf.DUMMYFUNCTION("""COMPUTED_VALUE"""),"ACTIVE")</f>
        <v>ACTIVE</v>
      </c>
      <c r="E435" s="161" t="s">
        <v>2658</v>
      </c>
      <c r="F435" s="161" t="s">
        <v>42</v>
      </c>
    </row>
    <row r="436">
      <c r="A436" s="132" t="str">
        <f>CONCATENATE(Data!AA437,"|",Data!N437)</f>
        <v>Hope Center Houston|ACTIVE</v>
      </c>
      <c r="B436" s="161" t="str">
        <f>IFERROR(__xludf.DUMMYFUNCTION("""COMPUTED_VALUE"""),"Hope Center Houston")</f>
        <v>Hope Center Houston</v>
      </c>
      <c r="C436" s="161" t="str">
        <f>IFERROR(__xludf.DUMMYFUNCTION("""COMPUTED_VALUE"""),"ACTIVE")</f>
        <v>ACTIVE</v>
      </c>
      <c r="E436" s="161" t="s">
        <v>2658</v>
      </c>
      <c r="F436" s="161" t="s">
        <v>42</v>
      </c>
    </row>
    <row r="437">
      <c r="A437" s="132" t="str">
        <f>CONCATENATE(Data!AA438,"|",Data!N438)</f>
        <v>Hope Clinic|ACTIVE</v>
      </c>
      <c r="B437" s="161" t="str">
        <f>IFERROR(__xludf.DUMMYFUNCTION("""COMPUTED_VALUE"""),"Hope Clinic")</f>
        <v>Hope Clinic</v>
      </c>
      <c r="C437" s="161" t="str">
        <f>IFERROR(__xludf.DUMMYFUNCTION("""COMPUTED_VALUE"""),"ACTIVE")</f>
        <v>ACTIVE</v>
      </c>
      <c r="E437" s="161" t="s">
        <v>2658</v>
      </c>
      <c r="F437" s="161" t="s">
        <v>42</v>
      </c>
    </row>
    <row r="438">
      <c r="A438" s="132" t="str">
        <f>CONCATENATE(Data!AA439,"|",Data!N439)</f>
        <v>Hope Clinic|ACTIVE</v>
      </c>
      <c r="B438" s="161" t="str">
        <f>IFERROR(__xludf.DUMMYFUNCTION("""COMPUTED_VALUE"""),"Hope Clinic")</f>
        <v>Hope Clinic</v>
      </c>
      <c r="C438" s="161" t="str">
        <f>IFERROR(__xludf.DUMMYFUNCTION("""COMPUTED_VALUE"""),"ACTIVE")</f>
        <v>ACTIVE</v>
      </c>
      <c r="E438" s="161" t="s">
        <v>2658</v>
      </c>
      <c r="F438" s="161" t="s">
        <v>42</v>
      </c>
    </row>
    <row r="439">
      <c r="A439" s="132" t="str">
        <f>CONCATENATE(Data!AA440,"|",Data!N440)</f>
        <v>Hope Clinic|ACTIVE</v>
      </c>
      <c r="B439" s="161" t="str">
        <f>IFERROR(__xludf.DUMMYFUNCTION("""COMPUTED_VALUE"""),"Hope Clinic")</f>
        <v>Hope Clinic</v>
      </c>
      <c r="C439" s="161" t="str">
        <f>IFERROR(__xludf.DUMMYFUNCTION("""COMPUTED_VALUE"""),"ACTIVE")</f>
        <v>ACTIVE</v>
      </c>
      <c r="E439" s="161" t="s">
        <v>2658</v>
      </c>
      <c r="F439" s="161" t="s">
        <v>42</v>
      </c>
    </row>
    <row r="440">
      <c r="A440" s="132" t="str">
        <f>CONCATENATE(Data!AA441,"|",Data!N441)</f>
        <v>Hope for the Warriors|INACTIVE</v>
      </c>
      <c r="B440" s="161" t="str">
        <f>IFERROR(__xludf.DUMMYFUNCTION("""COMPUTED_VALUE"""),"Hope for the Warriors")</f>
        <v>Hope for the Warriors</v>
      </c>
      <c r="C440" s="161" t="str">
        <f>IFERROR(__xludf.DUMMYFUNCTION("""COMPUTED_VALUE"""),"INACTIVE")</f>
        <v>INACTIVE</v>
      </c>
      <c r="E440" s="161" t="s">
        <v>2658</v>
      </c>
      <c r="F440" s="161" t="s">
        <v>42</v>
      </c>
    </row>
    <row r="441">
      <c r="A441" s="132" t="str">
        <f>CONCATENATE(Data!AA442,"|",Data!N442)</f>
        <v>Hospitality Apartments|ACTIVE</v>
      </c>
      <c r="B441" s="161" t="str">
        <f>IFERROR(__xludf.DUMMYFUNCTION("""COMPUTED_VALUE"""),"Hospitality Apartments")</f>
        <v>Hospitality Apartments</v>
      </c>
      <c r="C441" s="161" t="str">
        <f>IFERROR(__xludf.DUMMYFUNCTION("""COMPUTED_VALUE"""),"ACTIVE")</f>
        <v>ACTIVE</v>
      </c>
      <c r="E441" s="161" t="s">
        <v>2679</v>
      </c>
      <c r="F441" s="161" t="s">
        <v>42</v>
      </c>
    </row>
    <row r="442">
      <c r="A442" s="132" t="str">
        <f>CONCATENATE(Data!AA443,"|",Data!N443)</f>
        <v>House of Amos|ACTIVE</v>
      </c>
      <c r="B442" s="161" t="str">
        <f>IFERROR(__xludf.DUMMYFUNCTION("""COMPUTED_VALUE"""),"House of Amos")</f>
        <v>House of Amos</v>
      </c>
      <c r="C442" s="161" t="str">
        <f>IFERROR(__xludf.DUMMYFUNCTION("""COMPUTED_VALUE"""),"ACTIVE")</f>
        <v>ACTIVE</v>
      </c>
      <c r="E442" s="161" t="s">
        <v>2679</v>
      </c>
      <c r="F442" s="161" t="s">
        <v>42</v>
      </c>
    </row>
    <row r="443">
      <c r="A443" s="132" t="str">
        <f>CONCATENATE(Data!AA444,"|",Data!N444)</f>
        <v>House of Amos|ACTIVE</v>
      </c>
      <c r="B443" s="161" t="str">
        <f>IFERROR(__xludf.DUMMYFUNCTION("""COMPUTED_VALUE"""),"House of Amos")</f>
        <v>House of Amos</v>
      </c>
      <c r="C443" s="161" t="str">
        <f>IFERROR(__xludf.DUMMYFUNCTION("""COMPUTED_VALUE"""),"ACTIVE")</f>
        <v>ACTIVE</v>
      </c>
      <c r="E443" s="161" t="s">
        <v>2679</v>
      </c>
      <c r="F443" s="161" t="s">
        <v>42</v>
      </c>
    </row>
    <row r="444">
      <c r="A444" s="132" t="str">
        <f>CONCATENATE(Data!AA445,"|",Data!N445)</f>
        <v>House of Amos|ACTIVE</v>
      </c>
      <c r="B444" s="161" t="str">
        <f>IFERROR(__xludf.DUMMYFUNCTION("""COMPUTED_VALUE"""),"House of Amos")</f>
        <v>House of Amos</v>
      </c>
      <c r="C444" s="161" t="str">
        <f>IFERROR(__xludf.DUMMYFUNCTION("""COMPUTED_VALUE"""),"ACTIVE")</f>
        <v>ACTIVE</v>
      </c>
      <c r="E444" s="161" t="s">
        <v>2690</v>
      </c>
      <c r="F444" s="161" t="s">
        <v>42</v>
      </c>
    </row>
    <row r="445">
      <c r="A445" s="132" t="str">
        <f>CONCATENATE(Data!AA446,"|",Data!N446)</f>
        <v>House of Amos|INACTIVE</v>
      </c>
      <c r="B445" s="161" t="str">
        <f>IFERROR(__xludf.DUMMYFUNCTION("""COMPUTED_VALUE"""),"House of Amos")</f>
        <v>House of Amos</v>
      </c>
      <c r="C445" s="161" t="str">
        <f>IFERROR(__xludf.DUMMYFUNCTION("""COMPUTED_VALUE"""),"INACTIVE")</f>
        <v>INACTIVE</v>
      </c>
      <c r="E445" s="161" t="s">
        <v>2690</v>
      </c>
      <c r="F445" s="161" t="s">
        <v>42</v>
      </c>
    </row>
    <row r="446">
      <c r="A446" s="132" t="str">
        <f>CONCATENATE(Data!AA447,"|",Data!N447)</f>
        <v>House of Help|ACTIVE</v>
      </c>
      <c r="B446" s="161" t="str">
        <f>IFERROR(__xludf.DUMMYFUNCTION("""COMPUTED_VALUE"""),"House of Help")</f>
        <v>House of Help</v>
      </c>
      <c r="C446" s="161" t="str">
        <f>IFERROR(__xludf.DUMMYFUNCTION("""COMPUTED_VALUE"""),"ACTIVE")</f>
        <v>ACTIVE</v>
      </c>
      <c r="E446" s="161" t="s">
        <v>2690</v>
      </c>
      <c r="F446" s="161" t="s">
        <v>42</v>
      </c>
    </row>
    <row r="447">
      <c r="A447" s="132" t="str">
        <f>CONCATENATE(Data!AA448,"|",Data!N448)</f>
        <v>City of Houston|INACTIVE</v>
      </c>
      <c r="B447" s="161" t="str">
        <f>IFERROR(__xludf.DUMMYFUNCTION("""COMPUTED_VALUE"""),"City of Houston")</f>
        <v>City of Houston</v>
      </c>
      <c r="C447" s="161" t="str">
        <f>IFERROR(__xludf.DUMMYFUNCTION("""COMPUTED_VALUE"""),"INACTIVE")</f>
        <v>INACTIVE</v>
      </c>
      <c r="E447" s="161" t="s">
        <v>2690</v>
      </c>
      <c r="F447" s="161" t="s">
        <v>42</v>
      </c>
    </row>
    <row r="448">
      <c r="A448" s="132" t="str">
        <f>CONCATENATE(Data!AA449,"|",Data!N449)</f>
        <v>Houston Area Women's Center|ACTIVE</v>
      </c>
      <c r="B448" s="161" t="str">
        <f>IFERROR(__xludf.DUMMYFUNCTION("""COMPUTED_VALUE"""),"Houston Area Women's Center")</f>
        <v>Houston Area Women's Center</v>
      </c>
      <c r="C448" s="161" t="str">
        <f>IFERROR(__xludf.DUMMYFUNCTION("""COMPUTED_VALUE"""),"ACTIVE")</f>
        <v>ACTIVE</v>
      </c>
      <c r="E448" s="161" t="s">
        <v>2690</v>
      </c>
      <c r="F448" s="161" t="s">
        <v>42</v>
      </c>
    </row>
    <row r="449">
      <c r="A449" s="132" t="str">
        <f>CONCATENATE(Data!AA450,"|",Data!N450)</f>
        <v>Houston Bar Association Veterans Legal Initiative|ACTIVE</v>
      </c>
      <c r="B449" s="161" t="str">
        <f>IFERROR(__xludf.DUMMYFUNCTION("""COMPUTED_VALUE"""),"Houston Bar Association Veterans Legal Initiative")</f>
        <v>Houston Bar Association Veterans Legal Initiative</v>
      </c>
      <c r="C449" s="161" t="str">
        <f>IFERROR(__xludf.DUMMYFUNCTION("""COMPUTED_VALUE"""),"ACTIVE")</f>
        <v>ACTIVE</v>
      </c>
      <c r="E449" s="161" t="s">
        <v>2690</v>
      </c>
      <c r="F449" s="161" t="s">
        <v>42</v>
      </c>
    </row>
    <row r="450">
      <c r="A450" s="132" t="str">
        <f>CONCATENATE(Data!AA451,"|",Data!N451)</f>
        <v>Houston Children's Charity|ACTIVE</v>
      </c>
      <c r="B450" s="161" t="str">
        <f>IFERROR(__xludf.DUMMYFUNCTION("""COMPUTED_VALUE"""),"Houston Children's Charity")</f>
        <v>Houston Children's Charity</v>
      </c>
      <c r="C450" s="161" t="str">
        <f>IFERROR(__xludf.DUMMYFUNCTION("""COMPUTED_VALUE"""),"ACTIVE")</f>
        <v>ACTIVE</v>
      </c>
      <c r="E450" s="161" t="s">
        <v>2690</v>
      </c>
      <c r="F450" s="161" t="s">
        <v>42</v>
      </c>
    </row>
    <row r="451">
      <c r="A451" s="132" t="str">
        <f>CONCATENATE(Data!AA452,"|",Data!N452)</f>
        <v>Houston Children's Charity|LIMITED</v>
      </c>
      <c r="B451" s="161" t="str">
        <f>IFERROR(__xludf.DUMMYFUNCTION("""COMPUTED_VALUE"""),"Houston Children's Charity")</f>
        <v>Houston Children's Charity</v>
      </c>
      <c r="C451" s="161" t="str">
        <f>IFERROR(__xludf.DUMMYFUNCTION("""COMPUTED_VALUE"""),"LIMITED")</f>
        <v>LIMITED</v>
      </c>
      <c r="E451" s="161" t="s">
        <v>2690</v>
      </c>
      <c r="F451" s="161" t="s">
        <v>42</v>
      </c>
    </row>
    <row r="452">
      <c r="A452" s="132" t="str">
        <f>CONCATENATE(Data!AA453,"|",Data!N453)</f>
        <v>Houston Children's Charity|ACTIVE</v>
      </c>
      <c r="B452" s="161" t="str">
        <f>IFERROR(__xludf.DUMMYFUNCTION("""COMPUTED_VALUE"""),"Houston Children's Charity")</f>
        <v>Houston Children's Charity</v>
      </c>
      <c r="C452" s="161" t="str">
        <f>IFERROR(__xludf.DUMMYFUNCTION("""COMPUTED_VALUE"""),"ACTIVE")</f>
        <v>ACTIVE</v>
      </c>
      <c r="E452" s="161" t="s">
        <v>2706</v>
      </c>
      <c r="F452" s="161" t="s">
        <v>42</v>
      </c>
    </row>
    <row r="453">
      <c r="A453" s="132" t="str">
        <f>CONCATENATE(Data!AA454,"|",Data!N454)</f>
        <v>Houston Children's Charity|ACTIVE</v>
      </c>
      <c r="B453" s="161" t="str">
        <f>IFERROR(__xludf.DUMMYFUNCTION("""COMPUTED_VALUE"""),"Houston Children's Charity")</f>
        <v>Houston Children's Charity</v>
      </c>
      <c r="C453" s="161" t="str">
        <f>IFERROR(__xludf.DUMMYFUNCTION("""COMPUTED_VALUE"""),"ACTIVE")</f>
        <v>ACTIVE</v>
      </c>
      <c r="E453" s="161" t="s">
        <v>2733</v>
      </c>
      <c r="F453" s="161" t="s">
        <v>42</v>
      </c>
    </row>
    <row r="454">
      <c r="A454" s="132" t="str">
        <f>CONCATENATE(Data!AA455,"|",Data!N455)</f>
        <v>Houston Children's Charity|ACTIVE</v>
      </c>
      <c r="B454" s="161" t="str">
        <f>IFERROR(__xludf.DUMMYFUNCTION("""COMPUTED_VALUE"""),"Houston Children's Charity")</f>
        <v>Houston Children's Charity</v>
      </c>
      <c r="C454" s="161" t="str">
        <f>IFERROR(__xludf.DUMMYFUNCTION("""COMPUTED_VALUE"""),"ACTIVE")</f>
        <v>ACTIVE</v>
      </c>
      <c r="E454" s="161" t="s">
        <v>2733</v>
      </c>
      <c r="F454" s="161" t="s">
        <v>42</v>
      </c>
    </row>
    <row r="455">
      <c r="A455" s="132" t="str">
        <f>CONCATENATE(Data!AA456,"|",Data!N456)</f>
        <v>Houston Children's Charity|ACTIVE</v>
      </c>
      <c r="B455" s="161" t="str">
        <f>IFERROR(__xludf.DUMMYFUNCTION("""COMPUTED_VALUE"""),"Houston Children's Charity")</f>
        <v>Houston Children's Charity</v>
      </c>
      <c r="C455" s="161" t="str">
        <f>IFERROR(__xludf.DUMMYFUNCTION("""COMPUTED_VALUE"""),"ACTIVE")</f>
        <v>ACTIVE</v>
      </c>
      <c r="E455" s="161" t="s">
        <v>2733</v>
      </c>
      <c r="F455" s="161" t="s">
        <v>42</v>
      </c>
    </row>
    <row r="456">
      <c r="A456" s="132" t="str">
        <f>CONCATENATE(#REF!,"|",#REF!)</f>
        <v>#REF!</v>
      </c>
      <c r="B456" s="161" t="str">
        <f>IFERROR(__xludf.DUMMYFUNCTION("""COMPUTED_VALUE"""),"#REF!")</f>
        <v>#REF!</v>
      </c>
      <c r="C456" s="161"/>
      <c r="E456" s="161" t="s">
        <v>2733</v>
      </c>
      <c r="F456" s="161" t="s">
        <v>42</v>
      </c>
    </row>
    <row r="457">
      <c r="A457" s="132" t="str">
        <f>CONCATENATE(Data!AA457,"|",Data!N457)</f>
        <v>Houston Eviction Advocacy Center|ACTIVE</v>
      </c>
      <c r="B457" s="161" t="str">
        <f>IFERROR(__xludf.DUMMYFUNCTION("""COMPUTED_VALUE"""),"Houston Eviction Advocacy Center")</f>
        <v>Houston Eviction Advocacy Center</v>
      </c>
      <c r="C457" s="161" t="str">
        <f>IFERROR(__xludf.DUMMYFUNCTION("""COMPUTED_VALUE"""),"ACTIVE")</f>
        <v>ACTIVE</v>
      </c>
      <c r="E457" s="161" t="s">
        <v>2733</v>
      </c>
      <c r="F457" s="161" t="s">
        <v>42</v>
      </c>
    </row>
    <row r="458">
      <c r="A458" s="132" t="str">
        <f>CONCATENATE(Data!AA458,"|",Data!N458)</f>
        <v>Houston Eye Associates Foundation|ACTIVE</v>
      </c>
      <c r="B458" s="161" t="str">
        <f>IFERROR(__xludf.DUMMYFUNCTION("""COMPUTED_VALUE"""),"Houston Eye Associates Foundation")</f>
        <v>Houston Eye Associates Foundation</v>
      </c>
      <c r="C458" s="161" t="str">
        <f>IFERROR(__xludf.DUMMYFUNCTION("""COMPUTED_VALUE"""),"ACTIVE")</f>
        <v>ACTIVE</v>
      </c>
      <c r="E458" s="161" t="s">
        <v>2733</v>
      </c>
      <c r="F458" s="161" t="s">
        <v>42</v>
      </c>
    </row>
    <row r="459">
      <c r="A459" s="132" t="str">
        <f>CONCATENATE(Data!AA459,"|",Data!N459)</f>
        <v>Houston First Baptist Church|ACTIVE</v>
      </c>
      <c r="B459" s="161" t="str">
        <f>IFERROR(__xludf.DUMMYFUNCTION("""COMPUTED_VALUE"""),"Houston First Baptist Church")</f>
        <v>Houston First Baptist Church</v>
      </c>
      <c r="C459" s="161" t="str">
        <f>IFERROR(__xludf.DUMMYFUNCTION("""COMPUTED_VALUE"""),"ACTIVE")</f>
        <v>ACTIVE</v>
      </c>
      <c r="E459" s="161" t="s">
        <v>2733</v>
      </c>
      <c r="F459" s="161" t="s">
        <v>42</v>
      </c>
    </row>
    <row r="460">
      <c r="A460" s="132" t="str">
        <f>CONCATENATE(Data!AA460,"|",Data!N460)</f>
        <v>Houston First Baptist Church|ACTIVE</v>
      </c>
      <c r="B460" s="161" t="str">
        <f>IFERROR(__xludf.DUMMYFUNCTION("""COMPUTED_VALUE"""),"Houston First Baptist Church")</f>
        <v>Houston First Baptist Church</v>
      </c>
      <c r="C460" s="161" t="str">
        <f>IFERROR(__xludf.DUMMYFUNCTION("""COMPUTED_VALUE"""),"ACTIVE")</f>
        <v>ACTIVE</v>
      </c>
      <c r="E460" s="161" t="s">
        <v>2759</v>
      </c>
      <c r="F460" s="161" t="s">
        <v>42</v>
      </c>
    </row>
    <row r="461">
      <c r="A461" s="132" t="str">
        <f>CONCATENATE(Data!AA461,"|",Data!N461)</f>
        <v>Houston First Baptist Church|ACTIVE</v>
      </c>
      <c r="B461" s="161" t="str">
        <f>IFERROR(__xludf.DUMMYFUNCTION("""COMPUTED_VALUE"""),"Houston First Baptist Church")</f>
        <v>Houston First Baptist Church</v>
      </c>
      <c r="C461" s="161" t="str">
        <f>IFERROR(__xludf.DUMMYFUNCTION("""COMPUTED_VALUE"""),"ACTIVE")</f>
        <v>ACTIVE</v>
      </c>
      <c r="E461" s="161" t="s">
        <v>2759</v>
      </c>
      <c r="F461" s="161" t="s">
        <v>42</v>
      </c>
    </row>
    <row r="462">
      <c r="A462" s="132" t="str">
        <f>CONCATENATE(Data!AA462,"|",Data!N462)</f>
        <v>Houston First Baptist Church|ACTIVE</v>
      </c>
      <c r="B462" s="161" t="str">
        <f>IFERROR(__xludf.DUMMYFUNCTION("""COMPUTED_VALUE"""),"Houston First Baptist Church")</f>
        <v>Houston First Baptist Church</v>
      </c>
      <c r="C462" s="161" t="str">
        <f>IFERROR(__xludf.DUMMYFUNCTION("""COMPUTED_VALUE"""),"ACTIVE")</f>
        <v>ACTIVE</v>
      </c>
      <c r="E462" s="161" t="s">
        <v>5774</v>
      </c>
      <c r="F462" s="161" t="s">
        <v>42</v>
      </c>
    </row>
    <row r="463">
      <c r="A463" s="132" t="str">
        <f>CONCATENATE(Data!AA463,"|",Data!N463)</f>
        <v>Houston First Baptist Church|ACTIVE</v>
      </c>
      <c r="B463" s="161" t="str">
        <f>IFERROR(__xludf.DUMMYFUNCTION("""COMPUTED_VALUE"""),"Houston First Baptist Church")</f>
        <v>Houston First Baptist Church</v>
      </c>
      <c r="C463" s="161" t="str">
        <f>IFERROR(__xludf.DUMMYFUNCTION("""COMPUTED_VALUE"""),"ACTIVE")</f>
        <v>ACTIVE</v>
      </c>
      <c r="E463" s="161" t="s">
        <v>5774</v>
      </c>
      <c r="F463" s="161" t="s">
        <v>42</v>
      </c>
    </row>
    <row r="464">
      <c r="A464" s="132" t="str">
        <f>CONCATENATE(Data!AA464,"|",Data!N464)</f>
        <v>Houston First Baptist Church|CLOSED</v>
      </c>
      <c r="B464" s="161" t="str">
        <f>IFERROR(__xludf.DUMMYFUNCTION("""COMPUTED_VALUE"""),"Houston First Baptist Church")</f>
        <v>Houston First Baptist Church</v>
      </c>
      <c r="C464" s="161" t="str">
        <f>IFERROR(__xludf.DUMMYFUNCTION("""COMPUTED_VALUE"""),"CLOSED")</f>
        <v>CLOSED</v>
      </c>
      <c r="E464" s="161" t="s">
        <v>5774</v>
      </c>
      <c r="F464" s="161" t="s">
        <v>42</v>
      </c>
    </row>
    <row r="465">
      <c r="A465" s="132" t="str">
        <f>CONCATENATE(Data!AA465,"|",Data!N465)</f>
        <v>Houston Food Bank|ACTIVE</v>
      </c>
      <c r="B465" s="161" t="str">
        <f>IFERROR(__xludf.DUMMYFUNCTION("""COMPUTED_VALUE"""),"Houston Food Bank")</f>
        <v>Houston Food Bank</v>
      </c>
      <c r="C465" s="161" t="str">
        <f>IFERROR(__xludf.DUMMYFUNCTION("""COMPUTED_VALUE"""),"ACTIVE")</f>
        <v>ACTIVE</v>
      </c>
      <c r="E465" s="161" t="s">
        <v>5774</v>
      </c>
      <c r="F465" s="161" t="s">
        <v>42</v>
      </c>
    </row>
    <row r="466">
      <c r="A466" s="132" t="str">
        <f>CONCATENATE(Data!AA466,"|",Data!N466)</f>
        <v>Houston Food Bank|ACTIVE</v>
      </c>
      <c r="B466" s="161" t="str">
        <f>IFERROR(__xludf.DUMMYFUNCTION("""COMPUTED_VALUE"""),"Houston Food Bank")</f>
        <v>Houston Food Bank</v>
      </c>
      <c r="C466" s="161" t="str">
        <f>IFERROR(__xludf.DUMMYFUNCTION("""COMPUTED_VALUE"""),"ACTIVE")</f>
        <v>ACTIVE</v>
      </c>
      <c r="E466" s="161" t="s">
        <v>5774</v>
      </c>
      <c r="F466" s="161" t="s">
        <v>42</v>
      </c>
    </row>
    <row r="467">
      <c r="A467" s="132" t="str">
        <f>CONCATENATE(Data!AA467,"|",Data!N467)</f>
        <v>Houston Hope Lodge|ACTIVE</v>
      </c>
      <c r="B467" s="161" t="str">
        <f>IFERROR(__xludf.DUMMYFUNCTION("""COMPUTED_VALUE"""),"Houston Hope Lodge")</f>
        <v>Houston Hope Lodge</v>
      </c>
      <c r="C467" s="161" t="str">
        <f>IFERROR(__xludf.DUMMYFUNCTION("""COMPUTED_VALUE"""),"ACTIVE")</f>
        <v>ACTIVE</v>
      </c>
      <c r="E467" s="161" t="s">
        <v>5774</v>
      </c>
      <c r="F467" s="161" t="s">
        <v>42</v>
      </c>
    </row>
    <row r="468">
      <c r="A468" s="132" t="str">
        <f>CONCATENATE(Data!AA468,"|",Data!N468)</f>
        <v>Houston Humane Society|ACTIVE</v>
      </c>
      <c r="B468" s="161" t="str">
        <f>IFERROR(__xludf.DUMMYFUNCTION("""COMPUTED_VALUE"""),"Houston Humane Society")</f>
        <v>Houston Humane Society</v>
      </c>
      <c r="C468" s="161" t="str">
        <f>IFERROR(__xludf.DUMMYFUNCTION("""COMPUTED_VALUE"""),"ACTIVE")</f>
        <v>ACTIVE</v>
      </c>
      <c r="E468" s="161" t="s">
        <v>5774</v>
      </c>
      <c r="F468" s="161" t="s">
        <v>42</v>
      </c>
    </row>
    <row r="469">
      <c r="A469" s="132" t="str">
        <f>CONCATENATE(Data!AA469,"|",Data!N469)</f>
        <v>Houston MetroLift|ACTIVE</v>
      </c>
      <c r="B469" s="161" t="str">
        <f>IFERROR(__xludf.DUMMYFUNCTION("""COMPUTED_VALUE"""),"Houston MetroLift")</f>
        <v>Houston MetroLift</v>
      </c>
      <c r="C469" s="161" t="str">
        <f>IFERROR(__xludf.DUMMYFUNCTION("""COMPUTED_VALUE"""),"ACTIVE")</f>
        <v>ACTIVE</v>
      </c>
      <c r="E469" s="161" t="s">
        <v>5774</v>
      </c>
      <c r="F469" s="161" t="s">
        <v>42</v>
      </c>
    </row>
    <row r="470">
      <c r="A470" s="132" t="str">
        <f>CONCATENATE(Data!AA470,"|",Data!N470)</f>
        <v>Houston Recovery Center|ACTIVE</v>
      </c>
      <c r="B470" s="161" t="str">
        <f>IFERROR(__xludf.DUMMYFUNCTION("""COMPUTED_VALUE"""),"Houston Recovery Center")</f>
        <v>Houston Recovery Center</v>
      </c>
      <c r="C470" s="161" t="str">
        <f>IFERROR(__xludf.DUMMYFUNCTION("""COMPUTED_VALUE"""),"ACTIVE")</f>
        <v>ACTIVE</v>
      </c>
      <c r="E470" s="161" t="s">
        <v>5774</v>
      </c>
      <c r="F470" s="161" t="s">
        <v>42</v>
      </c>
    </row>
    <row r="471">
      <c r="A471" s="132" t="str">
        <f>CONCATENATE(Data!AA471,"|",Data!N471)</f>
        <v>Houston ToolBank|ACTIVE</v>
      </c>
      <c r="B471" s="161" t="str">
        <f>IFERROR(__xludf.DUMMYFUNCTION("""COMPUTED_VALUE"""),"Houston ToolBank")</f>
        <v>Houston ToolBank</v>
      </c>
      <c r="C471" s="161" t="str">
        <f>IFERROR(__xludf.DUMMYFUNCTION("""COMPUTED_VALUE"""),"ACTIVE")</f>
        <v>ACTIVE</v>
      </c>
      <c r="E471" s="161" t="s">
        <v>5774</v>
      </c>
      <c r="F471" s="161" t="s">
        <v>42</v>
      </c>
    </row>
    <row r="472">
      <c r="A472" s="132" t="str">
        <f>CONCATENATE(Data!AA472,"|",Data!N472)</f>
        <v>Houston Volunteer Lawyers|ACTIVE</v>
      </c>
      <c r="B472" s="161" t="str">
        <f>IFERROR(__xludf.DUMMYFUNCTION("""COMPUTED_VALUE"""),"Houston Volunteer Lawyers")</f>
        <v>Houston Volunteer Lawyers</v>
      </c>
      <c r="C472" s="161" t="str">
        <f>IFERROR(__xludf.DUMMYFUNCTION("""COMPUTED_VALUE"""),"ACTIVE")</f>
        <v>ACTIVE</v>
      </c>
      <c r="E472" s="161" t="s">
        <v>5774</v>
      </c>
      <c r="F472" s="161" t="s">
        <v>42</v>
      </c>
    </row>
    <row r="473">
      <c r="A473" s="132" t="str">
        <f>CONCATENATE(Data!AA473,"|",Data!N473)</f>
        <v>Humble Area Assistance Ministries|ACTIVE</v>
      </c>
      <c r="B473" s="161" t="str">
        <f>IFERROR(__xludf.DUMMYFUNCTION("""COMPUTED_VALUE"""),"Humble Area Assistance Ministries")</f>
        <v>Humble Area Assistance Ministries</v>
      </c>
      <c r="C473" s="161" t="str">
        <f>IFERROR(__xludf.DUMMYFUNCTION("""COMPUTED_VALUE"""),"ACTIVE")</f>
        <v>ACTIVE</v>
      </c>
      <c r="E473" s="161" t="s">
        <v>5774</v>
      </c>
      <c r="F473" s="161" t="s">
        <v>42</v>
      </c>
    </row>
    <row r="474">
      <c r="A474" s="132" t="str">
        <f>CONCATENATE(Data!AA474,"|",Data!N474)</f>
        <v>Humble Area Assistance Ministries|ACTIVE</v>
      </c>
      <c r="B474" s="161" t="str">
        <f>IFERROR(__xludf.DUMMYFUNCTION("""COMPUTED_VALUE"""),"Humble Area Assistance Ministries")</f>
        <v>Humble Area Assistance Ministries</v>
      </c>
      <c r="C474" s="161" t="str">
        <f>IFERROR(__xludf.DUMMYFUNCTION("""COMPUTED_VALUE"""),"ACTIVE")</f>
        <v>ACTIVE</v>
      </c>
      <c r="E474" s="161" t="s">
        <v>5774</v>
      </c>
      <c r="F474" s="161" t="s">
        <v>42</v>
      </c>
    </row>
    <row r="475">
      <c r="A475" s="132" t="str">
        <f>CONCATENATE(Data!AA475,"|",Data!N475)</f>
        <v>Humble Area Assistance Ministries|ACTIVE</v>
      </c>
      <c r="B475" s="161" t="str">
        <f>IFERROR(__xludf.DUMMYFUNCTION("""COMPUTED_VALUE"""),"Humble Area Assistance Ministries")</f>
        <v>Humble Area Assistance Ministries</v>
      </c>
      <c r="C475" s="161" t="str">
        <f>IFERROR(__xludf.DUMMYFUNCTION("""COMPUTED_VALUE"""),"ACTIVE")</f>
        <v>ACTIVE</v>
      </c>
      <c r="E475" s="161" t="s">
        <v>5774</v>
      </c>
      <c r="F475" s="161" t="s">
        <v>42</v>
      </c>
    </row>
    <row r="476">
      <c r="A476" s="132" t="str">
        <f>CONCATENATE(Data!AA476,"|",Data!N476)</f>
        <v>Humble Area Assistance Ministries|ACTIVE</v>
      </c>
      <c r="B476" s="161" t="str">
        <f>IFERROR(__xludf.DUMMYFUNCTION("""COMPUTED_VALUE"""),"Humble Area Assistance Ministries")</f>
        <v>Humble Area Assistance Ministries</v>
      </c>
      <c r="C476" s="161" t="str">
        <f>IFERROR(__xludf.DUMMYFUNCTION("""COMPUTED_VALUE"""),"ACTIVE")</f>
        <v>ACTIVE</v>
      </c>
      <c r="E476" s="161" t="s">
        <v>5774</v>
      </c>
      <c r="F476" s="161" t="s">
        <v>42</v>
      </c>
    </row>
    <row r="477">
      <c r="A477" s="132" t="str">
        <f>CONCATENATE(Data!AA477,"|",Data!N477)</f>
        <v>Humble Area Assistance Ministries|ACTIVE</v>
      </c>
      <c r="B477" s="161" t="str">
        <f>IFERROR(__xludf.DUMMYFUNCTION("""COMPUTED_VALUE"""),"Humble Area Assistance Ministries")</f>
        <v>Humble Area Assistance Ministries</v>
      </c>
      <c r="C477" s="161" t="str">
        <f>IFERROR(__xludf.DUMMYFUNCTION("""COMPUTED_VALUE"""),"ACTIVE")</f>
        <v>ACTIVE</v>
      </c>
      <c r="E477" s="161" t="s">
        <v>5774</v>
      </c>
      <c r="F477" s="161" t="s">
        <v>42</v>
      </c>
    </row>
    <row r="478">
      <c r="A478" s="132" t="str">
        <f>CONCATENATE(Data!AA478,"|",Data!N478)</f>
        <v>Humble Area Assistance Ministries|ACTIVE</v>
      </c>
      <c r="B478" s="161" t="str">
        <f>IFERROR(__xludf.DUMMYFUNCTION("""COMPUTED_VALUE"""),"Humble Area Assistance Ministries")</f>
        <v>Humble Area Assistance Ministries</v>
      </c>
      <c r="C478" s="161" t="str">
        <f>IFERROR(__xludf.DUMMYFUNCTION("""COMPUTED_VALUE"""),"ACTIVE")</f>
        <v>ACTIVE</v>
      </c>
      <c r="E478" s="161" t="s">
        <v>5774</v>
      </c>
      <c r="F478" s="161" t="s">
        <v>42</v>
      </c>
    </row>
    <row r="479">
      <c r="A479" s="132" t="str">
        <f>CONCATENATE(Data!AA479,"|",Data!N479)</f>
        <v>Humble Area Assistance Ministries|ACTIVE</v>
      </c>
      <c r="B479" s="161" t="str">
        <f>IFERROR(__xludf.DUMMYFUNCTION("""COMPUTED_VALUE"""),"Humble Area Assistance Ministries")</f>
        <v>Humble Area Assistance Ministries</v>
      </c>
      <c r="C479" s="161" t="str">
        <f>IFERROR(__xludf.DUMMYFUNCTION("""COMPUTED_VALUE"""),"ACTIVE")</f>
        <v>ACTIVE</v>
      </c>
      <c r="E479" s="161" t="s">
        <v>5774</v>
      </c>
      <c r="F479" s="161" t="s">
        <v>42</v>
      </c>
    </row>
    <row r="480">
      <c r="A480" s="132" t="str">
        <f>CONCATENATE(Data!AA480,"|",Data!N480)</f>
        <v>Harris County Public Health|ACTIVE</v>
      </c>
      <c r="B480" s="161" t="str">
        <f>IFERROR(__xludf.DUMMYFUNCTION("""COMPUTED_VALUE"""),"Harris County Public Health")</f>
        <v>Harris County Public Health</v>
      </c>
      <c r="C480" s="161" t="str">
        <f>IFERROR(__xludf.DUMMYFUNCTION("""COMPUTED_VALUE"""),"ACTIVE")</f>
        <v>ACTIVE</v>
      </c>
      <c r="E480" s="161" t="s">
        <v>5774</v>
      </c>
      <c r="F480" s="161" t="s">
        <v>42</v>
      </c>
    </row>
    <row r="481">
      <c r="A481" s="132" t="str">
        <f>CONCATENATE(Data!AA481,"|",Data!N481)</f>
        <v>Harris County Public Health|ACTIVE</v>
      </c>
      <c r="B481" s="161" t="str">
        <f>IFERROR(__xludf.DUMMYFUNCTION("""COMPUTED_VALUE"""),"Harris County Public Health")</f>
        <v>Harris County Public Health</v>
      </c>
      <c r="C481" s="161" t="str">
        <f>IFERROR(__xludf.DUMMYFUNCTION("""COMPUTED_VALUE"""),"ACTIVE")</f>
        <v>ACTIVE</v>
      </c>
      <c r="E481" s="161" t="s">
        <v>5774</v>
      </c>
      <c r="F481" s="161" t="s">
        <v>42</v>
      </c>
    </row>
    <row r="482">
      <c r="A482" s="132" t="str">
        <f>CONCATENATE(Data!AA482,"|",Data!N482)</f>
        <v>Harris County Public Health|ACTIVE</v>
      </c>
      <c r="B482" s="161" t="str">
        <f>IFERROR(__xludf.DUMMYFUNCTION("""COMPUTED_VALUE"""),"Harris County Public Health")</f>
        <v>Harris County Public Health</v>
      </c>
      <c r="C482" s="161" t="str">
        <f>IFERROR(__xludf.DUMMYFUNCTION("""COMPUTED_VALUE"""),"ACTIVE")</f>
        <v>ACTIVE</v>
      </c>
      <c r="E482" s="161" t="s">
        <v>5774</v>
      </c>
      <c r="F482" s="161" t="s">
        <v>42</v>
      </c>
    </row>
    <row r="483">
      <c r="A483" s="132" t="str">
        <f>CONCATENATE(Data!AA483,"|",Data!N483)</f>
        <v>Harris County Public Health|ACTIVE</v>
      </c>
      <c r="B483" s="161" t="str">
        <f>IFERROR(__xludf.DUMMYFUNCTION("""COMPUTED_VALUE"""),"Harris County Public Health")</f>
        <v>Harris County Public Health</v>
      </c>
      <c r="C483" s="161" t="str">
        <f>IFERROR(__xludf.DUMMYFUNCTION("""COMPUTED_VALUE"""),"ACTIVE")</f>
        <v>ACTIVE</v>
      </c>
      <c r="E483" s="161" t="s">
        <v>5774</v>
      </c>
      <c r="F483" s="161" t="s">
        <v>42</v>
      </c>
    </row>
    <row r="484">
      <c r="A484" s="132" t="str">
        <f>CONCATENATE(Data!AA484,"|",Data!N484)</f>
        <v>ICNA Relief|ACTIVE</v>
      </c>
      <c r="B484" s="161" t="str">
        <f>IFERROR(__xludf.DUMMYFUNCTION("""COMPUTED_VALUE"""),"ICNA Relief")</f>
        <v>ICNA Relief</v>
      </c>
      <c r="C484" s="161" t="str">
        <f>IFERROR(__xludf.DUMMYFUNCTION("""COMPUTED_VALUE"""),"ACTIVE")</f>
        <v>ACTIVE</v>
      </c>
      <c r="E484" s="161" t="s">
        <v>5774</v>
      </c>
      <c r="F484" s="161" t="s">
        <v>42</v>
      </c>
    </row>
    <row r="485">
      <c r="A485" s="132" t="str">
        <f>CONCATENATE(Data!AA485,"|",Data!N485)</f>
        <v>Immaculate Conception|ACTIVE</v>
      </c>
      <c r="B485" s="161" t="str">
        <f>IFERROR(__xludf.DUMMYFUNCTION("""COMPUTED_VALUE"""),"Immaculate Conception")</f>
        <v>Immaculate Conception</v>
      </c>
      <c r="C485" s="161" t="str">
        <f>IFERROR(__xludf.DUMMYFUNCTION("""COMPUTED_VALUE"""),"ACTIVE")</f>
        <v>ACTIVE</v>
      </c>
      <c r="E485" s="161" t="s">
        <v>5774</v>
      </c>
      <c r="F485" s="161" t="s">
        <v>42</v>
      </c>
    </row>
    <row r="486">
      <c r="A486" s="132" t="str">
        <f>CONCATENATE(Data!AA486,"|",Data!N486)</f>
        <v>Immaculate Conception Sealy|ACTIVE</v>
      </c>
      <c r="B486" s="161" t="str">
        <f>IFERROR(__xludf.DUMMYFUNCTION("""COMPUTED_VALUE"""),"Immaculate Conception Sealy")</f>
        <v>Immaculate Conception Sealy</v>
      </c>
      <c r="C486" s="161" t="str">
        <f>IFERROR(__xludf.DUMMYFUNCTION("""COMPUTED_VALUE"""),"ACTIVE")</f>
        <v>ACTIVE</v>
      </c>
      <c r="E486" s="161" t="s">
        <v>5774</v>
      </c>
      <c r="F486" s="161" t="s">
        <v>42</v>
      </c>
    </row>
    <row r="487">
      <c r="A487" s="132" t="str">
        <f>CONCATENATE(Data!AA487,"|",Data!N487)</f>
        <v>Immaculate Conception Sealy|ACTIVE</v>
      </c>
      <c r="B487" s="161" t="str">
        <f>IFERROR(__xludf.DUMMYFUNCTION("""COMPUTED_VALUE"""),"Immaculate Conception Sealy")</f>
        <v>Immaculate Conception Sealy</v>
      </c>
      <c r="C487" s="161" t="str">
        <f>IFERROR(__xludf.DUMMYFUNCTION("""COMPUTED_VALUE"""),"ACTIVE")</f>
        <v>ACTIVE</v>
      </c>
      <c r="E487" s="161" t="s">
        <v>5774</v>
      </c>
      <c r="F487" s="161" t="s">
        <v>42</v>
      </c>
    </row>
    <row r="488">
      <c r="A488" s="132" t="str">
        <f>CONCATENATE(Data!AA488,"|",Data!N488)</f>
        <v>Immaculate Conception Sealy|ACTIVE</v>
      </c>
      <c r="B488" s="161" t="str">
        <f>IFERROR(__xludf.DUMMYFUNCTION("""COMPUTED_VALUE"""),"Immaculate Conception Sealy")</f>
        <v>Immaculate Conception Sealy</v>
      </c>
      <c r="C488" s="161" t="str">
        <f>IFERROR(__xludf.DUMMYFUNCTION("""COMPUTED_VALUE"""),"ACTIVE")</f>
        <v>ACTIVE</v>
      </c>
      <c r="E488" s="161" t="s">
        <v>5774</v>
      </c>
      <c r="F488" s="161" t="s">
        <v>42</v>
      </c>
    </row>
    <row r="489">
      <c r="A489" s="132" t="str">
        <f>CONCATENATE(Data!AA489,"|",Data!N489)</f>
        <v>Immigrant Defense Project|ACTIVE</v>
      </c>
      <c r="B489" s="161" t="str">
        <f>IFERROR(__xludf.DUMMYFUNCTION("""COMPUTED_VALUE"""),"Immigrant Defense Project")</f>
        <v>Immigrant Defense Project</v>
      </c>
      <c r="C489" s="161" t="str">
        <f>IFERROR(__xludf.DUMMYFUNCTION("""COMPUTED_VALUE"""),"ACTIVE")</f>
        <v>ACTIVE</v>
      </c>
      <c r="E489" s="161" t="s">
        <v>5774</v>
      </c>
      <c r="F489" s="161" t="s">
        <v>42</v>
      </c>
    </row>
    <row r="490">
      <c r="A490" s="132" t="str">
        <f>CONCATENATE(Data!AA490,"|",Data!N490)</f>
        <v>Immigration Legal Resource Center|ACTIVE</v>
      </c>
      <c r="B490" s="161" t="str">
        <f>IFERROR(__xludf.DUMMYFUNCTION("""COMPUTED_VALUE"""),"Immigration Legal Resource Center")</f>
        <v>Immigration Legal Resource Center</v>
      </c>
      <c r="C490" s="161" t="str">
        <f>IFERROR(__xludf.DUMMYFUNCTION("""COMPUTED_VALUE"""),"ACTIVE")</f>
        <v>ACTIVE</v>
      </c>
      <c r="E490" s="161" t="s">
        <v>5774</v>
      </c>
      <c r="F490" s="161" t="s">
        <v>42</v>
      </c>
    </row>
    <row r="491">
      <c r="A491" s="132" t="str">
        <f>CONCATENATE(Data!AA491,"|",Data!N491)</f>
        <v>Impact Houston Church of Christ|ACTIVE</v>
      </c>
      <c r="B491" s="161" t="str">
        <f>IFERROR(__xludf.DUMMYFUNCTION("""COMPUTED_VALUE"""),"Impact Houston Church of Christ")</f>
        <v>Impact Houston Church of Christ</v>
      </c>
      <c r="C491" s="161" t="str">
        <f>IFERROR(__xludf.DUMMYFUNCTION("""COMPUTED_VALUE"""),"ACTIVE")</f>
        <v>ACTIVE</v>
      </c>
      <c r="E491" s="161" t="s">
        <v>5774</v>
      </c>
      <c r="F491" s="161" t="s">
        <v>42</v>
      </c>
    </row>
    <row r="492">
      <c r="A492" s="132" t="str">
        <f>CONCATENATE(Data!AA492,"|",Data!N492)</f>
        <v>Impact Houston Church of Christ|ACTIVE</v>
      </c>
      <c r="B492" s="161" t="str">
        <f>IFERROR(__xludf.DUMMYFUNCTION("""COMPUTED_VALUE"""),"Impact Houston Church of Christ")</f>
        <v>Impact Houston Church of Christ</v>
      </c>
      <c r="C492" s="161" t="str">
        <f>IFERROR(__xludf.DUMMYFUNCTION("""COMPUTED_VALUE"""),"ACTIVE")</f>
        <v>ACTIVE</v>
      </c>
      <c r="E492" s="161" t="s">
        <v>5774</v>
      </c>
      <c r="F492" s="161" t="s">
        <v>42</v>
      </c>
    </row>
    <row r="493">
      <c r="A493" s="132" t="str">
        <f>CONCATENATE(Data!AA493,"|",Data!N493)</f>
        <v>India House Houston|ACTIVE</v>
      </c>
      <c r="B493" s="161" t="str">
        <f>IFERROR(__xludf.DUMMYFUNCTION("""COMPUTED_VALUE"""),"India House Houston")</f>
        <v>India House Houston</v>
      </c>
      <c r="C493" s="161" t="str">
        <f>IFERROR(__xludf.DUMMYFUNCTION("""COMPUTED_VALUE"""),"ACTIVE")</f>
        <v>ACTIVE</v>
      </c>
      <c r="E493" s="161" t="s">
        <v>5774</v>
      </c>
      <c r="F493" s="161" t="s">
        <v>42</v>
      </c>
    </row>
    <row r="494">
      <c r="A494" s="132" t="str">
        <f>CONCATENATE(Data!AA494,"|",Data!N494)</f>
        <v>India House Houston|ACTIVE</v>
      </c>
      <c r="B494" s="161" t="str">
        <f>IFERROR(__xludf.DUMMYFUNCTION("""COMPUTED_VALUE"""),"India House Houston")</f>
        <v>India House Houston</v>
      </c>
      <c r="C494" s="161" t="str">
        <f>IFERROR(__xludf.DUMMYFUNCTION("""COMPUTED_VALUE"""),"ACTIVE")</f>
        <v>ACTIVE</v>
      </c>
      <c r="E494" s="161" t="s">
        <v>5774</v>
      </c>
      <c r="F494" s="161" t="s">
        <v>42</v>
      </c>
    </row>
    <row r="495">
      <c r="A495" s="132" t="str">
        <f>CONCATENATE(Data!AA495,"|",Data!N495)</f>
        <v>India House Houston|ACTIVE</v>
      </c>
      <c r="B495" s="161" t="str">
        <f>IFERROR(__xludf.DUMMYFUNCTION("""COMPUTED_VALUE"""),"India House Houston")</f>
        <v>India House Houston</v>
      </c>
      <c r="C495" s="161" t="str">
        <f>IFERROR(__xludf.DUMMYFUNCTION("""COMPUTED_VALUE"""),"ACTIVE")</f>
        <v>ACTIVE</v>
      </c>
      <c r="E495" s="161" t="s">
        <v>5774</v>
      </c>
      <c r="F495" s="161" t="s">
        <v>42</v>
      </c>
    </row>
    <row r="496">
      <c r="A496" s="132" t="str">
        <f>CONCATENATE(Data!AA496,"|",Data!N496)</f>
        <v>Interfaith Caring Ministries|ACTIVE</v>
      </c>
      <c r="B496" s="161" t="str">
        <f>IFERROR(__xludf.DUMMYFUNCTION("""COMPUTED_VALUE"""),"Interfaith Caring Ministries")</f>
        <v>Interfaith Caring Ministries</v>
      </c>
      <c r="C496" s="161" t="str">
        <f>IFERROR(__xludf.DUMMYFUNCTION("""COMPUTED_VALUE"""),"ACTIVE")</f>
        <v>ACTIVE</v>
      </c>
      <c r="E496" s="161" t="s">
        <v>5774</v>
      </c>
      <c r="F496" s="161" t="s">
        <v>42</v>
      </c>
    </row>
    <row r="497">
      <c r="A497" s="132" t="str">
        <f>CONCATENATE(Data!AA497,"|",Data!N497)</f>
        <v>Interfaith Caring Ministries|ACTIVE</v>
      </c>
      <c r="B497" s="161" t="str">
        <f>IFERROR(__xludf.DUMMYFUNCTION("""COMPUTED_VALUE"""),"Interfaith Caring Ministries")</f>
        <v>Interfaith Caring Ministries</v>
      </c>
      <c r="C497" s="161" t="str">
        <f>IFERROR(__xludf.DUMMYFUNCTION("""COMPUTED_VALUE"""),"ACTIVE")</f>
        <v>ACTIVE</v>
      </c>
      <c r="E497" s="161" t="s">
        <v>2900</v>
      </c>
      <c r="F497" s="161" t="s">
        <v>42</v>
      </c>
    </row>
    <row r="498">
      <c r="A498" s="132" t="str">
        <f>CONCATENATE(Data!AA498,"|",Data!N498)</f>
        <v>Interfaith Caring Ministries|ACTIVE</v>
      </c>
      <c r="B498" s="161" t="str">
        <f>IFERROR(__xludf.DUMMYFUNCTION("""COMPUTED_VALUE"""),"Interfaith Caring Ministries")</f>
        <v>Interfaith Caring Ministries</v>
      </c>
      <c r="C498" s="161" t="str">
        <f>IFERROR(__xludf.DUMMYFUNCTION("""COMPUTED_VALUE"""),"ACTIVE")</f>
        <v>ACTIVE</v>
      </c>
      <c r="E498" s="161" t="s">
        <v>2908</v>
      </c>
      <c r="F498" s="161" t="s">
        <v>42</v>
      </c>
    </row>
    <row r="499">
      <c r="A499" s="132" t="str">
        <f>CONCATENATE(Data!AA499,"|",Data!N499)</f>
        <v>Interfaith Caring Ministries|ACTIVE</v>
      </c>
      <c r="B499" s="161" t="str">
        <f>IFERROR(__xludf.DUMMYFUNCTION("""COMPUTED_VALUE"""),"Interfaith Caring Ministries")</f>
        <v>Interfaith Caring Ministries</v>
      </c>
      <c r="C499" s="161" t="str">
        <f>IFERROR(__xludf.DUMMYFUNCTION("""COMPUTED_VALUE"""),"ACTIVE")</f>
        <v>ACTIVE</v>
      </c>
      <c r="E499" s="161" t="s">
        <v>2916</v>
      </c>
      <c r="F499" s="161" t="s">
        <v>42</v>
      </c>
    </row>
    <row r="500">
      <c r="A500" s="132" t="str">
        <f>CONCATENATE(Data!AA500,"|",Data!N500)</f>
        <v>Interfaith Caring Ministries|ACTIVE</v>
      </c>
      <c r="B500" s="161" t="str">
        <f>IFERROR(__xludf.DUMMYFUNCTION("""COMPUTED_VALUE"""),"Interfaith Caring Ministries")</f>
        <v>Interfaith Caring Ministries</v>
      </c>
      <c r="C500" s="161" t="str">
        <f>IFERROR(__xludf.DUMMYFUNCTION("""COMPUTED_VALUE"""),"ACTIVE")</f>
        <v>ACTIVE</v>
      </c>
      <c r="E500" s="161" t="s">
        <v>2916</v>
      </c>
      <c r="F500" s="161" t="s">
        <v>42</v>
      </c>
    </row>
    <row r="501">
      <c r="A501" s="132" t="str">
        <f>CONCATENATE(Data!AA501,"|",Data!N501)</f>
        <v>Interfaith Caring Ministries|ACTIVE</v>
      </c>
      <c r="B501" s="161" t="str">
        <f>IFERROR(__xludf.DUMMYFUNCTION("""COMPUTED_VALUE"""),"Interfaith Caring Ministries")</f>
        <v>Interfaith Caring Ministries</v>
      </c>
      <c r="C501" s="161" t="str">
        <f>IFERROR(__xludf.DUMMYFUNCTION("""COMPUTED_VALUE"""),"ACTIVE")</f>
        <v>ACTIVE</v>
      </c>
      <c r="E501" s="161" t="s">
        <v>2925</v>
      </c>
      <c r="F501" s="161" t="s">
        <v>42</v>
      </c>
    </row>
    <row r="502">
      <c r="A502" s="132" t="str">
        <f>CONCATENATE(Data!AA502,"|",Data!N502)</f>
        <v>Interfaith Ministries for Greater Houston|ACTIVE</v>
      </c>
      <c r="B502" s="161" t="str">
        <f>IFERROR(__xludf.DUMMYFUNCTION("""COMPUTED_VALUE"""),"Interfaith Ministries for Greater Houston")</f>
        <v>Interfaith Ministries for Greater Houston</v>
      </c>
      <c r="C502" s="161" t="str">
        <f>IFERROR(__xludf.DUMMYFUNCTION("""COMPUTED_VALUE"""),"ACTIVE")</f>
        <v>ACTIVE</v>
      </c>
      <c r="E502" s="161" t="s">
        <v>2925</v>
      </c>
      <c r="F502" s="161" t="s">
        <v>42</v>
      </c>
    </row>
    <row r="503">
      <c r="A503" s="132" t="str">
        <f>CONCATENATE(Data!AA503,"|",Data!N503)</f>
        <v>Interfaith Ministries for Greater Houston|ACTIVE</v>
      </c>
      <c r="B503" s="161" t="str">
        <f>IFERROR(__xludf.DUMMYFUNCTION("""COMPUTED_VALUE"""),"Interfaith Ministries for Greater Houston")</f>
        <v>Interfaith Ministries for Greater Houston</v>
      </c>
      <c r="C503" s="161" t="str">
        <f>IFERROR(__xludf.DUMMYFUNCTION("""COMPUTED_VALUE"""),"ACTIVE")</f>
        <v>ACTIVE</v>
      </c>
      <c r="E503" s="161" t="s">
        <v>2933</v>
      </c>
      <c r="F503" s="161" t="s">
        <v>42</v>
      </c>
    </row>
    <row r="504">
      <c r="A504" s="132" t="str">
        <f>CONCATENATE(Data!AA504,"|",Data!N504)</f>
        <v>Interfaith Ministries for Greater Houston|ACTIVE</v>
      </c>
      <c r="B504" s="161" t="str">
        <f>IFERROR(__xludf.DUMMYFUNCTION("""COMPUTED_VALUE"""),"Interfaith Ministries for Greater Houston")</f>
        <v>Interfaith Ministries for Greater Houston</v>
      </c>
      <c r="C504" s="161" t="str">
        <f>IFERROR(__xludf.DUMMYFUNCTION("""COMPUTED_VALUE"""),"ACTIVE")</f>
        <v>ACTIVE</v>
      </c>
      <c r="E504" s="161" t="s">
        <v>2944</v>
      </c>
      <c r="F504" s="161" t="s">
        <v>42</v>
      </c>
    </row>
    <row r="505">
      <c r="A505" s="132" t="str">
        <f>CONCATENATE(Data!AA505,"|",Data!N505)</f>
        <v>Interfaith of the Woodlands|ACTIVE</v>
      </c>
      <c r="B505" s="161" t="str">
        <f>IFERROR(__xludf.DUMMYFUNCTION("""COMPUTED_VALUE"""),"Interfaith of the Woodlands")</f>
        <v>Interfaith of the Woodlands</v>
      </c>
      <c r="C505" s="161" t="str">
        <f>IFERROR(__xludf.DUMMYFUNCTION("""COMPUTED_VALUE"""),"ACTIVE")</f>
        <v>ACTIVE</v>
      </c>
      <c r="E505" s="161" t="s">
        <v>2944</v>
      </c>
      <c r="F505" s="161" t="s">
        <v>42</v>
      </c>
    </row>
    <row r="506">
      <c r="A506" s="132" t="str">
        <f>CONCATENATE(Data!AA506,"|",Data!N506)</f>
        <v>Interfaith of the Woodlands|ACTIVE</v>
      </c>
      <c r="B506" s="161" t="str">
        <f>IFERROR(__xludf.DUMMYFUNCTION("""COMPUTED_VALUE"""),"Interfaith of the Woodlands")</f>
        <v>Interfaith of the Woodlands</v>
      </c>
      <c r="C506" s="161" t="str">
        <f>IFERROR(__xludf.DUMMYFUNCTION("""COMPUTED_VALUE"""),"ACTIVE")</f>
        <v>ACTIVE</v>
      </c>
      <c r="E506" s="161" t="s">
        <v>2944</v>
      </c>
      <c r="F506" s="161" t="s">
        <v>42</v>
      </c>
    </row>
    <row r="507">
      <c r="A507" s="132" t="str">
        <f>CONCATENATE(Data!AA507,"|",Data!N507)</f>
        <v>Interfaith of the Woodlands|ACTIVE</v>
      </c>
      <c r="B507" s="161" t="str">
        <f>IFERROR(__xludf.DUMMYFUNCTION("""COMPUTED_VALUE"""),"Interfaith of the Woodlands")</f>
        <v>Interfaith of the Woodlands</v>
      </c>
      <c r="C507" s="161" t="str">
        <f>IFERROR(__xludf.DUMMYFUNCTION("""COMPUTED_VALUE"""),"ACTIVE")</f>
        <v>ACTIVE</v>
      </c>
      <c r="E507" s="161" t="s">
        <v>2944</v>
      </c>
      <c r="F507" s="161" t="s">
        <v>42</v>
      </c>
    </row>
    <row r="508">
      <c r="A508" s="132" t="str">
        <f>CONCATENATE(Data!AA508,"|",Data!N508)</f>
        <v>Interfaith of the Woodlands|ACTIVE</v>
      </c>
      <c r="B508" s="161" t="str">
        <f>IFERROR(__xludf.DUMMYFUNCTION("""COMPUTED_VALUE"""),"Interfaith of the Woodlands")</f>
        <v>Interfaith of the Woodlands</v>
      </c>
      <c r="C508" s="161" t="str">
        <f>IFERROR(__xludf.DUMMYFUNCTION("""COMPUTED_VALUE"""),"ACTIVE")</f>
        <v>ACTIVE</v>
      </c>
      <c r="E508" s="161" t="s">
        <v>2944</v>
      </c>
      <c r="F508" s="161" t="s">
        <v>42</v>
      </c>
    </row>
    <row r="509">
      <c r="A509" s="132" t="str">
        <f>CONCATENATE(Data!AA509,"|",Data!N509)</f>
        <v>Interfaith of the Woodlands|ACTIVE</v>
      </c>
      <c r="B509" s="161" t="str">
        <f>IFERROR(__xludf.DUMMYFUNCTION("""COMPUTED_VALUE"""),"Interfaith of the Woodlands")</f>
        <v>Interfaith of the Woodlands</v>
      </c>
      <c r="C509" s="161" t="str">
        <f>IFERROR(__xludf.DUMMYFUNCTION("""COMPUTED_VALUE"""),"ACTIVE")</f>
        <v>ACTIVE</v>
      </c>
      <c r="E509" s="161" t="s">
        <v>2959</v>
      </c>
      <c r="F509" s="161" t="s">
        <v>42</v>
      </c>
    </row>
    <row r="510">
      <c r="A510" s="132" t="str">
        <f>CONCATENATE(Data!AA510,"|",Data!N510)</f>
        <v>Interfaith of the Woodlands|ACTIVE</v>
      </c>
      <c r="B510" s="161" t="str">
        <f>IFERROR(__xludf.DUMMYFUNCTION("""COMPUTED_VALUE"""),"Interfaith of the Woodlands")</f>
        <v>Interfaith of the Woodlands</v>
      </c>
      <c r="C510" s="161" t="str">
        <f>IFERROR(__xludf.DUMMYFUNCTION("""COMPUTED_VALUE"""),"ACTIVE")</f>
        <v>ACTIVE</v>
      </c>
      <c r="E510" s="161" t="s">
        <v>2959</v>
      </c>
      <c r="F510" s="161" t="s">
        <v>42</v>
      </c>
    </row>
    <row r="511">
      <c r="A511" s="132" t="str">
        <f>CONCATENATE(Data!AA511,"|",Data!N511)</f>
        <v>Interfaith of the Woodlands|ACTIVE</v>
      </c>
      <c r="B511" s="161" t="str">
        <f>IFERROR(__xludf.DUMMYFUNCTION("""COMPUTED_VALUE"""),"Interfaith of the Woodlands")</f>
        <v>Interfaith of the Woodlands</v>
      </c>
      <c r="C511" s="161" t="str">
        <f>IFERROR(__xludf.DUMMYFUNCTION("""COMPUTED_VALUE"""),"ACTIVE")</f>
        <v>ACTIVE</v>
      </c>
      <c r="E511" s="161" t="s">
        <v>2959</v>
      </c>
      <c r="F511" s="161" t="s">
        <v>42</v>
      </c>
    </row>
    <row r="512">
      <c r="A512" s="132" t="str">
        <f>CONCATENATE(Data!AA512,"|",Data!N512)</f>
        <v>Interfaith of the Woodlands|ACTIVE</v>
      </c>
      <c r="B512" s="161" t="str">
        <f>IFERROR(__xludf.DUMMYFUNCTION("""COMPUTED_VALUE"""),"Interfaith of the Woodlands")</f>
        <v>Interfaith of the Woodlands</v>
      </c>
      <c r="C512" s="161" t="str">
        <f>IFERROR(__xludf.DUMMYFUNCTION("""COMPUTED_VALUE"""),"ACTIVE")</f>
        <v>ACTIVE</v>
      </c>
      <c r="E512" s="161" t="s">
        <v>2991</v>
      </c>
      <c r="F512" s="161" t="s">
        <v>42</v>
      </c>
    </row>
    <row r="513">
      <c r="A513" s="132" t="str">
        <f>CONCATENATE(Data!AA513,"|",Data!N513)</f>
        <v>Islamic Society of Greater Houston|LIMITED</v>
      </c>
      <c r="B513" s="161" t="str">
        <f>IFERROR(__xludf.DUMMYFUNCTION("""COMPUTED_VALUE"""),"Islamic Society of Greater Houston")</f>
        <v>Islamic Society of Greater Houston</v>
      </c>
      <c r="C513" s="161" t="str">
        <f>IFERROR(__xludf.DUMMYFUNCTION("""COMPUTED_VALUE"""),"LIMITED")</f>
        <v>LIMITED</v>
      </c>
      <c r="E513" s="161" t="s">
        <v>3001</v>
      </c>
      <c r="F513" s="161" t="s">
        <v>42</v>
      </c>
    </row>
    <row r="514">
      <c r="A514" s="132" t="str">
        <f>CONCATENATE(Data!AA514,"|",Data!N514)</f>
        <v>Islamic Society of Greater Houston|LIMITED</v>
      </c>
      <c r="B514" s="161" t="str">
        <f>IFERROR(__xludf.DUMMYFUNCTION("""COMPUTED_VALUE"""),"Islamic Society of Greater Houston")</f>
        <v>Islamic Society of Greater Houston</v>
      </c>
      <c r="C514" s="161" t="str">
        <f>IFERROR(__xludf.DUMMYFUNCTION("""COMPUTED_VALUE"""),"LIMITED")</f>
        <v>LIMITED</v>
      </c>
      <c r="E514" s="161" t="s">
        <v>3011</v>
      </c>
      <c r="F514" s="161" t="s">
        <v>42</v>
      </c>
    </row>
    <row r="515">
      <c r="A515" s="132" t="str">
        <f>CONCATENATE(Data!AA515,"|",Data!N515)</f>
        <v>Islamic Society of Greater Houston|ACTIVE</v>
      </c>
      <c r="B515" s="161" t="str">
        <f>IFERROR(__xludf.DUMMYFUNCTION("""COMPUTED_VALUE"""),"Islamic Society of Greater Houston")</f>
        <v>Islamic Society of Greater Houston</v>
      </c>
      <c r="C515" s="161" t="str">
        <f>IFERROR(__xludf.DUMMYFUNCTION("""COMPUTED_VALUE"""),"ACTIVE")</f>
        <v>ACTIVE</v>
      </c>
      <c r="E515" s="161" t="s">
        <v>3021</v>
      </c>
      <c r="F515" s="161" t="s">
        <v>42</v>
      </c>
    </row>
    <row r="516">
      <c r="A516" s="132" t="str">
        <f>CONCATENATE(Data!AA516,"|",Data!N516)</f>
        <v>Kailee Mills Foundation|LIMITED</v>
      </c>
      <c r="B516" s="161" t="str">
        <f>IFERROR(__xludf.DUMMYFUNCTION("""COMPUTED_VALUE"""),"Kailee Mills Foundation")</f>
        <v>Kailee Mills Foundation</v>
      </c>
      <c r="C516" s="161" t="str">
        <f>IFERROR(__xludf.DUMMYFUNCTION("""COMPUTED_VALUE"""),"LIMITED")</f>
        <v>LIMITED</v>
      </c>
      <c r="E516" s="161" t="s">
        <v>3021</v>
      </c>
      <c r="F516" s="161" t="s">
        <v>42</v>
      </c>
    </row>
    <row r="517">
      <c r="A517" s="132" t="str">
        <f>CONCATENATE(Data!AA517,"|",Data!N517)</f>
        <v>Katy Christian Ministries|ACTIVE</v>
      </c>
      <c r="B517" s="161" t="str">
        <f>IFERROR(__xludf.DUMMYFUNCTION("""COMPUTED_VALUE"""),"Katy Christian Ministries")</f>
        <v>Katy Christian Ministries</v>
      </c>
      <c r="C517" s="161" t="str">
        <f>IFERROR(__xludf.DUMMYFUNCTION("""COMPUTED_VALUE"""),"ACTIVE")</f>
        <v>ACTIVE</v>
      </c>
      <c r="E517" s="161" t="s">
        <v>3021</v>
      </c>
      <c r="F517" s="161" t="s">
        <v>42</v>
      </c>
    </row>
    <row r="518">
      <c r="A518" s="132" t="str">
        <f>CONCATENATE(Data!AA518,"|",Data!N518)</f>
        <v>Katy Christian Ministries|ACTIVE</v>
      </c>
      <c r="B518" s="161" t="str">
        <f>IFERROR(__xludf.DUMMYFUNCTION("""COMPUTED_VALUE"""),"Katy Christian Ministries")</f>
        <v>Katy Christian Ministries</v>
      </c>
      <c r="C518" s="161" t="str">
        <f>IFERROR(__xludf.DUMMYFUNCTION("""COMPUTED_VALUE"""),"ACTIVE")</f>
        <v>ACTIVE</v>
      </c>
      <c r="E518" s="161" t="s">
        <v>3021</v>
      </c>
      <c r="F518" s="161" t="s">
        <v>42</v>
      </c>
    </row>
    <row r="519">
      <c r="A519" s="132" t="str">
        <f>CONCATENATE(Data!AA519,"|",Data!N519)</f>
        <v>Katy Christian Ministries|ACTIVE</v>
      </c>
      <c r="B519" s="161" t="str">
        <f>IFERROR(__xludf.DUMMYFUNCTION("""COMPUTED_VALUE"""),"Katy Christian Ministries")</f>
        <v>Katy Christian Ministries</v>
      </c>
      <c r="C519" s="161" t="str">
        <f>IFERROR(__xludf.DUMMYFUNCTION("""COMPUTED_VALUE"""),"ACTIVE")</f>
        <v>ACTIVE</v>
      </c>
      <c r="E519" s="161" t="s">
        <v>5775</v>
      </c>
      <c r="F519" s="161" t="s">
        <v>42</v>
      </c>
    </row>
    <row r="520">
      <c r="A520" s="132" t="str">
        <f>CONCATENATE(Data!AA520,"|",Data!N520)</f>
        <v>Katy Christian Ministries|ACTIVE</v>
      </c>
      <c r="B520" s="161" t="str">
        <f>IFERROR(__xludf.DUMMYFUNCTION("""COMPUTED_VALUE"""),"Katy Christian Ministries")</f>
        <v>Katy Christian Ministries</v>
      </c>
      <c r="C520" s="161" t="str">
        <f>IFERROR(__xludf.DUMMYFUNCTION("""COMPUTED_VALUE"""),"ACTIVE")</f>
        <v>ACTIVE</v>
      </c>
      <c r="E520" s="161" t="s">
        <v>5775</v>
      </c>
      <c r="F520" s="161" t="s">
        <v>42</v>
      </c>
    </row>
    <row r="521">
      <c r="A521" s="132" t="str">
        <f>CONCATENATE(Data!AA521,"|",Data!N521)</f>
        <v>Katy Christian Ministries|ACTIVE</v>
      </c>
      <c r="B521" s="161" t="str">
        <f>IFERROR(__xludf.DUMMYFUNCTION("""COMPUTED_VALUE"""),"Katy Christian Ministries")</f>
        <v>Katy Christian Ministries</v>
      </c>
      <c r="C521" s="161" t="str">
        <f>IFERROR(__xludf.DUMMYFUNCTION("""COMPUTED_VALUE"""),"ACTIVE")</f>
        <v>ACTIVE</v>
      </c>
      <c r="E521" s="161" t="s">
        <v>5775</v>
      </c>
      <c r="F521" s="161" t="s">
        <v>42</v>
      </c>
    </row>
    <row r="522">
      <c r="A522" s="132" t="str">
        <f>CONCATENATE(Data!AA522,"|",Data!N522)</f>
        <v>Katy Christian Ministries|ACTIVE</v>
      </c>
      <c r="B522" s="161" t="str">
        <f>IFERROR(__xludf.DUMMYFUNCTION("""COMPUTED_VALUE"""),"Katy Christian Ministries")</f>
        <v>Katy Christian Ministries</v>
      </c>
      <c r="C522" s="161" t="str">
        <f>IFERROR(__xludf.DUMMYFUNCTION("""COMPUTED_VALUE"""),"ACTIVE")</f>
        <v>ACTIVE</v>
      </c>
      <c r="E522" s="161" t="s">
        <v>5775</v>
      </c>
      <c r="F522" s="161" t="s">
        <v>42</v>
      </c>
    </row>
    <row r="523">
      <c r="A523" s="132" t="str">
        <f>CONCATENATE(Data!AA523,"|",Data!N523)</f>
        <v>Katy Christian Ministries|ACTIVE</v>
      </c>
      <c r="B523" s="161" t="str">
        <f>IFERROR(__xludf.DUMMYFUNCTION("""COMPUTED_VALUE"""),"Katy Christian Ministries")</f>
        <v>Katy Christian Ministries</v>
      </c>
      <c r="C523" s="161" t="str">
        <f>IFERROR(__xludf.DUMMYFUNCTION("""COMPUTED_VALUE"""),"ACTIVE")</f>
        <v>ACTIVE</v>
      </c>
      <c r="E523" s="161" t="s">
        <v>5775</v>
      </c>
      <c r="F523" s="161" t="s">
        <v>42</v>
      </c>
    </row>
    <row r="524">
      <c r="A524" s="132" t="str">
        <f>CONCATENATE(Data!AA524,"|",Data!N524)</f>
        <v>Keturah's Haven|INACTIVE</v>
      </c>
      <c r="B524" s="161" t="str">
        <f>IFERROR(__xludf.DUMMYFUNCTION("""COMPUTED_VALUE"""),"Keturah's Haven")</f>
        <v>Keturah's Haven</v>
      </c>
      <c r="C524" s="161" t="str">
        <f>IFERROR(__xludf.DUMMYFUNCTION("""COMPUTED_VALUE"""),"INACTIVE")</f>
        <v>INACTIVE</v>
      </c>
      <c r="E524" s="161" t="s">
        <v>5775</v>
      </c>
      <c r="F524" s="161" t="s">
        <v>42</v>
      </c>
    </row>
    <row r="525">
      <c r="A525" s="132" t="str">
        <f>CONCATENATE(Data!AA525,"|",Data!N525)</f>
        <v>Kids' Meals|ACTIVE</v>
      </c>
      <c r="B525" s="161" t="str">
        <f>IFERROR(__xludf.DUMMYFUNCTION("""COMPUTED_VALUE"""),"Kids' Meals")</f>
        <v>Kids' Meals</v>
      </c>
      <c r="C525" s="161" t="str">
        <f>IFERROR(__xludf.DUMMYFUNCTION("""COMPUTED_VALUE"""),"ACTIVE")</f>
        <v>ACTIVE</v>
      </c>
      <c r="E525" s="161" t="s">
        <v>5775</v>
      </c>
      <c r="F525" s="161" t="s">
        <v>42</v>
      </c>
    </row>
    <row r="526">
      <c r="A526" s="132" t="str">
        <f>CONCATENATE(Data!AA526,"|",Data!N526)</f>
        <v>Kids' Meals|ACTIVE</v>
      </c>
      <c r="B526" s="161" t="str">
        <f>IFERROR(__xludf.DUMMYFUNCTION("""COMPUTED_VALUE"""),"Kids' Meals")</f>
        <v>Kids' Meals</v>
      </c>
      <c r="C526" s="161" t="str">
        <f>IFERROR(__xludf.DUMMYFUNCTION("""COMPUTED_VALUE"""),"ACTIVE")</f>
        <v>ACTIVE</v>
      </c>
      <c r="E526" s="161" t="s">
        <v>5775</v>
      </c>
      <c r="F526" s="161" t="s">
        <v>42</v>
      </c>
    </row>
    <row r="527">
      <c r="A527" s="132" t="str">
        <f>CONCATENATE(Data!AA527,"|",Data!N527)</f>
        <v>Legacy Community Health|ACTIVE</v>
      </c>
      <c r="B527" s="161" t="str">
        <f>IFERROR(__xludf.DUMMYFUNCTION("""COMPUTED_VALUE"""),"Legacy Community Health")</f>
        <v>Legacy Community Health</v>
      </c>
      <c r="C527" s="161" t="str">
        <f>IFERROR(__xludf.DUMMYFUNCTION("""COMPUTED_VALUE"""),"ACTIVE")</f>
        <v>ACTIVE</v>
      </c>
      <c r="E527" s="161" t="s">
        <v>5775</v>
      </c>
      <c r="F527" s="161" t="s">
        <v>42</v>
      </c>
    </row>
    <row r="528">
      <c r="A528" s="132" t="str">
        <f>CONCATENATE(Data!AA528,"|",Data!N528)</f>
        <v>Legacy Community Health|ACTIVE</v>
      </c>
      <c r="B528" s="161" t="str">
        <f>IFERROR(__xludf.DUMMYFUNCTION("""COMPUTED_VALUE"""),"Legacy Community Health")</f>
        <v>Legacy Community Health</v>
      </c>
      <c r="C528" s="161" t="str">
        <f>IFERROR(__xludf.DUMMYFUNCTION("""COMPUTED_VALUE"""),"ACTIVE")</f>
        <v>ACTIVE</v>
      </c>
      <c r="E528" s="161" t="s">
        <v>5775</v>
      </c>
      <c r="F528" s="161" t="s">
        <v>42</v>
      </c>
    </row>
    <row r="529">
      <c r="A529" s="132" t="str">
        <f>CONCATENATE(Data!AA529,"|",Data!N529)</f>
        <v>Legacy Community Health|ACTIVE</v>
      </c>
      <c r="B529" s="161" t="str">
        <f>IFERROR(__xludf.DUMMYFUNCTION("""COMPUTED_VALUE"""),"Legacy Community Health")</f>
        <v>Legacy Community Health</v>
      </c>
      <c r="C529" s="161" t="str">
        <f>IFERROR(__xludf.DUMMYFUNCTION("""COMPUTED_VALUE"""),"ACTIVE")</f>
        <v>ACTIVE</v>
      </c>
      <c r="E529" s="161" t="s">
        <v>3062</v>
      </c>
      <c r="F529" s="161" t="s">
        <v>42</v>
      </c>
    </row>
    <row r="530">
      <c r="A530" s="132" t="str">
        <f>CONCATENATE(Data!AA530,"|",Data!N530)</f>
        <v>Legacy Community Health|ACTIVE</v>
      </c>
      <c r="B530" s="161" t="str">
        <f>IFERROR(__xludf.DUMMYFUNCTION("""COMPUTED_VALUE"""),"Legacy Community Health")</f>
        <v>Legacy Community Health</v>
      </c>
      <c r="C530" s="161" t="str">
        <f>IFERROR(__xludf.DUMMYFUNCTION("""COMPUTED_VALUE"""),"ACTIVE")</f>
        <v>ACTIVE</v>
      </c>
      <c r="E530" s="161" t="s">
        <v>3072</v>
      </c>
      <c r="F530" s="161" t="s">
        <v>42</v>
      </c>
    </row>
    <row r="531">
      <c r="A531" s="132" t="str">
        <f>CONCATENATE(Data!AA531,"|",Data!N531)</f>
        <v>Legacy Community Health|ACTIVE</v>
      </c>
      <c r="B531" s="161" t="str">
        <f>IFERROR(__xludf.DUMMYFUNCTION("""COMPUTED_VALUE"""),"Legacy Community Health")</f>
        <v>Legacy Community Health</v>
      </c>
      <c r="C531" s="161" t="str">
        <f>IFERROR(__xludf.DUMMYFUNCTION("""COMPUTED_VALUE"""),"ACTIVE")</f>
        <v>ACTIVE</v>
      </c>
      <c r="E531" s="161" t="s">
        <v>3084</v>
      </c>
      <c r="F531" s="161" t="s">
        <v>42</v>
      </c>
    </row>
    <row r="532">
      <c r="A532" s="132" t="str">
        <f>CONCATENATE(Data!AA532,"|",Data!N532)</f>
        <v>Legacy Community Health|ACTIVE</v>
      </c>
      <c r="B532" s="161" t="str">
        <f>IFERROR(__xludf.DUMMYFUNCTION("""COMPUTED_VALUE"""),"Legacy Community Health")</f>
        <v>Legacy Community Health</v>
      </c>
      <c r="C532" s="161" t="str">
        <f>IFERROR(__xludf.DUMMYFUNCTION("""COMPUTED_VALUE"""),"ACTIVE")</f>
        <v>ACTIVE</v>
      </c>
      <c r="E532" s="161" t="s">
        <v>3084</v>
      </c>
      <c r="F532" s="161" t="s">
        <v>42</v>
      </c>
    </row>
    <row r="533">
      <c r="A533" s="132" t="str">
        <f>CONCATENATE(Data!AA533,"|",Data!N533)</f>
        <v>Legacy Community Health|ACTIVE</v>
      </c>
      <c r="B533" s="161" t="str">
        <f>IFERROR(__xludf.DUMMYFUNCTION("""COMPUTED_VALUE"""),"Legacy Community Health")</f>
        <v>Legacy Community Health</v>
      </c>
      <c r="C533" s="161" t="str">
        <f>IFERROR(__xludf.DUMMYFUNCTION("""COMPUTED_VALUE"""),"ACTIVE")</f>
        <v>ACTIVE</v>
      </c>
      <c r="E533" s="161" t="s">
        <v>3084</v>
      </c>
      <c r="F533" s="161" t="s">
        <v>42</v>
      </c>
    </row>
    <row r="534">
      <c r="A534" s="132" t="str">
        <f>CONCATENATE(Data!AA534,"|",Data!N534)</f>
        <v>Legacy Community Health|ACTIVE</v>
      </c>
      <c r="B534" s="161" t="str">
        <f>IFERROR(__xludf.DUMMYFUNCTION("""COMPUTED_VALUE"""),"Legacy Community Health")</f>
        <v>Legacy Community Health</v>
      </c>
      <c r="C534" s="161" t="str">
        <f>IFERROR(__xludf.DUMMYFUNCTION("""COMPUTED_VALUE"""),"ACTIVE")</f>
        <v>ACTIVE</v>
      </c>
      <c r="E534" s="161" t="s">
        <v>3084</v>
      </c>
      <c r="F534" s="161" t="s">
        <v>42</v>
      </c>
    </row>
    <row r="535">
      <c r="A535" s="132" t="str">
        <f>CONCATENATE(Data!AA535,"|",Data!N535)</f>
        <v>Legacy Community Health|ACTIVE</v>
      </c>
      <c r="B535" s="161" t="str">
        <f>IFERROR(__xludf.DUMMYFUNCTION("""COMPUTED_VALUE"""),"Legacy Community Health")</f>
        <v>Legacy Community Health</v>
      </c>
      <c r="C535" s="161" t="str">
        <f>IFERROR(__xludf.DUMMYFUNCTION("""COMPUTED_VALUE"""),"ACTIVE")</f>
        <v>ACTIVE</v>
      </c>
      <c r="E535" s="161" t="s">
        <v>3084</v>
      </c>
      <c r="F535" s="161" t="s">
        <v>42</v>
      </c>
    </row>
    <row r="536">
      <c r="A536" s="132" t="str">
        <f>CONCATENATE(Data!AA536,"|",Data!N536)</f>
        <v>Legacy Community Health|ACTIVE</v>
      </c>
      <c r="B536" s="161" t="str">
        <f>IFERROR(__xludf.DUMMYFUNCTION("""COMPUTED_VALUE"""),"Legacy Community Health")</f>
        <v>Legacy Community Health</v>
      </c>
      <c r="C536" s="161" t="str">
        <f>IFERROR(__xludf.DUMMYFUNCTION("""COMPUTED_VALUE"""),"ACTIVE")</f>
        <v>ACTIVE</v>
      </c>
      <c r="E536" s="161" t="s">
        <v>3098</v>
      </c>
      <c r="F536" s="161" t="s">
        <v>42</v>
      </c>
    </row>
    <row r="537">
      <c r="A537" s="132" t="str">
        <f>CONCATENATE(Data!AA537,"|",Data!N537)</f>
        <v>Legacy Community Health|ACTIVE</v>
      </c>
      <c r="B537" s="161" t="str">
        <f>IFERROR(__xludf.DUMMYFUNCTION("""COMPUTED_VALUE"""),"Legacy Community Health")</f>
        <v>Legacy Community Health</v>
      </c>
      <c r="C537" s="161" t="str">
        <f>IFERROR(__xludf.DUMMYFUNCTION("""COMPUTED_VALUE"""),"ACTIVE")</f>
        <v>ACTIVE</v>
      </c>
      <c r="E537" s="161" t="s">
        <v>3098</v>
      </c>
      <c r="F537" s="161" t="s">
        <v>42</v>
      </c>
    </row>
    <row r="538">
      <c r="A538" s="132" t="str">
        <f>CONCATENATE(Data!AA538,"|",Data!N538)</f>
        <v>Legacy Community Health|ACTIVE</v>
      </c>
      <c r="B538" s="161" t="str">
        <f>IFERROR(__xludf.DUMMYFUNCTION("""COMPUTED_VALUE"""),"Legacy Community Health")</f>
        <v>Legacy Community Health</v>
      </c>
      <c r="C538" s="161" t="str">
        <f>IFERROR(__xludf.DUMMYFUNCTION("""COMPUTED_VALUE"""),"ACTIVE")</f>
        <v>ACTIVE</v>
      </c>
      <c r="E538" s="161" t="s">
        <v>3135</v>
      </c>
      <c r="F538" s="161" t="s">
        <v>42</v>
      </c>
    </row>
    <row r="539">
      <c r="A539" s="132" t="str">
        <f>CONCATENATE(Data!AA539,"|",Data!N539)</f>
        <v>Legacy Community Health|ACTIVE</v>
      </c>
      <c r="B539" s="161" t="str">
        <f>IFERROR(__xludf.DUMMYFUNCTION("""COMPUTED_VALUE"""),"Legacy Community Health")</f>
        <v>Legacy Community Health</v>
      </c>
      <c r="C539" s="161" t="str">
        <f>IFERROR(__xludf.DUMMYFUNCTION("""COMPUTED_VALUE"""),"ACTIVE")</f>
        <v>ACTIVE</v>
      </c>
      <c r="E539" s="161" t="s">
        <v>3141</v>
      </c>
      <c r="F539" s="161" t="s">
        <v>42</v>
      </c>
    </row>
    <row r="540">
      <c r="A540" s="132" t="str">
        <f>CONCATENATE(Data!AA540,"|",Data!N540)</f>
        <v>Legacy Community Health|ACTIVE</v>
      </c>
      <c r="B540" s="161" t="str">
        <f>IFERROR(__xludf.DUMMYFUNCTION("""COMPUTED_VALUE"""),"Legacy Community Health")</f>
        <v>Legacy Community Health</v>
      </c>
      <c r="C540" s="161" t="str">
        <f>IFERROR(__xludf.DUMMYFUNCTION("""COMPUTED_VALUE"""),"ACTIVE")</f>
        <v>ACTIVE</v>
      </c>
      <c r="E540" s="161" t="s">
        <v>3150</v>
      </c>
      <c r="F540" s="161" t="s">
        <v>42</v>
      </c>
    </row>
    <row r="541">
      <c r="A541" s="132" t="str">
        <f>CONCATENATE(Data!AA541,"|",Data!N541)</f>
        <v>Legacy Community Health|ACTIVE</v>
      </c>
      <c r="B541" s="161" t="str">
        <f>IFERROR(__xludf.DUMMYFUNCTION("""COMPUTED_VALUE"""),"Legacy Community Health")</f>
        <v>Legacy Community Health</v>
      </c>
      <c r="C541" s="161" t="str">
        <f>IFERROR(__xludf.DUMMYFUNCTION("""COMPUTED_VALUE"""),"ACTIVE")</f>
        <v>ACTIVE</v>
      </c>
      <c r="E541" s="161" t="s">
        <v>3157</v>
      </c>
      <c r="F541" s="161" t="s">
        <v>42</v>
      </c>
    </row>
    <row r="542">
      <c r="A542" s="132" t="str">
        <f>CONCATENATE(Data!AA542,"|",Data!N542)</f>
        <v>Legacy Community Health|ACTIVE</v>
      </c>
      <c r="B542" s="161" t="str">
        <f>IFERROR(__xludf.DUMMYFUNCTION("""COMPUTED_VALUE"""),"Legacy Community Health")</f>
        <v>Legacy Community Health</v>
      </c>
      <c r="C542" s="161" t="str">
        <f>IFERROR(__xludf.DUMMYFUNCTION("""COMPUTED_VALUE"""),"ACTIVE")</f>
        <v>ACTIVE</v>
      </c>
      <c r="E542" s="161" t="s">
        <v>3162</v>
      </c>
      <c r="F542" s="161" t="s">
        <v>42</v>
      </c>
    </row>
    <row r="543">
      <c r="A543" s="132" t="str">
        <f>CONCATENATE(Data!AA543,"|",Data!N543)</f>
        <v>Legacy Community Health|ACTIVE</v>
      </c>
      <c r="B543" s="161" t="str">
        <f>IFERROR(__xludf.DUMMYFUNCTION("""COMPUTED_VALUE"""),"Legacy Community Health")</f>
        <v>Legacy Community Health</v>
      </c>
      <c r="C543" s="161" t="str">
        <f>IFERROR(__xludf.DUMMYFUNCTION("""COMPUTED_VALUE"""),"ACTIVE")</f>
        <v>ACTIVE</v>
      </c>
      <c r="E543" s="161" t="s">
        <v>3170</v>
      </c>
      <c r="F543" s="161" t="s">
        <v>42</v>
      </c>
    </row>
    <row r="544">
      <c r="A544" s="132" t="str">
        <f>CONCATENATE(Data!AA544,"|",Data!N544)</f>
        <v>Legacy Community Health|ACTIVE</v>
      </c>
      <c r="B544" s="161" t="str">
        <f>IFERROR(__xludf.DUMMYFUNCTION("""COMPUTED_VALUE"""),"Legacy Community Health")</f>
        <v>Legacy Community Health</v>
      </c>
      <c r="C544" s="161" t="str">
        <f>IFERROR(__xludf.DUMMYFUNCTION("""COMPUTED_VALUE"""),"ACTIVE")</f>
        <v>ACTIVE</v>
      </c>
      <c r="E544" s="161" t="s">
        <v>3178</v>
      </c>
      <c r="F544" s="161" t="s">
        <v>42</v>
      </c>
    </row>
    <row r="545">
      <c r="A545" s="132" t="str">
        <f>CONCATENATE(Data!AA545,"|",Data!N545)</f>
        <v>Legacy Community Health|ACTIVE</v>
      </c>
      <c r="B545" s="161" t="str">
        <f>IFERROR(__xludf.DUMMYFUNCTION("""COMPUTED_VALUE"""),"Legacy Community Health")</f>
        <v>Legacy Community Health</v>
      </c>
      <c r="C545" s="161" t="str">
        <f>IFERROR(__xludf.DUMMYFUNCTION("""COMPUTED_VALUE"""),"ACTIVE")</f>
        <v>ACTIVE</v>
      </c>
      <c r="E545" s="161" t="s">
        <v>3178</v>
      </c>
      <c r="F545" s="161" t="s">
        <v>42</v>
      </c>
    </row>
    <row r="546">
      <c r="A546" s="132" t="str">
        <f>CONCATENATE(Data!AA546,"|",Data!N546)</f>
        <v>Legacy Community Health|ACTIVE</v>
      </c>
      <c r="B546" s="161" t="str">
        <f>IFERROR(__xludf.DUMMYFUNCTION("""COMPUTED_VALUE"""),"Legacy Community Health")</f>
        <v>Legacy Community Health</v>
      </c>
      <c r="C546" s="161" t="str">
        <f>IFERROR(__xludf.DUMMYFUNCTION("""COMPUTED_VALUE"""),"ACTIVE")</f>
        <v>ACTIVE</v>
      </c>
      <c r="E546" s="161" t="s">
        <v>3178</v>
      </c>
      <c r="F546" s="161" t="s">
        <v>42</v>
      </c>
    </row>
    <row r="547">
      <c r="A547" s="132" t="str">
        <f>CONCATENATE(Data!AA547,"|",Data!N547)</f>
        <v>Legacy Community Health|ACTIVE</v>
      </c>
      <c r="B547" s="161" t="str">
        <f>IFERROR(__xludf.DUMMYFUNCTION("""COMPUTED_VALUE"""),"Legacy Community Health")</f>
        <v>Legacy Community Health</v>
      </c>
      <c r="C547" s="161" t="str">
        <f>IFERROR(__xludf.DUMMYFUNCTION("""COMPUTED_VALUE"""),"ACTIVE")</f>
        <v>ACTIVE</v>
      </c>
      <c r="E547" s="161" t="s">
        <v>3178</v>
      </c>
      <c r="F547" s="161" t="s">
        <v>42</v>
      </c>
    </row>
    <row r="548">
      <c r="A548" s="132" t="str">
        <f>CONCATENATE(Data!AA548,"|",Data!N548)</f>
        <v>Legacy Community Health|ACTIVE</v>
      </c>
      <c r="B548" s="161" t="str">
        <f>IFERROR(__xludf.DUMMYFUNCTION("""COMPUTED_VALUE"""),"Legacy Community Health")</f>
        <v>Legacy Community Health</v>
      </c>
      <c r="C548" s="161" t="str">
        <f>IFERROR(__xludf.DUMMYFUNCTION("""COMPUTED_VALUE"""),"ACTIVE")</f>
        <v>ACTIVE</v>
      </c>
      <c r="E548" s="161" t="s">
        <v>3178</v>
      </c>
      <c r="F548" s="161" t="s">
        <v>42</v>
      </c>
    </row>
    <row r="549">
      <c r="A549" s="132" t="str">
        <f>CONCATENATE(Data!AA549,"|",Data!N549)</f>
        <v>Legacy Community Health|ACTIVE</v>
      </c>
      <c r="B549" s="161" t="str">
        <f>IFERROR(__xludf.DUMMYFUNCTION("""COMPUTED_VALUE"""),"Legacy Community Health")</f>
        <v>Legacy Community Health</v>
      </c>
      <c r="C549" s="161" t="str">
        <f>IFERROR(__xludf.DUMMYFUNCTION("""COMPUTED_VALUE"""),"ACTIVE")</f>
        <v>ACTIVE</v>
      </c>
      <c r="E549" s="161" t="s">
        <v>3178</v>
      </c>
      <c r="F549" s="161" t="s">
        <v>42</v>
      </c>
    </row>
    <row r="550">
      <c r="A550" s="132" t="str">
        <f>CONCATENATE(Data!AA550,"|",Data!N550)</f>
        <v>Legacy Community Health|ACTIVE</v>
      </c>
      <c r="B550" s="161" t="str">
        <f>IFERROR(__xludf.DUMMYFUNCTION("""COMPUTED_VALUE"""),"Legacy Community Health")</f>
        <v>Legacy Community Health</v>
      </c>
      <c r="C550" s="161" t="str">
        <f>IFERROR(__xludf.DUMMYFUNCTION("""COMPUTED_VALUE"""),"ACTIVE")</f>
        <v>ACTIVE</v>
      </c>
      <c r="E550" s="161" t="s">
        <v>5776</v>
      </c>
      <c r="F550" s="161" t="s">
        <v>42</v>
      </c>
    </row>
    <row r="551">
      <c r="A551" s="132" t="str">
        <f>CONCATENATE(Data!AA551,"|",Data!N551)</f>
        <v>Legacy Community Health|ACTIVE</v>
      </c>
      <c r="B551" s="161" t="str">
        <f>IFERROR(__xludf.DUMMYFUNCTION("""COMPUTED_VALUE"""),"Legacy Community Health")</f>
        <v>Legacy Community Health</v>
      </c>
      <c r="C551" s="161" t="str">
        <f>IFERROR(__xludf.DUMMYFUNCTION("""COMPUTED_VALUE"""),"ACTIVE")</f>
        <v>ACTIVE</v>
      </c>
      <c r="E551" s="161" t="s">
        <v>5776</v>
      </c>
      <c r="F551" s="161" t="s">
        <v>42</v>
      </c>
    </row>
    <row r="552">
      <c r="A552" s="132" t="str">
        <f>CONCATENATE(Data!AA552,"|",Data!N552)</f>
        <v>Legacy Community Health|ACTIVE</v>
      </c>
      <c r="B552" s="161" t="str">
        <f>IFERROR(__xludf.DUMMYFUNCTION("""COMPUTED_VALUE"""),"Legacy Community Health")</f>
        <v>Legacy Community Health</v>
      </c>
      <c r="C552" s="161" t="str">
        <f>IFERROR(__xludf.DUMMYFUNCTION("""COMPUTED_VALUE"""),"ACTIVE")</f>
        <v>ACTIVE</v>
      </c>
      <c r="E552" s="161" t="s">
        <v>3205</v>
      </c>
      <c r="F552" s="161" t="s">
        <v>42</v>
      </c>
    </row>
    <row r="553">
      <c r="A553" s="132" t="str">
        <f>CONCATENATE(Data!AA553,"|",Data!N553)</f>
        <v>Legacy Community Health|ACTIVE</v>
      </c>
      <c r="B553" s="161" t="str">
        <f>IFERROR(__xludf.DUMMYFUNCTION("""COMPUTED_VALUE"""),"Legacy Community Health")</f>
        <v>Legacy Community Health</v>
      </c>
      <c r="C553" s="161" t="str">
        <f>IFERROR(__xludf.DUMMYFUNCTION("""COMPUTED_VALUE"""),"ACTIVE")</f>
        <v>ACTIVE</v>
      </c>
      <c r="E553" s="161" t="s">
        <v>3216</v>
      </c>
      <c r="F553" s="161" t="s">
        <v>42</v>
      </c>
    </row>
    <row r="554">
      <c r="A554" s="132" t="str">
        <f>CONCATENATE(Data!AA554,"|",Data!N554)</f>
        <v>Legacy Community Health|ACTIVE</v>
      </c>
      <c r="B554" s="161" t="str">
        <f>IFERROR(__xludf.DUMMYFUNCTION("""COMPUTED_VALUE"""),"Legacy Community Health")</f>
        <v>Legacy Community Health</v>
      </c>
      <c r="C554" s="161" t="str">
        <f>IFERROR(__xludf.DUMMYFUNCTION("""COMPUTED_VALUE"""),"ACTIVE")</f>
        <v>ACTIVE</v>
      </c>
      <c r="E554" s="161" t="s">
        <v>5777</v>
      </c>
      <c r="F554" s="161" t="s">
        <v>42</v>
      </c>
    </row>
    <row r="555">
      <c r="A555" s="132" t="str">
        <f>CONCATENATE(Data!AA555,"|",Data!N555)</f>
        <v>Legacy Community Health|ACTIVE</v>
      </c>
      <c r="B555" s="161" t="str">
        <f>IFERROR(__xludf.DUMMYFUNCTION("""COMPUTED_VALUE"""),"Legacy Community Health")</f>
        <v>Legacy Community Health</v>
      </c>
      <c r="C555" s="161" t="str">
        <f>IFERROR(__xludf.DUMMYFUNCTION("""COMPUTED_VALUE"""),"ACTIVE")</f>
        <v>ACTIVE</v>
      </c>
      <c r="E555" s="161" t="s">
        <v>5777</v>
      </c>
      <c r="F555" s="161" t="s">
        <v>42</v>
      </c>
    </row>
    <row r="556">
      <c r="A556" s="132" t="str">
        <f>CONCATENATE(Data!AA556,"|",Data!N556)</f>
        <v>Legacy Community Health|ACTIVE</v>
      </c>
      <c r="B556" s="161" t="str">
        <f>IFERROR(__xludf.DUMMYFUNCTION("""COMPUTED_VALUE"""),"Legacy Community Health")</f>
        <v>Legacy Community Health</v>
      </c>
      <c r="C556" s="161" t="str">
        <f>IFERROR(__xludf.DUMMYFUNCTION("""COMPUTED_VALUE"""),"ACTIVE")</f>
        <v>ACTIVE</v>
      </c>
      <c r="E556" s="161" t="s">
        <v>5777</v>
      </c>
      <c r="F556" s="161" t="s">
        <v>42</v>
      </c>
    </row>
    <row r="557">
      <c r="A557" s="132" t="str">
        <f>CONCATENATE(Data!AA557,"|",Data!N557)</f>
        <v>Legacy Community Health|ACTIVE</v>
      </c>
      <c r="B557" s="161" t="str">
        <f>IFERROR(__xludf.DUMMYFUNCTION("""COMPUTED_VALUE"""),"Legacy Community Health")</f>
        <v>Legacy Community Health</v>
      </c>
      <c r="C557" s="161" t="str">
        <f>IFERROR(__xludf.DUMMYFUNCTION("""COMPUTED_VALUE"""),"ACTIVE")</f>
        <v>ACTIVE</v>
      </c>
      <c r="E557" s="161" t="s">
        <v>5777</v>
      </c>
      <c r="F557" s="161" t="s">
        <v>42</v>
      </c>
    </row>
    <row r="558">
      <c r="A558" s="132" t="str">
        <f>CONCATENATE(Data!AA558,"|",Data!N558)</f>
        <v>Legacy Community Health|ACTIVE</v>
      </c>
      <c r="B558" s="161" t="str">
        <f>IFERROR(__xludf.DUMMYFUNCTION("""COMPUTED_VALUE"""),"Legacy Community Health")</f>
        <v>Legacy Community Health</v>
      </c>
      <c r="C558" s="161" t="str">
        <f>IFERROR(__xludf.DUMMYFUNCTION("""COMPUTED_VALUE"""),"ACTIVE")</f>
        <v>ACTIVE</v>
      </c>
      <c r="E558" s="161" t="s">
        <v>5777</v>
      </c>
      <c r="F558" s="161" t="s">
        <v>42</v>
      </c>
    </row>
    <row r="559">
      <c r="A559" s="132" t="str">
        <f>CONCATENATE(Data!AA559,"|",Data!N559)</f>
        <v>Legacy Community Health|ACTIVE</v>
      </c>
      <c r="B559" s="161" t="str">
        <f>IFERROR(__xludf.DUMMYFUNCTION("""COMPUTED_VALUE"""),"Legacy Community Health")</f>
        <v>Legacy Community Health</v>
      </c>
      <c r="C559" s="161" t="str">
        <f>IFERROR(__xludf.DUMMYFUNCTION("""COMPUTED_VALUE"""),"ACTIVE")</f>
        <v>ACTIVE</v>
      </c>
      <c r="E559" s="161" t="s">
        <v>5777</v>
      </c>
      <c r="F559" s="161" t="s">
        <v>42</v>
      </c>
    </row>
    <row r="560">
      <c r="A560" s="132" t="str">
        <f>CONCATENATE(Data!AA560,"|",Data!N560)</f>
        <v>Legacy Community Health|ACTIVE</v>
      </c>
      <c r="B560" s="161" t="str">
        <f>IFERROR(__xludf.DUMMYFUNCTION("""COMPUTED_VALUE"""),"Legacy Community Health")</f>
        <v>Legacy Community Health</v>
      </c>
      <c r="C560" s="161" t="str">
        <f>IFERROR(__xludf.DUMMYFUNCTION("""COMPUTED_VALUE"""),"ACTIVE")</f>
        <v>ACTIVE</v>
      </c>
      <c r="E560" s="161" t="s">
        <v>5777</v>
      </c>
      <c r="F560" s="161" t="s">
        <v>42</v>
      </c>
    </row>
    <row r="561">
      <c r="A561" s="132" t="str">
        <f>CONCATENATE(Data!AA561,"|",Data!N561)</f>
        <v>Legacy Community Health|ACTIVE</v>
      </c>
      <c r="B561" s="161" t="str">
        <f>IFERROR(__xludf.DUMMYFUNCTION("""COMPUTED_VALUE"""),"Legacy Community Health")</f>
        <v>Legacy Community Health</v>
      </c>
      <c r="C561" s="161" t="str">
        <f>IFERROR(__xludf.DUMMYFUNCTION("""COMPUTED_VALUE"""),"ACTIVE")</f>
        <v>ACTIVE</v>
      </c>
      <c r="E561" s="161" t="s">
        <v>5777</v>
      </c>
      <c r="F561" s="161" t="s">
        <v>42</v>
      </c>
    </row>
    <row r="562">
      <c r="A562" s="132" t="str">
        <f>CONCATENATE(Data!AA562,"|",Data!N562)</f>
        <v>Lifehouse Houston|ACTIVE</v>
      </c>
      <c r="B562" s="161" t="str">
        <f>IFERROR(__xludf.DUMMYFUNCTION("""COMPUTED_VALUE"""),"Lifehouse Houston")</f>
        <v>Lifehouse Houston</v>
      </c>
      <c r="C562" s="161" t="str">
        <f>IFERROR(__xludf.DUMMYFUNCTION("""COMPUTED_VALUE"""),"ACTIVE")</f>
        <v>ACTIVE</v>
      </c>
      <c r="E562" s="161" t="s">
        <v>5777</v>
      </c>
      <c r="F562" s="161" t="s">
        <v>42</v>
      </c>
    </row>
    <row r="563">
      <c r="A563" s="132" t="str">
        <f>CONCATENATE(Data!AA563,"|",Data!N563)</f>
        <v>Living Hope Wheelchair Association|ACTIVE</v>
      </c>
      <c r="B563" s="161" t="str">
        <f>IFERROR(__xludf.DUMMYFUNCTION("""COMPUTED_VALUE"""),"Living Hope Wheelchair Association")</f>
        <v>Living Hope Wheelchair Association</v>
      </c>
      <c r="C563" s="161" t="str">
        <f>IFERROR(__xludf.DUMMYFUNCTION("""COMPUTED_VALUE"""),"ACTIVE")</f>
        <v>ACTIVE</v>
      </c>
      <c r="E563" s="161" t="s">
        <v>5777</v>
      </c>
      <c r="F563" s="161" t="s">
        <v>42</v>
      </c>
    </row>
    <row r="564">
      <c r="A564" s="132" t="str">
        <f>CONCATENATE(Data!AA564,"|",Data!N564)</f>
        <v>Lonestar Legal Aid|ACTIVE</v>
      </c>
      <c r="B564" s="161" t="str">
        <f>IFERROR(__xludf.DUMMYFUNCTION("""COMPUTED_VALUE"""),"Lonestar Legal Aid")</f>
        <v>Lonestar Legal Aid</v>
      </c>
      <c r="C564" s="161" t="str">
        <f>IFERROR(__xludf.DUMMYFUNCTION("""COMPUTED_VALUE"""),"ACTIVE")</f>
        <v>ACTIVE</v>
      </c>
      <c r="E564" s="161" t="s">
        <v>5777</v>
      </c>
      <c r="F564" s="161" t="s">
        <v>42</v>
      </c>
    </row>
    <row r="565">
      <c r="A565" s="132" t="str">
        <f>CONCATENATE(Data!AA565,"|",Data!N565)</f>
        <v>Lonestar Legal Aid|ACTIVE</v>
      </c>
      <c r="B565" s="161" t="str">
        <f>IFERROR(__xludf.DUMMYFUNCTION("""COMPUTED_VALUE"""),"Lonestar Legal Aid")</f>
        <v>Lonestar Legal Aid</v>
      </c>
      <c r="C565" s="161" t="str">
        <f>IFERROR(__xludf.DUMMYFUNCTION("""COMPUTED_VALUE"""),"ACTIVE")</f>
        <v>ACTIVE</v>
      </c>
      <c r="E565" s="161" t="s">
        <v>5777</v>
      </c>
      <c r="F565" s="161" t="s">
        <v>42</v>
      </c>
    </row>
    <row r="566">
      <c r="A566" s="132" t="str">
        <f>CONCATENATE(Data!AA566,"|",Data!N566)</f>
        <v>Lord of the Streets|ACTIVE</v>
      </c>
      <c r="B566" s="161" t="str">
        <f>IFERROR(__xludf.DUMMYFUNCTION("""COMPUTED_VALUE"""),"Lord of the Streets")</f>
        <v>Lord of the Streets</v>
      </c>
      <c r="C566" s="161" t="str">
        <f>IFERROR(__xludf.DUMMYFUNCTION("""COMPUTED_VALUE"""),"ACTIVE")</f>
        <v>ACTIVE</v>
      </c>
      <c r="E566" s="161" t="s">
        <v>5777</v>
      </c>
      <c r="F566" s="161" t="s">
        <v>42</v>
      </c>
    </row>
    <row r="567">
      <c r="A567" s="132" t="str">
        <f>CONCATENATE(Data!AA567,"|",Data!N567)</f>
        <v>Lord of the Streets|ACTIVE</v>
      </c>
      <c r="B567" s="161" t="str">
        <f>IFERROR(__xludf.DUMMYFUNCTION("""COMPUTED_VALUE"""),"Lord of the Streets")</f>
        <v>Lord of the Streets</v>
      </c>
      <c r="C567" s="161" t="str">
        <f>IFERROR(__xludf.DUMMYFUNCTION("""COMPUTED_VALUE"""),"ACTIVE")</f>
        <v>ACTIVE</v>
      </c>
      <c r="E567" s="161" t="s">
        <v>5777</v>
      </c>
      <c r="F567" s="161" t="s">
        <v>42</v>
      </c>
    </row>
    <row r="568">
      <c r="A568" s="132" t="str">
        <f>CONCATENATE(Data!AA568,"|",Data!N568)</f>
        <v>Low Cost Pet Vax|ACTIVE</v>
      </c>
      <c r="B568" s="161" t="str">
        <f>IFERROR(__xludf.DUMMYFUNCTION("""COMPUTED_VALUE"""),"Low Cost Pet Vax")</f>
        <v>Low Cost Pet Vax</v>
      </c>
      <c r="C568" s="161" t="str">
        <f>IFERROR(__xludf.DUMMYFUNCTION("""COMPUTED_VALUE"""),"ACTIVE")</f>
        <v>ACTIVE</v>
      </c>
      <c r="E568" s="161" t="s">
        <v>5777</v>
      </c>
      <c r="F568" s="161" t="s">
        <v>42</v>
      </c>
    </row>
    <row r="569">
      <c r="A569" s="132" t="str">
        <f>CONCATENATE(Data!AA569,"|",Data!N569)</f>
        <v>M I Lewis Social Service Center|ACTIVE</v>
      </c>
      <c r="B569" s="161" t="str">
        <f>IFERROR(__xludf.DUMMYFUNCTION("""COMPUTED_VALUE"""),"M I Lewis Social Service Center")</f>
        <v>M I Lewis Social Service Center</v>
      </c>
      <c r="C569" s="161" t="str">
        <f>IFERROR(__xludf.DUMMYFUNCTION("""COMPUTED_VALUE"""),"ACTIVE")</f>
        <v>ACTIVE</v>
      </c>
      <c r="E569" s="161" t="s">
        <v>3298</v>
      </c>
      <c r="F569" s="161" t="s">
        <v>42</v>
      </c>
    </row>
    <row r="570">
      <c r="A570" s="132" t="str">
        <f>CONCATENATE(Data!AA570,"|",Data!N570)</f>
        <v>M I Lewis Social Service Center|ACTIVE</v>
      </c>
      <c r="B570" s="161" t="str">
        <f>IFERROR(__xludf.DUMMYFUNCTION("""COMPUTED_VALUE"""),"M I Lewis Social Service Center")</f>
        <v>M I Lewis Social Service Center</v>
      </c>
      <c r="C570" s="161" t="str">
        <f>IFERROR(__xludf.DUMMYFUNCTION("""COMPUTED_VALUE"""),"ACTIVE")</f>
        <v>ACTIVE</v>
      </c>
      <c r="E570" s="161" t="s">
        <v>3308</v>
      </c>
      <c r="F570" s="161" t="s">
        <v>42</v>
      </c>
    </row>
    <row r="571">
      <c r="A571" s="132" t="str">
        <f>CONCATENATE(Data!AA571,"|",Data!N571)</f>
        <v>M I Lewis Social Service Center|ACTIVE</v>
      </c>
      <c r="B571" s="161" t="str">
        <f>IFERROR(__xludf.DUMMYFUNCTION("""COMPUTED_VALUE"""),"M I Lewis Social Service Center")</f>
        <v>M I Lewis Social Service Center</v>
      </c>
      <c r="C571" s="161" t="str">
        <f>IFERROR(__xludf.DUMMYFUNCTION("""COMPUTED_VALUE"""),"ACTIVE")</f>
        <v>ACTIVE</v>
      </c>
      <c r="E571" s="161" t="s">
        <v>3317</v>
      </c>
      <c r="F571" s="161" t="s">
        <v>42</v>
      </c>
    </row>
    <row r="572">
      <c r="A572" s="132" t="str">
        <f>CONCATENATE(Data!AA572,"|",Data!N572)</f>
        <v>M I Lewis Social Service Center|ACTIVE</v>
      </c>
      <c r="B572" s="161" t="str">
        <f>IFERROR(__xludf.DUMMYFUNCTION("""COMPUTED_VALUE"""),"M I Lewis Social Service Center")</f>
        <v>M I Lewis Social Service Center</v>
      </c>
      <c r="C572" s="161" t="str">
        <f>IFERROR(__xludf.DUMMYFUNCTION("""COMPUTED_VALUE"""),"ACTIVE")</f>
        <v>ACTIVE</v>
      </c>
      <c r="E572" s="161" t="s">
        <v>3335</v>
      </c>
      <c r="F572" s="161" t="s">
        <v>42</v>
      </c>
    </row>
    <row r="573">
      <c r="A573" s="132" t="str">
        <f>CONCATENATE(Data!AA573,"|",Data!N573)</f>
        <v>M I Lewis Social Service Center|ACTIVE</v>
      </c>
      <c r="B573" s="161" t="str">
        <f>IFERROR(__xludf.DUMMYFUNCTION("""COMPUTED_VALUE"""),"M I Lewis Social Service Center")</f>
        <v>M I Lewis Social Service Center</v>
      </c>
      <c r="C573" s="161" t="str">
        <f>IFERROR(__xludf.DUMMYFUNCTION("""COMPUTED_VALUE"""),"ACTIVE")</f>
        <v>ACTIVE</v>
      </c>
      <c r="E573" s="161" t="s">
        <v>3342</v>
      </c>
      <c r="F573" s="161" t="s">
        <v>42</v>
      </c>
    </row>
    <row r="574">
      <c r="A574" s="132" t="str">
        <f>CONCATENATE(Data!AA574,"|",Data!N574)</f>
        <v>Magnificat Houses|ACTIVE</v>
      </c>
      <c r="B574" s="161" t="str">
        <f>IFERROR(__xludf.DUMMYFUNCTION("""COMPUTED_VALUE"""),"Magnificat Houses")</f>
        <v>Magnificat Houses</v>
      </c>
      <c r="C574" s="161" t="str">
        <f>IFERROR(__xludf.DUMMYFUNCTION("""COMPUTED_VALUE"""),"ACTIVE")</f>
        <v>ACTIVE</v>
      </c>
      <c r="E574" s="161" t="s">
        <v>3342</v>
      </c>
      <c r="F574" s="161" t="s">
        <v>42</v>
      </c>
    </row>
    <row r="575">
      <c r="A575" s="132" t="str">
        <f>CONCATENATE(Data!AA575,"|",Data!N575)</f>
        <v>Magnificat Houses|ACTIVE</v>
      </c>
      <c r="B575" s="161" t="str">
        <f>IFERROR(__xludf.DUMMYFUNCTION("""COMPUTED_VALUE"""),"Magnificat Houses")</f>
        <v>Magnificat Houses</v>
      </c>
      <c r="C575" s="161" t="str">
        <f>IFERROR(__xludf.DUMMYFUNCTION("""COMPUTED_VALUE"""),"ACTIVE")</f>
        <v>ACTIVE</v>
      </c>
      <c r="E575" s="161" t="s">
        <v>3342</v>
      </c>
      <c r="F575" s="161" t="s">
        <v>42</v>
      </c>
    </row>
    <row r="576">
      <c r="A576" s="132" t="str">
        <f>CONCATENATE(Data!AA576,"|",Data!N576)</f>
        <v>Magnificat Houses|ACTIVE</v>
      </c>
      <c r="B576" s="161" t="str">
        <f>IFERROR(__xludf.DUMMYFUNCTION("""COMPUTED_VALUE"""),"Magnificat Houses")</f>
        <v>Magnificat Houses</v>
      </c>
      <c r="C576" s="161" t="str">
        <f>IFERROR(__xludf.DUMMYFUNCTION("""COMPUTED_VALUE"""),"ACTIVE")</f>
        <v>ACTIVE</v>
      </c>
      <c r="E576" s="161" t="s">
        <v>3342</v>
      </c>
      <c r="F576" s="161" t="s">
        <v>42</v>
      </c>
    </row>
    <row r="577">
      <c r="A577" s="132" t="str">
        <f>CONCATENATE(Data!AA577,"|",Data!N577)</f>
        <v>City of Houston|ACTIVE</v>
      </c>
      <c r="B577" s="161" t="str">
        <f>IFERROR(__xludf.DUMMYFUNCTION("""COMPUTED_VALUE"""),"City of Houston")</f>
        <v>City of Houston</v>
      </c>
      <c r="C577" s="161" t="str">
        <f>IFERROR(__xludf.DUMMYFUNCTION("""COMPUTED_VALUE"""),"ACTIVE")</f>
        <v>ACTIVE</v>
      </c>
      <c r="E577" s="161" t="s">
        <v>3342</v>
      </c>
      <c r="F577" s="161" t="s">
        <v>42</v>
      </c>
    </row>
    <row r="578">
      <c r="A578" s="132" t="str">
        <f>CONCATENATE(Data!AA578,"|",Data!N578)</f>
        <v>City of Houston|ACTIVE</v>
      </c>
      <c r="B578" s="161" t="str">
        <f>IFERROR(__xludf.DUMMYFUNCTION("""COMPUTED_VALUE"""),"City of Houston")</f>
        <v>City of Houston</v>
      </c>
      <c r="C578" s="161" t="str">
        <f>IFERROR(__xludf.DUMMYFUNCTION("""COMPUTED_VALUE"""),"ACTIVE")</f>
        <v>ACTIVE</v>
      </c>
      <c r="E578" s="161" t="s">
        <v>3342</v>
      </c>
      <c r="F578" s="161" t="s">
        <v>42</v>
      </c>
    </row>
    <row r="579">
      <c r="A579" s="132" t="str">
        <f>CONCATENATE(Data!AA579,"|",Data!N579)</f>
        <v>City of Houston|ACTIVE</v>
      </c>
      <c r="B579" s="161" t="str">
        <f>IFERROR(__xludf.DUMMYFUNCTION("""COMPUTED_VALUE"""),"City of Houston")</f>
        <v>City of Houston</v>
      </c>
      <c r="C579" s="161" t="str">
        <f>IFERROR(__xludf.DUMMYFUNCTION("""COMPUTED_VALUE"""),"ACTIVE")</f>
        <v>ACTIVE</v>
      </c>
      <c r="E579" s="161" t="s">
        <v>3342</v>
      </c>
      <c r="F579" s="161" t="s">
        <v>42</v>
      </c>
    </row>
    <row r="580">
      <c r="A580" s="132" t="str">
        <f>CONCATENATE(Data!AA580,"|",Data!N580)</f>
        <v>City of Houston|ACTIVE</v>
      </c>
      <c r="B580" s="161" t="str">
        <f>IFERROR(__xludf.DUMMYFUNCTION("""COMPUTED_VALUE"""),"City of Houston")</f>
        <v>City of Houston</v>
      </c>
      <c r="C580" s="161" t="str">
        <f>IFERROR(__xludf.DUMMYFUNCTION("""COMPUTED_VALUE"""),"ACTIVE")</f>
        <v>ACTIVE</v>
      </c>
      <c r="E580" s="161" t="s">
        <v>3342</v>
      </c>
      <c r="F580" s="161" t="s">
        <v>42</v>
      </c>
    </row>
    <row r="581">
      <c r="A581" s="132" t="str">
        <f>CONCATENATE(Data!AA581,"|",Data!N581)</f>
        <v>City of Houston|ACTIVE</v>
      </c>
      <c r="B581" s="161" t="str">
        <f>IFERROR(__xludf.DUMMYFUNCTION("""COMPUTED_VALUE"""),"City of Houston")</f>
        <v>City of Houston</v>
      </c>
      <c r="C581" s="161" t="str">
        <f>IFERROR(__xludf.DUMMYFUNCTION("""COMPUTED_VALUE"""),"ACTIVE")</f>
        <v>ACTIVE</v>
      </c>
      <c r="E581" s="161" t="s">
        <v>3342</v>
      </c>
      <c r="F581" s="161" t="s">
        <v>42</v>
      </c>
    </row>
    <row r="582">
      <c r="A582" s="132" t="str">
        <f>CONCATENATE(Data!AA582,"|",Data!N582)</f>
        <v>Main Street Ministries|CLOSED</v>
      </c>
      <c r="B582" s="161" t="str">
        <f>IFERROR(__xludf.DUMMYFUNCTION("""COMPUTED_VALUE"""),"Main Street Ministries")</f>
        <v>Main Street Ministries</v>
      </c>
      <c r="C582" s="161" t="str">
        <f>IFERROR(__xludf.DUMMYFUNCTION("""COMPUTED_VALUE"""),"CLOSED")</f>
        <v>CLOSED</v>
      </c>
      <c r="E582" s="161" t="s">
        <v>3371</v>
      </c>
      <c r="F582" s="161" t="s">
        <v>42</v>
      </c>
    </row>
    <row r="583">
      <c r="A583" s="132" t="str">
        <f>CONCATENATE(Data!AA583,"|",Data!N583)</f>
        <v>Main Street Ministries|CLOSED</v>
      </c>
      <c r="B583" s="161" t="str">
        <f>IFERROR(__xludf.DUMMYFUNCTION("""COMPUTED_VALUE"""),"Main Street Ministries")</f>
        <v>Main Street Ministries</v>
      </c>
      <c r="C583" s="161" t="str">
        <f>IFERROR(__xludf.DUMMYFUNCTION("""COMPUTED_VALUE"""),"CLOSED")</f>
        <v>CLOSED</v>
      </c>
      <c r="E583" s="161" t="s">
        <v>3384</v>
      </c>
      <c r="F583" s="161" t="s">
        <v>42</v>
      </c>
    </row>
    <row r="584">
      <c r="A584" s="132" t="str">
        <f>CONCATENATE(Data!AA584,"|",Data!N584)</f>
        <v>Main Street Ministries|ACTIVE</v>
      </c>
      <c r="B584" s="161" t="str">
        <f>IFERROR(__xludf.DUMMYFUNCTION("""COMPUTED_VALUE"""),"Main Street Ministries")</f>
        <v>Main Street Ministries</v>
      </c>
      <c r="C584" s="161" t="str">
        <f>IFERROR(__xludf.DUMMYFUNCTION("""COMPUTED_VALUE"""),"ACTIVE")</f>
        <v>ACTIVE</v>
      </c>
      <c r="E584" s="161" t="s">
        <v>3391</v>
      </c>
      <c r="F584" s="161" t="s">
        <v>42</v>
      </c>
    </row>
    <row r="585">
      <c r="A585" s="132" t="str">
        <f>CONCATENATE(Data!AA585,"|",Data!N585)</f>
        <v>Mamie George Community Center|ACTIVE</v>
      </c>
      <c r="B585" s="161" t="str">
        <f>IFERROR(__xludf.DUMMYFUNCTION("""COMPUTED_VALUE"""),"Mamie George Community Center")</f>
        <v>Mamie George Community Center</v>
      </c>
      <c r="C585" s="161" t="str">
        <f>IFERROR(__xludf.DUMMYFUNCTION("""COMPUTED_VALUE"""),"ACTIVE")</f>
        <v>ACTIVE</v>
      </c>
      <c r="E585" s="161" t="s">
        <v>3396</v>
      </c>
      <c r="F585" s="161" t="s">
        <v>42</v>
      </c>
    </row>
    <row r="586">
      <c r="A586" s="132" t="str">
        <f>CONCATENATE(Data!AA586,"|",Data!N586)</f>
        <v>Mary Queen Friendswood|CLOSED</v>
      </c>
      <c r="B586" s="161" t="str">
        <f>IFERROR(__xludf.DUMMYFUNCTION("""COMPUTED_VALUE"""),"Mary Queen Friendswood")</f>
        <v>Mary Queen Friendswood</v>
      </c>
      <c r="C586" s="161" t="str">
        <f>IFERROR(__xludf.DUMMYFUNCTION("""COMPUTED_VALUE"""),"CLOSED")</f>
        <v>CLOSED</v>
      </c>
      <c r="E586" s="161" t="s">
        <v>3427</v>
      </c>
      <c r="F586" s="161" t="s">
        <v>42</v>
      </c>
    </row>
    <row r="587">
      <c r="A587" s="132" t="str">
        <f>CONCATENATE(Data!AA587,"|",Data!N587)</f>
        <v>Mary Queen Friendswood|CLOSED</v>
      </c>
      <c r="B587" s="161" t="str">
        <f>IFERROR(__xludf.DUMMYFUNCTION("""COMPUTED_VALUE"""),"Mary Queen Friendswood")</f>
        <v>Mary Queen Friendswood</v>
      </c>
      <c r="C587" s="161" t="str">
        <f>IFERROR(__xludf.DUMMYFUNCTION("""COMPUTED_VALUE"""),"CLOSED")</f>
        <v>CLOSED</v>
      </c>
      <c r="E587" s="161" t="s">
        <v>3439</v>
      </c>
      <c r="F587" s="161" t="s">
        <v>42</v>
      </c>
    </row>
    <row r="588">
      <c r="A588" s="132" t="str">
        <f>CONCATENATE(Data!AA588,"|",Data!N588)</f>
        <v>Mary Queen Friendswood|ACTIVE</v>
      </c>
      <c r="B588" s="161" t="str">
        <f>IFERROR(__xludf.DUMMYFUNCTION("""COMPUTED_VALUE"""),"Mary Queen Friendswood")</f>
        <v>Mary Queen Friendswood</v>
      </c>
      <c r="C588" s="161" t="str">
        <f>IFERROR(__xludf.DUMMYFUNCTION("""COMPUTED_VALUE"""),"ACTIVE")</f>
        <v>ACTIVE</v>
      </c>
      <c r="E588" s="161" t="s">
        <v>3453</v>
      </c>
      <c r="F588" s="161" t="s">
        <v>42</v>
      </c>
    </row>
    <row r="589">
      <c r="A589" s="132" t="str">
        <f>CONCATENATE(Data!AA589,"|",Data!N589)</f>
        <v>Masonic Children &amp; Family Services of Texas|ACTIVE</v>
      </c>
      <c r="B589" s="161" t="str">
        <f>IFERROR(__xludf.DUMMYFUNCTION("""COMPUTED_VALUE"""),"Masonic Children &amp; Family Services of Texas")</f>
        <v>Masonic Children &amp; Family Services of Texas</v>
      </c>
      <c r="C589" s="161" t="str">
        <f>IFERROR(__xludf.DUMMYFUNCTION("""COMPUTED_VALUE"""),"ACTIVE")</f>
        <v>ACTIVE</v>
      </c>
      <c r="E589" s="161" t="s">
        <v>3453</v>
      </c>
      <c r="F589" s="161" t="s">
        <v>42</v>
      </c>
    </row>
    <row r="590">
      <c r="A590" s="132" t="str">
        <f>CONCATENATE(Data!AA590,"|",Data!N590)</f>
        <v>Masonic Children &amp; Family Services of Texas|ACTIVE</v>
      </c>
      <c r="B590" s="161" t="str">
        <f>IFERROR(__xludf.DUMMYFUNCTION("""COMPUTED_VALUE"""),"Masonic Children &amp; Family Services of Texas")</f>
        <v>Masonic Children &amp; Family Services of Texas</v>
      </c>
      <c r="C590" s="161" t="str">
        <f>IFERROR(__xludf.DUMMYFUNCTION("""COMPUTED_VALUE"""),"ACTIVE")</f>
        <v>ACTIVE</v>
      </c>
      <c r="E590" s="161" t="s">
        <v>3465</v>
      </c>
      <c r="F590" s="161" t="s">
        <v>42</v>
      </c>
    </row>
    <row r="591">
      <c r="A591" s="132" t="str">
        <f>CONCATENATE(Data!AA591,"|",Data!N591)</f>
        <v>Masonic Children &amp; Family Services of Texas|ACTIVE</v>
      </c>
      <c r="B591" s="161" t="str">
        <f>IFERROR(__xludf.DUMMYFUNCTION("""COMPUTED_VALUE"""),"Masonic Children &amp; Family Services of Texas")</f>
        <v>Masonic Children &amp; Family Services of Texas</v>
      </c>
      <c r="C591" s="161" t="str">
        <f>IFERROR(__xludf.DUMMYFUNCTION("""COMPUTED_VALUE"""),"ACTIVE")</f>
        <v>ACTIVE</v>
      </c>
      <c r="E591" s="161" t="s">
        <v>3475</v>
      </c>
      <c r="F591" s="161" t="s">
        <v>42</v>
      </c>
    </row>
    <row r="592">
      <c r="A592" s="132" t="str">
        <f>CONCATENATE(Data!AA592,"|",Data!N592)</f>
        <v>Masonic Children &amp; Family Services of Texas|ACTIVE</v>
      </c>
      <c r="B592" s="161" t="str">
        <f>IFERROR(__xludf.DUMMYFUNCTION("""COMPUTED_VALUE"""),"Masonic Children &amp; Family Services of Texas")</f>
        <v>Masonic Children &amp; Family Services of Texas</v>
      </c>
      <c r="C592" s="161" t="str">
        <f>IFERROR(__xludf.DUMMYFUNCTION("""COMPUTED_VALUE"""),"ACTIVE")</f>
        <v>ACTIVE</v>
      </c>
      <c r="E592" s="161" t="s">
        <v>3485</v>
      </c>
      <c r="F592" s="161" t="s">
        <v>42</v>
      </c>
    </row>
    <row r="593">
      <c r="A593" s="132" t="str">
        <f>CONCATENATE(Data!AA593,"|",Data!N593)</f>
        <v>Harris County Public Health|ACTIVE</v>
      </c>
      <c r="B593" s="161" t="str">
        <f>IFERROR(__xludf.DUMMYFUNCTION("""COMPUTED_VALUE"""),"Harris County Public Health")</f>
        <v>Harris County Public Health</v>
      </c>
      <c r="C593" s="161" t="str">
        <f>IFERROR(__xludf.DUMMYFUNCTION("""COMPUTED_VALUE"""),"ACTIVE")</f>
        <v>ACTIVE</v>
      </c>
      <c r="E593" s="161" t="s">
        <v>3492</v>
      </c>
      <c r="F593" s="161" t="s">
        <v>42</v>
      </c>
    </row>
    <row r="594">
      <c r="A594" s="132" t="str">
        <f>CONCATENATE(Data!AA594,"|",Data!N594)</f>
        <v>Memorial Assistance Ministries|ACTIVE</v>
      </c>
      <c r="B594" s="161" t="str">
        <f>IFERROR(__xludf.DUMMYFUNCTION("""COMPUTED_VALUE"""),"Memorial Assistance Ministries")</f>
        <v>Memorial Assistance Ministries</v>
      </c>
      <c r="C594" s="161" t="str">
        <f>IFERROR(__xludf.DUMMYFUNCTION("""COMPUTED_VALUE"""),"ACTIVE")</f>
        <v>ACTIVE</v>
      </c>
      <c r="E594" s="161" t="s">
        <v>3500</v>
      </c>
      <c r="F594" s="161" t="s">
        <v>42</v>
      </c>
    </row>
    <row r="595">
      <c r="A595" s="132" t="str">
        <f>CONCATENATE(Data!AA595,"|",Data!N595)</f>
        <v>Memorial Assistance Ministries|ACTIVE</v>
      </c>
      <c r="B595" s="161" t="str">
        <f>IFERROR(__xludf.DUMMYFUNCTION("""COMPUTED_VALUE"""),"Memorial Assistance Ministries")</f>
        <v>Memorial Assistance Ministries</v>
      </c>
      <c r="C595" s="161" t="str">
        <f>IFERROR(__xludf.DUMMYFUNCTION("""COMPUTED_VALUE"""),"ACTIVE")</f>
        <v>ACTIVE</v>
      </c>
      <c r="E595" s="161" t="s">
        <v>3500</v>
      </c>
      <c r="F595" s="161" t="s">
        <v>42</v>
      </c>
    </row>
    <row r="596">
      <c r="A596" s="132" t="str">
        <f>CONCATENATE(Data!AA596,"|",Data!N596)</f>
        <v>Memorial Assistance Ministries|ACTIVE</v>
      </c>
      <c r="B596" s="161" t="str">
        <f>IFERROR(__xludf.DUMMYFUNCTION("""COMPUTED_VALUE"""),"Memorial Assistance Ministries")</f>
        <v>Memorial Assistance Ministries</v>
      </c>
      <c r="C596" s="161" t="str">
        <f>IFERROR(__xludf.DUMMYFUNCTION("""COMPUTED_VALUE"""),"ACTIVE")</f>
        <v>ACTIVE</v>
      </c>
      <c r="E596" s="161" t="s">
        <v>3500</v>
      </c>
      <c r="F596" s="161" t="s">
        <v>42</v>
      </c>
    </row>
    <row r="597">
      <c r="A597" s="132" t="str">
        <f>CONCATENATE(Data!AA597,"|",Data!N597)</f>
        <v>Memorial Assistance Ministries|ACTIVE</v>
      </c>
      <c r="B597" s="161" t="str">
        <f>IFERROR(__xludf.DUMMYFUNCTION("""COMPUTED_VALUE"""),"Memorial Assistance Ministries")</f>
        <v>Memorial Assistance Ministries</v>
      </c>
      <c r="C597" s="161" t="str">
        <f>IFERROR(__xludf.DUMMYFUNCTION("""COMPUTED_VALUE"""),"ACTIVE")</f>
        <v>ACTIVE</v>
      </c>
      <c r="E597" s="161" t="s">
        <v>3512</v>
      </c>
      <c r="F597" s="161" t="s">
        <v>42</v>
      </c>
    </row>
    <row r="598">
      <c r="A598" s="132" t="str">
        <f>CONCATENATE(Data!AA598,"|",Data!N598)</f>
        <v>Memorial Assistance Ministries|ACTIVE</v>
      </c>
      <c r="B598" s="161" t="str">
        <f>IFERROR(__xludf.DUMMYFUNCTION("""COMPUTED_VALUE"""),"Memorial Assistance Ministries")</f>
        <v>Memorial Assistance Ministries</v>
      </c>
      <c r="C598" s="161" t="str">
        <f>IFERROR(__xludf.DUMMYFUNCTION("""COMPUTED_VALUE"""),"ACTIVE")</f>
        <v>ACTIVE</v>
      </c>
      <c r="E598" s="161" t="s">
        <v>3518</v>
      </c>
      <c r="F598" s="161" t="s">
        <v>42</v>
      </c>
    </row>
    <row r="599">
      <c r="A599" s="132" t="str">
        <f>CONCATENATE(Data!AA599,"|",Data!N599)</f>
        <v>Memorial Assistance Ministries|ACTIVE</v>
      </c>
      <c r="B599" s="161" t="str">
        <f>IFERROR(__xludf.DUMMYFUNCTION("""COMPUTED_VALUE"""),"Memorial Assistance Ministries")</f>
        <v>Memorial Assistance Ministries</v>
      </c>
      <c r="C599" s="161" t="str">
        <f>IFERROR(__xludf.DUMMYFUNCTION("""COMPUTED_VALUE"""),"ACTIVE")</f>
        <v>ACTIVE</v>
      </c>
      <c r="E599" s="161" t="s">
        <v>3518</v>
      </c>
      <c r="F599" s="161" t="s">
        <v>42</v>
      </c>
    </row>
    <row r="600">
      <c r="A600" s="132" t="str">
        <f>CONCATENATE(Data!AA600,"|",Data!N600)</f>
        <v>Memorial Assistance Ministries|ACTIVE</v>
      </c>
      <c r="B600" s="161" t="str">
        <f>IFERROR(__xludf.DUMMYFUNCTION("""COMPUTED_VALUE"""),"Memorial Assistance Ministries")</f>
        <v>Memorial Assistance Ministries</v>
      </c>
      <c r="C600" s="161" t="str">
        <f>IFERROR(__xludf.DUMMYFUNCTION("""COMPUTED_VALUE"""),"ACTIVE")</f>
        <v>ACTIVE</v>
      </c>
      <c r="E600" s="161" t="s">
        <v>3518</v>
      </c>
      <c r="F600" s="161" t="s">
        <v>42</v>
      </c>
    </row>
    <row r="601">
      <c r="A601" s="132" t="str">
        <f>CONCATENATE(Data!AA601,"|",Data!N601)</f>
        <v>Memorial Assistance Ministries|ACTIVE</v>
      </c>
      <c r="B601" s="161" t="str">
        <f>IFERROR(__xludf.DUMMYFUNCTION("""COMPUTED_VALUE"""),"Memorial Assistance Ministries")</f>
        <v>Memorial Assistance Ministries</v>
      </c>
      <c r="C601" s="161" t="str">
        <f>IFERROR(__xludf.DUMMYFUNCTION("""COMPUTED_VALUE"""),"ACTIVE")</f>
        <v>ACTIVE</v>
      </c>
      <c r="E601" s="161" t="s">
        <v>3527</v>
      </c>
      <c r="F601" s="161" t="s">
        <v>42</v>
      </c>
    </row>
    <row r="602">
      <c r="A602" s="132" t="str">
        <f>CONCATENATE(Data!AA602,"|",Data!N602)</f>
        <v>Memorial Assistance Ministries|ACTIVE</v>
      </c>
      <c r="B602" s="161" t="str">
        <f>IFERROR(__xludf.DUMMYFUNCTION("""COMPUTED_VALUE"""),"Memorial Assistance Ministries")</f>
        <v>Memorial Assistance Ministries</v>
      </c>
      <c r="C602" s="161" t="str">
        <f>IFERROR(__xludf.DUMMYFUNCTION("""COMPUTED_VALUE"""),"ACTIVE")</f>
        <v>ACTIVE</v>
      </c>
      <c r="E602" s="161" t="s">
        <v>3534</v>
      </c>
      <c r="F602" s="161" t="s">
        <v>42</v>
      </c>
    </row>
    <row r="603">
      <c r="A603" s="132" t="str">
        <f>CONCATENATE(Data!AA603,"|",Data!N603)</f>
        <v>Memorial Assistance Ministries|ACTIVE</v>
      </c>
      <c r="B603" s="161" t="str">
        <f>IFERROR(__xludf.DUMMYFUNCTION("""COMPUTED_VALUE"""),"Memorial Assistance Ministries")</f>
        <v>Memorial Assistance Ministries</v>
      </c>
      <c r="C603" s="161" t="str">
        <f>IFERROR(__xludf.DUMMYFUNCTION("""COMPUTED_VALUE"""),"ACTIVE")</f>
        <v>ACTIVE</v>
      </c>
      <c r="E603" s="161" t="s">
        <v>3539</v>
      </c>
      <c r="F603" s="161" t="s">
        <v>42</v>
      </c>
    </row>
    <row r="604">
      <c r="A604" s="132" t="str">
        <f>CONCATENATE(Data!AA604,"|",Data!N604)</f>
        <v>Mesa-Outreach Inc|ACTIVE</v>
      </c>
      <c r="B604" s="161" t="str">
        <f>IFERROR(__xludf.DUMMYFUNCTION("""COMPUTED_VALUE"""),"Mesa-Outreach Inc")</f>
        <v>Mesa-Outreach Inc</v>
      </c>
      <c r="C604" s="161" t="str">
        <f>IFERROR(__xludf.DUMMYFUNCTION("""COMPUTED_VALUE"""),"ACTIVE")</f>
        <v>ACTIVE</v>
      </c>
      <c r="E604" s="161" t="s">
        <v>3547</v>
      </c>
      <c r="F604" s="161" t="s">
        <v>42</v>
      </c>
    </row>
    <row r="605">
      <c r="A605" s="132" t="str">
        <f>CONCATENATE(Data!AA605,"|",Data!N605)</f>
        <v>Mission Bells Food Pantry|ACTIVE</v>
      </c>
      <c r="B605" s="161" t="str">
        <f>IFERROR(__xludf.DUMMYFUNCTION("""COMPUTED_VALUE"""),"Mission Bells Food Pantry")</f>
        <v>Mission Bells Food Pantry</v>
      </c>
      <c r="C605" s="161" t="str">
        <f>IFERROR(__xludf.DUMMYFUNCTION("""COMPUTED_VALUE"""),"ACTIVE")</f>
        <v>ACTIVE</v>
      </c>
      <c r="E605" s="161" t="s">
        <v>3555</v>
      </c>
      <c r="F605" s="161" t="s">
        <v>42</v>
      </c>
    </row>
    <row r="606">
      <c r="A606" s="132" t="str">
        <f>CONCATENATE(Data!AA606,"|",Data!N606)</f>
        <v>Mission Northeast|ACTIVE</v>
      </c>
      <c r="B606" s="161" t="str">
        <f>IFERROR(__xludf.DUMMYFUNCTION("""COMPUTED_VALUE"""),"Mission Northeast")</f>
        <v>Mission Northeast</v>
      </c>
      <c r="C606" s="161" t="str">
        <f>IFERROR(__xludf.DUMMYFUNCTION("""COMPUTED_VALUE"""),"ACTIVE")</f>
        <v>ACTIVE</v>
      </c>
      <c r="E606" s="161" t="s">
        <v>3561</v>
      </c>
      <c r="F606" s="161" t="s">
        <v>42</v>
      </c>
    </row>
    <row r="607">
      <c r="A607" s="132" t="str">
        <f>CONCATENATE(Data!AA607,"|",Data!N607)</f>
        <v>Mission Northeast|ACTIVE</v>
      </c>
      <c r="B607" s="161" t="str">
        <f>IFERROR(__xludf.DUMMYFUNCTION("""COMPUTED_VALUE"""),"Mission Northeast")</f>
        <v>Mission Northeast</v>
      </c>
      <c r="C607" s="161" t="str">
        <f>IFERROR(__xludf.DUMMYFUNCTION("""COMPUTED_VALUE"""),"ACTIVE")</f>
        <v>ACTIVE</v>
      </c>
      <c r="E607" s="161" t="s">
        <v>5778</v>
      </c>
      <c r="F607" s="161" t="s">
        <v>42</v>
      </c>
    </row>
    <row r="608">
      <c r="A608" s="132" t="str">
        <f>CONCATENATE(Data!AA608,"|",Data!N608)</f>
        <v>Mission Northeast|ACTIVE</v>
      </c>
      <c r="B608" s="161" t="str">
        <f>IFERROR(__xludf.DUMMYFUNCTION("""COMPUTED_VALUE"""),"Mission Northeast")</f>
        <v>Mission Northeast</v>
      </c>
      <c r="C608" s="161" t="str">
        <f>IFERROR(__xludf.DUMMYFUNCTION("""COMPUTED_VALUE"""),"ACTIVE")</f>
        <v>ACTIVE</v>
      </c>
      <c r="E608" s="161" t="s">
        <v>5778</v>
      </c>
      <c r="F608" s="161" t="s">
        <v>42</v>
      </c>
    </row>
    <row r="609">
      <c r="A609" s="132" t="str">
        <f>CONCATENATE(Data!AA609,"|",Data!N609)</f>
        <v>Mission Northeast|ACTIVE</v>
      </c>
      <c r="B609" s="161" t="str">
        <f>IFERROR(__xludf.DUMMYFUNCTION("""COMPUTED_VALUE"""),"Mission Northeast")</f>
        <v>Mission Northeast</v>
      </c>
      <c r="C609" s="161" t="str">
        <f>IFERROR(__xludf.DUMMYFUNCTION("""COMPUTED_VALUE"""),"ACTIVE")</f>
        <v>ACTIVE</v>
      </c>
      <c r="E609" s="161" t="s">
        <v>5778</v>
      </c>
      <c r="F609" s="161" t="s">
        <v>42</v>
      </c>
    </row>
    <row r="610">
      <c r="A610" s="132" t="str">
        <f>CONCATENATE(Data!AA610,"|",Data!N610)</f>
        <v>Mission Northeast|ACTIVE</v>
      </c>
      <c r="B610" s="161" t="str">
        <f>IFERROR(__xludf.DUMMYFUNCTION("""COMPUTED_VALUE"""),"Mission Northeast")</f>
        <v>Mission Northeast</v>
      </c>
      <c r="C610" s="161" t="str">
        <f>IFERROR(__xludf.DUMMYFUNCTION("""COMPUTED_VALUE"""),"ACTIVE")</f>
        <v>ACTIVE</v>
      </c>
      <c r="E610" s="161" t="s">
        <v>5778</v>
      </c>
      <c r="F610" s="161" t="s">
        <v>42</v>
      </c>
    </row>
    <row r="611">
      <c r="A611" s="132" t="str">
        <f>CONCATENATE(Data!AA611,"|",Data!N611)</f>
        <v>Mission of Yahweh|ACTIVE</v>
      </c>
      <c r="B611" s="161" t="str">
        <f>IFERROR(__xludf.DUMMYFUNCTION("""COMPUTED_VALUE"""),"Mission of Yahweh")</f>
        <v>Mission of Yahweh</v>
      </c>
      <c r="C611" s="161" t="str">
        <f>IFERROR(__xludf.DUMMYFUNCTION("""COMPUTED_VALUE"""),"ACTIVE")</f>
        <v>ACTIVE</v>
      </c>
      <c r="E611" s="161" t="s">
        <v>3628</v>
      </c>
      <c r="F611" s="161" t="s">
        <v>42</v>
      </c>
    </row>
    <row r="612">
      <c r="A612" s="132" t="str">
        <f>CONCATENATE(Data!AA612,"|",Data!N612)</f>
        <v>Mission of Yahweh|ACTIVE</v>
      </c>
      <c r="B612" s="161" t="str">
        <f>IFERROR(__xludf.DUMMYFUNCTION("""COMPUTED_VALUE"""),"Mission of Yahweh")</f>
        <v>Mission of Yahweh</v>
      </c>
      <c r="C612" s="161" t="str">
        <f>IFERROR(__xludf.DUMMYFUNCTION("""COMPUTED_VALUE"""),"ACTIVE")</f>
        <v>ACTIVE</v>
      </c>
      <c r="E612" s="161" t="s">
        <v>3642</v>
      </c>
      <c r="F612" s="161" t="s">
        <v>42</v>
      </c>
    </row>
    <row r="613">
      <c r="A613" s="132" t="str">
        <f>CONCATENATE(Data!AA613,"|",Data!N613)</f>
        <v>Harris County Public Health|ACTIVE</v>
      </c>
      <c r="B613" s="161" t="str">
        <f>IFERROR(__xludf.DUMMYFUNCTION("""COMPUTED_VALUE"""),"Harris County Public Health")</f>
        <v>Harris County Public Health</v>
      </c>
      <c r="C613" s="161" t="str">
        <f>IFERROR(__xludf.DUMMYFUNCTION("""COMPUTED_VALUE"""),"ACTIVE")</f>
        <v>ACTIVE</v>
      </c>
      <c r="E613" s="161" t="s">
        <v>3654</v>
      </c>
      <c r="F613" s="161" t="s">
        <v>42</v>
      </c>
    </row>
    <row r="614">
      <c r="A614" s="132" t="str">
        <f>CONCATENATE(Data!AA614,"|",Data!N614)</f>
        <v>Harris County Public Health|ACTIVE</v>
      </c>
      <c r="B614" s="161" t="str">
        <f>IFERROR(__xludf.DUMMYFUNCTION("""COMPUTED_VALUE"""),"Harris County Public Health")</f>
        <v>Harris County Public Health</v>
      </c>
      <c r="C614" s="161" t="str">
        <f>IFERROR(__xludf.DUMMYFUNCTION("""COMPUTED_VALUE"""),"ACTIVE")</f>
        <v>ACTIVE</v>
      </c>
      <c r="E614" s="161" t="s">
        <v>3696</v>
      </c>
      <c r="F614" s="161" t="s">
        <v>42</v>
      </c>
    </row>
    <row r="615">
      <c r="A615" s="132" t="str">
        <f>CONCATENATE(Data!AA615,"|",Data!N615)</f>
        <v>Harris County Public Health|ACTIVE</v>
      </c>
      <c r="B615" s="161" t="str">
        <f>IFERROR(__xludf.DUMMYFUNCTION("""COMPUTED_VALUE"""),"Harris County Public Health")</f>
        <v>Harris County Public Health</v>
      </c>
      <c r="C615" s="161" t="str">
        <f>IFERROR(__xludf.DUMMYFUNCTION("""COMPUTED_VALUE"""),"ACTIVE")</f>
        <v>ACTIVE</v>
      </c>
      <c r="E615" s="161" t="s">
        <v>3696</v>
      </c>
      <c r="F615" s="161" t="s">
        <v>42</v>
      </c>
    </row>
    <row r="616">
      <c r="A616" s="132" t="str">
        <f>CONCATENATE(Data!AA616,"|",Data!N616)</f>
        <v>Harris County Public Health|ACTIVE</v>
      </c>
      <c r="B616" s="161" t="str">
        <f>IFERROR(__xludf.DUMMYFUNCTION("""COMPUTED_VALUE"""),"Harris County Public Health")</f>
        <v>Harris County Public Health</v>
      </c>
      <c r="C616" s="161" t="str">
        <f>IFERROR(__xludf.DUMMYFUNCTION("""COMPUTED_VALUE"""),"ACTIVE")</f>
        <v>ACTIVE</v>
      </c>
      <c r="E616" s="161" t="s">
        <v>3696</v>
      </c>
      <c r="F616" s="161" t="s">
        <v>42</v>
      </c>
    </row>
    <row r="617">
      <c r="A617" s="132" t="str">
        <f>CONCATENATE(Data!AA617,"|",Data!N617)</f>
        <v>Montgomery County Women's Center|ACTIVE</v>
      </c>
      <c r="B617" s="161" t="str">
        <f>IFERROR(__xludf.DUMMYFUNCTION("""COMPUTED_VALUE"""),"Montgomery County Women's Center")</f>
        <v>Montgomery County Women's Center</v>
      </c>
      <c r="C617" s="161" t="str">
        <f>IFERROR(__xludf.DUMMYFUNCTION("""COMPUTED_VALUE"""),"ACTIVE")</f>
        <v>ACTIVE</v>
      </c>
      <c r="E617" s="161" t="s">
        <v>3696</v>
      </c>
      <c r="F617" s="161" t="s">
        <v>42</v>
      </c>
    </row>
    <row r="618">
      <c r="A618" s="132" t="str">
        <f>CONCATENATE(Data!AA618,"|",Data!N618)</f>
        <v>Montrose Grace Place|ACTIVE</v>
      </c>
      <c r="B618" s="161" t="str">
        <f>IFERROR(__xludf.DUMMYFUNCTION("""COMPUTED_VALUE"""),"Montrose Grace Place")</f>
        <v>Montrose Grace Place</v>
      </c>
      <c r="C618" s="161" t="str">
        <f>IFERROR(__xludf.DUMMYFUNCTION("""COMPUTED_VALUE"""),"ACTIVE")</f>
        <v>ACTIVE</v>
      </c>
      <c r="E618" s="161" t="s">
        <v>3696</v>
      </c>
      <c r="F618" s="161" t="s">
        <v>42</v>
      </c>
    </row>
    <row r="619">
      <c r="A619" s="132" t="str">
        <f>CONCATENATE(Data!AA619,"|",Data!N619)</f>
        <v>Moving Waters Ecclesia|ACTIVE</v>
      </c>
      <c r="B619" s="161" t="str">
        <f>IFERROR(__xludf.DUMMYFUNCTION("""COMPUTED_VALUE"""),"Moving Waters Ecclesia")</f>
        <v>Moving Waters Ecclesia</v>
      </c>
      <c r="C619" s="161" t="str">
        <f>IFERROR(__xludf.DUMMYFUNCTION("""COMPUTED_VALUE"""),"ACTIVE")</f>
        <v>ACTIVE</v>
      </c>
      <c r="E619" s="161" t="s">
        <v>3696</v>
      </c>
      <c r="F619" s="161" t="s">
        <v>42</v>
      </c>
    </row>
    <row r="620">
      <c r="A620" s="132" t="str">
        <f>CONCATENATE(Data!AA620,"|",Data!N620)</f>
        <v>Moving Waters Emergency Aid Coalition|ACTIVE</v>
      </c>
      <c r="B620" s="161" t="str">
        <f>IFERROR(__xludf.DUMMYFUNCTION("""COMPUTED_VALUE"""),"Moving Waters Emergency Aid Coalition")</f>
        <v>Moving Waters Emergency Aid Coalition</v>
      </c>
      <c r="C620" s="161" t="str">
        <f>IFERROR(__xludf.DUMMYFUNCTION("""COMPUTED_VALUE"""),"ACTIVE")</f>
        <v>ACTIVE</v>
      </c>
      <c r="E620" s="161" t="s">
        <v>3707</v>
      </c>
      <c r="F620" s="161" t="s">
        <v>42</v>
      </c>
    </row>
    <row r="621">
      <c r="A621" s="132" t="str">
        <f>CONCATENATE(Data!AA621,"|",Data!N621)</f>
        <v>Moving Waters Northwest Assistance Ministries|ACTIVE</v>
      </c>
      <c r="B621" s="161" t="str">
        <f>IFERROR(__xludf.DUMMYFUNCTION("""COMPUTED_VALUE"""),"Moving Waters Northwest Assistance Ministries")</f>
        <v>Moving Waters Northwest Assistance Ministries</v>
      </c>
      <c r="C621" s="161" t="str">
        <f>IFERROR(__xludf.DUMMYFUNCTION("""COMPUTED_VALUE"""),"ACTIVE")</f>
        <v>ACTIVE</v>
      </c>
      <c r="E621" s="161" t="s">
        <v>3707</v>
      </c>
      <c r="F621" s="161" t="s">
        <v>42</v>
      </c>
    </row>
    <row r="622">
      <c r="A622" s="132" t="str">
        <f>CONCATENATE(Data!AA622,"|",Data!N622)</f>
        <v>Moving Waters St Joseph Catholic Church|ACTIVE</v>
      </c>
      <c r="B622" s="161" t="str">
        <f>IFERROR(__xludf.DUMMYFUNCTION("""COMPUTED_VALUE"""),"Moving Waters St Joseph Catholic Church")</f>
        <v>Moving Waters St Joseph Catholic Church</v>
      </c>
      <c r="C622" s="161" t="str">
        <f>IFERROR(__xludf.DUMMYFUNCTION("""COMPUTED_VALUE"""),"ACTIVE")</f>
        <v>ACTIVE</v>
      </c>
      <c r="E622" s="161" t="s">
        <v>5779</v>
      </c>
      <c r="F622" s="161" t="s">
        <v>42</v>
      </c>
    </row>
    <row r="623">
      <c r="A623" s="132" t="str">
        <f>CONCATENATE(Data!AA623,"|",Data!N623)</f>
        <v>My Brother's Keeper|ACTIVE</v>
      </c>
      <c r="B623" s="161" t="str">
        <f>IFERROR(__xludf.DUMMYFUNCTION("""COMPUTED_VALUE"""),"My Brother's Keeper")</f>
        <v>My Brother's Keeper</v>
      </c>
      <c r="C623" s="161" t="str">
        <f>IFERROR(__xludf.DUMMYFUNCTION("""COMPUTED_VALUE"""),"ACTIVE")</f>
        <v>ACTIVE</v>
      </c>
      <c r="E623" s="161" t="s">
        <v>5779</v>
      </c>
      <c r="F623" s="161" t="s">
        <v>42</v>
      </c>
    </row>
    <row r="624">
      <c r="A624" s="132" t="str">
        <f>CONCATENATE(Data!AA624,"|",Data!N624)</f>
        <v>My Brother's Keeper|ACTIVE</v>
      </c>
      <c r="B624" s="161" t="str">
        <f>IFERROR(__xludf.DUMMYFUNCTION("""COMPUTED_VALUE"""),"My Brother's Keeper")</f>
        <v>My Brother's Keeper</v>
      </c>
      <c r="C624" s="161" t="str">
        <f>IFERROR(__xludf.DUMMYFUNCTION("""COMPUTED_VALUE"""),"ACTIVE")</f>
        <v>ACTIVE</v>
      </c>
      <c r="E624" s="161" t="s">
        <v>3727</v>
      </c>
      <c r="F624" s="161" t="s">
        <v>42</v>
      </c>
    </row>
    <row r="625">
      <c r="A625" s="132" t="str">
        <f>CONCATENATE(Data!AA625,"|",Data!N625)</f>
        <v>My Brother's Keeper|ACTIVE</v>
      </c>
      <c r="B625" s="161" t="str">
        <f>IFERROR(__xludf.DUMMYFUNCTION("""COMPUTED_VALUE"""),"My Brother's Keeper")</f>
        <v>My Brother's Keeper</v>
      </c>
      <c r="C625" s="161" t="str">
        <f>IFERROR(__xludf.DUMMYFUNCTION("""COMPUTED_VALUE"""),"ACTIVE")</f>
        <v>ACTIVE</v>
      </c>
      <c r="E625" s="161" t="s">
        <v>3734</v>
      </c>
      <c r="F625" s="161" t="s">
        <v>42</v>
      </c>
    </row>
    <row r="626">
      <c r="A626" s="132" t="str">
        <f>CONCATENATE(Data!AA626,"|",Data!N626)</f>
        <v>My Brother's Keeper|ACTIVE</v>
      </c>
      <c r="B626" s="161" t="str">
        <f>IFERROR(__xludf.DUMMYFUNCTION("""COMPUTED_VALUE"""),"My Brother's Keeper")</f>
        <v>My Brother's Keeper</v>
      </c>
      <c r="C626" s="161" t="str">
        <f>IFERROR(__xludf.DUMMYFUNCTION("""COMPUTED_VALUE"""),"ACTIVE")</f>
        <v>ACTIVE</v>
      </c>
      <c r="E626" s="161" t="s">
        <v>3741</v>
      </c>
      <c r="F626" s="161" t="s">
        <v>42</v>
      </c>
    </row>
    <row r="627">
      <c r="A627" s="132" t="str">
        <f>CONCATENATE(Data!AA627,"|",Data!N627)</f>
        <v>My Brother's Keeper|ACTIVE</v>
      </c>
      <c r="B627" s="161" t="str">
        <f>IFERROR(__xludf.DUMMYFUNCTION("""COMPUTED_VALUE"""),"My Brother's Keeper")</f>
        <v>My Brother's Keeper</v>
      </c>
      <c r="C627" s="161" t="str">
        <f>IFERROR(__xludf.DUMMYFUNCTION("""COMPUTED_VALUE"""),"ACTIVE")</f>
        <v>ACTIVE</v>
      </c>
      <c r="E627" s="161" t="s">
        <v>3741</v>
      </c>
      <c r="F627" s="161" t="s">
        <v>42</v>
      </c>
    </row>
    <row r="628">
      <c r="A628" s="132" t="str">
        <f>CONCATENATE(Data!AA628,"|",Data!N628)</f>
        <v>My Brother's Keeper|ACTIVE</v>
      </c>
      <c r="B628" s="161" t="str">
        <f>IFERROR(__xludf.DUMMYFUNCTION("""COMPUTED_VALUE"""),"My Brother's Keeper")</f>
        <v>My Brother's Keeper</v>
      </c>
      <c r="C628" s="161" t="str">
        <f>IFERROR(__xludf.DUMMYFUNCTION("""COMPUTED_VALUE"""),"ACTIVE")</f>
        <v>ACTIVE</v>
      </c>
      <c r="E628" s="161" t="s">
        <v>3750</v>
      </c>
      <c r="F628" s="161" t="s">
        <v>42</v>
      </c>
    </row>
    <row r="629">
      <c r="A629" s="132" t="str">
        <f>CONCATENATE(Data!AA629,"|",Data!N629)</f>
        <v>Nabor House Community|ACTIVE</v>
      </c>
      <c r="B629" s="161" t="str">
        <f>IFERROR(__xludf.DUMMYFUNCTION("""COMPUTED_VALUE"""),"Nabor House Community")</f>
        <v>Nabor House Community</v>
      </c>
      <c r="C629" s="161" t="str">
        <f>IFERROR(__xludf.DUMMYFUNCTION("""COMPUTED_VALUE"""),"ACTIVE")</f>
        <v>ACTIVE</v>
      </c>
      <c r="E629" s="161" t="s">
        <v>3777</v>
      </c>
      <c r="F629" s="161" t="s">
        <v>42</v>
      </c>
    </row>
    <row r="630">
      <c r="A630" s="132" t="str">
        <f>CONCATENATE(Data!AA630,"|",Data!N630)</f>
        <v>Nabor House Community|ACTIVE</v>
      </c>
      <c r="B630" s="161" t="str">
        <f>IFERROR(__xludf.DUMMYFUNCTION("""COMPUTED_VALUE"""),"Nabor House Community")</f>
        <v>Nabor House Community</v>
      </c>
      <c r="C630" s="161" t="str">
        <f>IFERROR(__xludf.DUMMYFUNCTION("""COMPUTED_VALUE"""),"ACTIVE")</f>
        <v>ACTIVE</v>
      </c>
      <c r="E630" s="161" t="s">
        <v>3777</v>
      </c>
      <c r="F630" s="161" t="s">
        <v>42</v>
      </c>
    </row>
    <row r="631">
      <c r="A631" s="132" t="str">
        <f>CONCATENATE(Data!AA631,"|",Data!N631)</f>
        <v>National Organization for Rare Disorders (NORD)|ACTIVE</v>
      </c>
      <c r="B631" s="161" t="str">
        <f>IFERROR(__xludf.DUMMYFUNCTION("""COMPUTED_VALUE"""),"National Organization for Rare Disorders (NORD)")</f>
        <v>National Organization for Rare Disorders (NORD)</v>
      </c>
      <c r="C631" s="161" t="str">
        <f>IFERROR(__xludf.DUMMYFUNCTION("""COMPUTED_VALUE"""),"ACTIVE")</f>
        <v>ACTIVE</v>
      </c>
      <c r="E631" s="161" t="s">
        <v>3788</v>
      </c>
      <c r="F631" s="161" t="s">
        <v>42</v>
      </c>
    </row>
    <row r="632">
      <c r="A632" s="132" t="str">
        <f>CONCATENATE(Data!AA632,"|",Data!N632)</f>
        <v>NeedyMeds|ACTIVE</v>
      </c>
      <c r="B632" s="161" t="str">
        <f>IFERROR(__xludf.DUMMYFUNCTION("""COMPUTED_VALUE"""),"NeedyMeds")</f>
        <v>NeedyMeds</v>
      </c>
      <c r="C632" s="161" t="str">
        <f>IFERROR(__xludf.DUMMYFUNCTION("""COMPUTED_VALUE"""),"ACTIVE")</f>
        <v>ACTIVE</v>
      </c>
      <c r="E632" s="161" t="s">
        <v>3788</v>
      </c>
      <c r="F632" s="161" t="s">
        <v>42</v>
      </c>
    </row>
    <row r="633">
      <c r="A633" s="132" t="str">
        <f>CONCATENATE(Data!AA633,"|",Data!N633)</f>
        <v>New Hope Housing|ACTIVE</v>
      </c>
      <c r="B633" s="161" t="str">
        <f>IFERROR(__xludf.DUMMYFUNCTION("""COMPUTED_VALUE"""),"New Hope Housing")</f>
        <v>New Hope Housing</v>
      </c>
      <c r="C633" s="161" t="str">
        <f>IFERROR(__xludf.DUMMYFUNCTION("""COMPUTED_VALUE"""),"ACTIVE")</f>
        <v>ACTIVE</v>
      </c>
      <c r="E633" s="161" t="s">
        <v>3788</v>
      </c>
      <c r="F633" s="161" t="s">
        <v>42</v>
      </c>
    </row>
    <row r="634">
      <c r="A634" s="132" t="str">
        <f>CONCATENATE(Data!AA634,"|",Data!N634)</f>
        <v>New Hope Housing|ACTIVE</v>
      </c>
      <c r="B634" s="161" t="str">
        <f>IFERROR(__xludf.DUMMYFUNCTION("""COMPUTED_VALUE"""),"New Hope Housing")</f>
        <v>New Hope Housing</v>
      </c>
      <c r="C634" s="161" t="str">
        <f>IFERROR(__xludf.DUMMYFUNCTION("""COMPUTED_VALUE"""),"ACTIVE")</f>
        <v>ACTIVE</v>
      </c>
      <c r="E634" s="161" t="s">
        <v>3788</v>
      </c>
      <c r="F634" s="161" t="s">
        <v>42</v>
      </c>
    </row>
    <row r="635">
      <c r="A635" s="132" t="str">
        <f>CONCATENATE(Data!AA635,"|",Data!N635)</f>
        <v>New Hope Housing|ACTIVE</v>
      </c>
      <c r="B635" s="161" t="str">
        <f>IFERROR(__xludf.DUMMYFUNCTION("""COMPUTED_VALUE"""),"New Hope Housing")</f>
        <v>New Hope Housing</v>
      </c>
      <c r="C635" s="161" t="str">
        <f>IFERROR(__xludf.DUMMYFUNCTION("""COMPUTED_VALUE"""),"ACTIVE")</f>
        <v>ACTIVE</v>
      </c>
      <c r="E635" s="161" t="s">
        <v>5780</v>
      </c>
      <c r="F635" s="161" t="s">
        <v>42</v>
      </c>
    </row>
    <row r="636">
      <c r="A636" s="132" t="str">
        <f>CONCATENATE(Data!AA636,"|",Data!N636)</f>
        <v>New Hope Housing|ACTIVE</v>
      </c>
      <c r="B636" s="161" t="str">
        <f>IFERROR(__xludf.DUMMYFUNCTION("""COMPUTED_VALUE"""),"New Hope Housing")</f>
        <v>New Hope Housing</v>
      </c>
      <c r="C636" s="161" t="str">
        <f>IFERROR(__xludf.DUMMYFUNCTION("""COMPUTED_VALUE"""),"ACTIVE")</f>
        <v>ACTIVE</v>
      </c>
      <c r="E636" s="161" t="s">
        <v>5780</v>
      </c>
      <c r="F636" s="161" t="s">
        <v>42</v>
      </c>
    </row>
    <row r="637">
      <c r="A637" s="132" t="str">
        <f>CONCATENATE(Data!AA637,"|",Data!N637)</f>
        <v>New Hope Housing|ACTIVE</v>
      </c>
      <c r="B637" s="161" t="str">
        <f>IFERROR(__xludf.DUMMYFUNCTION("""COMPUTED_VALUE"""),"New Hope Housing")</f>
        <v>New Hope Housing</v>
      </c>
      <c r="C637" s="161" t="str">
        <f>IFERROR(__xludf.DUMMYFUNCTION("""COMPUTED_VALUE"""),"ACTIVE")</f>
        <v>ACTIVE</v>
      </c>
      <c r="E637" s="161" t="s">
        <v>5780</v>
      </c>
      <c r="F637" s="161" t="s">
        <v>42</v>
      </c>
    </row>
    <row r="638">
      <c r="A638" s="132" t="str">
        <f>CONCATENATE(Data!AA638,"|",Data!N638)</f>
        <v>New Hope Housing|ACTIVE</v>
      </c>
      <c r="B638" s="161" t="str">
        <f>IFERROR(__xludf.DUMMYFUNCTION("""COMPUTED_VALUE"""),"New Hope Housing")</f>
        <v>New Hope Housing</v>
      </c>
      <c r="C638" s="161" t="str">
        <f>IFERROR(__xludf.DUMMYFUNCTION("""COMPUTED_VALUE"""),"ACTIVE")</f>
        <v>ACTIVE</v>
      </c>
      <c r="E638" s="161" t="s">
        <v>5780</v>
      </c>
      <c r="F638" s="161" t="s">
        <v>42</v>
      </c>
    </row>
    <row r="639">
      <c r="A639" s="132" t="str">
        <f>CONCATENATE(Data!AA639,"|",Data!N639)</f>
        <v>New Hope Housing|ACTIVE</v>
      </c>
      <c r="B639" s="161" t="str">
        <f>IFERROR(__xludf.DUMMYFUNCTION("""COMPUTED_VALUE"""),"New Hope Housing")</f>
        <v>New Hope Housing</v>
      </c>
      <c r="C639" s="161" t="str">
        <f>IFERROR(__xludf.DUMMYFUNCTION("""COMPUTED_VALUE"""),"ACTIVE")</f>
        <v>ACTIVE</v>
      </c>
      <c r="E639" s="161" t="s">
        <v>5780</v>
      </c>
      <c r="F639" s="161" t="s">
        <v>42</v>
      </c>
    </row>
    <row r="640">
      <c r="A640" s="132" t="str">
        <f>CONCATENATE(Data!AA640,"|",Data!N640)</f>
        <v>New Hope Housing|ACTIVE</v>
      </c>
      <c r="B640" s="161" t="str">
        <f>IFERROR(__xludf.DUMMYFUNCTION("""COMPUTED_VALUE"""),"New Hope Housing")</f>
        <v>New Hope Housing</v>
      </c>
      <c r="C640" s="161" t="str">
        <f>IFERROR(__xludf.DUMMYFUNCTION("""COMPUTED_VALUE"""),"ACTIVE")</f>
        <v>ACTIVE</v>
      </c>
      <c r="E640" s="161" t="s">
        <v>5780</v>
      </c>
      <c r="F640" s="161" t="s">
        <v>42</v>
      </c>
    </row>
    <row r="641">
      <c r="A641" s="132" t="str">
        <f>CONCATENATE(Data!AA641,"|",Data!N641)</f>
        <v>New Hope Housing|ACTIVE</v>
      </c>
      <c r="B641" s="161" t="str">
        <f>IFERROR(__xludf.DUMMYFUNCTION("""COMPUTED_VALUE"""),"New Hope Housing")</f>
        <v>New Hope Housing</v>
      </c>
      <c r="C641" s="161" t="str">
        <f>IFERROR(__xludf.DUMMYFUNCTION("""COMPUTED_VALUE"""),"ACTIVE")</f>
        <v>ACTIVE</v>
      </c>
      <c r="E641" s="161" t="s">
        <v>5780</v>
      </c>
      <c r="F641" s="161" t="s">
        <v>42</v>
      </c>
    </row>
    <row r="642">
      <c r="A642" s="132" t="str">
        <f>CONCATENATE(Data!AA642,"|",Data!N642)</f>
        <v>New Hope Housing|ACTIVE</v>
      </c>
      <c r="B642" s="161" t="str">
        <f>IFERROR(__xludf.DUMMYFUNCTION("""COMPUTED_VALUE"""),"New Hope Housing")</f>
        <v>New Hope Housing</v>
      </c>
      <c r="C642" s="161" t="str">
        <f>IFERROR(__xludf.DUMMYFUNCTION("""COMPUTED_VALUE"""),"ACTIVE")</f>
        <v>ACTIVE</v>
      </c>
      <c r="E642" s="161" t="s">
        <v>5780</v>
      </c>
      <c r="F642" s="161" t="s">
        <v>42</v>
      </c>
    </row>
    <row r="643">
      <c r="A643" s="132" t="str">
        <f>CONCATENATE(Data!AA643,"|",Data!N643)</f>
        <v>New Hope Housing|ACTIVE</v>
      </c>
      <c r="B643" s="161" t="str">
        <f>IFERROR(__xludf.DUMMYFUNCTION("""COMPUTED_VALUE"""),"New Hope Housing")</f>
        <v>New Hope Housing</v>
      </c>
      <c r="C643" s="161" t="str">
        <f>IFERROR(__xludf.DUMMYFUNCTION("""COMPUTED_VALUE"""),"ACTIVE")</f>
        <v>ACTIVE</v>
      </c>
      <c r="E643" s="161" t="s">
        <v>5780</v>
      </c>
      <c r="F643" s="161" t="s">
        <v>42</v>
      </c>
    </row>
    <row r="644">
      <c r="A644" s="132" t="str">
        <f>CONCATENATE(Data!AA644,"|",Data!N644)</f>
        <v>New Hope Housing|ACTIVE</v>
      </c>
      <c r="B644" s="161" t="str">
        <f>IFERROR(__xludf.DUMMYFUNCTION("""COMPUTED_VALUE"""),"New Hope Housing")</f>
        <v>New Hope Housing</v>
      </c>
      <c r="C644" s="161" t="str">
        <f>IFERROR(__xludf.DUMMYFUNCTION("""COMPUTED_VALUE"""),"ACTIVE")</f>
        <v>ACTIVE</v>
      </c>
      <c r="E644" s="161" t="s">
        <v>5780</v>
      </c>
      <c r="F644" s="161" t="s">
        <v>42</v>
      </c>
    </row>
    <row r="645">
      <c r="A645" s="132" t="str">
        <f>CONCATENATE(Data!AA645,"|",Data!N645)</f>
        <v>New Hope Housing|ACTIVE</v>
      </c>
      <c r="B645" s="161" t="str">
        <f>IFERROR(__xludf.DUMMYFUNCTION("""COMPUTED_VALUE"""),"New Hope Housing")</f>
        <v>New Hope Housing</v>
      </c>
      <c r="C645" s="161" t="str">
        <f>IFERROR(__xludf.DUMMYFUNCTION("""COMPUTED_VALUE"""),"ACTIVE")</f>
        <v>ACTIVE</v>
      </c>
      <c r="E645" s="161" t="s">
        <v>5780</v>
      </c>
      <c r="F645" s="161" t="s">
        <v>42</v>
      </c>
    </row>
    <row r="646">
      <c r="A646" s="132" t="str">
        <f>CONCATENATE(Data!AA646,"|",Data!N646)</f>
        <v>New Hope Housing|ACTIVE</v>
      </c>
      <c r="B646" s="161" t="str">
        <f>IFERROR(__xludf.DUMMYFUNCTION("""COMPUTED_VALUE"""),"New Hope Housing")</f>
        <v>New Hope Housing</v>
      </c>
      <c r="C646" s="161" t="str">
        <f>IFERROR(__xludf.DUMMYFUNCTION("""COMPUTED_VALUE"""),"ACTIVE")</f>
        <v>ACTIVE</v>
      </c>
      <c r="E646" s="161" t="s">
        <v>5780</v>
      </c>
      <c r="F646" s="161" t="s">
        <v>42</v>
      </c>
    </row>
    <row r="647">
      <c r="A647" s="132" t="str">
        <f>CONCATENATE(Data!AA647,"|",Data!N647)</f>
        <v>New Hope Housing|ACTIVE</v>
      </c>
      <c r="B647" s="161" t="str">
        <f>IFERROR(__xludf.DUMMYFUNCTION("""COMPUTED_VALUE"""),"New Hope Housing")</f>
        <v>New Hope Housing</v>
      </c>
      <c r="C647" s="161" t="str">
        <f>IFERROR(__xludf.DUMMYFUNCTION("""COMPUTED_VALUE"""),"ACTIVE")</f>
        <v>ACTIVE</v>
      </c>
      <c r="E647" s="161" t="s">
        <v>5780</v>
      </c>
      <c r="F647" s="161" t="s">
        <v>42</v>
      </c>
    </row>
    <row r="648">
      <c r="A648" s="132" t="str">
        <f>CONCATENATE(Data!AA648,"|",Data!N648)</f>
        <v>New Life|ACTIVE</v>
      </c>
      <c r="B648" s="161" t="str">
        <f>IFERROR(__xludf.DUMMYFUNCTION("""COMPUTED_VALUE"""),"New Life")</f>
        <v>New Life</v>
      </c>
      <c r="C648" s="161" t="str">
        <f>IFERROR(__xludf.DUMMYFUNCTION("""COMPUTED_VALUE"""),"ACTIVE")</f>
        <v>ACTIVE</v>
      </c>
      <c r="E648" s="161" t="s">
        <v>5780</v>
      </c>
      <c r="F648" s="161" t="s">
        <v>42</v>
      </c>
    </row>
    <row r="649">
      <c r="A649" s="132" t="str">
        <f>CONCATENATE(Data!AA649,"|",Data!N649)</f>
        <v>Nora's Home|ACTIVE</v>
      </c>
      <c r="B649" s="161" t="str">
        <f>IFERROR(__xludf.DUMMYFUNCTION("""COMPUTED_VALUE"""),"Nora's Home")</f>
        <v>Nora's Home</v>
      </c>
      <c r="C649" s="161" t="str">
        <f>IFERROR(__xludf.DUMMYFUNCTION("""COMPUTED_VALUE"""),"ACTIVE")</f>
        <v>ACTIVE</v>
      </c>
      <c r="E649" s="161" t="s">
        <v>5780</v>
      </c>
      <c r="F649" s="161" t="s">
        <v>42</v>
      </c>
    </row>
    <row r="650">
      <c r="A650" s="132" t="str">
        <f>CONCATENATE(Data!AA650,"|",Data!N650)</f>
        <v>North Channel Assistance Ministries|ACTIVE</v>
      </c>
      <c r="B650" s="161" t="str">
        <f>IFERROR(__xludf.DUMMYFUNCTION("""COMPUTED_VALUE"""),"North Channel Assistance Ministries")</f>
        <v>North Channel Assistance Ministries</v>
      </c>
      <c r="C650" s="161" t="str">
        <f>IFERROR(__xludf.DUMMYFUNCTION("""COMPUTED_VALUE"""),"ACTIVE")</f>
        <v>ACTIVE</v>
      </c>
      <c r="E650" s="161" t="s">
        <v>5780</v>
      </c>
      <c r="F650" s="161" t="s">
        <v>42</v>
      </c>
    </row>
    <row r="651">
      <c r="A651" s="132" t="str">
        <f>CONCATENATE(Data!AA651,"|",Data!N651)</f>
        <v>City of Houston|ACTIVE</v>
      </c>
      <c r="B651" s="161" t="str">
        <f>IFERROR(__xludf.DUMMYFUNCTION("""COMPUTED_VALUE"""),"City of Houston")</f>
        <v>City of Houston</v>
      </c>
      <c r="C651" s="161" t="str">
        <f>IFERROR(__xludf.DUMMYFUNCTION("""COMPUTED_VALUE"""),"ACTIVE")</f>
        <v>ACTIVE</v>
      </c>
      <c r="E651" s="161" t="s">
        <v>5780</v>
      </c>
      <c r="F651" s="161" t="s">
        <v>42</v>
      </c>
    </row>
    <row r="652">
      <c r="A652" s="132" t="str">
        <f>CONCATENATE(Data!AA652,"|",Data!N652)</f>
        <v>City of Houston|ACTIVE</v>
      </c>
      <c r="B652" s="161" t="str">
        <f>IFERROR(__xludf.DUMMYFUNCTION("""COMPUTED_VALUE"""),"City of Houston")</f>
        <v>City of Houston</v>
      </c>
      <c r="C652" s="161" t="str">
        <f>IFERROR(__xludf.DUMMYFUNCTION("""COMPUTED_VALUE"""),"ACTIVE")</f>
        <v>ACTIVE</v>
      </c>
      <c r="E652" s="161" t="s">
        <v>5780</v>
      </c>
      <c r="F652" s="161" t="s">
        <v>42</v>
      </c>
    </row>
    <row r="653">
      <c r="A653" s="132" t="str">
        <f>CONCATENATE(Data!AA653,"|",Data!N653)</f>
        <v>Northvale Village (RHF)|ACTIVE</v>
      </c>
      <c r="B653" s="161" t="str">
        <f>IFERROR(__xludf.DUMMYFUNCTION("""COMPUTED_VALUE"""),"Northvale Village (RHF)")</f>
        <v>Northvale Village (RHF)</v>
      </c>
      <c r="C653" s="161" t="str">
        <f>IFERROR(__xludf.DUMMYFUNCTION("""COMPUTED_VALUE"""),"ACTIVE")</f>
        <v>ACTIVE</v>
      </c>
      <c r="E653" s="161" t="s">
        <v>5780</v>
      </c>
      <c r="F653" s="161" t="s">
        <v>42</v>
      </c>
    </row>
    <row r="654">
      <c r="A654" s="132" t="str">
        <f>CONCATENATE(Data!AA654,"|",Data!N654)</f>
        <v>Northwest Area Ministries|ACTIVE</v>
      </c>
      <c r="B654" s="161" t="str">
        <f>IFERROR(__xludf.DUMMYFUNCTION("""COMPUTED_VALUE"""),"Northwest Area Ministries")</f>
        <v>Northwest Area Ministries</v>
      </c>
      <c r="C654" s="161" t="str">
        <f>IFERROR(__xludf.DUMMYFUNCTION("""COMPUTED_VALUE"""),"ACTIVE")</f>
        <v>ACTIVE</v>
      </c>
      <c r="E654" s="161" t="s">
        <v>5780</v>
      </c>
      <c r="F654" s="161" t="s">
        <v>42</v>
      </c>
    </row>
    <row r="655">
      <c r="A655" s="132" t="str">
        <f>CONCATENATE(Data!AA655,"|",Data!N655)</f>
        <v>Northwest Area Ministries|ACTIVE</v>
      </c>
      <c r="B655" s="161" t="str">
        <f>IFERROR(__xludf.DUMMYFUNCTION("""COMPUTED_VALUE"""),"Northwest Area Ministries")</f>
        <v>Northwest Area Ministries</v>
      </c>
      <c r="C655" s="161" t="str">
        <f>IFERROR(__xludf.DUMMYFUNCTION("""COMPUTED_VALUE"""),"ACTIVE")</f>
        <v>ACTIVE</v>
      </c>
      <c r="E655" s="161" t="s">
        <v>5780</v>
      </c>
      <c r="F655" s="161" t="s">
        <v>42</v>
      </c>
    </row>
    <row r="656">
      <c r="A656" s="132" t="str">
        <f>CONCATENATE(Data!AA656,"|",Data!N656)</f>
        <v>Northwest Area Ministries|ACTIVE</v>
      </c>
      <c r="B656" s="161" t="str">
        <f>IFERROR(__xludf.DUMMYFUNCTION("""COMPUTED_VALUE"""),"Northwest Area Ministries")</f>
        <v>Northwest Area Ministries</v>
      </c>
      <c r="C656" s="161" t="str">
        <f>IFERROR(__xludf.DUMMYFUNCTION("""COMPUTED_VALUE"""),"ACTIVE")</f>
        <v>ACTIVE</v>
      </c>
      <c r="E656" s="161" t="s">
        <v>5780</v>
      </c>
      <c r="F656" s="161" t="s">
        <v>42</v>
      </c>
    </row>
    <row r="657">
      <c r="A657" s="132" t="str">
        <f>CONCATENATE(Data!AA657,"|",Data!N657)</f>
        <v>Northwest Area Ministries|ACTIVE</v>
      </c>
      <c r="B657" s="161" t="str">
        <f>IFERROR(__xludf.DUMMYFUNCTION("""COMPUTED_VALUE"""),"Northwest Area Ministries")</f>
        <v>Northwest Area Ministries</v>
      </c>
      <c r="C657" s="161" t="str">
        <f>IFERROR(__xludf.DUMMYFUNCTION("""COMPUTED_VALUE"""),"ACTIVE")</f>
        <v>ACTIVE</v>
      </c>
      <c r="E657" s="161" t="s">
        <v>5780</v>
      </c>
      <c r="F657" s="161" t="s">
        <v>42</v>
      </c>
    </row>
    <row r="658">
      <c r="A658" s="132" t="str">
        <f>CONCATENATE(Data!AA658,"|",Data!N658)</f>
        <v>Northwest Area Ministries|ACTIVE</v>
      </c>
      <c r="B658" s="161" t="str">
        <f>IFERROR(__xludf.DUMMYFUNCTION("""COMPUTED_VALUE"""),"Northwest Area Ministries")</f>
        <v>Northwest Area Ministries</v>
      </c>
      <c r="C658" s="161" t="str">
        <f>IFERROR(__xludf.DUMMYFUNCTION("""COMPUTED_VALUE"""),"ACTIVE")</f>
        <v>ACTIVE</v>
      </c>
      <c r="E658" s="161" t="s">
        <v>5780</v>
      </c>
      <c r="F658" s="161" t="s">
        <v>42</v>
      </c>
    </row>
    <row r="659">
      <c r="A659" s="132" t="str">
        <f>CONCATENATE(Data!AA659,"|",Data!N659)</f>
        <v>Northwest Area Ministries|ACTIVE</v>
      </c>
      <c r="B659" s="161" t="str">
        <f>IFERROR(__xludf.DUMMYFUNCTION("""COMPUTED_VALUE"""),"Northwest Area Ministries")</f>
        <v>Northwest Area Ministries</v>
      </c>
      <c r="C659" s="161" t="str">
        <f>IFERROR(__xludf.DUMMYFUNCTION("""COMPUTED_VALUE"""),"ACTIVE")</f>
        <v>ACTIVE</v>
      </c>
      <c r="E659" s="161" t="s">
        <v>5780</v>
      </c>
      <c r="F659" s="161" t="s">
        <v>42</v>
      </c>
    </row>
    <row r="660">
      <c r="A660" s="132" t="str">
        <f>CONCATENATE(Data!AA660,"|",Data!N660)</f>
        <v>Northwest Area Ministries|ACTIVE</v>
      </c>
      <c r="B660" s="161" t="str">
        <f>IFERROR(__xludf.DUMMYFUNCTION("""COMPUTED_VALUE"""),"Northwest Area Ministries")</f>
        <v>Northwest Area Ministries</v>
      </c>
      <c r="C660" s="161" t="str">
        <f>IFERROR(__xludf.DUMMYFUNCTION("""COMPUTED_VALUE"""),"ACTIVE")</f>
        <v>ACTIVE</v>
      </c>
      <c r="E660" s="161" t="s">
        <v>5780</v>
      </c>
      <c r="F660" s="161" t="s">
        <v>42</v>
      </c>
    </row>
    <row r="661">
      <c r="A661" s="132" t="str">
        <f>CONCATENATE(Data!AA661,"|",Data!N661)</f>
        <v>Northwest Area Ministries|ACTIVE</v>
      </c>
      <c r="B661" s="161" t="str">
        <f>IFERROR(__xludf.DUMMYFUNCTION("""COMPUTED_VALUE"""),"Northwest Area Ministries")</f>
        <v>Northwest Area Ministries</v>
      </c>
      <c r="C661" s="161" t="str">
        <f>IFERROR(__xludf.DUMMYFUNCTION("""COMPUTED_VALUE"""),"ACTIVE")</f>
        <v>ACTIVE</v>
      </c>
      <c r="E661" s="161" t="s">
        <v>5780</v>
      </c>
      <c r="F661" s="161" t="s">
        <v>42</v>
      </c>
    </row>
    <row r="662">
      <c r="A662" s="132" t="str">
        <f>CONCATENATE(Data!AA662,"|",Data!N662)</f>
        <v>Northwest Area Ministries|ACTIVE</v>
      </c>
      <c r="B662" s="161" t="str">
        <f>IFERROR(__xludf.DUMMYFUNCTION("""COMPUTED_VALUE"""),"Northwest Area Ministries")</f>
        <v>Northwest Area Ministries</v>
      </c>
      <c r="C662" s="161" t="str">
        <f>IFERROR(__xludf.DUMMYFUNCTION("""COMPUTED_VALUE"""),"ACTIVE")</f>
        <v>ACTIVE</v>
      </c>
      <c r="E662" s="161" t="s">
        <v>5780</v>
      </c>
      <c r="F662" s="161" t="s">
        <v>42</v>
      </c>
    </row>
    <row r="663">
      <c r="A663" s="132" t="str">
        <f>CONCATENATE(Data!AA663,"|",Data!N663)</f>
        <v>Notre Dame Catholic Church|ACTIVE</v>
      </c>
      <c r="B663" s="161" t="str">
        <f>IFERROR(__xludf.DUMMYFUNCTION("""COMPUTED_VALUE"""),"Notre Dame Catholic Church")</f>
        <v>Notre Dame Catholic Church</v>
      </c>
      <c r="C663" s="161" t="str">
        <f>IFERROR(__xludf.DUMMYFUNCTION("""COMPUTED_VALUE"""),"ACTIVE")</f>
        <v>ACTIVE</v>
      </c>
      <c r="E663" s="161" t="s">
        <v>5780</v>
      </c>
      <c r="F663" s="161" t="s">
        <v>42</v>
      </c>
    </row>
    <row r="664">
      <c r="A664" s="132" t="str">
        <f>CONCATENATE(Data!AA664,"|",Data!N664)</f>
        <v>City of Houston|ACTIVE</v>
      </c>
      <c r="B664" s="161" t="str">
        <f>IFERROR(__xludf.DUMMYFUNCTION("""COMPUTED_VALUE"""),"City of Houston")</f>
        <v>City of Houston</v>
      </c>
      <c r="C664" s="161" t="str">
        <f>IFERROR(__xludf.DUMMYFUNCTION("""COMPUTED_VALUE"""),"ACTIVE")</f>
        <v>ACTIVE</v>
      </c>
      <c r="E664" s="161" t="s">
        <v>5780</v>
      </c>
      <c r="F664" s="161" t="s">
        <v>42</v>
      </c>
    </row>
    <row r="665">
      <c r="A665" s="132" t="str">
        <f>CONCATENATE(Data!AA665,"|",Data!N665)</f>
        <v>Open Door Mission|ACTIVE</v>
      </c>
      <c r="B665" s="161" t="str">
        <f>IFERROR(__xludf.DUMMYFUNCTION("""COMPUTED_VALUE"""),"Open Door Mission")</f>
        <v>Open Door Mission</v>
      </c>
      <c r="C665" s="161" t="str">
        <f>IFERROR(__xludf.DUMMYFUNCTION("""COMPUTED_VALUE"""),"ACTIVE")</f>
        <v>ACTIVE</v>
      </c>
      <c r="E665" s="161" t="s">
        <v>5780</v>
      </c>
      <c r="F665" s="161" t="s">
        <v>42</v>
      </c>
    </row>
    <row r="666">
      <c r="A666" s="132" t="str">
        <f>CONCATENATE(Data!AA666,"|",Data!N666)</f>
        <v>Our Lady of Fatima|ACTIVE</v>
      </c>
      <c r="B666" s="161" t="str">
        <f>IFERROR(__xludf.DUMMYFUNCTION("""COMPUTED_VALUE"""),"Our Lady of Fatima")</f>
        <v>Our Lady of Fatima</v>
      </c>
      <c r="C666" s="161" t="str">
        <f>IFERROR(__xludf.DUMMYFUNCTION("""COMPUTED_VALUE"""),"ACTIVE")</f>
        <v>ACTIVE</v>
      </c>
      <c r="E666" s="161" t="s">
        <v>5780</v>
      </c>
      <c r="F666" s="161" t="s">
        <v>42</v>
      </c>
    </row>
    <row r="667">
      <c r="A667" s="132" t="str">
        <f>CONCATENATE(Data!AA667,"|",Data!N667)</f>
        <v>Our Lady of Guadalupe Baytown|ACTIVE</v>
      </c>
      <c r="B667" s="161" t="str">
        <f>IFERROR(__xludf.DUMMYFUNCTION("""COMPUTED_VALUE"""),"Our Lady of Guadalupe Baytown")</f>
        <v>Our Lady of Guadalupe Baytown</v>
      </c>
      <c r="C667" s="161" t="str">
        <f>IFERROR(__xludf.DUMMYFUNCTION("""COMPUTED_VALUE"""),"ACTIVE")</f>
        <v>ACTIVE</v>
      </c>
      <c r="E667" s="161" t="s">
        <v>5780</v>
      </c>
      <c r="F667" s="161" t="s">
        <v>42</v>
      </c>
    </row>
    <row r="668">
      <c r="A668" s="132" t="str">
        <f>CONCATENATE(Data!AA668,"|",Data!N668)</f>
        <v>Society of St Vincent de Paul|ACTIVE</v>
      </c>
      <c r="B668" s="161" t="str">
        <f>IFERROR(__xludf.DUMMYFUNCTION("""COMPUTED_VALUE"""),"Society of St Vincent de Paul")</f>
        <v>Society of St Vincent de Paul</v>
      </c>
      <c r="C668" s="161" t="str">
        <f>IFERROR(__xludf.DUMMYFUNCTION("""COMPUTED_VALUE"""),"ACTIVE")</f>
        <v>ACTIVE</v>
      </c>
      <c r="E668" s="161" t="s">
        <v>5780</v>
      </c>
      <c r="F668" s="161" t="s">
        <v>42</v>
      </c>
    </row>
    <row r="669">
      <c r="A669" s="132" t="str">
        <f>CONCATENATE(Data!AA669,"|",Data!N669)</f>
        <v>Society of St Vincent de Paul|ACTIVE</v>
      </c>
      <c r="B669" s="161" t="str">
        <f>IFERROR(__xludf.DUMMYFUNCTION("""COMPUTED_VALUE"""),"Society of St Vincent de Paul")</f>
        <v>Society of St Vincent de Paul</v>
      </c>
      <c r="C669" s="161" t="str">
        <f>IFERROR(__xludf.DUMMYFUNCTION("""COMPUTED_VALUE"""),"ACTIVE")</f>
        <v>ACTIVE</v>
      </c>
      <c r="E669" s="161" t="s">
        <v>5780</v>
      </c>
      <c r="F669" s="161" t="s">
        <v>42</v>
      </c>
    </row>
    <row r="670">
      <c r="A670" s="132" t="str">
        <f>CONCATENATE(Data!AA670,"|",Data!N670)</f>
        <v>Society of St Vincent de Paul|ACTIVE</v>
      </c>
      <c r="B670" s="161" t="str">
        <f>IFERROR(__xludf.DUMMYFUNCTION("""COMPUTED_VALUE"""),"Society of St Vincent de Paul")</f>
        <v>Society of St Vincent de Paul</v>
      </c>
      <c r="C670" s="161" t="str">
        <f>IFERROR(__xludf.DUMMYFUNCTION("""COMPUTED_VALUE"""),"ACTIVE")</f>
        <v>ACTIVE</v>
      </c>
      <c r="E670" s="161" t="s">
        <v>5780</v>
      </c>
      <c r="F670" s="161" t="s">
        <v>42</v>
      </c>
    </row>
    <row r="671">
      <c r="A671" s="132" t="str">
        <f>CONCATENATE(Data!AA671,"|",Data!N671)</f>
        <v>Society of St Vincent de Paul|ACTIVE</v>
      </c>
      <c r="B671" s="161" t="str">
        <f>IFERROR(__xludf.DUMMYFUNCTION("""COMPUTED_VALUE"""),"Society of St Vincent de Paul")</f>
        <v>Society of St Vincent de Paul</v>
      </c>
      <c r="C671" s="161" t="str">
        <f>IFERROR(__xludf.DUMMYFUNCTION("""COMPUTED_VALUE"""),"ACTIVE")</f>
        <v>ACTIVE</v>
      </c>
      <c r="E671" s="161" t="s">
        <v>5780</v>
      </c>
      <c r="F671" s="161" t="s">
        <v>42</v>
      </c>
    </row>
    <row r="672">
      <c r="A672" s="132" t="str">
        <f>CONCATENATE(Data!AA672,"|",Data!N672)</f>
        <v>PadSplit|LIMITED</v>
      </c>
      <c r="B672" s="161" t="str">
        <f>IFERROR(__xludf.DUMMYFUNCTION("""COMPUTED_VALUE"""),"PadSplit")</f>
        <v>PadSplit</v>
      </c>
      <c r="C672" s="161" t="str">
        <f>IFERROR(__xludf.DUMMYFUNCTION("""COMPUTED_VALUE"""),"LIMITED")</f>
        <v>LIMITED</v>
      </c>
      <c r="E672" s="161" t="s">
        <v>5780</v>
      </c>
      <c r="F672" s="161" t="s">
        <v>42</v>
      </c>
    </row>
    <row r="673">
      <c r="A673" s="132" t="str">
        <f>CONCATENATE(Data!AA673,"|",Data!N673)</f>
        <v>Pasadena Community Ministries|CLOSED</v>
      </c>
      <c r="B673" s="161" t="str">
        <f>IFERROR(__xludf.DUMMYFUNCTION("""COMPUTED_VALUE"""),"Pasadena Community Ministries")</f>
        <v>Pasadena Community Ministries</v>
      </c>
      <c r="C673" s="161" t="str">
        <f>IFERROR(__xludf.DUMMYFUNCTION("""COMPUTED_VALUE"""),"CLOSED")</f>
        <v>CLOSED</v>
      </c>
      <c r="E673" s="161" t="s">
        <v>5780</v>
      </c>
      <c r="F673" s="161" t="s">
        <v>42</v>
      </c>
    </row>
    <row r="674">
      <c r="A674" s="132" t="str">
        <f>CONCATENATE(Data!AA674,"|",Data!N674)</f>
        <v>Pasadena Community Ministries|CLOSED</v>
      </c>
      <c r="B674" s="161" t="str">
        <f>IFERROR(__xludf.DUMMYFUNCTION("""COMPUTED_VALUE"""),"Pasadena Community Ministries")</f>
        <v>Pasadena Community Ministries</v>
      </c>
      <c r="C674" s="161" t="str">
        <f>IFERROR(__xludf.DUMMYFUNCTION("""COMPUTED_VALUE"""),"CLOSED")</f>
        <v>CLOSED</v>
      </c>
      <c r="E674" s="161" t="s">
        <v>5780</v>
      </c>
      <c r="F674" s="161" t="s">
        <v>42</v>
      </c>
    </row>
    <row r="675">
      <c r="A675" s="132" t="str">
        <f>CONCATENATE(Data!AA675,"|",Data!N675)</f>
        <v>Pasadena Community Ministries|ACTIVE</v>
      </c>
      <c r="B675" s="161" t="str">
        <f>IFERROR(__xludf.DUMMYFUNCTION("""COMPUTED_VALUE"""),"Pasadena Community Ministries")</f>
        <v>Pasadena Community Ministries</v>
      </c>
      <c r="C675" s="161" t="str">
        <f>IFERROR(__xludf.DUMMYFUNCTION("""COMPUTED_VALUE"""),"ACTIVE")</f>
        <v>ACTIVE</v>
      </c>
      <c r="E675" s="161" t="s">
        <v>5780</v>
      </c>
      <c r="F675" s="161" t="s">
        <v>42</v>
      </c>
    </row>
    <row r="676">
      <c r="A676" s="132" t="str">
        <f>CONCATENATE(Data!AA676,"|",Data!N676)</f>
        <v>Patient Access Network (PAN) Foundation|ACTIVE</v>
      </c>
      <c r="B676" s="161" t="str">
        <f>IFERROR(__xludf.DUMMYFUNCTION("""COMPUTED_VALUE"""),"Patient Access Network (PAN) Foundation")</f>
        <v>Patient Access Network (PAN) Foundation</v>
      </c>
      <c r="C676" s="161" t="str">
        <f>IFERROR(__xludf.DUMMYFUNCTION("""COMPUTED_VALUE"""),"ACTIVE")</f>
        <v>ACTIVE</v>
      </c>
      <c r="E676" s="161" t="s">
        <v>5780</v>
      </c>
      <c r="F676" s="161" t="s">
        <v>42</v>
      </c>
    </row>
    <row r="677">
      <c r="A677" s="132" t="str">
        <f>CONCATENATE(Data!AA677,"|",Data!N677)</f>
        <v>Patient Advocate Foundation|ACTIVE</v>
      </c>
      <c r="B677" s="161" t="str">
        <f>IFERROR(__xludf.DUMMYFUNCTION("""COMPUTED_VALUE"""),"Patient Advocate Foundation")</f>
        <v>Patient Advocate Foundation</v>
      </c>
      <c r="C677" s="161" t="str">
        <f>IFERROR(__xludf.DUMMYFUNCTION("""COMPUTED_VALUE"""),"ACTIVE")</f>
        <v>ACTIVE</v>
      </c>
      <c r="E677" s="161" t="s">
        <v>5780</v>
      </c>
      <c r="F677" s="161" t="s">
        <v>42</v>
      </c>
    </row>
    <row r="678">
      <c r="A678" s="132" t="str">
        <f>CONCATENATE(Data!AA678,"|",Data!N678)</f>
        <v>Patient Advocate Foundation|ACTIVE</v>
      </c>
      <c r="B678" s="161" t="str">
        <f>IFERROR(__xludf.DUMMYFUNCTION("""COMPUTED_VALUE"""),"Patient Advocate Foundation")</f>
        <v>Patient Advocate Foundation</v>
      </c>
      <c r="C678" s="161" t="str">
        <f>IFERROR(__xludf.DUMMYFUNCTION("""COMPUTED_VALUE"""),"ACTIVE")</f>
        <v>ACTIVE</v>
      </c>
      <c r="E678" s="161" t="s">
        <v>5780</v>
      </c>
      <c r="F678" s="161" t="s">
        <v>42</v>
      </c>
    </row>
    <row r="679">
      <c r="A679" s="132" t="str">
        <f>CONCATENATE(Data!AA679,"|",Data!N679)</f>
        <v>PetSet|ACTIVE</v>
      </c>
      <c r="B679" s="161" t="str">
        <f>IFERROR(__xludf.DUMMYFUNCTION("""COMPUTED_VALUE"""),"PetSet")</f>
        <v>PetSet</v>
      </c>
      <c r="C679" s="161" t="str">
        <f>IFERROR(__xludf.DUMMYFUNCTION("""COMPUTED_VALUE"""),"ACTIVE")</f>
        <v>ACTIVE</v>
      </c>
      <c r="E679" s="161" t="s">
        <v>5780</v>
      </c>
      <c r="F679" s="161" t="s">
        <v>42</v>
      </c>
    </row>
    <row r="680">
      <c r="A680" s="132" t="str">
        <f>CONCATENATE(Data!AA680,"|",Data!N680)</f>
        <v>Pink Fund|ACTIVE</v>
      </c>
      <c r="B680" s="161" t="str">
        <f>IFERROR(__xludf.DUMMYFUNCTION("""COMPUTED_VALUE"""),"Pink Fund")</f>
        <v>Pink Fund</v>
      </c>
      <c r="C680" s="161" t="str">
        <f>IFERROR(__xludf.DUMMYFUNCTION("""COMPUTED_VALUE"""),"ACTIVE")</f>
        <v>ACTIVE</v>
      </c>
      <c r="E680" s="161" t="s">
        <v>5780</v>
      </c>
      <c r="F680" s="161" t="s">
        <v>42</v>
      </c>
    </row>
    <row r="681">
      <c r="A681" s="132" t="str">
        <f>CONCATENATE(Data!AA681,"|",Data!N681)</f>
        <v>POZ Impact Mobile Mechanic|ACTIVE</v>
      </c>
      <c r="B681" s="161" t="str">
        <f>IFERROR(__xludf.DUMMYFUNCTION("""COMPUTED_VALUE"""),"POZ Impact Mobile Mechanic")</f>
        <v>POZ Impact Mobile Mechanic</v>
      </c>
      <c r="C681" s="161" t="str">
        <f>IFERROR(__xludf.DUMMYFUNCTION("""COMPUTED_VALUE"""),"ACTIVE")</f>
        <v>ACTIVE</v>
      </c>
      <c r="E681" s="161" t="s">
        <v>5780</v>
      </c>
      <c r="F681" s="161" t="s">
        <v>42</v>
      </c>
    </row>
    <row r="682">
      <c r="A682" s="132" t="str">
        <f>CONCATENATE(Data!AA682,"|",Data!N682)</f>
        <v>Presbyterian Children's Homes and Services|ACTIVE</v>
      </c>
      <c r="B682" s="161" t="str">
        <f>IFERROR(__xludf.DUMMYFUNCTION("""COMPUTED_VALUE"""),"Presbyterian Children's Homes and Services")</f>
        <v>Presbyterian Children's Homes and Services</v>
      </c>
      <c r="C682" s="161" t="str">
        <f>IFERROR(__xludf.DUMMYFUNCTION("""COMPUTED_VALUE"""),"ACTIVE")</f>
        <v>ACTIVE</v>
      </c>
      <c r="E682" s="161" t="s">
        <v>5780</v>
      </c>
      <c r="F682" s="161" t="s">
        <v>42</v>
      </c>
    </row>
    <row r="683">
      <c r="A683" s="132" t="str">
        <f>CONCATENATE(Data!AA683,"|",Data!N683)</f>
        <v>Prince of Peace|ACTIVE</v>
      </c>
      <c r="B683" s="161" t="str">
        <f>IFERROR(__xludf.DUMMYFUNCTION("""COMPUTED_VALUE"""),"Prince of Peace")</f>
        <v>Prince of Peace</v>
      </c>
      <c r="C683" s="161" t="str">
        <f>IFERROR(__xludf.DUMMYFUNCTION("""COMPUTED_VALUE"""),"ACTIVE")</f>
        <v>ACTIVE</v>
      </c>
      <c r="E683" s="161" t="s">
        <v>5780</v>
      </c>
      <c r="F683" s="161" t="s">
        <v>42</v>
      </c>
    </row>
    <row r="684">
      <c r="A684" s="132" t="str">
        <f>CONCATENATE(Data!AA684,"|",Data!N684)</f>
        <v>Prince of Peace|ACTIVE</v>
      </c>
      <c r="B684" s="161" t="str">
        <f>IFERROR(__xludf.DUMMYFUNCTION("""COMPUTED_VALUE"""),"Prince of Peace")</f>
        <v>Prince of Peace</v>
      </c>
      <c r="C684" s="161" t="str">
        <f>IFERROR(__xludf.DUMMYFUNCTION("""COMPUTED_VALUE"""),"ACTIVE")</f>
        <v>ACTIVE</v>
      </c>
      <c r="E684" s="161" t="s">
        <v>5780</v>
      </c>
      <c r="F684" s="161" t="s">
        <v>42</v>
      </c>
    </row>
    <row r="685">
      <c r="A685" s="132" t="str">
        <f>CONCATENATE(Data!AA685,"|",Data!N685)</f>
        <v>Prince of Peace|ACTIVE</v>
      </c>
      <c r="B685" s="161" t="str">
        <f>IFERROR(__xludf.DUMMYFUNCTION("""COMPUTED_VALUE"""),"Prince of Peace")</f>
        <v>Prince of Peace</v>
      </c>
      <c r="C685" s="161" t="str">
        <f>IFERROR(__xludf.DUMMYFUNCTION("""COMPUTED_VALUE"""),"ACTIVE")</f>
        <v>ACTIVE</v>
      </c>
      <c r="E685" s="161" t="s">
        <v>5780</v>
      </c>
      <c r="F685" s="161" t="s">
        <v>42</v>
      </c>
    </row>
    <row r="686">
      <c r="A686" s="132" t="str">
        <f>CONCATENATE(Data!AA686,"|",Data!N686)</f>
        <v>Project One Day|ACTIVE</v>
      </c>
      <c r="B686" s="161" t="str">
        <f>IFERROR(__xludf.DUMMYFUNCTION("""COMPUTED_VALUE"""),"Project One Day")</f>
        <v>Project One Day</v>
      </c>
      <c r="C686" s="161" t="str">
        <f>IFERROR(__xludf.DUMMYFUNCTION("""COMPUTED_VALUE"""),"ACTIVE")</f>
        <v>ACTIVE</v>
      </c>
      <c r="E686" s="161" t="s">
        <v>5780</v>
      </c>
      <c r="F686" s="161" t="s">
        <v>42</v>
      </c>
    </row>
    <row r="687">
      <c r="A687" s="132" t="str">
        <f>CONCATENATE(Data!AA687,"|",Data!N687)</f>
        <v>Queen of Peace LaMarque|ACTIVE</v>
      </c>
      <c r="B687" s="161" t="str">
        <f>IFERROR(__xludf.DUMMYFUNCTION("""COMPUTED_VALUE"""),"Queen of Peace LaMarque")</f>
        <v>Queen of Peace LaMarque</v>
      </c>
      <c r="C687" s="161" t="str">
        <f>IFERROR(__xludf.DUMMYFUNCTION("""COMPUTED_VALUE"""),"ACTIVE")</f>
        <v>ACTIVE</v>
      </c>
      <c r="E687" s="161" t="s">
        <v>5780</v>
      </c>
      <c r="F687" s="161" t="s">
        <v>42</v>
      </c>
    </row>
    <row r="688">
      <c r="A688" s="132" t="str">
        <f>CONCATENATE(Data!AA688,"|",Data!N688)</f>
        <v>Queen of Peace LaMarque|ACTIVE</v>
      </c>
      <c r="B688" s="161" t="str">
        <f>IFERROR(__xludf.DUMMYFUNCTION("""COMPUTED_VALUE"""),"Queen of Peace LaMarque")</f>
        <v>Queen of Peace LaMarque</v>
      </c>
      <c r="C688" s="161" t="str">
        <f>IFERROR(__xludf.DUMMYFUNCTION("""COMPUTED_VALUE"""),"ACTIVE")</f>
        <v>ACTIVE</v>
      </c>
      <c r="E688" s="161" t="s">
        <v>5780</v>
      </c>
      <c r="F688" s="161" t="s">
        <v>42</v>
      </c>
    </row>
    <row r="689">
      <c r="A689" s="132" t="str">
        <f>CONCATENATE(Data!AA689,"|",Data!N689)</f>
        <v>Queen of Peace LaMarque|ACTIVE</v>
      </c>
      <c r="B689" s="161" t="str">
        <f>IFERROR(__xludf.DUMMYFUNCTION("""COMPUTED_VALUE"""),"Queen of Peace LaMarque")</f>
        <v>Queen of Peace LaMarque</v>
      </c>
      <c r="C689" s="161" t="str">
        <f>IFERROR(__xludf.DUMMYFUNCTION("""COMPUTED_VALUE"""),"ACTIVE")</f>
        <v>ACTIVE</v>
      </c>
      <c r="E689" s="161" t="s">
        <v>5780</v>
      </c>
      <c r="F689" s="161" t="s">
        <v>42</v>
      </c>
    </row>
    <row r="690">
      <c r="A690" s="132" t="str">
        <f>CONCATENATE(Data!AA690,"|",Data!N690)</f>
        <v>Rainbow of Love|ACTIVE</v>
      </c>
      <c r="B690" s="161" t="str">
        <f>IFERROR(__xludf.DUMMYFUNCTION("""COMPUTED_VALUE"""),"Rainbow of Love")</f>
        <v>Rainbow of Love</v>
      </c>
      <c r="C690" s="161" t="str">
        <f>IFERROR(__xludf.DUMMYFUNCTION("""COMPUTED_VALUE"""),"ACTIVE")</f>
        <v>ACTIVE</v>
      </c>
      <c r="E690" s="161" t="s">
        <v>5780</v>
      </c>
      <c r="F690" s="161" t="s">
        <v>42</v>
      </c>
    </row>
    <row r="691">
      <c r="A691" s="132" t="str">
        <f>CONCATENATE(Data!AA691,"|",Data!N691)</f>
        <v>Refugee &amp; Immigrant Center for Education and Legal Services (RAICES)|ACTIVE</v>
      </c>
      <c r="B691" s="161" t="str">
        <f>IFERROR(__xludf.DUMMYFUNCTION("""COMPUTED_VALUE"""),"Refugee &amp; Immigrant Center for Education and Legal Services (RAICES)")</f>
        <v>Refugee &amp; Immigrant Center for Education and Legal Services (RAICES)</v>
      </c>
      <c r="C691" s="161" t="str">
        <f>IFERROR(__xludf.DUMMYFUNCTION("""COMPUTED_VALUE"""),"ACTIVE")</f>
        <v>ACTIVE</v>
      </c>
      <c r="E691" s="161" t="s">
        <v>5780</v>
      </c>
      <c r="F691" s="161" t="s">
        <v>42</v>
      </c>
    </row>
    <row r="692">
      <c r="A692" s="132" t="str">
        <f>CONCATENATE(Data!AA692,"|",Data!N692)</f>
        <v>Rehabilitation Services Volunteer Project (RSVP)|ACTIVE</v>
      </c>
      <c r="B692" s="161" t="str">
        <f>IFERROR(__xludf.DUMMYFUNCTION("""COMPUTED_VALUE"""),"Rehabilitation Services Volunteer Project (RSVP)")</f>
        <v>Rehabilitation Services Volunteer Project (RSVP)</v>
      </c>
      <c r="C692" s="161" t="str">
        <f>IFERROR(__xludf.DUMMYFUNCTION("""COMPUTED_VALUE"""),"ACTIVE")</f>
        <v>ACTIVE</v>
      </c>
      <c r="E692" s="161" t="s">
        <v>5780</v>
      </c>
      <c r="F692" s="161" t="s">
        <v>42</v>
      </c>
    </row>
    <row r="693">
      <c r="A693" s="132" t="str">
        <f>CONCATENATE(Data!AA693,"|",Data!N693)</f>
        <v>Rejoice Counseling Apostolate|ACTIVE</v>
      </c>
      <c r="B693" s="161" t="str">
        <f>IFERROR(__xludf.DUMMYFUNCTION("""COMPUTED_VALUE"""),"Rejoice Counseling Apostolate")</f>
        <v>Rejoice Counseling Apostolate</v>
      </c>
      <c r="C693" s="161" t="str">
        <f>IFERROR(__xludf.DUMMYFUNCTION("""COMPUTED_VALUE"""),"ACTIVE")</f>
        <v>ACTIVE</v>
      </c>
      <c r="E693" s="161" t="s">
        <v>5780</v>
      </c>
      <c r="F693" s="161" t="s">
        <v>42</v>
      </c>
    </row>
    <row r="694">
      <c r="A694" s="132" t="str">
        <f>CONCATENATE(Data!AA694,"|",Data!N694)</f>
        <v>Resource &amp; Crisis Center of Galveston County Inc.|ACTIVE</v>
      </c>
      <c r="B694" s="161" t="str">
        <f>IFERROR(__xludf.DUMMYFUNCTION("""COMPUTED_VALUE"""),"Resource &amp; Crisis Center of Galveston County Inc.")</f>
        <v>Resource &amp; Crisis Center of Galveston County Inc.</v>
      </c>
      <c r="C694" s="161" t="str">
        <f>IFERROR(__xludf.DUMMYFUNCTION("""COMPUTED_VALUE"""),"ACTIVE")</f>
        <v>ACTIVE</v>
      </c>
      <c r="E694" s="161" t="s">
        <v>5780</v>
      </c>
      <c r="F694" s="161" t="s">
        <v>42</v>
      </c>
    </row>
    <row r="695">
      <c r="A695" s="132" t="str">
        <f>CONCATENATE(Data!AA695,"|",Data!N695)</f>
        <v>Riceville Mt Olive Baptist Church|LIMITED</v>
      </c>
      <c r="B695" s="161" t="str">
        <f>IFERROR(__xludf.DUMMYFUNCTION("""COMPUTED_VALUE"""),"Riceville Mt Olive Baptist Church")</f>
        <v>Riceville Mt Olive Baptist Church</v>
      </c>
      <c r="C695" s="161" t="str">
        <f>IFERROR(__xludf.DUMMYFUNCTION("""COMPUTED_VALUE"""),"LIMITED")</f>
        <v>LIMITED</v>
      </c>
      <c r="E695" s="161" t="s">
        <v>5780</v>
      </c>
      <c r="F695" s="161" t="s">
        <v>42</v>
      </c>
    </row>
    <row r="696">
      <c r="A696" s="132" t="str">
        <f>CONCATENATE(Data!AA696,"|",Data!N696)</f>
        <v>Riceville Mt Olive Baptist Church|LIMITED</v>
      </c>
      <c r="B696" s="161" t="str">
        <f>IFERROR(__xludf.DUMMYFUNCTION("""COMPUTED_VALUE"""),"Riceville Mt Olive Baptist Church")</f>
        <v>Riceville Mt Olive Baptist Church</v>
      </c>
      <c r="C696" s="161" t="str">
        <f>IFERROR(__xludf.DUMMYFUNCTION("""COMPUTED_VALUE"""),"LIMITED")</f>
        <v>LIMITED</v>
      </c>
      <c r="E696" s="161" t="s">
        <v>5780</v>
      </c>
      <c r="F696" s="161" t="s">
        <v>42</v>
      </c>
    </row>
    <row r="697">
      <c r="A697" s="132" t="str">
        <f>CONCATENATE(Data!AA697,"|",Data!N697)</f>
        <v>Riceville Mt Olive Baptist Church|LIMITED</v>
      </c>
      <c r="B697" s="161" t="str">
        <f>IFERROR(__xludf.DUMMYFUNCTION("""COMPUTED_VALUE"""),"Riceville Mt Olive Baptist Church")</f>
        <v>Riceville Mt Olive Baptist Church</v>
      </c>
      <c r="C697" s="161" t="str">
        <f>IFERROR(__xludf.DUMMYFUNCTION("""COMPUTED_VALUE"""),"LIMITED")</f>
        <v>LIMITED</v>
      </c>
      <c r="E697" s="161" t="s">
        <v>5780</v>
      </c>
      <c r="F697" s="161" t="s">
        <v>42</v>
      </c>
    </row>
    <row r="698">
      <c r="A698" s="132" t="str">
        <f>CONCATENATE(Data!AA698,"|",Data!N698)</f>
        <v>Riceville Mt Olive Baptist Church|LIMITED</v>
      </c>
      <c r="B698" s="161" t="str">
        <f>IFERROR(__xludf.DUMMYFUNCTION("""COMPUTED_VALUE"""),"Riceville Mt Olive Baptist Church")</f>
        <v>Riceville Mt Olive Baptist Church</v>
      </c>
      <c r="C698" s="161" t="str">
        <f>IFERROR(__xludf.DUMMYFUNCTION("""COMPUTED_VALUE"""),"LIMITED")</f>
        <v>LIMITED</v>
      </c>
      <c r="E698" s="161" t="s">
        <v>5780</v>
      </c>
      <c r="F698" s="161" t="s">
        <v>42</v>
      </c>
    </row>
    <row r="699">
      <c r="A699" s="132" t="str">
        <f>CONCATENATE(Data!AA699,"|",Data!N699)</f>
        <v>Riceville Mt Olive Baptist Church|ACTIVE</v>
      </c>
      <c r="B699" s="161" t="str">
        <f>IFERROR(__xludf.DUMMYFUNCTION("""COMPUTED_VALUE"""),"Riceville Mt Olive Baptist Church")</f>
        <v>Riceville Mt Olive Baptist Church</v>
      </c>
      <c r="C699" s="161" t="str">
        <f>IFERROR(__xludf.DUMMYFUNCTION("""COMPUTED_VALUE"""),"ACTIVE")</f>
        <v>ACTIVE</v>
      </c>
      <c r="E699" s="161" t="s">
        <v>5780</v>
      </c>
      <c r="F699" s="161" t="s">
        <v>42</v>
      </c>
    </row>
    <row r="700">
      <c r="A700" s="132" t="str">
        <f>CONCATENATE(Data!AA700,"|",Data!N700)</f>
        <v>Ronald McDonald House|INACTIVE</v>
      </c>
      <c r="B700" s="161" t="str">
        <f>IFERROR(__xludf.DUMMYFUNCTION("""COMPUTED_VALUE"""),"Ronald McDonald House")</f>
        <v>Ronald McDonald House</v>
      </c>
      <c r="C700" s="161" t="str">
        <f>IFERROR(__xludf.DUMMYFUNCTION("""COMPUTED_VALUE"""),"INACTIVE")</f>
        <v>INACTIVE</v>
      </c>
      <c r="E700" s="161" t="s">
        <v>5780</v>
      </c>
      <c r="F700" s="161" t="s">
        <v>42</v>
      </c>
    </row>
    <row r="701">
      <c r="A701" s="132" t="str">
        <f>CONCATENATE(Data!AA701,"|",Data!N701)</f>
        <v>Ronald McDonald House|ACTIVE</v>
      </c>
      <c r="B701" s="161" t="str">
        <f>IFERROR(__xludf.DUMMYFUNCTION("""COMPUTED_VALUE"""),"Ronald McDonald House")</f>
        <v>Ronald McDonald House</v>
      </c>
      <c r="C701" s="161" t="str">
        <f>IFERROR(__xludf.DUMMYFUNCTION("""COMPUTED_VALUE"""),"ACTIVE")</f>
        <v>ACTIVE</v>
      </c>
      <c r="E701" s="161" t="s">
        <v>5780</v>
      </c>
      <c r="F701" s="161" t="s">
        <v>42</v>
      </c>
    </row>
    <row r="702">
      <c r="A702" s="132" t="str">
        <f>CONCATENATE(Data!AA702,"|",Data!N702)</f>
        <v>Ronald McDonald House|ACTIVE</v>
      </c>
      <c r="B702" s="161" t="str">
        <f>IFERROR(__xludf.DUMMYFUNCTION("""COMPUTED_VALUE"""),"Ronald McDonald House")</f>
        <v>Ronald McDonald House</v>
      </c>
      <c r="C702" s="161" t="str">
        <f>IFERROR(__xludf.DUMMYFUNCTION("""COMPUTED_VALUE"""),"ACTIVE")</f>
        <v>ACTIVE</v>
      </c>
      <c r="E702" s="161" t="s">
        <v>5780</v>
      </c>
      <c r="F702" s="161" t="s">
        <v>42</v>
      </c>
    </row>
    <row r="703">
      <c r="A703" s="132" t="str">
        <f>CONCATENATE(Data!AA703,"|",Data!N703)</f>
        <v>Ronald McDonald House|ACTIVE</v>
      </c>
      <c r="B703" s="161" t="str">
        <f>IFERROR(__xludf.DUMMYFUNCTION("""COMPUTED_VALUE"""),"Ronald McDonald House")</f>
        <v>Ronald McDonald House</v>
      </c>
      <c r="C703" s="161" t="str">
        <f>IFERROR(__xludf.DUMMYFUNCTION("""COMPUTED_VALUE"""),"ACTIVE")</f>
        <v>ACTIVE</v>
      </c>
      <c r="E703" s="161" t="s">
        <v>5780</v>
      </c>
      <c r="F703" s="161" t="s">
        <v>42</v>
      </c>
    </row>
    <row r="704">
      <c r="A704" s="132" t="str">
        <f>CONCATENATE(Data!AA704,"|",Data!N704)</f>
        <v>Ronald McDonald House|ACTIVE</v>
      </c>
      <c r="B704" s="161" t="str">
        <f>IFERROR(__xludf.DUMMYFUNCTION("""COMPUTED_VALUE"""),"Ronald McDonald House")</f>
        <v>Ronald McDonald House</v>
      </c>
      <c r="C704" s="161" t="str">
        <f>IFERROR(__xludf.DUMMYFUNCTION("""COMPUTED_VALUE"""),"ACTIVE")</f>
        <v>ACTIVE</v>
      </c>
      <c r="E704" s="161" t="s">
        <v>5780</v>
      </c>
      <c r="F704" s="161" t="s">
        <v>42</v>
      </c>
    </row>
    <row r="705">
      <c r="A705" s="132" t="str">
        <f>CONCATENATE(Data!AA705,"|",Data!N705)</f>
        <v>Society of St Vincent de Paul|ACTIVE</v>
      </c>
      <c r="B705" s="161" t="str">
        <f>IFERROR(__xludf.DUMMYFUNCTION("""COMPUTED_VALUE"""),"Society of St Vincent de Paul")</f>
        <v>Society of St Vincent de Paul</v>
      </c>
      <c r="C705" s="161" t="str">
        <f>IFERROR(__xludf.DUMMYFUNCTION("""COMPUTED_VALUE"""),"ACTIVE")</f>
        <v>ACTIVE</v>
      </c>
      <c r="E705" s="161" t="s">
        <v>5780</v>
      </c>
      <c r="F705" s="161" t="s">
        <v>42</v>
      </c>
    </row>
    <row r="706">
      <c r="A706" s="132" t="str">
        <f>CONCATENATE(Data!AA706,"|",Data!N706)</f>
        <v>Society of St Vincent de Paul|ACTIVE</v>
      </c>
      <c r="B706" s="161" t="str">
        <f>IFERROR(__xludf.DUMMYFUNCTION("""COMPUTED_VALUE"""),"Society of St Vincent de Paul")</f>
        <v>Society of St Vincent de Paul</v>
      </c>
      <c r="C706" s="161" t="str">
        <f>IFERROR(__xludf.DUMMYFUNCTION("""COMPUTED_VALUE"""),"ACTIVE")</f>
        <v>ACTIVE</v>
      </c>
      <c r="E706" s="161" t="s">
        <v>5780</v>
      </c>
      <c r="F706" s="161" t="s">
        <v>42</v>
      </c>
    </row>
    <row r="707">
      <c r="A707" s="132" t="str">
        <f>CONCATENATE(Data!AA707,"|",Data!N707)</f>
        <v>Society of St Vincent de Paul|ACTIVE</v>
      </c>
      <c r="B707" s="161" t="str">
        <f>IFERROR(__xludf.DUMMYFUNCTION("""COMPUTED_VALUE"""),"Society of St Vincent de Paul")</f>
        <v>Society of St Vincent de Paul</v>
      </c>
      <c r="C707" s="161" t="str">
        <f>IFERROR(__xludf.DUMMYFUNCTION("""COMPUTED_VALUE"""),"ACTIVE")</f>
        <v>ACTIVE</v>
      </c>
      <c r="E707" s="161" t="s">
        <v>5780</v>
      </c>
      <c r="F707" s="161" t="s">
        <v>42</v>
      </c>
    </row>
    <row r="708">
      <c r="A708" s="132" t="str">
        <f>CONCATENATE(Data!AA708,"|",Data!N708)</f>
        <v>Society of St Vincent de Paul|ACTIVE</v>
      </c>
      <c r="B708" s="161" t="str">
        <f>IFERROR(__xludf.DUMMYFUNCTION("""COMPUTED_VALUE"""),"Society of St Vincent de Paul")</f>
        <v>Society of St Vincent de Paul</v>
      </c>
      <c r="C708" s="161" t="str">
        <f>IFERROR(__xludf.DUMMYFUNCTION("""COMPUTED_VALUE"""),"ACTIVE")</f>
        <v>ACTIVE</v>
      </c>
      <c r="E708" s="161" t="s">
        <v>5780</v>
      </c>
      <c r="F708" s="161" t="s">
        <v>42</v>
      </c>
    </row>
    <row r="709">
      <c r="A709" s="132" t="str">
        <f>CONCATENATE(Data!AA709,"|",Data!N709)</f>
        <v>Sacred Heart Co-Cathedral|ACTIVE</v>
      </c>
      <c r="B709" s="161" t="str">
        <f>IFERROR(__xludf.DUMMYFUNCTION("""COMPUTED_VALUE"""),"Sacred Heart Co-Cathedral")</f>
        <v>Sacred Heart Co-Cathedral</v>
      </c>
      <c r="C709" s="161" t="str">
        <f>IFERROR(__xludf.DUMMYFUNCTION("""COMPUTED_VALUE"""),"ACTIVE")</f>
        <v>ACTIVE</v>
      </c>
      <c r="E709" s="161" t="s">
        <v>5780</v>
      </c>
      <c r="F709" s="161" t="s">
        <v>42</v>
      </c>
    </row>
    <row r="710">
      <c r="A710" s="132" t="str">
        <f>CONCATENATE(Data!AA710,"|",Data!N710)</f>
        <v>Society of St Vincent de Paul|ACTIVE</v>
      </c>
      <c r="B710" s="161" t="str">
        <f>IFERROR(__xludf.DUMMYFUNCTION("""COMPUTED_VALUE"""),"Society of St Vincent de Paul")</f>
        <v>Society of St Vincent de Paul</v>
      </c>
      <c r="C710" s="161" t="str">
        <f>IFERROR(__xludf.DUMMYFUNCTION("""COMPUTED_VALUE"""),"ACTIVE")</f>
        <v>ACTIVE</v>
      </c>
      <c r="E710" s="161" t="s">
        <v>5780</v>
      </c>
      <c r="F710" s="161" t="s">
        <v>42</v>
      </c>
    </row>
    <row r="711">
      <c r="A711" s="132" t="str">
        <f>CONCATENATE(Data!AA711,"|",Data!N711)</f>
        <v>Society of St Vincent de Paul|ACTIVE</v>
      </c>
      <c r="B711" s="161" t="str">
        <f>IFERROR(__xludf.DUMMYFUNCTION("""COMPUTED_VALUE"""),"Society of St Vincent de Paul")</f>
        <v>Society of St Vincent de Paul</v>
      </c>
      <c r="C711" s="161" t="str">
        <f>IFERROR(__xludf.DUMMYFUNCTION("""COMPUTED_VALUE"""),"ACTIVE")</f>
        <v>ACTIVE</v>
      </c>
      <c r="E711" s="161" t="s">
        <v>5780</v>
      </c>
      <c r="F711" s="161" t="s">
        <v>42</v>
      </c>
    </row>
    <row r="712">
      <c r="A712" s="132" t="str">
        <f>CONCATENATE(Data!AA712,"|",Data!N712)</f>
        <v>Society of St Vincent de Paul|ACTIVE</v>
      </c>
      <c r="B712" s="161" t="str">
        <f>IFERROR(__xludf.DUMMYFUNCTION("""COMPUTED_VALUE"""),"Society of St Vincent de Paul")</f>
        <v>Society of St Vincent de Paul</v>
      </c>
      <c r="C712" s="161" t="str">
        <f>IFERROR(__xludf.DUMMYFUNCTION("""COMPUTED_VALUE"""),"ACTIVE")</f>
        <v>ACTIVE</v>
      </c>
      <c r="E712" s="161" t="s">
        <v>5780</v>
      </c>
      <c r="F712" s="161" t="s">
        <v>42</v>
      </c>
    </row>
    <row r="713">
      <c r="A713" s="132" t="str">
        <f>CONCATENATE(Data!AA713,"|",Data!N713)</f>
        <v>Sacred Heart of Jesus/Manvel|ACTIVE</v>
      </c>
      <c r="B713" s="161" t="str">
        <f>IFERROR(__xludf.DUMMYFUNCTION("""COMPUTED_VALUE"""),"Sacred Heart of Jesus/Manvel")</f>
        <v>Sacred Heart of Jesus/Manvel</v>
      </c>
      <c r="C713" s="161" t="str">
        <f>IFERROR(__xludf.DUMMYFUNCTION("""COMPUTED_VALUE"""),"ACTIVE")</f>
        <v>ACTIVE</v>
      </c>
      <c r="E713" s="161" t="s">
        <v>5780</v>
      </c>
      <c r="F713" s="161" t="s">
        <v>42</v>
      </c>
    </row>
    <row r="714">
      <c r="A714" s="132" t="str">
        <f>CONCATENATE(Data!AA714,"|",Data!N714)</f>
        <v>Sagetree Terrace (RHF)|ACTIVE</v>
      </c>
      <c r="B714" s="161" t="str">
        <f>IFERROR(__xludf.DUMMYFUNCTION("""COMPUTED_VALUE"""),"Sagetree Terrace (RHF)")</f>
        <v>Sagetree Terrace (RHF)</v>
      </c>
      <c r="C714" s="161" t="str">
        <f>IFERROR(__xludf.DUMMYFUNCTION("""COMPUTED_VALUE"""),"ACTIVE")</f>
        <v>ACTIVE</v>
      </c>
      <c r="E714" s="161" t="s">
        <v>5780</v>
      </c>
      <c r="F714" s="161" t="s">
        <v>42</v>
      </c>
    </row>
    <row r="715">
      <c r="A715" s="132" t="str">
        <f>CONCATENATE(Data!AA715,"|",Data!N715)</f>
        <v>Salute, Inc.|LIMITED</v>
      </c>
      <c r="B715" s="161" t="str">
        <f>IFERROR(__xludf.DUMMYFUNCTION("""COMPUTED_VALUE"""),"Salute, Inc.")</f>
        <v>Salute, Inc.</v>
      </c>
      <c r="C715" s="161" t="str">
        <f>IFERROR(__xludf.DUMMYFUNCTION("""COMPUTED_VALUE"""),"LIMITED")</f>
        <v>LIMITED</v>
      </c>
      <c r="E715" s="161" t="s">
        <v>5780</v>
      </c>
      <c r="F715" s="161" t="s">
        <v>42</v>
      </c>
    </row>
    <row r="716">
      <c r="A716" s="132" t="str">
        <f>CONCATENATE(Data!AA716,"|",Data!N716)</f>
        <v>Salute, Inc.|LIMITED</v>
      </c>
      <c r="B716" s="161" t="str">
        <f>IFERROR(__xludf.DUMMYFUNCTION("""COMPUTED_VALUE"""),"Salute, Inc.")</f>
        <v>Salute, Inc.</v>
      </c>
      <c r="C716" s="161" t="str">
        <f>IFERROR(__xludf.DUMMYFUNCTION("""COMPUTED_VALUE"""),"LIMITED")</f>
        <v>LIMITED</v>
      </c>
      <c r="E716" s="161" t="s">
        <v>5780</v>
      </c>
      <c r="F716" s="161" t="s">
        <v>42</v>
      </c>
    </row>
    <row r="717">
      <c r="A717" s="132" t="str">
        <f>CONCATENATE(Data!AA717,"|",Data!N717)</f>
        <v>Salute, Inc.|LIMITED</v>
      </c>
      <c r="B717" s="161" t="str">
        <f>IFERROR(__xludf.DUMMYFUNCTION("""COMPUTED_VALUE"""),"Salute, Inc.")</f>
        <v>Salute, Inc.</v>
      </c>
      <c r="C717" s="161" t="str">
        <f>IFERROR(__xludf.DUMMYFUNCTION("""COMPUTED_VALUE"""),"LIMITED")</f>
        <v>LIMITED</v>
      </c>
      <c r="E717" s="161" t="s">
        <v>5780</v>
      </c>
      <c r="F717" s="161" t="s">
        <v>42</v>
      </c>
    </row>
    <row r="718">
      <c r="A718" s="132" t="str">
        <f>CONCATENATE(Data!AA718,"|",Data!N718)</f>
        <v>Salvation Army of Greater Houston|ACTIVE</v>
      </c>
      <c r="B718" s="161" t="str">
        <f>IFERROR(__xludf.DUMMYFUNCTION("""COMPUTED_VALUE"""),"Salvation Army of Greater Houston")</f>
        <v>Salvation Army of Greater Houston</v>
      </c>
      <c r="C718" s="161" t="str">
        <f>IFERROR(__xludf.DUMMYFUNCTION("""COMPUTED_VALUE"""),"ACTIVE")</f>
        <v>ACTIVE</v>
      </c>
      <c r="E718" s="161" t="s">
        <v>5780</v>
      </c>
      <c r="F718" s="161" t="s">
        <v>42</v>
      </c>
    </row>
    <row r="719">
      <c r="A719" s="132" t="str">
        <f>CONCATENATE(Data!AA719,"|",Data!N719)</f>
        <v>Salvation Army of Greater Houston|ACTIVE</v>
      </c>
      <c r="B719" s="161" t="str">
        <f>IFERROR(__xludf.DUMMYFUNCTION("""COMPUTED_VALUE"""),"Salvation Army of Greater Houston")</f>
        <v>Salvation Army of Greater Houston</v>
      </c>
      <c r="C719" s="161" t="str">
        <f>IFERROR(__xludf.DUMMYFUNCTION("""COMPUTED_VALUE"""),"ACTIVE")</f>
        <v>ACTIVE</v>
      </c>
      <c r="E719" s="161" t="s">
        <v>5780</v>
      </c>
      <c r="F719" s="161" t="s">
        <v>42</v>
      </c>
    </row>
    <row r="720">
      <c r="A720" s="132" t="str">
        <f>CONCATENATE(Data!AA720,"|",Data!N720)</f>
        <v>Salvation Army of Greater Houston|ACTIVE</v>
      </c>
      <c r="B720" s="161" t="str">
        <f>IFERROR(__xludf.DUMMYFUNCTION("""COMPUTED_VALUE"""),"Salvation Army of Greater Houston")</f>
        <v>Salvation Army of Greater Houston</v>
      </c>
      <c r="C720" s="161" t="str">
        <f>IFERROR(__xludf.DUMMYFUNCTION("""COMPUTED_VALUE"""),"ACTIVE")</f>
        <v>ACTIVE</v>
      </c>
      <c r="E720" s="161" t="s">
        <v>5780</v>
      </c>
      <c r="F720" s="161" t="s">
        <v>42</v>
      </c>
    </row>
    <row r="721">
      <c r="A721" s="132" t="str">
        <f>CONCATENATE(Data!AA721,"|",Data!N721)</f>
        <v>Salvation Army of Greater Houston|ACTIVE</v>
      </c>
      <c r="B721" s="161" t="str">
        <f>IFERROR(__xludf.DUMMYFUNCTION("""COMPUTED_VALUE"""),"Salvation Army of Greater Houston")</f>
        <v>Salvation Army of Greater Houston</v>
      </c>
      <c r="C721" s="161" t="str">
        <f>IFERROR(__xludf.DUMMYFUNCTION("""COMPUTED_VALUE"""),"ACTIVE")</f>
        <v>ACTIVE</v>
      </c>
      <c r="E721" s="161" t="s">
        <v>5780</v>
      </c>
      <c r="F721" s="161" t="s">
        <v>42</v>
      </c>
    </row>
    <row r="722">
      <c r="A722" s="132" t="str">
        <f>CONCATENATE(Data!AA722,"|",Data!N722)</f>
        <v>Salvation Army of Greater Houston|ACTIVE</v>
      </c>
      <c r="B722" s="161" t="str">
        <f>IFERROR(__xludf.DUMMYFUNCTION("""COMPUTED_VALUE"""),"Salvation Army of Greater Houston")</f>
        <v>Salvation Army of Greater Houston</v>
      </c>
      <c r="C722" s="161" t="str">
        <f>IFERROR(__xludf.DUMMYFUNCTION("""COMPUTED_VALUE"""),"ACTIVE")</f>
        <v>ACTIVE</v>
      </c>
      <c r="E722" s="161" t="s">
        <v>5780</v>
      </c>
      <c r="F722" s="161" t="s">
        <v>42</v>
      </c>
    </row>
    <row r="723">
      <c r="A723" s="132" t="str">
        <f>CONCATENATE(Data!AA723,"|",Data!N723)</f>
        <v>Salvation Army of Greater Houston|ACTIVE</v>
      </c>
      <c r="B723" s="161" t="str">
        <f>IFERROR(__xludf.DUMMYFUNCTION("""COMPUTED_VALUE"""),"Salvation Army of Greater Houston")</f>
        <v>Salvation Army of Greater Houston</v>
      </c>
      <c r="C723" s="161" t="str">
        <f>IFERROR(__xludf.DUMMYFUNCTION("""COMPUTED_VALUE"""),"ACTIVE")</f>
        <v>ACTIVE</v>
      </c>
      <c r="E723" s="161" t="s">
        <v>5780</v>
      </c>
      <c r="F723" s="161" t="s">
        <v>42</v>
      </c>
    </row>
    <row r="724">
      <c r="A724" s="132" t="str">
        <f>CONCATENATE(Data!AA724,"|",Data!N724)</f>
        <v>San Jose Clinic|ACTIVE</v>
      </c>
      <c r="B724" s="161" t="str">
        <f>IFERROR(__xludf.DUMMYFUNCTION("""COMPUTED_VALUE"""),"San Jose Clinic")</f>
        <v>San Jose Clinic</v>
      </c>
      <c r="C724" s="161" t="str">
        <f>IFERROR(__xludf.DUMMYFUNCTION("""COMPUTED_VALUE"""),"ACTIVE")</f>
        <v>ACTIVE</v>
      </c>
      <c r="E724" s="161" t="s">
        <v>5780</v>
      </c>
      <c r="F724" s="161" t="s">
        <v>42</v>
      </c>
    </row>
    <row r="725">
      <c r="A725" s="132" t="str">
        <f>CONCATENATE(Data!AA725,"|",Data!N725)</f>
        <v>San Jose Clinic|ACTIVE</v>
      </c>
      <c r="B725" s="161" t="str">
        <f>IFERROR(__xludf.DUMMYFUNCTION("""COMPUTED_VALUE"""),"San Jose Clinic")</f>
        <v>San Jose Clinic</v>
      </c>
      <c r="C725" s="161" t="str">
        <f>IFERROR(__xludf.DUMMYFUNCTION("""COMPUTED_VALUE"""),"ACTIVE")</f>
        <v>ACTIVE</v>
      </c>
      <c r="E725" s="161" t="s">
        <v>5780</v>
      </c>
      <c r="F725" s="161" t="s">
        <v>42</v>
      </c>
    </row>
    <row r="726">
      <c r="A726" s="132" t="str">
        <f>CONCATENATE(Data!AA726,"|",Data!N726)</f>
        <v>Santa Maria|ACTIVE</v>
      </c>
      <c r="B726" s="161" t="str">
        <f>IFERROR(__xludf.DUMMYFUNCTION("""COMPUTED_VALUE"""),"Santa Maria")</f>
        <v>Santa Maria</v>
      </c>
      <c r="C726" s="161" t="str">
        <f>IFERROR(__xludf.DUMMYFUNCTION("""COMPUTED_VALUE"""),"ACTIVE")</f>
        <v>ACTIVE</v>
      </c>
      <c r="E726" s="161" t="s">
        <v>5780</v>
      </c>
      <c r="F726" s="161" t="s">
        <v>42</v>
      </c>
    </row>
    <row r="727">
      <c r="A727" s="132" t="str">
        <f>CONCATENATE(Data!AA727,"|",Data!N727)</f>
        <v>Santa Maria|ACTIVE</v>
      </c>
      <c r="B727" s="161" t="str">
        <f>IFERROR(__xludf.DUMMYFUNCTION("""COMPUTED_VALUE"""),"Santa Maria")</f>
        <v>Santa Maria</v>
      </c>
      <c r="C727" s="161" t="str">
        <f>IFERROR(__xludf.DUMMYFUNCTION("""COMPUTED_VALUE"""),"ACTIVE")</f>
        <v>ACTIVE</v>
      </c>
      <c r="E727" s="161" t="s">
        <v>5780</v>
      </c>
      <c r="F727" s="161" t="s">
        <v>42</v>
      </c>
    </row>
    <row r="728">
      <c r="A728" s="132" t="str">
        <f>CONCATENATE(Data!AA728,"|",Data!N728)</f>
        <v>Sarah's House|ACTIVE</v>
      </c>
      <c r="B728" s="161" t="str">
        <f>IFERROR(__xludf.DUMMYFUNCTION("""COMPUTED_VALUE"""),"Sarah's House")</f>
        <v>Sarah's House</v>
      </c>
      <c r="C728" s="161" t="str">
        <f>IFERROR(__xludf.DUMMYFUNCTION("""COMPUTED_VALUE"""),"ACTIVE")</f>
        <v>ACTIVE</v>
      </c>
      <c r="E728" s="161" t="s">
        <v>5780</v>
      </c>
      <c r="F728" s="161" t="s">
        <v>42</v>
      </c>
    </row>
    <row r="729">
      <c r="A729" s="132" t="str">
        <f>CONCATENATE(Data!AA729,"|",Data!N729)</f>
        <v>Search Homeless Services|ACTIVE</v>
      </c>
      <c r="B729" s="161" t="str">
        <f>IFERROR(__xludf.DUMMYFUNCTION("""COMPUTED_VALUE"""),"Search Homeless Services")</f>
        <v>Search Homeless Services</v>
      </c>
      <c r="C729" s="161" t="str">
        <f>IFERROR(__xludf.DUMMYFUNCTION("""COMPUTED_VALUE"""),"ACTIVE")</f>
        <v>ACTIVE</v>
      </c>
      <c r="E729" s="161" t="s">
        <v>5780</v>
      </c>
      <c r="F729" s="161" t="s">
        <v>42</v>
      </c>
    </row>
    <row r="730">
      <c r="A730" s="132" t="str">
        <f>CONCATENATE(Data!AA730,"|",Data!N730)</f>
        <v>Second Mile|ACTIVE</v>
      </c>
      <c r="B730" s="161" t="str">
        <f>IFERROR(__xludf.DUMMYFUNCTION("""COMPUTED_VALUE"""),"Second Mile")</f>
        <v>Second Mile</v>
      </c>
      <c r="C730" s="161" t="str">
        <f>IFERROR(__xludf.DUMMYFUNCTION("""COMPUTED_VALUE"""),"ACTIVE")</f>
        <v>ACTIVE</v>
      </c>
      <c r="E730" s="161" t="s">
        <v>5780</v>
      </c>
      <c r="F730" s="161" t="s">
        <v>42</v>
      </c>
    </row>
    <row r="731">
      <c r="A731" s="132" t="str">
        <f>CONCATENATE(Data!AA731,"|",Data!N731)</f>
        <v>Second Mile|ACTIVE</v>
      </c>
      <c r="B731" s="161" t="str">
        <f>IFERROR(__xludf.DUMMYFUNCTION("""COMPUTED_VALUE"""),"Second Mile")</f>
        <v>Second Mile</v>
      </c>
      <c r="C731" s="161" t="str">
        <f>IFERROR(__xludf.DUMMYFUNCTION("""COMPUTED_VALUE"""),"ACTIVE")</f>
        <v>ACTIVE</v>
      </c>
      <c r="E731" s="161" t="s">
        <v>5780</v>
      </c>
      <c r="F731" s="161" t="s">
        <v>42</v>
      </c>
    </row>
    <row r="732">
      <c r="A732" s="132" t="str">
        <f>CONCATENATE(Data!AA732,"|",Data!N732)</f>
        <v>SERJobs Houston|ACTIVE</v>
      </c>
      <c r="B732" s="161" t="str">
        <f>IFERROR(__xludf.DUMMYFUNCTION("""COMPUTED_VALUE"""),"SERJobs Houston")</f>
        <v>SERJobs Houston</v>
      </c>
      <c r="C732" s="161" t="str">
        <f>IFERROR(__xludf.DUMMYFUNCTION("""COMPUTED_VALUE"""),"ACTIVE")</f>
        <v>ACTIVE</v>
      </c>
      <c r="E732" s="161" t="s">
        <v>5780</v>
      </c>
      <c r="F732" s="161" t="s">
        <v>42</v>
      </c>
    </row>
    <row r="733">
      <c r="A733" s="132" t="str">
        <f>CONCATENATE(Data!AA733,"|",Data!N733)</f>
        <v>Harris County Public Health|ACTIVE</v>
      </c>
      <c r="B733" s="161" t="str">
        <f>IFERROR(__xludf.DUMMYFUNCTION("""COMPUTED_VALUE"""),"Harris County Public Health")</f>
        <v>Harris County Public Health</v>
      </c>
      <c r="C733" s="161" t="str">
        <f>IFERROR(__xludf.DUMMYFUNCTION("""COMPUTED_VALUE"""),"ACTIVE")</f>
        <v>ACTIVE</v>
      </c>
      <c r="E733" s="161" t="s">
        <v>5780</v>
      </c>
      <c r="F733" s="161" t="s">
        <v>42</v>
      </c>
    </row>
    <row r="734">
      <c r="A734" s="132" t="str">
        <f>CONCATENATE(Data!AA734,"|",Data!N734)</f>
        <v>Harris County Public Health|ACTIVE</v>
      </c>
      <c r="B734" s="161" t="str">
        <f>IFERROR(__xludf.DUMMYFUNCTION("""COMPUTED_VALUE"""),"Harris County Public Health")</f>
        <v>Harris County Public Health</v>
      </c>
      <c r="C734" s="161" t="str">
        <f>IFERROR(__xludf.DUMMYFUNCTION("""COMPUTED_VALUE"""),"ACTIVE")</f>
        <v>ACTIVE</v>
      </c>
      <c r="E734" s="161" t="s">
        <v>5780</v>
      </c>
      <c r="F734" s="161" t="s">
        <v>42</v>
      </c>
    </row>
    <row r="735">
      <c r="A735" s="132" t="str">
        <f>CONCATENATE(Data!AA735,"|",Data!N735)</f>
        <v>Harris County Public Health|ACTIVE</v>
      </c>
      <c r="B735" s="161" t="str">
        <f>IFERROR(__xludf.DUMMYFUNCTION("""COMPUTED_VALUE"""),"Harris County Public Health")</f>
        <v>Harris County Public Health</v>
      </c>
      <c r="C735" s="161" t="str">
        <f>IFERROR(__xludf.DUMMYFUNCTION("""COMPUTED_VALUE"""),"ACTIVE")</f>
        <v>ACTIVE</v>
      </c>
      <c r="E735" s="161" t="s">
        <v>5780</v>
      </c>
      <c r="F735" s="161" t="s">
        <v>42</v>
      </c>
    </row>
    <row r="736">
      <c r="A736" s="132" t="str">
        <f>CONCATENATE(Data!AA736,"|",Data!N736)</f>
        <v>Sheltering Arms &amp; Neighborhood Center Emergency Assistance Program|CLOSED</v>
      </c>
      <c r="B736" s="161" t="str">
        <f>IFERROR(__xludf.DUMMYFUNCTION("""COMPUTED_VALUE"""),"Sheltering Arms &amp; Neighborhood Center Emergency Assistance Program")</f>
        <v>Sheltering Arms &amp; Neighborhood Center Emergency Assistance Program</v>
      </c>
      <c r="C736" s="161" t="str">
        <f>IFERROR(__xludf.DUMMYFUNCTION("""COMPUTED_VALUE"""),"CLOSED")</f>
        <v>CLOSED</v>
      </c>
      <c r="E736" s="161" t="s">
        <v>5780</v>
      </c>
      <c r="F736" s="161" t="s">
        <v>42</v>
      </c>
    </row>
    <row r="737">
      <c r="A737" s="132" t="str">
        <f>CONCATENATE(Data!AA737,"|",Data!N737)</f>
        <v>Society of St Vincent de Paul|INACTIVE</v>
      </c>
      <c r="B737" s="161" t="str">
        <f>IFERROR(__xludf.DUMMYFUNCTION("""COMPUTED_VALUE"""),"Society of St Vincent de Paul")</f>
        <v>Society of St Vincent de Paul</v>
      </c>
      <c r="C737" s="161" t="str">
        <f>IFERROR(__xludf.DUMMYFUNCTION("""COMPUTED_VALUE"""),"INACTIVE")</f>
        <v>INACTIVE</v>
      </c>
      <c r="E737" s="161" t="s">
        <v>5780</v>
      </c>
      <c r="F737" s="161" t="s">
        <v>42</v>
      </c>
    </row>
    <row r="738">
      <c r="A738" s="132" t="str">
        <f>CONCATENATE(Data!AA738,"|",Data!N738)</f>
        <v>Society of St Vincent de Paul|CLOSED</v>
      </c>
      <c r="B738" s="161" t="str">
        <f>IFERROR(__xludf.DUMMYFUNCTION("""COMPUTED_VALUE"""),"Society of St Vincent de Paul")</f>
        <v>Society of St Vincent de Paul</v>
      </c>
      <c r="C738" s="161" t="str">
        <f>IFERROR(__xludf.DUMMYFUNCTION("""COMPUTED_VALUE"""),"CLOSED")</f>
        <v>CLOSED</v>
      </c>
      <c r="E738" s="161" t="s">
        <v>5780</v>
      </c>
      <c r="F738" s="161" t="s">
        <v>42</v>
      </c>
    </row>
    <row r="739">
      <c r="A739" s="132" t="str">
        <f>CONCATENATE(Data!AA739,"|",Data!N739)</f>
        <v>Society of St Vincent de Paul|CLOSED</v>
      </c>
      <c r="B739" s="161" t="str">
        <f>IFERROR(__xludf.DUMMYFUNCTION("""COMPUTED_VALUE"""),"Society of St Vincent de Paul")</f>
        <v>Society of St Vincent de Paul</v>
      </c>
      <c r="C739" s="161" t="str">
        <f>IFERROR(__xludf.DUMMYFUNCTION("""COMPUTED_VALUE"""),"CLOSED")</f>
        <v>CLOSED</v>
      </c>
      <c r="E739" s="161" t="s">
        <v>5780</v>
      </c>
      <c r="F739" s="161" t="s">
        <v>42</v>
      </c>
    </row>
    <row r="740">
      <c r="A740" s="132" t="str">
        <f>CONCATENATE(Data!AA740,"|",Data!N740)</f>
        <v>Small Steps Nurturing Center|ACTIVE</v>
      </c>
      <c r="B740" s="161" t="str">
        <f>IFERROR(__xludf.DUMMYFUNCTION("""COMPUTED_VALUE"""),"Small Steps Nurturing Center")</f>
        <v>Small Steps Nurturing Center</v>
      </c>
      <c r="C740" s="161" t="str">
        <f>IFERROR(__xludf.DUMMYFUNCTION("""COMPUTED_VALUE"""),"ACTIVE")</f>
        <v>ACTIVE</v>
      </c>
      <c r="E740" s="161" t="s">
        <v>5780</v>
      </c>
      <c r="F740" s="161" t="s">
        <v>42</v>
      </c>
    </row>
    <row r="741">
      <c r="A741" s="132" t="str">
        <f>CONCATENATE(Data!AA741,"|",Data!N741)</f>
        <v>Small Steps Nurturing Center|ACTIVE</v>
      </c>
      <c r="B741" s="161" t="str">
        <f>IFERROR(__xludf.DUMMYFUNCTION("""COMPUTED_VALUE"""),"Small Steps Nurturing Center")</f>
        <v>Small Steps Nurturing Center</v>
      </c>
      <c r="C741" s="161" t="str">
        <f>IFERROR(__xludf.DUMMYFUNCTION("""COMPUTED_VALUE"""),"ACTIVE")</f>
        <v>ACTIVE</v>
      </c>
      <c r="E741" s="161" t="s">
        <v>5780</v>
      </c>
      <c r="F741" s="161" t="s">
        <v>42</v>
      </c>
    </row>
    <row r="742">
      <c r="A742" s="132" t="str">
        <f>CONCATENATE(Data!AA742,"|",Data!N742)</f>
        <v>Society of St Stephen|INACTIVE</v>
      </c>
      <c r="B742" s="161" t="str">
        <f>IFERROR(__xludf.DUMMYFUNCTION("""COMPUTED_VALUE"""),"Society of St Stephen")</f>
        <v>Society of St Stephen</v>
      </c>
      <c r="C742" s="161" t="str">
        <f>IFERROR(__xludf.DUMMYFUNCTION("""COMPUTED_VALUE"""),"INACTIVE")</f>
        <v>INACTIVE</v>
      </c>
      <c r="E742" s="161" t="s">
        <v>5780</v>
      </c>
      <c r="F742" s="161" t="s">
        <v>42</v>
      </c>
    </row>
    <row r="743">
      <c r="A743" s="132" t="str">
        <f>CONCATENATE(Data!AA743,"|",Data!N743)</f>
        <v>Society of St Stephen|ACTIVE</v>
      </c>
      <c r="B743" s="161" t="str">
        <f>IFERROR(__xludf.DUMMYFUNCTION("""COMPUTED_VALUE"""),"Society of St Stephen")</f>
        <v>Society of St Stephen</v>
      </c>
      <c r="C743" s="161" t="str">
        <f>IFERROR(__xludf.DUMMYFUNCTION("""COMPUTED_VALUE"""),"ACTIVE")</f>
        <v>ACTIVE</v>
      </c>
      <c r="E743" s="161" t="s">
        <v>5780</v>
      </c>
      <c r="F743" s="161" t="s">
        <v>42</v>
      </c>
    </row>
    <row r="744">
      <c r="A744" s="132" t="str">
        <f>CONCATENATE(Data!AA744,"|",Data!N744)</f>
        <v>Society of St Stephen|ACTIVE</v>
      </c>
      <c r="B744" s="161" t="str">
        <f>IFERROR(__xludf.DUMMYFUNCTION("""COMPUTED_VALUE"""),"Society of St Stephen")</f>
        <v>Society of St Stephen</v>
      </c>
      <c r="C744" s="161" t="str">
        <f>IFERROR(__xludf.DUMMYFUNCTION("""COMPUTED_VALUE"""),"ACTIVE")</f>
        <v>ACTIVE</v>
      </c>
      <c r="E744" s="161" t="s">
        <v>5780</v>
      </c>
      <c r="F744" s="161" t="s">
        <v>42</v>
      </c>
    </row>
    <row r="745">
      <c r="A745" s="132" t="str">
        <f>CONCATENATE(Data!AA745,"|",Data!N745)</f>
        <v>Society of St Stephen|ACTIVE</v>
      </c>
      <c r="B745" s="161" t="str">
        <f>IFERROR(__xludf.DUMMYFUNCTION("""COMPUTED_VALUE"""),"Society of St Stephen")</f>
        <v>Society of St Stephen</v>
      </c>
      <c r="C745" s="161" t="str">
        <f>IFERROR(__xludf.DUMMYFUNCTION("""COMPUTED_VALUE"""),"ACTIVE")</f>
        <v>ACTIVE</v>
      </c>
      <c r="E745" s="161" t="s">
        <v>5780</v>
      </c>
      <c r="F745" s="161" t="s">
        <v>42</v>
      </c>
    </row>
    <row r="746">
      <c r="A746" s="132" t="str">
        <f>CONCATENATE(Data!AA746,"|",Data!N746)</f>
        <v>Society of St Stephen|ACTIVE</v>
      </c>
      <c r="B746" s="161" t="str">
        <f>IFERROR(__xludf.DUMMYFUNCTION("""COMPUTED_VALUE"""),"Society of St Stephen")</f>
        <v>Society of St Stephen</v>
      </c>
      <c r="C746" s="161" t="str">
        <f>IFERROR(__xludf.DUMMYFUNCTION("""COMPUTED_VALUE"""),"ACTIVE")</f>
        <v>ACTIVE</v>
      </c>
      <c r="E746" s="161" t="s">
        <v>5780</v>
      </c>
      <c r="F746" s="161" t="s">
        <v>42</v>
      </c>
    </row>
    <row r="747">
      <c r="A747" s="132" t="str">
        <f>CONCATENATE(Data!AA747,"|",Data!N747)</f>
        <v>South Texas College of Law Houston|ACTIVE</v>
      </c>
      <c r="B747" s="161" t="str">
        <f>IFERROR(__xludf.DUMMYFUNCTION("""COMPUTED_VALUE"""),"South Texas College of Law Houston")</f>
        <v>South Texas College of Law Houston</v>
      </c>
      <c r="C747" s="161" t="str">
        <f>IFERROR(__xludf.DUMMYFUNCTION("""COMPUTED_VALUE"""),"ACTIVE")</f>
        <v>ACTIVE</v>
      </c>
      <c r="E747" s="161" t="s">
        <v>5780</v>
      </c>
      <c r="F747" s="161" t="s">
        <v>42</v>
      </c>
    </row>
    <row r="748">
      <c r="A748" s="132" t="str">
        <f>CONCATENATE(Data!AA748,"|",Data!N748)</f>
        <v>Southeast Area Ministries|CLOSED</v>
      </c>
      <c r="B748" s="161" t="str">
        <f>IFERROR(__xludf.DUMMYFUNCTION("""COMPUTED_VALUE"""),"Southeast Area Ministries")</f>
        <v>Southeast Area Ministries</v>
      </c>
      <c r="C748" s="161" t="str">
        <f>IFERROR(__xludf.DUMMYFUNCTION("""COMPUTED_VALUE"""),"CLOSED")</f>
        <v>CLOSED</v>
      </c>
      <c r="E748" s="161" t="s">
        <v>5780</v>
      </c>
      <c r="F748" s="161" t="s">
        <v>42</v>
      </c>
    </row>
    <row r="749">
      <c r="A749" s="132" t="str">
        <f>CONCATENATE(Data!AA749,"|",Data!N749)</f>
        <v>Southeast Area Ministries|CLOSED</v>
      </c>
      <c r="B749" s="161" t="str">
        <f>IFERROR(__xludf.DUMMYFUNCTION("""COMPUTED_VALUE"""),"Southeast Area Ministries")</f>
        <v>Southeast Area Ministries</v>
      </c>
      <c r="C749" s="161" t="str">
        <f>IFERROR(__xludf.DUMMYFUNCTION("""COMPUTED_VALUE"""),"CLOSED")</f>
        <v>CLOSED</v>
      </c>
      <c r="E749" s="161" t="s">
        <v>5780</v>
      </c>
      <c r="F749" s="161" t="s">
        <v>42</v>
      </c>
    </row>
    <row r="750">
      <c r="A750" s="132" t="str">
        <f>CONCATENATE(Data!AA750,"|",Data!N750)</f>
        <v>Harris County Public Health|ACTIVE</v>
      </c>
      <c r="B750" s="161" t="str">
        <f>IFERROR(__xludf.DUMMYFUNCTION("""COMPUTED_VALUE"""),"Harris County Public Health")</f>
        <v>Harris County Public Health</v>
      </c>
      <c r="C750" s="161" t="str">
        <f>IFERROR(__xludf.DUMMYFUNCTION("""COMPUTED_VALUE"""),"ACTIVE")</f>
        <v>ACTIVE</v>
      </c>
      <c r="E750" s="161" t="s">
        <v>5780</v>
      </c>
      <c r="F750" s="161" t="s">
        <v>42</v>
      </c>
    </row>
    <row r="751">
      <c r="A751" s="132" t="str">
        <f>CONCATENATE(Data!AA751,"|",Data!N751)</f>
        <v>Harris County Public Health|ACTIVE</v>
      </c>
      <c r="B751" s="161" t="str">
        <f>IFERROR(__xludf.DUMMYFUNCTION("""COMPUTED_VALUE"""),"Harris County Public Health")</f>
        <v>Harris County Public Health</v>
      </c>
      <c r="C751" s="161" t="str">
        <f>IFERROR(__xludf.DUMMYFUNCTION("""COMPUTED_VALUE"""),"ACTIVE")</f>
        <v>ACTIVE</v>
      </c>
      <c r="E751" s="161" t="s">
        <v>5780</v>
      </c>
      <c r="F751" s="161" t="s">
        <v>42</v>
      </c>
    </row>
    <row r="752">
      <c r="A752" s="132" t="str">
        <f>CONCATENATE(Data!AA752,"|",Data!N752)</f>
        <v>Harris County Public Health|ACTIVE</v>
      </c>
      <c r="B752" s="161" t="str">
        <f>IFERROR(__xludf.DUMMYFUNCTION("""COMPUTED_VALUE"""),"Harris County Public Health")</f>
        <v>Harris County Public Health</v>
      </c>
      <c r="C752" s="161" t="str">
        <f>IFERROR(__xludf.DUMMYFUNCTION("""COMPUTED_VALUE"""),"ACTIVE")</f>
        <v>ACTIVE</v>
      </c>
      <c r="E752" s="161" t="s">
        <v>5780</v>
      </c>
      <c r="F752" s="161" t="s">
        <v>42</v>
      </c>
    </row>
    <row r="753">
      <c r="A753" s="132" t="str">
        <f>CONCATENATE(Data!AA753,"|",Data!N753)</f>
        <v>Harris County Public Health|ACTIVE</v>
      </c>
      <c r="B753" s="161" t="str">
        <f>IFERROR(__xludf.DUMMYFUNCTION("""COMPUTED_VALUE"""),"Harris County Public Health")</f>
        <v>Harris County Public Health</v>
      </c>
      <c r="C753" s="161" t="str">
        <f>IFERROR(__xludf.DUMMYFUNCTION("""COMPUTED_VALUE"""),"ACTIVE")</f>
        <v>ACTIVE</v>
      </c>
      <c r="E753" s="161" t="s">
        <v>5780</v>
      </c>
      <c r="F753" s="161" t="s">
        <v>42</v>
      </c>
    </row>
    <row r="754">
      <c r="A754" s="132" t="str">
        <f>CONCATENATE(Data!AA754,"|",Data!N754)</f>
        <v>City of Houston|ACTIVE</v>
      </c>
      <c r="B754" s="161" t="str">
        <f>IFERROR(__xludf.DUMMYFUNCTION("""COMPUTED_VALUE"""),"City of Houston")</f>
        <v>City of Houston</v>
      </c>
      <c r="C754" s="161" t="str">
        <f>IFERROR(__xludf.DUMMYFUNCTION("""COMPUTED_VALUE"""),"ACTIVE")</f>
        <v>ACTIVE</v>
      </c>
      <c r="E754" s="161" t="s">
        <v>5780</v>
      </c>
      <c r="F754" s="161" t="s">
        <v>42</v>
      </c>
    </row>
    <row r="755">
      <c r="A755" s="132" t="str">
        <f>CONCATENATE(Data!AA755,"|",Data!N755)</f>
        <v>City of Houston|ACTIVE</v>
      </c>
      <c r="B755" s="161" t="str">
        <f>IFERROR(__xludf.DUMMYFUNCTION("""COMPUTED_VALUE"""),"City of Houston")</f>
        <v>City of Houston</v>
      </c>
      <c r="C755" s="161" t="str">
        <f>IFERROR(__xludf.DUMMYFUNCTION("""COMPUTED_VALUE"""),"ACTIVE")</f>
        <v>ACTIVE</v>
      </c>
      <c r="E755" s="161" t="s">
        <v>5780</v>
      </c>
      <c r="F755" s="161" t="s">
        <v>42</v>
      </c>
    </row>
    <row r="756">
      <c r="A756" s="132" t="str">
        <f>CONCATENATE(Data!AA756,"|",Data!N756)</f>
        <v>Springwoods UMC|CLOSED</v>
      </c>
      <c r="B756" s="161" t="str">
        <f>IFERROR(__xludf.DUMMYFUNCTION("""COMPUTED_VALUE"""),"Springwoods UMC")</f>
        <v>Springwoods UMC</v>
      </c>
      <c r="C756" s="161" t="str">
        <f>IFERROR(__xludf.DUMMYFUNCTION("""COMPUTED_VALUE"""),"CLOSED")</f>
        <v>CLOSED</v>
      </c>
      <c r="E756" s="161" t="s">
        <v>3803</v>
      </c>
      <c r="F756" s="161" t="s">
        <v>42</v>
      </c>
    </row>
    <row r="757">
      <c r="A757" s="132" t="str">
        <f>CONCATENATE(Data!AA757,"|",Data!N757)</f>
        <v>Society of St Vincent de Paul|ACTIVE</v>
      </c>
      <c r="B757" s="161" t="str">
        <f>IFERROR(__xludf.DUMMYFUNCTION("""COMPUTED_VALUE"""),"Society of St Vincent de Paul")</f>
        <v>Society of St Vincent de Paul</v>
      </c>
      <c r="C757" s="161" t="str">
        <f>IFERROR(__xludf.DUMMYFUNCTION("""COMPUTED_VALUE"""),"ACTIVE")</f>
        <v>ACTIVE</v>
      </c>
      <c r="E757" s="161" t="s">
        <v>3907</v>
      </c>
      <c r="F757" s="161" t="s">
        <v>42</v>
      </c>
    </row>
    <row r="758">
      <c r="A758" s="132" t="str">
        <f>CONCATENATE(Data!AA758,"|",Data!N758)</f>
        <v>Society of St Vincent de Paul|ACTIVE</v>
      </c>
      <c r="B758" s="161" t="str">
        <f>IFERROR(__xludf.DUMMYFUNCTION("""COMPUTED_VALUE"""),"Society of St Vincent de Paul")</f>
        <v>Society of St Vincent de Paul</v>
      </c>
      <c r="C758" s="161" t="str">
        <f>IFERROR(__xludf.DUMMYFUNCTION("""COMPUTED_VALUE"""),"ACTIVE")</f>
        <v>ACTIVE</v>
      </c>
      <c r="E758" s="161" t="s">
        <v>3938</v>
      </c>
      <c r="F758" s="161" t="s">
        <v>42</v>
      </c>
    </row>
    <row r="759">
      <c r="A759" s="132" t="str">
        <f>CONCATENATE(Data!AA759,"|",Data!N759)</f>
        <v>Society of St Vincent de Paul|ACTIVE</v>
      </c>
      <c r="B759" s="161" t="str">
        <f>IFERROR(__xludf.DUMMYFUNCTION("""COMPUTED_VALUE"""),"Society of St Vincent de Paul")</f>
        <v>Society of St Vincent de Paul</v>
      </c>
      <c r="C759" s="161" t="str">
        <f>IFERROR(__xludf.DUMMYFUNCTION("""COMPUTED_VALUE"""),"ACTIVE")</f>
        <v>ACTIVE</v>
      </c>
      <c r="E759" s="161" t="s">
        <v>3938</v>
      </c>
      <c r="F759" s="161" t="s">
        <v>42</v>
      </c>
    </row>
    <row r="760">
      <c r="A760" s="132" t="str">
        <f>CONCATENATE(Data!AA760,"|",Data!N760)</f>
        <v>Society of St Vincent de Paul|ACTIVE</v>
      </c>
      <c r="B760" s="161" t="str">
        <f>IFERROR(__xludf.DUMMYFUNCTION("""COMPUTED_VALUE"""),"Society of St Vincent de Paul")</f>
        <v>Society of St Vincent de Paul</v>
      </c>
      <c r="C760" s="161" t="str">
        <f>IFERROR(__xludf.DUMMYFUNCTION("""COMPUTED_VALUE"""),"ACTIVE")</f>
        <v>ACTIVE</v>
      </c>
      <c r="E760" s="161" t="s">
        <v>3938</v>
      </c>
      <c r="F760" s="161" t="s">
        <v>42</v>
      </c>
    </row>
    <row r="761">
      <c r="A761" s="132" t="str">
        <f>CONCATENATE(Data!AA761,"|",Data!N761)</f>
        <v>Society of St Vincent de Paul|ACTIVE</v>
      </c>
      <c r="B761" s="161" t="str">
        <f>IFERROR(__xludf.DUMMYFUNCTION("""COMPUTED_VALUE"""),"Society of St Vincent de Paul")</f>
        <v>Society of St Vincent de Paul</v>
      </c>
      <c r="C761" s="161" t="str">
        <f>IFERROR(__xludf.DUMMYFUNCTION("""COMPUTED_VALUE"""),"ACTIVE")</f>
        <v>ACTIVE</v>
      </c>
      <c r="E761" s="161" t="s">
        <v>3938</v>
      </c>
      <c r="F761" s="161" t="s">
        <v>42</v>
      </c>
    </row>
    <row r="762">
      <c r="A762" s="132" t="str">
        <f>CONCATENATE(Data!AA762,"|",Data!N762)</f>
        <v>Society of St Vincent de Paul|ACTIVE</v>
      </c>
      <c r="B762" s="161" t="str">
        <f>IFERROR(__xludf.DUMMYFUNCTION("""COMPUTED_VALUE"""),"Society of St Vincent de Paul")</f>
        <v>Society of St Vincent de Paul</v>
      </c>
      <c r="C762" s="161" t="str">
        <f>IFERROR(__xludf.DUMMYFUNCTION("""COMPUTED_VALUE"""),"ACTIVE")</f>
        <v>ACTIVE</v>
      </c>
      <c r="E762" s="161" t="s">
        <v>3947</v>
      </c>
      <c r="F762" s="161" t="s">
        <v>42</v>
      </c>
    </row>
    <row r="763">
      <c r="A763" s="132" t="str">
        <f>CONCATENATE(Data!AA763,"|",Data!N763)</f>
        <v>Society of St Vincent de Paul|ACTIVE</v>
      </c>
      <c r="B763" s="161" t="str">
        <f>IFERROR(__xludf.DUMMYFUNCTION("""COMPUTED_VALUE"""),"Society of St Vincent de Paul")</f>
        <v>Society of St Vincent de Paul</v>
      </c>
      <c r="C763" s="161" t="str">
        <f>IFERROR(__xludf.DUMMYFUNCTION("""COMPUTED_VALUE"""),"ACTIVE")</f>
        <v>ACTIVE</v>
      </c>
      <c r="E763" s="161" t="s">
        <v>3947</v>
      </c>
      <c r="F763" s="161" t="s">
        <v>42</v>
      </c>
    </row>
    <row r="764">
      <c r="A764" s="132" t="str">
        <f>CONCATENATE(Data!AA764,"|",Data!N764)</f>
        <v>Society of St Vincent de Paul|ACTIVE</v>
      </c>
      <c r="B764" s="161" t="str">
        <f>IFERROR(__xludf.DUMMYFUNCTION("""COMPUTED_VALUE"""),"Society of St Vincent de Paul")</f>
        <v>Society of St Vincent de Paul</v>
      </c>
      <c r="C764" s="161" t="str">
        <f>IFERROR(__xludf.DUMMYFUNCTION("""COMPUTED_VALUE"""),"ACTIVE")</f>
        <v>ACTIVE</v>
      </c>
      <c r="E764" s="161" t="s">
        <v>3974</v>
      </c>
      <c r="F764" s="161" t="s">
        <v>42</v>
      </c>
    </row>
    <row r="765">
      <c r="A765" s="132" t="str">
        <f>CONCATENATE(Data!AA765,"|",Data!N765)</f>
        <v>Society of St Vincent de Paul|ACTIVE</v>
      </c>
      <c r="B765" s="161" t="str">
        <f>IFERROR(__xludf.DUMMYFUNCTION("""COMPUTED_VALUE"""),"Society of St Vincent de Paul")</f>
        <v>Society of St Vincent de Paul</v>
      </c>
      <c r="C765" s="161" t="str">
        <f>IFERROR(__xludf.DUMMYFUNCTION("""COMPUTED_VALUE"""),"ACTIVE")</f>
        <v>ACTIVE</v>
      </c>
      <c r="E765" s="161" t="s">
        <v>3974</v>
      </c>
      <c r="F765" s="161" t="s">
        <v>42</v>
      </c>
    </row>
    <row r="766">
      <c r="A766" s="132" t="str">
        <f>CONCATENATE(Data!AA766,"|",Data!N766)</f>
        <v>Society of St Vincent de Paul|ACTIVE</v>
      </c>
      <c r="B766" s="161" t="str">
        <f>IFERROR(__xludf.DUMMYFUNCTION("""COMPUTED_VALUE"""),"Society of St Vincent de Paul")</f>
        <v>Society of St Vincent de Paul</v>
      </c>
      <c r="C766" s="161" t="str">
        <f>IFERROR(__xludf.DUMMYFUNCTION("""COMPUTED_VALUE"""),"ACTIVE")</f>
        <v>ACTIVE</v>
      </c>
      <c r="E766" s="161" t="s">
        <v>3983</v>
      </c>
      <c r="F766" s="161" t="s">
        <v>42</v>
      </c>
    </row>
    <row r="767">
      <c r="A767" s="132" t="str">
        <f>CONCATENATE(Data!AA767,"|",Data!N767)</f>
        <v>Society of St Vincent de Paul|ACTIVE</v>
      </c>
      <c r="B767" s="161" t="str">
        <f>IFERROR(__xludf.DUMMYFUNCTION("""COMPUTED_VALUE"""),"Society of St Vincent de Paul")</f>
        <v>Society of St Vincent de Paul</v>
      </c>
      <c r="C767" s="161" t="str">
        <f>IFERROR(__xludf.DUMMYFUNCTION("""COMPUTED_VALUE"""),"ACTIVE")</f>
        <v>ACTIVE</v>
      </c>
      <c r="E767" s="161" t="s">
        <v>3983</v>
      </c>
      <c r="F767" s="161" t="s">
        <v>42</v>
      </c>
    </row>
    <row r="768">
      <c r="A768" s="132" t="str">
        <f>CONCATENATE(Data!AA768,"|",Data!N768)</f>
        <v>Society of St Vincent de Paul|ACTIVE</v>
      </c>
      <c r="B768" s="161" t="str">
        <f>IFERROR(__xludf.DUMMYFUNCTION("""COMPUTED_VALUE"""),"Society of St Vincent de Paul")</f>
        <v>Society of St Vincent de Paul</v>
      </c>
      <c r="C768" s="161" t="str">
        <f>IFERROR(__xludf.DUMMYFUNCTION("""COMPUTED_VALUE"""),"ACTIVE")</f>
        <v>ACTIVE</v>
      </c>
      <c r="E768" s="161" t="s">
        <v>4022</v>
      </c>
      <c r="F768" s="161" t="s">
        <v>42</v>
      </c>
    </row>
    <row r="769">
      <c r="A769" s="132" t="str">
        <f>CONCATENATE(Data!AA769,"|",Data!N769)</f>
        <v>Society of St Vincent de Paul|ACTIVE</v>
      </c>
      <c r="B769" s="161" t="str">
        <f>IFERROR(__xludf.DUMMYFUNCTION("""COMPUTED_VALUE"""),"Society of St Vincent de Paul")</f>
        <v>Society of St Vincent de Paul</v>
      </c>
      <c r="C769" s="161" t="str">
        <f>IFERROR(__xludf.DUMMYFUNCTION("""COMPUTED_VALUE"""),"ACTIVE")</f>
        <v>ACTIVE</v>
      </c>
      <c r="E769" s="161" t="s">
        <v>4058</v>
      </c>
      <c r="F769" s="161" t="s">
        <v>42</v>
      </c>
    </row>
    <row r="770">
      <c r="A770" s="132" t="str">
        <f>CONCATENATE(Data!AA770,"|",Data!N770)</f>
        <v>Society of St Vincent de Paul|ACTIVE</v>
      </c>
      <c r="B770" s="161" t="str">
        <f>IFERROR(__xludf.DUMMYFUNCTION("""COMPUTED_VALUE"""),"Society of St Vincent de Paul")</f>
        <v>Society of St Vincent de Paul</v>
      </c>
      <c r="C770" s="161" t="str">
        <f>IFERROR(__xludf.DUMMYFUNCTION("""COMPUTED_VALUE"""),"ACTIVE")</f>
        <v>ACTIVE</v>
      </c>
      <c r="E770" s="161" t="s">
        <v>4058</v>
      </c>
      <c r="F770" s="161" t="s">
        <v>42</v>
      </c>
    </row>
    <row r="771">
      <c r="A771" s="132" t="str">
        <f>CONCATENATE(Data!AA771,"|",Data!N771)</f>
        <v>Society of St Vincent de Paul|ACTIVE</v>
      </c>
      <c r="B771" s="161" t="str">
        <f>IFERROR(__xludf.DUMMYFUNCTION("""COMPUTED_VALUE"""),"Society of St Vincent de Paul")</f>
        <v>Society of St Vincent de Paul</v>
      </c>
      <c r="C771" s="161" t="str">
        <f>IFERROR(__xludf.DUMMYFUNCTION("""COMPUTED_VALUE"""),"ACTIVE")</f>
        <v>ACTIVE</v>
      </c>
      <c r="E771" s="161" t="s">
        <v>4075</v>
      </c>
      <c r="F771" s="161" t="s">
        <v>42</v>
      </c>
    </row>
    <row r="772">
      <c r="A772" s="132" t="str">
        <f>CONCATENATE(Data!AA772,"|",Data!N772)</f>
        <v>Society of St Vincent de Paul|ACTIVE</v>
      </c>
      <c r="B772" s="161" t="str">
        <f>IFERROR(__xludf.DUMMYFUNCTION("""COMPUTED_VALUE"""),"Society of St Vincent de Paul")</f>
        <v>Society of St Vincent de Paul</v>
      </c>
      <c r="C772" s="161" t="str">
        <f>IFERROR(__xludf.DUMMYFUNCTION("""COMPUTED_VALUE"""),"ACTIVE")</f>
        <v>ACTIVE</v>
      </c>
      <c r="E772" s="161" t="s">
        <v>4084</v>
      </c>
      <c r="F772" s="161" t="s">
        <v>42</v>
      </c>
    </row>
    <row r="773">
      <c r="A773" s="132" t="str">
        <f>CONCATENATE(Data!AA773,"|",Data!N773)</f>
        <v>St Anthony Bread|ACTIVE</v>
      </c>
      <c r="B773" s="161" t="str">
        <f>IFERROR(__xludf.DUMMYFUNCTION("""COMPUTED_VALUE"""),"St Anthony Bread")</f>
        <v>St Anthony Bread</v>
      </c>
      <c r="C773" s="161" t="str">
        <f>IFERROR(__xludf.DUMMYFUNCTION("""COMPUTED_VALUE"""),"ACTIVE")</f>
        <v>ACTIVE</v>
      </c>
      <c r="E773" s="161" t="s">
        <v>4084</v>
      </c>
      <c r="F773" s="161" t="s">
        <v>42</v>
      </c>
    </row>
    <row r="774">
      <c r="A774" s="132" t="str">
        <f>CONCATENATE(Data!AA774,"|",Data!N774)</f>
        <v>Society of St Vincent de Paul|ACTIVE</v>
      </c>
      <c r="B774" s="161" t="str">
        <f>IFERROR(__xludf.DUMMYFUNCTION("""COMPUTED_VALUE"""),"Society of St Vincent de Paul")</f>
        <v>Society of St Vincent de Paul</v>
      </c>
      <c r="C774" s="161" t="str">
        <f>IFERROR(__xludf.DUMMYFUNCTION("""COMPUTED_VALUE"""),"ACTIVE")</f>
        <v>ACTIVE</v>
      </c>
      <c r="E774" s="161" t="s">
        <v>4094</v>
      </c>
      <c r="F774" s="161" t="s">
        <v>42</v>
      </c>
    </row>
    <row r="775">
      <c r="A775" s="132" t="str">
        <f>CONCATENATE(Data!AA775,"|",Data!N775)</f>
        <v>Society of St Vincent de Paul|ACTIVE</v>
      </c>
      <c r="B775" s="161" t="str">
        <f>IFERROR(__xludf.DUMMYFUNCTION("""COMPUTED_VALUE"""),"Society of St Vincent de Paul")</f>
        <v>Society of St Vincent de Paul</v>
      </c>
      <c r="C775" s="161" t="str">
        <f>IFERROR(__xludf.DUMMYFUNCTION("""COMPUTED_VALUE"""),"ACTIVE")</f>
        <v>ACTIVE</v>
      </c>
      <c r="E775" s="161" t="s">
        <v>4115</v>
      </c>
      <c r="F775" s="161" t="s">
        <v>42</v>
      </c>
    </row>
    <row r="776">
      <c r="A776" s="132" t="str">
        <f>CONCATENATE(Data!AA776,"|",Data!N776)</f>
        <v>Society of St Vincent de Paul|ACTIVE</v>
      </c>
      <c r="B776" s="161" t="str">
        <f>IFERROR(__xludf.DUMMYFUNCTION("""COMPUTED_VALUE"""),"Society of St Vincent de Paul")</f>
        <v>Society of St Vincent de Paul</v>
      </c>
      <c r="C776" s="161" t="str">
        <f>IFERROR(__xludf.DUMMYFUNCTION("""COMPUTED_VALUE"""),"ACTIVE")</f>
        <v>ACTIVE</v>
      </c>
      <c r="E776" s="161" t="s">
        <v>4123</v>
      </c>
      <c r="F776" s="161" t="s">
        <v>42</v>
      </c>
    </row>
    <row r="777">
      <c r="A777" s="132" t="str">
        <f>CONCATENATE(Data!AA777,"|",Data!N777)</f>
        <v>Society of St Vincent de Paul|ACTIVE</v>
      </c>
      <c r="B777" s="161" t="str">
        <f>IFERROR(__xludf.DUMMYFUNCTION("""COMPUTED_VALUE"""),"Society of St Vincent de Paul")</f>
        <v>Society of St Vincent de Paul</v>
      </c>
      <c r="C777" s="161" t="str">
        <f>IFERROR(__xludf.DUMMYFUNCTION("""COMPUTED_VALUE"""),"ACTIVE")</f>
        <v>ACTIVE</v>
      </c>
      <c r="E777" s="161" t="s">
        <v>4123</v>
      </c>
      <c r="F777" s="161" t="s">
        <v>42</v>
      </c>
    </row>
    <row r="778">
      <c r="A778" s="132" t="str">
        <f>CONCATENATE(Data!AA778,"|",Data!N778)</f>
        <v>Society of St Vincent de Paul|ACTIVE</v>
      </c>
      <c r="B778" s="161" t="str">
        <f>IFERROR(__xludf.DUMMYFUNCTION("""COMPUTED_VALUE"""),"Society of St Vincent de Paul")</f>
        <v>Society of St Vincent de Paul</v>
      </c>
      <c r="C778" s="161" t="str">
        <f>IFERROR(__xludf.DUMMYFUNCTION("""COMPUTED_VALUE"""),"ACTIVE")</f>
        <v>ACTIVE</v>
      </c>
      <c r="E778" s="161" t="s">
        <v>4123</v>
      </c>
      <c r="F778" s="161" t="s">
        <v>42</v>
      </c>
    </row>
    <row r="779">
      <c r="A779" s="132" t="str">
        <f>CONCATENATE(Data!AA779,"|",Data!N779)</f>
        <v>Society of St Vincent de Paul|ACTIVE</v>
      </c>
      <c r="B779" s="161" t="str">
        <f>IFERROR(__xludf.DUMMYFUNCTION("""COMPUTED_VALUE"""),"Society of St Vincent de Paul")</f>
        <v>Society of St Vincent de Paul</v>
      </c>
      <c r="C779" s="161" t="str">
        <f>IFERROR(__xludf.DUMMYFUNCTION("""COMPUTED_VALUE"""),"ACTIVE")</f>
        <v>ACTIVE</v>
      </c>
      <c r="E779" s="161" t="s">
        <v>4123</v>
      </c>
      <c r="F779" s="161" t="s">
        <v>42</v>
      </c>
    </row>
    <row r="780">
      <c r="A780" s="132" t="str">
        <f>CONCATENATE(Data!AA780,"|",Data!N780)</f>
        <v>St Bernadette Clear Lake|ACTIVE</v>
      </c>
      <c r="B780" s="161" t="str">
        <f>IFERROR(__xludf.DUMMYFUNCTION("""COMPUTED_VALUE"""),"St Bernadette Clear Lake")</f>
        <v>St Bernadette Clear Lake</v>
      </c>
      <c r="C780" s="161" t="str">
        <f>IFERROR(__xludf.DUMMYFUNCTION("""COMPUTED_VALUE"""),"ACTIVE")</f>
        <v>ACTIVE</v>
      </c>
      <c r="E780" s="161" t="s">
        <v>4123</v>
      </c>
      <c r="F780" s="161" t="s">
        <v>42</v>
      </c>
    </row>
    <row r="781">
      <c r="A781" s="132" t="str">
        <f>CONCATENATE(Data!AA781,"|",Data!N781)</f>
        <v>St Bernadette Clear Lake|ACTIVE</v>
      </c>
      <c r="B781" s="161" t="str">
        <f>IFERROR(__xludf.DUMMYFUNCTION("""COMPUTED_VALUE"""),"St Bernadette Clear Lake")</f>
        <v>St Bernadette Clear Lake</v>
      </c>
      <c r="C781" s="161" t="str">
        <f>IFERROR(__xludf.DUMMYFUNCTION("""COMPUTED_VALUE"""),"ACTIVE")</f>
        <v>ACTIVE</v>
      </c>
      <c r="E781" s="161" t="s">
        <v>4132</v>
      </c>
      <c r="F781" s="161" t="s">
        <v>42</v>
      </c>
    </row>
    <row r="782">
      <c r="A782" s="132" t="str">
        <f>CONCATENATE(Data!AA782,"|",Data!N782)</f>
        <v>St Bernadette Clear Lake|ACTIVE</v>
      </c>
      <c r="B782" s="161" t="str">
        <f>IFERROR(__xludf.DUMMYFUNCTION("""COMPUTED_VALUE"""),"St Bernadette Clear Lake")</f>
        <v>St Bernadette Clear Lake</v>
      </c>
      <c r="C782" s="161" t="str">
        <f>IFERROR(__xludf.DUMMYFUNCTION("""COMPUTED_VALUE"""),"ACTIVE")</f>
        <v>ACTIVE</v>
      </c>
      <c r="E782" s="161" t="s">
        <v>4142</v>
      </c>
      <c r="F782" s="161" t="s">
        <v>42</v>
      </c>
    </row>
    <row r="783">
      <c r="A783" s="132" t="str">
        <f>CONCATENATE(Data!AA783,"|",Data!N783)</f>
        <v>St Bernadette Clear Lake|ACTIVE</v>
      </c>
      <c r="B783" s="161" t="str">
        <f>IFERROR(__xludf.DUMMYFUNCTION("""COMPUTED_VALUE"""),"St Bernadette Clear Lake")</f>
        <v>St Bernadette Clear Lake</v>
      </c>
      <c r="C783" s="161" t="str">
        <f>IFERROR(__xludf.DUMMYFUNCTION("""COMPUTED_VALUE"""),"ACTIVE")</f>
        <v>ACTIVE</v>
      </c>
      <c r="E783" s="161" t="s">
        <v>4151</v>
      </c>
      <c r="F783" s="161" t="s">
        <v>42</v>
      </c>
    </row>
    <row r="784">
      <c r="A784" s="132" t="str">
        <f>CONCATENATE(Data!AA784,"|",Data!N784)</f>
        <v>St Catherine of Sienna|ACTIVE</v>
      </c>
      <c r="B784" s="161" t="str">
        <f>IFERROR(__xludf.DUMMYFUNCTION("""COMPUTED_VALUE"""),"St Catherine of Sienna")</f>
        <v>St Catherine of Sienna</v>
      </c>
      <c r="C784" s="161" t="str">
        <f>IFERROR(__xludf.DUMMYFUNCTION("""COMPUTED_VALUE"""),"ACTIVE")</f>
        <v>ACTIVE</v>
      </c>
      <c r="E784" s="161" t="s">
        <v>4151</v>
      </c>
      <c r="F784" s="161" t="s">
        <v>42</v>
      </c>
    </row>
    <row r="785">
      <c r="A785" s="132" t="str">
        <f>CONCATENATE(Data!AA785,"|",Data!N785)</f>
        <v>St Catherine of Sienna|ACTIVE</v>
      </c>
      <c r="B785" s="161" t="str">
        <f>IFERROR(__xludf.DUMMYFUNCTION("""COMPUTED_VALUE"""),"St Catherine of Sienna")</f>
        <v>St Catherine of Sienna</v>
      </c>
      <c r="C785" s="161" t="str">
        <f>IFERROR(__xludf.DUMMYFUNCTION("""COMPUTED_VALUE"""),"ACTIVE")</f>
        <v>ACTIVE</v>
      </c>
      <c r="E785" s="161" t="s">
        <v>4151</v>
      </c>
      <c r="F785" s="161" t="s">
        <v>42</v>
      </c>
    </row>
    <row r="786">
      <c r="A786" s="132" t="str">
        <f>CONCATENATE(Data!AA786,"|",Data!N786)</f>
        <v>Society of St Vincent de Paul|ACTIVE</v>
      </c>
      <c r="B786" s="161" t="str">
        <f>IFERROR(__xludf.DUMMYFUNCTION("""COMPUTED_VALUE"""),"Society of St Vincent de Paul")</f>
        <v>Society of St Vincent de Paul</v>
      </c>
      <c r="C786" s="161" t="str">
        <f>IFERROR(__xludf.DUMMYFUNCTION("""COMPUTED_VALUE"""),"ACTIVE")</f>
        <v>ACTIVE</v>
      </c>
      <c r="E786" s="161" t="s">
        <v>4151</v>
      </c>
      <c r="F786" s="161" t="s">
        <v>42</v>
      </c>
    </row>
    <row r="787">
      <c r="A787" s="132" t="str">
        <f>CONCATENATE(Data!AA787,"|",Data!N787)</f>
        <v>Society of St Vincent de Paul|ACTIVE</v>
      </c>
      <c r="B787" s="161" t="str">
        <f>IFERROR(__xludf.DUMMYFUNCTION("""COMPUTED_VALUE"""),"Society of St Vincent de Paul")</f>
        <v>Society of St Vincent de Paul</v>
      </c>
      <c r="C787" s="161" t="str">
        <f>IFERROR(__xludf.DUMMYFUNCTION("""COMPUTED_VALUE"""),"ACTIVE")</f>
        <v>ACTIVE</v>
      </c>
      <c r="E787" s="161" t="s">
        <v>4189</v>
      </c>
      <c r="F787" s="161" t="s">
        <v>42</v>
      </c>
    </row>
    <row r="788">
      <c r="A788" s="132" t="str">
        <f>CONCATENATE(Data!AA788,"|",Data!N788)</f>
        <v>Society of St Vincent de Paul|ACTIVE</v>
      </c>
      <c r="B788" s="161" t="str">
        <f>IFERROR(__xludf.DUMMYFUNCTION("""COMPUTED_VALUE"""),"Society of St Vincent de Paul")</f>
        <v>Society of St Vincent de Paul</v>
      </c>
      <c r="C788" s="161" t="str">
        <f>IFERROR(__xludf.DUMMYFUNCTION("""COMPUTED_VALUE"""),"ACTIVE")</f>
        <v>ACTIVE</v>
      </c>
      <c r="E788" s="161" t="s">
        <v>4198</v>
      </c>
      <c r="F788" s="161" t="s">
        <v>42</v>
      </c>
    </row>
    <row r="789">
      <c r="A789" s="132" t="str">
        <f>CONCATENATE(Data!AA789,"|",Data!N789)</f>
        <v>Society of St Vincent de Paul|ACTIVE</v>
      </c>
      <c r="B789" s="161" t="str">
        <f>IFERROR(__xludf.DUMMYFUNCTION("""COMPUTED_VALUE"""),"Society of St Vincent de Paul")</f>
        <v>Society of St Vincent de Paul</v>
      </c>
      <c r="C789" s="161" t="str">
        <f>IFERROR(__xludf.DUMMYFUNCTION("""COMPUTED_VALUE"""),"ACTIVE")</f>
        <v>ACTIVE</v>
      </c>
      <c r="E789" s="161" t="s">
        <v>4240</v>
      </c>
      <c r="F789" s="161" t="s">
        <v>42</v>
      </c>
    </row>
    <row r="790">
      <c r="A790" s="132" t="str">
        <f>CONCATENATE(Data!AA790,"|",Data!N790)</f>
        <v>Society of St Vincent de Paul|ACTIVE</v>
      </c>
      <c r="B790" s="161" t="str">
        <f>IFERROR(__xludf.DUMMYFUNCTION("""COMPUTED_VALUE"""),"Society of St Vincent de Paul")</f>
        <v>Society of St Vincent de Paul</v>
      </c>
      <c r="C790" s="161" t="str">
        <f>IFERROR(__xludf.DUMMYFUNCTION("""COMPUTED_VALUE"""),"ACTIVE")</f>
        <v>ACTIVE</v>
      </c>
      <c r="E790" s="161" t="s">
        <v>4315</v>
      </c>
      <c r="F790" s="161" t="s">
        <v>42</v>
      </c>
    </row>
    <row r="791">
      <c r="A791" s="132" t="str">
        <f>CONCATENATE(Data!AA791,"|",Data!N791)</f>
        <v>St Clare of Assisi (Christ in Action)|ACTIVE</v>
      </c>
      <c r="B791" s="161" t="str">
        <f>IFERROR(__xludf.DUMMYFUNCTION("""COMPUTED_VALUE"""),"St Clare of Assisi (Christ in Action)")</f>
        <v>St Clare of Assisi (Christ in Action)</v>
      </c>
      <c r="C791" s="161" t="str">
        <f>IFERROR(__xludf.DUMMYFUNCTION("""COMPUTED_VALUE"""),"ACTIVE")</f>
        <v>ACTIVE</v>
      </c>
      <c r="E791" s="161" t="s">
        <v>4331</v>
      </c>
      <c r="F791" s="161" t="s">
        <v>42</v>
      </c>
    </row>
    <row r="792">
      <c r="A792" s="132" t="str">
        <f>CONCATENATE(Data!AA792,"|",Data!N792)</f>
        <v>St Clare of Assisi (Christ in Action)|ACTIVE</v>
      </c>
      <c r="B792" s="161" t="str">
        <f>IFERROR(__xludf.DUMMYFUNCTION("""COMPUTED_VALUE"""),"St Clare of Assisi (Christ in Action)")</f>
        <v>St Clare of Assisi (Christ in Action)</v>
      </c>
      <c r="C792" s="161" t="str">
        <f>IFERROR(__xludf.DUMMYFUNCTION("""COMPUTED_VALUE"""),"ACTIVE")</f>
        <v>ACTIVE</v>
      </c>
      <c r="E792" s="161" t="s">
        <v>4331</v>
      </c>
      <c r="F792" s="161" t="s">
        <v>42</v>
      </c>
    </row>
    <row r="793">
      <c r="A793" s="132" t="str">
        <f>CONCATENATE(Data!AA793,"|",Data!N793)</f>
        <v>St Edward Spring|ACTIVE</v>
      </c>
      <c r="B793" s="161" t="str">
        <f>IFERROR(__xludf.DUMMYFUNCTION("""COMPUTED_VALUE"""),"St Edward Spring")</f>
        <v>St Edward Spring</v>
      </c>
      <c r="C793" s="161" t="str">
        <f>IFERROR(__xludf.DUMMYFUNCTION("""COMPUTED_VALUE"""),"ACTIVE")</f>
        <v>ACTIVE</v>
      </c>
      <c r="E793" s="161" t="s">
        <v>4340</v>
      </c>
      <c r="F793" s="161" t="s">
        <v>42</v>
      </c>
    </row>
    <row r="794">
      <c r="A794" s="132" t="str">
        <f>CONCATENATE(Data!AA794,"|",Data!N794)</f>
        <v>St Edward Spring|ACTIVE</v>
      </c>
      <c r="B794" s="161" t="str">
        <f>IFERROR(__xludf.DUMMYFUNCTION("""COMPUTED_VALUE"""),"St Edward Spring")</f>
        <v>St Edward Spring</v>
      </c>
      <c r="C794" s="161" t="str">
        <f>IFERROR(__xludf.DUMMYFUNCTION("""COMPUTED_VALUE"""),"ACTIVE")</f>
        <v>ACTIVE</v>
      </c>
      <c r="E794" s="161" t="s">
        <v>4385</v>
      </c>
      <c r="F794" s="161" t="s">
        <v>42</v>
      </c>
    </row>
    <row r="795">
      <c r="A795" s="132" t="str">
        <f>CONCATENATE(Data!AA795,"|",Data!N795)</f>
        <v>Society of St Vincent de Paul|ACTIVE</v>
      </c>
      <c r="B795" s="161" t="str">
        <f>IFERROR(__xludf.DUMMYFUNCTION("""COMPUTED_VALUE"""),"Society of St Vincent de Paul")</f>
        <v>Society of St Vincent de Paul</v>
      </c>
      <c r="C795" s="161" t="str">
        <f>IFERROR(__xludf.DUMMYFUNCTION("""COMPUTED_VALUE"""),"ACTIVE")</f>
        <v>ACTIVE</v>
      </c>
      <c r="E795" s="161" t="s">
        <v>4410</v>
      </c>
      <c r="F795" s="161" t="s">
        <v>42</v>
      </c>
    </row>
    <row r="796">
      <c r="A796" s="132" t="str">
        <f>CONCATENATE(Data!AA796,"|",Data!N796)</f>
        <v>Society of St Vincent de Paul|ACTIVE</v>
      </c>
      <c r="B796" s="161" t="str">
        <f>IFERROR(__xludf.DUMMYFUNCTION("""COMPUTED_VALUE"""),"Society of St Vincent de Paul")</f>
        <v>Society of St Vincent de Paul</v>
      </c>
      <c r="C796" s="161" t="str">
        <f>IFERROR(__xludf.DUMMYFUNCTION("""COMPUTED_VALUE"""),"ACTIVE")</f>
        <v>ACTIVE</v>
      </c>
      <c r="E796" s="161" t="s">
        <v>4410</v>
      </c>
      <c r="F796" s="161" t="s">
        <v>42</v>
      </c>
    </row>
    <row r="797">
      <c r="A797" s="132" t="str">
        <f>CONCATENATE(Data!AA797,"|",Data!N797)</f>
        <v>Society of St Vincent de Paul|ACTIVE</v>
      </c>
      <c r="B797" s="161" t="str">
        <f>IFERROR(__xludf.DUMMYFUNCTION("""COMPUTED_VALUE"""),"Society of St Vincent de Paul")</f>
        <v>Society of St Vincent de Paul</v>
      </c>
      <c r="C797" s="161" t="str">
        <f>IFERROR(__xludf.DUMMYFUNCTION("""COMPUTED_VALUE"""),"ACTIVE")</f>
        <v>ACTIVE</v>
      </c>
      <c r="E797" s="161" t="s">
        <v>4410</v>
      </c>
      <c r="F797" s="161" t="s">
        <v>42</v>
      </c>
    </row>
    <row r="798">
      <c r="A798" s="132" t="str">
        <f>CONCATENATE(Data!AA798,"|",Data!N798)</f>
        <v>St Francis Cabrini|INACTIVE</v>
      </c>
      <c r="B798" s="161" t="str">
        <f>IFERROR(__xludf.DUMMYFUNCTION("""COMPUTED_VALUE"""),"St Francis Cabrini")</f>
        <v>St Francis Cabrini</v>
      </c>
      <c r="C798" s="161" t="str">
        <f>IFERROR(__xludf.DUMMYFUNCTION("""COMPUTED_VALUE"""),"INACTIVE")</f>
        <v>INACTIVE</v>
      </c>
      <c r="E798" s="161" t="s">
        <v>4410</v>
      </c>
      <c r="F798" s="161" t="s">
        <v>42</v>
      </c>
    </row>
    <row r="799">
      <c r="A799" s="132" t="str">
        <f>CONCATENATE(Data!AA799,"|",Data!N799)</f>
        <v>Society of St Vincent de Paul|ACTIVE</v>
      </c>
      <c r="B799" s="161" t="str">
        <f>IFERROR(__xludf.DUMMYFUNCTION("""COMPUTED_VALUE"""),"Society of St Vincent de Paul")</f>
        <v>Society of St Vincent de Paul</v>
      </c>
      <c r="C799" s="161" t="str">
        <f>IFERROR(__xludf.DUMMYFUNCTION("""COMPUTED_VALUE"""),"ACTIVE")</f>
        <v>ACTIVE</v>
      </c>
      <c r="E799" s="161" t="s">
        <v>4410</v>
      </c>
      <c r="F799" s="161" t="s">
        <v>42</v>
      </c>
    </row>
    <row r="800">
      <c r="A800" s="132" t="str">
        <f>CONCATENATE(Data!AA800,"|",Data!N800)</f>
        <v>Society of St Vincent de Paul|ACTIVE</v>
      </c>
      <c r="B800" s="161" t="str">
        <f>IFERROR(__xludf.DUMMYFUNCTION("""COMPUTED_VALUE"""),"Society of St Vincent de Paul")</f>
        <v>Society of St Vincent de Paul</v>
      </c>
      <c r="C800" s="161" t="str">
        <f>IFERROR(__xludf.DUMMYFUNCTION("""COMPUTED_VALUE"""),"ACTIVE")</f>
        <v>ACTIVE</v>
      </c>
      <c r="E800" s="161" t="s">
        <v>4410</v>
      </c>
      <c r="F800" s="161" t="s">
        <v>42</v>
      </c>
    </row>
    <row r="801">
      <c r="A801" s="132" t="str">
        <f>CONCATENATE(Data!AA801,"|",Data!N801)</f>
        <v>St Francis of Assisi|ACTIVE</v>
      </c>
      <c r="B801" s="161" t="str">
        <f>IFERROR(__xludf.DUMMYFUNCTION("""COMPUTED_VALUE"""),"St Francis of Assisi")</f>
        <v>St Francis of Assisi</v>
      </c>
      <c r="C801" s="161" t="str">
        <f>IFERROR(__xludf.DUMMYFUNCTION("""COMPUTED_VALUE"""),"ACTIVE")</f>
        <v>ACTIVE</v>
      </c>
      <c r="E801" s="161" t="s">
        <v>4410</v>
      </c>
      <c r="F801" s="161" t="s">
        <v>42</v>
      </c>
    </row>
    <row r="802">
      <c r="A802" s="132" t="str">
        <f>CONCATENATE(Data!AA802,"|",Data!N802)</f>
        <v>Society of St Vincent de Paul|INACTIVE</v>
      </c>
      <c r="B802" s="161" t="str">
        <f>IFERROR(__xludf.DUMMYFUNCTION("""COMPUTED_VALUE"""),"Society of St Vincent de Paul")</f>
        <v>Society of St Vincent de Paul</v>
      </c>
      <c r="C802" s="161" t="str">
        <f>IFERROR(__xludf.DUMMYFUNCTION("""COMPUTED_VALUE"""),"INACTIVE")</f>
        <v>INACTIVE</v>
      </c>
      <c r="E802" s="161" t="s">
        <v>4410</v>
      </c>
      <c r="F802" s="161" t="s">
        <v>42</v>
      </c>
    </row>
    <row r="803">
      <c r="A803" s="132" t="str">
        <f>CONCATENATE(Data!AA803,"|",Data!N803)</f>
        <v>Society of St Vincent de Paul|ACTIVE</v>
      </c>
      <c r="B803" s="161" t="str">
        <f>IFERROR(__xludf.DUMMYFUNCTION("""COMPUTED_VALUE"""),"Society of St Vincent de Paul")</f>
        <v>Society of St Vincent de Paul</v>
      </c>
      <c r="C803" s="161" t="str">
        <f>IFERROR(__xludf.DUMMYFUNCTION("""COMPUTED_VALUE"""),"ACTIVE")</f>
        <v>ACTIVE</v>
      </c>
      <c r="E803" s="161" t="s">
        <v>5781</v>
      </c>
      <c r="F803" s="161" t="s">
        <v>42</v>
      </c>
    </row>
    <row r="804">
      <c r="A804" s="132" t="str">
        <f>CONCATENATE(Data!AA804,"|",Data!N804)</f>
        <v>Society of St Vincent de Paul|ACTIVE</v>
      </c>
      <c r="B804" s="161" t="str">
        <f>IFERROR(__xludf.DUMMYFUNCTION("""COMPUTED_VALUE"""),"Society of St Vincent de Paul")</f>
        <v>Society of St Vincent de Paul</v>
      </c>
      <c r="C804" s="161" t="str">
        <f>IFERROR(__xludf.DUMMYFUNCTION("""COMPUTED_VALUE"""),"ACTIVE")</f>
        <v>ACTIVE</v>
      </c>
      <c r="E804" s="161" t="s">
        <v>5781</v>
      </c>
      <c r="F804" s="161" t="s">
        <v>42</v>
      </c>
    </row>
    <row r="805">
      <c r="A805" s="132" t="str">
        <f>CONCATENATE(Data!AA805,"|",Data!N805)</f>
        <v>Society of St Vincent de Paul|ACTIVE</v>
      </c>
      <c r="B805" s="161" t="str">
        <f>IFERROR(__xludf.DUMMYFUNCTION("""COMPUTED_VALUE"""),"Society of St Vincent de Paul")</f>
        <v>Society of St Vincent de Paul</v>
      </c>
      <c r="C805" s="161" t="str">
        <f>IFERROR(__xludf.DUMMYFUNCTION("""COMPUTED_VALUE"""),"ACTIVE")</f>
        <v>ACTIVE</v>
      </c>
      <c r="E805" s="161" t="s">
        <v>5781</v>
      </c>
      <c r="F805" s="161" t="s">
        <v>42</v>
      </c>
    </row>
    <row r="806">
      <c r="A806" s="132" t="str">
        <f>CONCATENATE(Data!AA806,"|",Data!N806)</f>
        <v>Society of St Vincent de Paul|ACTIVE</v>
      </c>
      <c r="B806" s="161" t="str">
        <f>IFERROR(__xludf.DUMMYFUNCTION("""COMPUTED_VALUE"""),"Society of St Vincent de Paul")</f>
        <v>Society of St Vincent de Paul</v>
      </c>
      <c r="C806" s="161" t="str">
        <f>IFERROR(__xludf.DUMMYFUNCTION("""COMPUTED_VALUE"""),"ACTIVE")</f>
        <v>ACTIVE</v>
      </c>
      <c r="E806" s="161" t="s">
        <v>4474</v>
      </c>
      <c r="F806" s="161" t="s">
        <v>42</v>
      </c>
    </row>
    <row r="807">
      <c r="A807" s="132" t="str">
        <f>CONCATENATE(Data!AA807,"|",Data!N807)</f>
        <v>St James Spring|ACTIVE</v>
      </c>
      <c r="B807" s="161" t="str">
        <f>IFERROR(__xludf.DUMMYFUNCTION("""COMPUTED_VALUE"""),"St James Spring")</f>
        <v>St James Spring</v>
      </c>
      <c r="C807" s="161" t="str">
        <f>IFERROR(__xludf.DUMMYFUNCTION("""COMPUTED_VALUE"""),"ACTIVE")</f>
        <v>ACTIVE</v>
      </c>
      <c r="E807" s="161" t="s">
        <v>4480</v>
      </c>
      <c r="F807" s="161" t="s">
        <v>42</v>
      </c>
    </row>
    <row r="808">
      <c r="A808" s="132" t="str">
        <f>CONCATENATE(Data!AA808,"|",Data!N808)</f>
        <v>St James Spring|ACTIVE</v>
      </c>
      <c r="B808" s="161" t="str">
        <f>IFERROR(__xludf.DUMMYFUNCTION("""COMPUTED_VALUE"""),"St James Spring")</f>
        <v>St James Spring</v>
      </c>
      <c r="C808" s="161" t="str">
        <f>IFERROR(__xludf.DUMMYFUNCTION("""COMPUTED_VALUE"""),"ACTIVE")</f>
        <v>ACTIVE</v>
      </c>
      <c r="E808" s="161" t="s">
        <v>4480</v>
      </c>
      <c r="F808" s="161" t="s">
        <v>42</v>
      </c>
    </row>
    <row r="809">
      <c r="A809" s="132" t="str">
        <f>CONCATENATE(Data!AA809,"|",Data!N809)</f>
        <v>Society of St Vincent de Paul|ACTIVE</v>
      </c>
      <c r="B809" s="161" t="str">
        <f>IFERROR(__xludf.DUMMYFUNCTION("""COMPUTED_VALUE"""),"Society of St Vincent de Paul")</f>
        <v>Society of St Vincent de Paul</v>
      </c>
      <c r="C809" s="161" t="str">
        <f>IFERROR(__xludf.DUMMYFUNCTION("""COMPUTED_VALUE"""),"ACTIVE")</f>
        <v>ACTIVE</v>
      </c>
      <c r="E809" s="161" t="s">
        <v>4494</v>
      </c>
      <c r="F809" s="161" t="s">
        <v>42</v>
      </c>
    </row>
    <row r="810">
      <c r="A810" s="132" t="str">
        <f>CONCATENATE(Data!AA810,"|",Data!N810)</f>
        <v>Society of St Vincent de Paul|ACTIVE</v>
      </c>
      <c r="B810" s="161" t="str">
        <f>IFERROR(__xludf.DUMMYFUNCTION("""COMPUTED_VALUE"""),"Society of St Vincent de Paul")</f>
        <v>Society of St Vincent de Paul</v>
      </c>
      <c r="C810" s="161" t="str">
        <f>IFERROR(__xludf.DUMMYFUNCTION("""COMPUTED_VALUE"""),"ACTIVE")</f>
        <v>ACTIVE</v>
      </c>
      <c r="E810" s="161" t="s">
        <v>4501</v>
      </c>
      <c r="F810" s="161" t="s">
        <v>42</v>
      </c>
    </row>
    <row r="811">
      <c r="A811" s="132" t="str">
        <f>CONCATENATE(Data!AA811,"|",Data!N811)</f>
        <v>St John of the Cross New Caney|ACTIVE</v>
      </c>
      <c r="B811" s="161" t="str">
        <f>IFERROR(__xludf.DUMMYFUNCTION("""COMPUTED_VALUE"""),"St John of the Cross New Caney")</f>
        <v>St John of the Cross New Caney</v>
      </c>
      <c r="C811" s="161" t="str">
        <f>IFERROR(__xludf.DUMMYFUNCTION("""COMPUTED_VALUE"""),"ACTIVE")</f>
        <v>ACTIVE</v>
      </c>
      <c r="E811" s="161" t="s">
        <v>4508</v>
      </c>
      <c r="F811" s="161" t="s">
        <v>42</v>
      </c>
    </row>
    <row r="812">
      <c r="A812" s="132" t="str">
        <f>CONCATENATE(Data!AA812,"|",Data!N812)</f>
        <v>St John the Baptist Alvin|ACTIVE</v>
      </c>
      <c r="B812" s="161" t="str">
        <f>IFERROR(__xludf.DUMMYFUNCTION("""COMPUTED_VALUE"""),"St John the Baptist Alvin")</f>
        <v>St John the Baptist Alvin</v>
      </c>
      <c r="C812" s="161" t="str">
        <f>IFERROR(__xludf.DUMMYFUNCTION("""COMPUTED_VALUE"""),"ACTIVE")</f>
        <v>ACTIVE</v>
      </c>
      <c r="E812" s="161" t="s">
        <v>4519</v>
      </c>
      <c r="F812" s="161" t="s">
        <v>42</v>
      </c>
    </row>
    <row r="813">
      <c r="A813" s="132" t="str">
        <f>CONCATENATE(Data!AA813,"|",Data!N813)</f>
        <v>St John the Baptist Alvin|ACTIVE</v>
      </c>
      <c r="B813" s="161" t="str">
        <f>IFERROR(__xludf.DUMMYFUNCTION("""COMPUTED_VALUE"""),"St John the Baptist Alvin")</f>
        <v>St John the Baptist Alvin</v>
      </c>
      <c r="C813" s="161" t="str">
        <f>IFERROR(__xludf.DUMMYFUNCTION("""COMPUTED_VALUE"""),"ACTIVE")</f>
        <v>ACTIVE</v>
      </c>
      <c r="E813" s="161" t="s">
        <v>4528</v>
      </c>
      <c r="F813" s="161" t="s">
        <v>42</v>
      </c>
    </row>
    <row r="814">
      <c r="A814" s="132" t="str">
        <f>CONCATENATE(Data!AA814,"|",Data!N814)</f>
        <v>St John Vianney|ACTIVE</v>
      </c>
      <c r="B814" s="161" t="str">
        <f>IFERROR(__xludf.DUMMYFUNCTION("""COMPUTED_VALUE"""),"St John Vianney")</f>
        <v>St John Vianney</v>
      </c>
      <c r="C814" s="161" t="str">
        <f>IFERROR(__xludf.DUMMYFUNCTION("""COMPUTED_VALUE"""),"ACTIVE")</f>
        <v>ACTIVE</v>
      </c>
      <c r="E814" s="161" t="s">
        <v>4536</v>
      </c>
      <c r="F814" s="161" t="s">
        <v>42</v>
      </c>
    </row>
    <row r="815">
      <c r="A815" s="132" t="str">
        <f>CONCATENATE(Data!AA815,"|",Data!N815)</f>
        <v>Society of St Vincent de Paul|ACTIVE</v>
      </c>
      <c r="B815" s="161" t="str">
        <f>IFERROR(__xludf.DUMMYFUNCTION("""COMPUTED_VALUE"""),"Society of St Vincent de Paul")</f>
        <v>Society of St Vincent de Paul</v>
      </c>
      <c r="C815" s="161" t="str">
        <f>IFERROR(__xludf.DUMMYFUNCTION("""COMPUTED_VALUE"""),"ACTIVE")</f>
        <v>ACTIVE</v>
      </c>
      <c r="E815" s="161" t="s">
        <v>4539</v>
      </c>
      <c r="F815" s="161" t="s">
        <v>42</v>
      </c>
    </row>
    <row r="816">
      <c r="A816" s="132" t="str">
        <f>CONCATENATE(Data!AA816,"|",Data!N816)</f>
        <v>Society of St Vincent de Paul|ACTIVE</v>
      </c>
      <c r="B816" s="161" t="str">
        <f>IFERROR(__xludf.DUMMYFUNCTION("""COMPUTED_VALUE"""),"Society of St Vincent de Paul")</f>
        <v>Society of St Vincent de Paul</v>
      </c>
      <c r="C816" s="161" t="str">
        <f>IFERROR(__xludf.DUMMYFUNCTION("""COMPUTED_VALUE"""),"ACTIVE")</f>
        <v>ACTIVE</v>
      </c>
      <c r="E816" s="161" t="s">
        <v>4545</v>
      </c>
      <c r="F816" s="161" t="s">
        <v>42</v>
      </c>
    </row>
    <row r="817">
      <c r="A817" s="132" t="str">
        <f>CONCATENATE(Data!AA817,"|",Data!N817)</f>
        <v>Society of St Vincent de Paul|ACTIVE</v>
      </c>
      <c r="B817" s="161" t="str">
        <f>IFERROR(__xludf.DUMMYFUNCTION("""COMPUTED_VALUE"""),"Society of St Vincent de Paul")</f>
        <v>Society of St Vincent de Paul</v>
      </c>
      <c r="C817" s="161" t="str">
        <f>IFERROR(__xludf.DUMMYFUNCTION("""COMPUTED_VALUE"""),"ACTIVE")</f>
        <v>ACTIVE</v>
      </c>
      <c r="E817" s="161" t="s">
        <v>4555</v>
      </c>
      <c r="F817" s="161" t="s">
        <v>42</v>
      </c>
    </row>
    <row r="818">
      <c r="A818" s="132" t="str">
        <f>CONCATENATE(Data!AA818,"|",Data!N818)</f>
        <v>St Joseph Brazoria|ACTIVE</v>
      </c>
      <c r="B818" s="161" t="str">
        <f>IFERROR(__xludf.DUMMYFUNCTION("""COMPUTED_VALUE"""),"St Joseph Brazoria")</f>
        <v>St Joseph Brazoria</v>
      </c>
      <c r="C818" s="161" t="str">
        <f>IFERROR(__xludf.DUMMYFUNCTION("""COMPUTED_VALUE"""),"ACTIVE")</f>
        <v>ACTIVE</v>
      </c>
      <c r="E818" s="161" t="s">
        <v>4563</v>
      </c>
      <c r="F818" s="161" t="s">
        <v>42</v>
      </c>
    </row>
    <row r="819">
      <c r="A819" s="132" t="str">
        <f>CONCATENATE(Data!AA819,"|",Data!N819)</f>
        <v>St Joseph Catholic Church|ACTIVE</v>
      </c>
      <c r="B819" s="161" t="str">
        <f>IFERROR(__xludf.DUMMYFUNCTION("""COMPUTED_VALUE"""),"St Joseph Catholic Church")</f>
        <v>St Joseph Catholic Church</v>
      </c>
      <c r="C819" s="161" t="str">
        <f>IFERROR(__xludf.DUMMYFUNCTION("""COMPUTED_VALUE"""),"ACTIVE")</f>
        <v>ACTIVE</v>
      </c>
      <c r="E819" s="161" t="s">
        <v>4563</v>
      </c>
      <c r="F819" s="161" t="s">
        <v>42</v>
      </c>
    </row>
    <row r="820">
      <c r="A820" s="132" t="str">
        <f>CONCATENATE(Data!AA820,"|",Data!N820)</f>
        <v>St Joseph Catholic Church|ACTIVE</v>
      </c>
      <c r="B820" s="161" t="str">
        <f>IFERROR(__xludf.DUMMYFUNCTION("""COMPUTED_VALUE"""),"St Joseph Catholic Church")</f>
        <v>St Joseph Catholic Church</v>
      </c>
      <c r="C820" s="161" t="str">
        <f>IFERROR(__xludf.DUMMYFUNCTION("""COMPUTED_VALUE"""),"ACTIVE")</f>
        <v>ACTIVE</v>
      </c>
      <c r="E820" s="161" t="s">
        <v>4574</v>
      </c>
      <c r="F820" s="161" t="s">
        <v>42</v>
      </c>
    </row>
    <row r="821">
      <c r="A821" s="132" t="str">
        <f>CONCATENATE(Data!AA821,"|",Data!N821)</f>
        <v>St Joseph Catholic Church|ACTIVE</v>
      </c>
      <c r="B821" s="161" t="str">
        <f>IFERROR(__xludf.DUMMYFUNCTION("""COMPUTED_VALUE"""),"St Joseph Catholic Church")</f>
        <v>St Joseph Catholic Church</v>
      </c>
      <c r="C821" s="161" t="str">
        <f>IFERROR(__xludf.DUMMYFUNCTION("""COMPUTED_VALUE"""),"ACTIVE")</f>
        <v>ACTIVE</v>
      </c>
      <c r="E821" s="161" t="s">
        <v>4574</v>
      </c>
      <c r="F821" s="161" t="s">
        <v>42</v>
      </c>
    </row>
    <row r="822">
      <c r="A822" s="132" t="str">
        <f>CONCATENATE(Data!AA822,"|",Data!N822)</f>
        <v>St Joseph Catholic Church|ACTIVE</v>
      </c>
      <c r="B822" s="161" t="str">
        <f>IFERROR(__xludf.DUMMYFUNCTION("""COMPUTED_VALUE"""),"St Joseph Catholic Church")</f>
        <v>St Joseph Catholic Church</v>
      </c>
      <c r="C822" s="161" t="str">
        <f>IFERROR(__xludf.DUMMYFUNCTION("""COMPUTED_VALUE"""),"ACTIVE")</f>
        <v>ACTIVE</v>
      </c>
      <c r="E822" s="161" t="s">
        <v>4584</v>
      </c>
      <c r="F822" s="161" t="s">
        <v>42</v>
      </c>
    </row>
    <row r="823">
      <c r="A823" s="132" t="str">
        <f>CONCATENATE(Data!AA823,"|",Data!N823)</f>
        <v>St Joseph Catholic Church|ACTIVE</v>
      </c>
      <c r="B823" s="161" t="str">
        <f>IFERROR(__xludf.DUMMYFUNCTION("""COMPUTED_VALUE"""),"St Joseph Catholic Church")</f>
        <v>St Joseph Catholic Church</v>
      </c>
      <c r="C823" s="161" t="str">
        <f>IFERROR(__xludf.DUMMYFUNCTION("""COMPUTED_VALUE"""),"ACTIVE")</f>
        <v>ACTIVE</v>
      </c>
      <c r="E823" s="161" t="s">
        <v>5782</v>
      </c>
      <c r="F823" s="161" t="s">
        <v>42</v>
      </c>
    </row>
    <row r="824">
      <c r="A824" s="132" t="str">
        <f>CONCATENATE(Data!AA824,"|",Data!N824)</f>
        <v>St Joseph the Worker Dayton|ACTIVE</v>
      </c>
      <c r="B824" s="161" t="str">
        <f>IFERROR(__xludf.DUMMYFUNCTION("""COMPUTED_VALUE"""),"St Joseph the Worker Dayton")</f>
        <v>St Joseph the Worker Dayton</v>
      </c>
      <c r="C824" s="161" t="str">
        <f>IFERROR(__xludf.DUMMYFUNCTION("""COMPUTED_VALUE"""),"ACTIVE")</f>
        <v>ACTIVE</v>
      </c>
      <c r="E824" s="161" t="s">
        <v>5782</v>
      </c>
      <c r="F824" s="161" t="s">
        <v>42</v>
      </c>
    </row>
    <row r="825">
      <c r="A825" s="132" t="str">
        <f>CONCATENATE(Data!AA825,"|",Data!N825)</f>
        <v>St Justin Martyr|ACTIVE</v>
      </c>
      <c r="B825" s="161" t="str">
        <f>IFERROR(__xludf.DUMMYFUNCTION("""COMPUTED_VALUE"""),"St Justin Martyr")</f>
        <v>St Justin Martyr</v>
      </c>
      <c r="C825" s="161" t="str">
        <f>IFERROR(__xludf.DUMMYFUNCTION("""COMPUTED_VALUE"""),"ACTIVE")</f>
        <v>ACTIVE</v>
      </c>
      <c r="E825" s="161" t="s">
        <v>5782</v>
      </c>
      <c r="F825" s="161" t="s">
        <v>42</v>
      </c>
    </row>
    <row r="826">
      <c r="A826" s="132" t="str">
        <f>CONCATENATE(Data!AA826,"|",Data!N826)</f>
        <v>St Katherine of Drexel Hempstead|ACTIVE</v>
      </c>
      <c r="B826" s="161" t="str">
        <f>IFERROR(__xludf.DUMMYFUNCTION("""COMPUTED_VALUE"""),"St Katherine of Drexel Hempstead")</f>
        <v>St Katherine of Drexel Hempstead</v>
      </c>
      <c r="C826" s="161" t="str">
        <f>IFERROR(__xludf.DUMMYFUNCTION("""COMPUTED_VALUE"""),"ACTIVE")</f>
        <v>ACTIVE</v>
      </c>
      <c r="E826" s="161" t="s">
        <v>5782</v>
      </c>
      <c r="F826" s="161" t="s">
        <v>42</v>
      </c>
    </row>
    <row r="827">
      <c r="A827" s="132" t="str">
        <f>CONCATENATE(Data!AA827,"|",Data!N827)</f>
        <v>St Katherine of Drexel Hempstead|ACTIVE</v>
      </c>
      <c r="B827" s="161" t="str">
        <f>IFERROR(__xludf.DUMMYFUNCTION("""COMPUTED_VALUE"""),"St Katherine of Drexel Hempstead")</f>
        <v>St Katherine of Drexel Hempstead</v>
      </c>
      <c r="C827" s="161" t="str">
        <f>IFERROR(__xludf.DUMMYFUNCTION("""COMPUTED_VALUE"""),"ACTIVE")</f>
        <v>ACTIVE</v>
      </c>
      <c r="E827" s="161" t="s">
        <v>5782</v>
      </c>
      <c r="F827" s="161" t="s">
        <v>42</v>
      </c>
    </row>
    <row r="828">
      <c r="A828" s="132" t="str">
        <f>CONCATENATE(Data!AA828,"|",Data!N828)</f>
        <v>St Katherine of Drexel Hempstead|ACTIVE</v>
      </c>
      <c r="B828" s="161" t="str">
        <f>IFERROR(__xludf.DUMMYFUNCTION("""COMPUTED_VALUE"""),"St Katherine of Drexel Hempstead")</f>
        <v>St Katherine of Drexel Hempstead</v>
      </c>
      <c r="C828" s="161" t="str">
        <f>IFERROR(__xludf.DUMMYFUNCTION("""COMPUTED_VALUE"""),"ACTIVE")</f>
        <v>ACTIVE</v>
      </c>
      <c r="E828" s="161" t="s">
        <v>5782</v>
      </c>
      <c r="F828" s="161" t="s">
        <v>42</v>
      </c>
    </row>
    <row r="829">
      <c r="A829" s="132" t="str">
        <f>CONCATENATE(Data!AA829,"|",Data!N829)</f>
        <v>St Katherine of Drexel Hempstead|ACTIVE</v>
      </c>
      <c r="B829" s="161" t="str">
        <f>IFERROR(__xludf.DUMMYFUNCTION("""COMPUTED_VALUE"""),"St Katherine of Drexel Hempstead")</f>
        <v>St Katherine of Drexel Hempstead</v>
      </c>
      <c r="C829" s="161" t="str">
        <f>IFERROR(__xludf.DUMMYFUNCTION("""COMPUTED_VALUE"""),"ACTIVE")</f>
        <v>ACTIVE</v>
      </c>
      <c r="E829" s="161" t="s">
        <v>5782</v>
      </c>
      <c r="F829" s="161" t="s">
        <v>42</v>
      </c>
    </row>
    <row r="830">
      <c r="A830" s="132" t="str">
        <f>CONCATENATE(Data!AA830,"|",Data!N830)</f>
        <v>St Luke the Evangelist|LIMITED</v>
      </c>
      <c r="B830" s="161" t="str">
        <f>IFERROR(__xludf.DUMMYFUNCTION("""COMPUTED_VALUE"""),"St Luke the Evangelist")</f>
        <v>St Luke the Evangelist</v>
      </c>
      <c r="C830" s="161" t="str">
        <f>IFERROR(__xludf.DUMMYFUNCTION("""COMPUTED_VALUE"""),"LIMITED")</f>
        <v>LIMITED</v>
      </c>
      <c r="E830" s="161" t="s">
        <v>5782</v>
      </c>
      <c r="F830" s="161" t="s">
        <v>42</v>
      </c>
    </row>
    <row r="831">
      <c r="A831" s="132" t="str">
        <f>CONCATENATE(Data!AA831,"|",Data!N831)</f>
        <v>Society of St Vincent de Paul|ACTIVE</v>
      </c>
      <c r="B831" s="161" t="str">
        <f>IFERROR(__xludf.DUMMYFUNCTION("""COMPUTED_VALUE"""),"Society of St Vincent de Paul")</f>
        <v>Society of St Vincent de Paul</v>
      </c>
      <c r="C831" s="161" t="str">
        <f>IFERROR(__xludf.DUMMYFUNCTION("""COMPUTED_VALUE"""),"ACTIVE")</f>
        <v>ACTIVE</v>
      </c>
      <c r="E831" s="161" t="s">
        <v>5782</v>
      </c>
      <c r="F831" s="161" t="s">
        <v>42</v>
      </c>
    </row>
    <row r="832">
      <c r="A832" s="132" t="str">
        <f>CONCATENATE(Data!AA832,"|",Data!N832)</f>
        <v>Society of St Vincent de Paul|ACTIVE</v>
      </c>
      <c r="B832" s="161" t="str">
        <f>IFERROR(__xludf.DUMMYFUNCTION("""COMPUTED_VALUE"""),"Society of St Vincent de Paul")</f>
        <v>Society of St Vincent de Paul</v>
      </c>
      <c r="C832" s="161" t="str">
        <f>IFERROR(__xludf.DUMMYFUNCTION("""COMPUTED_VALUE"""),"ACTIVE")</f>
        <v>ACTIVE</v>
      </c>
      <c r="E832" s="161" t="s">
        <v>5782</v>
      </c>
      <c r="F832" s="161" t="s">
        <v>42</v>
      </c>
    </row>
    <row r="833">
      <c r="A833" s="132" t="str">
        <f>CONCATENATE(Data!AA833,"|",Data!N833)</f>
        <v>Society of St Vincent de Paul|ACTIVE</v>
      </c>
      <c r="B833" s="161" t="str">
        <f>IFERROR(__xludf.DUMMYFUNCTION("""COMPUTED_VALUE"""),"Society of St Vincent de Paul")</f>
        <v>Society of St Vincent de Paul</v>
      </c>
      <c r="C833" s="161" t="str">
        <f>IFERROR(__xludf.DUMMYFUNCTION("""COMPUTED_VALUE"""),"ACTIVE")</f>
        <v>ACTIVE</v>
      </c>
      <c r="E833" s="161" t="s">
        <v>5782</v>
      </c>
      <c r="F833" s="161" t="s">
        <v>42</v>
      </c>
    </row>
    <row r="834">
      <c r="A834" s="132" t="str">
        <f>CONCATENATE(Data!AA834,"|",Data!N834)</f>
        <v>Society of St Vincent de Paul|ACTIVE</v>
      </c>
      <c r="B834" s="161" t="str">
        <f>IFERROR(__xludf.DUMMYFUNCTION("""COMPUTED_VALUE"""),"Society of St Vincent de Paul")</f>
        <v>Society of St Vincent de Paul</v>
      </c>
      <c r="C834" s="161" t="str">
        <f>IFERROR(__xludf.DUMMYFUNCTION("""COMPUTED_VALUE"""),"ACTIVE")</f>
        <v>ACTIVE</v>
      </c>
      <c r="E834" s="161" t="s">
        <v>5782</v>
      </c>
      <c r="F834" s="161" t="s">
        <v>42</v>
      </c>
    </row>
    <row r="835">
      <c r="A835" s="132" t="str">
        <f>CONCATENATE(Data!AA835,"|",Data!N835)</f>
        <v>St Mary Magdalene Humble|ACTIVE</v>
      </c>
      <c r="B835" s="161" t="str">
        <f>IFERROR(__xludf.DUMMYFUNCTION("""COMPUTED_VALUE"""),"St Mary Magdalene Humble")</f>
        <v>St Mary Magdalene Humble</v>
      </c>
      <c r="C835" s="161" t="str">
        <f>IFERROR(__xludf.DUMMYFUNCTION("""COMPUTED_VALUE"""),"ACTIVE")</f>
        <v>ACTIVE</v>
      </c>
      <c r="E835" s="161" t="s">
        <v>5782</v>
      </c>
      <c r="F835" s="161" t="s">
        <v>42</v>
      </c>
    </row>
    <row r="836">
      <c r="A836" s="132" t="str">
        <f>CONCATENATE(Data!AA836,"|",Data!N836)</f>
        <v>St Mary of the Expectation|ACTIVE</v>
      </c>
      <c r="B836" s="161" t="str">
        <f>IFERROR(__xludf.DUMMYFUNCTION("""COMPUTED_VALUE"""),"St Mary of the Expectation")</f>
        <v>St Mary of the Expectation</v>
      </c>
      <c r="C836" s="161" t="str">
        <f>IFERROR(__xludf.DUMMYFUNCTION("""COMPUTED_VALUE"""),"ACTIVE")</f>
        <v>ACTIVE</v>
      </c>
      <c r="E836" s="161" t="s">
        <v>4591</v>
      </c>
      <c r="F836" s="161" t="s">
        <v>42</v>
      </c>
    </row>
    <row r="837">
      <c r="A837" s="132" t="str">
        <f>CONCATENATE(Data!AA837,"|",Data!N837)</f>
        <v>Society of St Vincent de Paul|ACTIVE</v>
      </c>
      <c r="B837" s="161" t="str">
        <f>IFERROR(__xludf.DUMMYFUNCTION("""COMPUTED_VALUE"""),"Society of St Vincent de Paul")</f>
        <v>Society of St Vincent de Paul</v>
      </c>
      <c r="C837" s="161" t="str">
        <f>IFERROR(__xludf.DUMMYFUNCTION("""COMPUTED_VALUE"""),"ACTIVE")</f>
        <v>ACTIVE</v>
      </c>
      <c r="E837" s="161" t="s">
        <v>4598</v>
      </c>
      <c r="F837" s="161" t="s">
        <v>42</v>
      </c>
    </row>
    <row r="838">
      <c r="A838" s="132" t="str">
        <f>CONCATENATE(Data!AA838,"|",Data!N838)</f>
        <v>Society of St Vincent de Paul|ACTIVE</v>
      </c>
      <c r="B838" s="161" t="str">
        <f>IFERROR(__xludf.DUMMYFUNCTION("""COMPUTED_VALUE"""),"Society of St Vincent de Paul")</f>
        <v>Society of St Vincent de Paul</v>
      </c>
      <c r="C838" s="161" t="str">
        <f>IFERROR(__xludf.DUMMYFUNCTION("""COMPUTED_VALUE"""),"ACTIVE")</f>
        <v>ACTIVE</v>
      </c>
      <c r="E838" s="161" t="s">
        <v>4598</v>
      </c>
      <c r="F838" s="161" t="s">
        <v>42</v>
      </c>
    </row>
    <row r="839">
      <c r="A839" s="132" t="str">
        <f>CONCATENATE(Data!AA839,"|",Data!N839)</f>
        <v>Society of St Vincent de Paul|ACTIVE</v>
      </c>
      <c r="B839" s="161" t="str">
        <f>IFERROR(__xludf.DUMMYFUNCTION("""COMPUTED_VALUE"""),"Society of St Vincent de Paul")</f>
        <v>Society of St Vincent de Paul</v>
      </c>
      <c r="C839" s="161" t="str">
        <f>IFERROR(__xludf.DUMMYFUNCTION("""COMPUTED_VALUE"""),"ACTIVE")</f>
        <v>ACTIVE</v>
      </c>
      <c r="E839" s="161" t="s">
        <v>4605</v>
      </c>
      <c r="F839" s="161" t="s">
        <v>42</v>
      </c>
    </row>
    <row r="840">
      <c r="A840" s="132" t="str">
        <f>CONCATENATE(Data!AA840,"|",Data!N840)</f>
        <v>Society of St Vincent de Paul|ACTIVE</v>
      </c>
      <c r="B840" s="161" t="str">
        <f>IFERROR(__xludf.DUMMYFUNCTION("""COMPUTED_VALUE"""),"Society of St Vincent de Paul")</f>
        <v>Society of St Vincent de Paul</v>
      </c>
      <c r="C840" s="161" t="str">
        <f>IFERROR(__xludf.DUMMYFUNCTION("""COMPUTED_VALUE"""),"ACTIVE")</f>
        <v>ACTIVE</v>
      </c>
      <c r="E840" s="161" t="s">
        <v>4613</v>
      </c>
      <c r="F840" s="161" t="s">
        <v>42</v>
      </c>
    </row>
    <row r="841">
      <c r="A841" s="132" t="str">
        <f>CONCATENATE(Data!AA841,"|",Data!N841)</f>
        <v>Society of St Vincent de Paul|ACTIVE</v>
      </c>
      <c r="B841" s="161" t="str">
        <f>IFERROR(__xludf.DUMMYFUNCTION("""COMPUTED_VALUE"""),"Society of St Vincent de Paul")</f>
        <v>Society of St Vincent de Paul</v>
      </c>
      <c r="C841" s="161" t="str">
        <f>IFERROR(__xludf.DUMMYFUNCTION("""COMPUTED_VALUE"""),"ACTIVE")</f>
        <v>ACTIVE</v>
      </c>
      <c r="E841" s="161" t="s">
        <v>4613</v>
      </c>
      <c r="F841" s="161" t="s">
        <v>42</v>
      </c>
    </row>
    <row r="842">
      <c r="A842" s="132" t="str">
        <f>CONCATENATE(Data!AA842,"|",Data!N842)</f>
        <v>Society of St Vincent de Paul|ACTIVE</v>
      </c>
      <c r="B842" s="161" t="str">
        <f>IFERROR(__xludf.DUMMYFUNCTION("""COMPUTED_VALUE"""),"Society of St Vincent de Paul")</f>
        <v>Society of St Vincent de Paul</v>
      </c>
      <c r="C842" s="161" t="str">
        <f>IFERROR(__xludf.DUMMYFUNCTION("""COMPUTED_VALUE"""),"ACTIVE")</f>
        <v>ACTIVE</v>
      </c>
      <c r="E842" s="161" t="s">
        <v>4613</v>
      </c>
      <c r="F842" s="161" t="s">
        <v>42</v>
      </c>
    </row>
    <row r="843">
      <c r="A843" s="132" t="str">
        <f>CONCATENATE(Data!AA843,"|",Data!N843)</f>
        <v>Society of St Vincent de Paul|ACTIVE</v>
      </c>
      <c r="B843" s="161" t="str">
        <f>IFERROR(__xludf.DUMMYFUNCTION("""COMPUTED_VALUE"""),"Society of St Vincent de Paul")</f>
        <v>Society of St Vincent de Paul</v>
      </c>
      <c r="C843" s="161" t="str">
        <f>IFERROR(__xludf.DUMMYFUNCTION("""COMPUTED_VALUE"""),"ACTIVE")</f>
        <v>ACTIVE</v>
      </c>
      <c r="E843" s="161" t="s">
        <v>4623</v>
      </c>
      <c r="F843" s="161" t="s">
        <v>42</v>
      </c>
    </row>
    <row r="844">
      <c r="A844" s="132" t="str">
        <f>CONCATENATE(Data!AA844,"|",Data!N844)</f>
        <v>Society of St Vincent de Paul|ACTIVE</v>
      </c>
      <c r="B844" s="161" t="str">
        <f>IFERROR(__xludf.DUMMYFUNCTION("""COMPUTED_VALUE"""),"Society of St Vincent de Paul")</f>
        <v>Society of St Vincent de Paul</v>
      </c>
      <c r="C844" s="161" t="str">
        <f>IFERROR(__xludf.DUMMYFUNCTION("""COMPUTED_VALUE"""),"ACTIVE")</f>
        <v>ACTIVE</v>
      </c>
      <c r="E844" s="161" t="s">
        <v>4638</v>
      </c>
      <c r="F844" s="161" t="s">
        <v>42</v>
      </c>
    </row>
    <row r="845">
      <c r="A845" s="132" t="str">
        <f>CONCATENATE(Data!AA845,"|",Data!N845)</f>
        <v>Society of St Vincent de Paul|ACTIVE</v>
      </c>
      <c r="B845" s="161" t="str">
        <f>IFERROR(__xludf.DUMMYFUNCTION("""COMPUTED_VALUE"""),"Society of St Vincent de Paul")</f>
        <v>Society of St Vincent de Paul</v>
      </c>
      <c r="C845" s="161" t="str">
        <f>IFERROR(__xludf.DUMMYFUNCTION("""COMPUTED_VALUE"""),"ACTIVE")</f>
        <v>ACTIVE</v>
      </c>
      <c r="E845" s="161" t="s">
        <v>4638</v>
      </c>
      <c r="F845" s="161" t="s">
        <v>42</v>
      </c>
    </row>
    <row r="846">
      <c r="A846" s="132" t="str">
        <f>CONCATENATE(Data!AA846,"|",Data!N846)</f>
        <v>St Matthew the Evangelist|ACTIVE</v>
      </c>
      <c r="B846" s="161" t="str">
        <f>IFERROR(__xludf.DUMMYFUNCTION("""COMPUTED_VALUE"""),"St Matthew the Evangelist")</f>
        <v>St Matthew the Evangelist</v>
      </c>
      <c r="C846" s="161" t="str">
        <f>IFERROR(__xludf.DUMMYFUNCTION("""COMPUTED_VALUE"""),"ACTIVE")</f>
        <v>ACTIVE</v>
      </c>
      <c r="E846" s="161" t="s">
        <v>4638</v>
      </c>
      <c r="F846" s="161" t="s">
        <v>42</v>
      </c>
    </row>
    <row r="847">
      <c r="A847" s="132" t="str">
        <f>CONCATENATE(Data!AA847,"|",Data!N847)</f>
        <v>Society of St Vincent de Paul|ACTIVE</v>
      </c>
      <c r="B847" s="161" t="str">
        <f>IFERROR(__xludf.DUMMYFUNCTION("""COMPUTED_VALUE"""),"Society of St Vincent de Paul")</f>
        <v>Society of St Vincent de Paul</v>
      </c>
      <c r="C847" s="161" t="str">
        <f>IFERROR(__xludf.DUMMYFUNCTION("""COMPUTED_VALUE"""),"ACTIVE")</f>
        <v>ACTIVE</v>
      </c>
      <c r="E847" s="161" t="s">
        <v>4638</v>
      </c>
      <c r="F847" s="161" t="s">
        <v>42</v>
      </c>
    </row>
    <row r="848">
      <c r="A848" s="132" t="str">
        <f>CONCATENATE(Data!AA848,"|",Data!N848)</f>
        <v>Society of St Vincent de Paul|ACTIVE</v>
      </c>
      <c r="B848" s="161" t="str">
        <f>IFERROR(__xludf.DUMMYFUNCTION("""COMPUTED_VALUE"""),"Society of St Vincent de Paul")</f>
        <v>Society of St Vincent de Paul</v>
      </c>
      <c r="C848" s="161" t="str">
        <f>IFERROR(__xludf.DUMMYFUNCTION("""COMPUTED_VALUE"""),"ACTIVE")</f>
        <v>ACTIVE</v>
      </c>
      <c r="E848" s="161" t="s">
        <v>4638</v>
      </c>
      <c r="F848" s="161" t="s">
        <v>42</v>
      </c>
    </row>
    <row r="849">
      <c r="A849" s="132" t="str">
        <f>CONCATENATE(Data!AA849,"|",Data!N849)</f>
        <v>Society of St Vincent de Paul|ACTIVE</v>
      </c>
      <c r="B849" s="161" t="str">
        <f>IFERROR(__xludf.DUMMYFUNCTION("""COMPUTED_VALUE"""),"Society of St Vincent de Paul")</f>
        <v>Society of St Vincent de Paul</v>
      </c>
      <c r="C849" s="161" t="str">
        <f>IFERROR(__xludf.DUMMYFUNCTION("""COMPUTED_VALUE"""),"ACTIVE")</f>
        <v>ACTIVE</v>
      </c>
      <c r="E849" s="161" t="s">
        <v>4638</v>
      </c>
      <c r="F849" s="161" t="s">
        <v>42</v>
      </c>
    </row>
    <row r="850">
      <c r="A850" s="132" t="str">
        <f>CONCATENATE(Data!AA850,"|",Data!N850)</f>
        <v>Society of St Vincent de Paul|ACTIVE</v>
      </c>
      <c r="B850" s="161" t="str">
        <f>IFERROR(__xludf.DUMMYFUNCTION("""COMPUTED_VALUE"""),"Society of St Vincent de Paul")</f>
        <v>Society of St Vincent de Paul</v>
      </c>
      <c r="C850" s="161" t="str">
        <f>IFERROR(__xludf.DUMMYFUNCTION("""COMPUTED_VALUE"""),"ACTIVE")</f>
        <v>ACTIVE</v>
      </c>
      <c r="E850" s="161" t="s">
        <v>4638</v>
      </c>
      <c r="F850" s="161" t="s">
        <v>42</v>
      </c>
    </row>
    <row r="851">
      <c r="A851" s="132" t="str">
        <f>CONCATENATE(Data!AA851,"|",Data!N851)</f>
        <v>Society of St Vincent de Paul|ACTIVE</v>
      </c>
      <c r="B851" s="161" t="str">
        <f>IFERROR(__xludf.DUMMYFUNCTION("""COMPUTED_VALUE"""),"Society of St Vincent de Paul")</f>
        <v>Society of St Vincent de Paul</v>
      </c>
      <c r="C851" s="161" t="str">
        <f>IFERROR(__xludf.DUMMYFUNCTION("""COMPUTED_VALUE"""),"ACTIVE")</f>
        <v>ACTIVE</v>
      </c>
      <c r="E851" s="161" t="s">
        <v>4638</v>
      </c>
      <c r="F851" s="161" t="s">
        <v>42</v>
      </c>
    </row>
    <row r="852">
      <c r="A852" s="132" t="str">
        <f>CONCATENATE(Data!AA852,"|",Data!N852)</f>
        <v>Society of St Vincent de Paul|ACTIVE</v>
      </c>
      <c r="B852" s="161" t="str">
        <f>IFERROR(__xludf.DUMMYFUNCTION("""COMPUTED_VALUE"""),"Society of St Vincent de Paul")</f>
        <v>Society of St Vincent de Paul</v>
      </c>
      <c r="C852" s="161" t="str">
        <f>IFERROR(__xludf.DUMMYFUNCTION("""COMPUTED_VALUE"""),"ACTIVE")</f>
        <v>ACTIVE</v>
      </c>
      <c r="E852" s="161" t="s">
        <v>4638</v>
      </c>
      <c r="F852" s="161" t="s">
        <v>42</v>
      </c>
    </row>
    <row r="853">
      <c r="A853" s="132" t="str">
        <f>CONCATENATE(Data!AA853,"|",Data!N853)</f>
        <v>Society of St Vincent de Paul|ACTIVE</v>
      </c>
      <c r="B853" s="161" t="str">
        <f>IFERROR(__xludf.DUMMYFUNCTION("""COMPUTED_VALUE"""),"Society of St Vincent de Paul")</f>
        <v>Society of St Vincent de Paul</v>
      </c>
      <c r="C853" s="161" t="str">
        <f>IFERROR(__xludf.DUMMYFUNCTION("""COMPUTED_VALUE"""),"ACTIVE")</f>
        <v>ACTIVE</v>
      </c>
      <c r="E853" s="161" t="s">
        <v>4654</v>
      </c>
      <c r="F853" s="161" t="s">
        <v>42</v>
      </c>
    </row>
    <row r="854">
      <c r="A854" s="132" t="str">
        <f>CONCATENATE(Data!AA854,"|",Data!N854)</f>
        <v>Society of St Vincent de Paul|ACTIVE</v>
      </c>
      <c r="B854" s="161" t="str">
        <f>IFERROR(__xludf.DUMMYFUNCTION("""COMPUTED_VALUE"""),"Society of St Vincent de Paul")</f>
        <v>Society of St Vincent de Paul</v>
      </c>
      <c r="C854" s="161" t="str">
        <f>IFERROR(__xludf.DUMMYFUNCTION("""COMPUTED_VALUE"""),"ACTIVE")</f>
        <v>ACTIVE</v>
      </c>
      <c r="E854" s="161" t="s">
        <v>4654</v>
      </c>
      <c r="F854" s="161" t="s">
        <v>42</v>
      </c>
    </row>
    <row r="855">
      <c r="A855" s="132" t="str">
        <f>CONCATENATE(Data!AA855,"|",Data!N855)</f>
        <v>Society of St Vincent de Paul|ACTIVE</v>
      </c>
      <c r="B855" s="161" t="str">
        <f>IFERROR(__xludf.DUMMYFUNCTION("""COMPUTED_VALUE"""),"Society of St Vincent de Paul")</f>
        <v>Society of St Vincent de Paul</v>
      </c>
      <c r="C855" s="161" t="str">
        <f>IFERROR(__xludf.DUMMYFUNCTION("""COMPUTED_VALUE"""),"ACTIVE")</f>
        <v>ACTIVE</v>
      </c>
      <c r="E855" s="161" t="s">
        <v>4654</v>
      </c>
      <c r="F855" s="161" t="s">
        <v>42</v>
      </c>
    </row>
    <row r="856">
      <c r="A856" s="132" t="str">
        <f>CONCATENATE(Data!AA856,"|",Data!N856)</f>
        <v>Society of St Vincent de Paul|ACTIVE</v>
      </c>
      <c r="B856" s="161" t="str">
        <f>IFERROR(__xludf.DUMMYFUNCTION("""COMPUTED_VALUE"""),"Society of St Vincent de Paul")</f>
        <v>Society of St Vincent de Paul</v>
      </c>
      <c r="C856" s="161" t="str">
        <f>IFERROR(__xludf.DUMMYFUNCTION("""COMPUTED_VALUE"""),"ACTIVE")</f>
        <v>ACTIVE</v>
      </c>
      <c r="E856" s="161" t="s">
        <v>4665</v>
      </c>
      <c r="F856" s="161" t="s">
        <v>42</v>
      </c>
    </row>
    <row r="857">
      <c r="A857" s="132" t="str">
        <f>CONCATENATE(Data!AA857,"|",Data!N857)</f>
        <v>Society of St Vincent de Paul|ACTIVE</v>
      </c>
      <c r="B857" s="161" t="str">
        <f>IFERROR(__xludf.DUMMYFUNCTION("""COMPUTED_VALUE"""),"Society of St Vincent de Paul")</f>
        <v>Society of St Vincent de Paul</v>
      </c>
      <c r="C857" s="161" t="str">
        <f>IFERROR(__xludf.DUMMYFUNCTION("""COMPUTED_VALUE"""),"ACTIVE")</f>
        <v>ACTIVE</v>
      </c>
      <c r="E857" s="161" t="s">
        <v>4672</v>
      </c>
      <c r="F857" s="161" t="s">
        <v>42</v>
      </c>
    </row>
    <row r="858">
      <c r="A858" s="132" t="str">
        <f>CONCATENATE(Data!AA858,"|",Data!N858)</f>
        <v>Society of St Vincent de Paul|ACTIVE</v>
      </c>
      <c r="B858" s="161" t="str">
        <f>IFERROR(__xludf.DUMMYFUNCTION("""COMPUTED_VALUE"""),"Society of St Vincent de Paul")</f>
        <v>Society of St Vincent de Paul</v>
      </c>
      <c r="C858" s="161" t="str">
        <f>IFERROR(__xludf.DUMMYFUNCTION("""COMPUTED_VALUE"""),"ACTIVE")</f>
        <v>ACTIVE</v>
      </c>
      <c r="E858" s="161" t="s">
        <v>4677</v>
      </c>
      <c r="F858" s="161" t="s">
        <v>42</v>
      </c>
    </row>
    <row r="859">
      <c r="A859" s="132" t="str">
        <f>CONCATENATE(Data!AA859,"|",Data!N859)</f>
        <v>Society of St Vincent de Paul|ACTIVE</v>
      </c>
      <c r="B859" s="161" t="str">
        <f>IFERROR(__xludf.DUMMYFUNCTION("""COMPUTED_VALUE"""),"Society of St Vincent de Paul")</f>
        <v>Society of St Vincent de Paul</v>
      </c>
      <c r="C859" s="161" t="str">
        <f>IFERROR(__xludf.DUMMYFUNCTION("""COMPUTED_VALUE"""),"ACTIVE")</f>
        <v>ACTIVE</v>
      </c>
      <c r="E859" s="161" t="s">
        <v>4682</v>
      </c>
      <c r="F859" s="161" t="s">
        <v>42</v>
      </c>
    </row>
    <row r="860">
      <c r="A860" s="132" t="str">
        <f>CONCATENATE(Data!AA860,"|",Data!N860)</f>
        <v>Society of St Vincent de Paul|ACTIVE</v>
      </c>
      <c r="B860" s="161" t="str">
        <f>IFERROR(__xludf.DUMMYFUNCTION("""COMPUTED_VALUE"""),"Society of St Vincent de Paul")</f>
        <v>Society of St Vincent de Paul</v>
      </c>
      <c r="C860" s="161" t="str">
        <f>IFERROR(__xludf.DUMMYFUNCTION("""COMPUTED_VALUE"""),"ACTIVE")</f>
        <v>ACTIVE</v>
      </c>
      <c r="E860" s="161" t="s">
        <v>4689</v>
      </c>
      <c r="F860" s="161" t="s">
        <v>42</v>
      </c>
    </row>
    <row r="861">
      <c r="A861" s="132" t="str">
        <f>CONCATENATE(Data!AA861,"|",Data!N861)</f>
        <v>Society of St Vincent de Paul|ACTIVE</v>
      </c>
      <c r="B861" s="161" t="str">
        <f>IFERROR(__xludf.DUMMYFUNCTION("""COMPUTED_VALUE"""),"Society of St Vincent de Paul")</f>
        <v>Society of St Vincent de Paul</v>
      </c>
      <c r="C861" s="161" t="str">
        <f>IFERROR(__xludf.DUMMYFUNCTION("""COMPUTED_VALUE"""),"ACTIVE")</f>
        <v>ACTIVE</v>
      </c>
      <c r="E861" s="161" t="s">
        <v>5783</v>
      </c>
      <c r="F861" s="161" t="s">
        <v>42</v>
      </c>
    </row>
    <row r="862">
      <c r="A862" s="132" t="str">
        <f>CONCATENATE(Data!AA862,"|",Data!N862)</f>
        <v>Society of St Vincent de Paul|ACTIVE</v>
      </c>
      <c r="B862" s="161" t="str">
        <f>IFERROR(__xludf.DUMMYFUNCTION("""COMPUTED_VALUE"""),"Society of St Vincent de Paul")</f>
        <v>Society of St Vincent de Paul</v>
      </c>
      <c r="C862" s="161" t="str">
        <f>IFERROR(__xludf.DUMMYFUNCTION("""COMPUTED_VALUE"""),"ACTIVE")</f>
        <v>ACTIVE</v>
      </c>
      <c r="E862" s="161" t="s">
        <v>5783</v>
      </c>
      <c r="F862" s="161" t="s">
        <v>42</v>
      </c>
    </row>
    <row r="863">
      <c r="A863" s="132" t="str">
        <f>CONCATENATE(Data!AA863,"|",Data!N863)</f>
        <v>Society of St Vincent de Paul|ACTIVE</v>
      </c>
      <c r="B863" s="161" t="str">
        <f>IFERROR(__xludf.DUMMYFUNCTION("""COMPUTED_VALUE"""),"Society of St Vincent de Paul")</f>
        <v>Society of St Vincent de Paul</v>
      </c>
      <c r="C863" s="161" t="str">
        <f>IFERROR(__xludf.DUMMYFUNCTION("""COMPUTED_VALUE"""),"ACTIVE")</f>
        <v>ACTIVE</v>
      </c>
      <c r="E863" s="161" t="s">
        <v>5783</v>
      </c>
      <c r="F863" s="161" t="s">
        <v>42</v>
      </c>
    </row>
    <row r="864">
      <c r="A864" s="132" t="str">
        <f>CONCATENATE(Data!AA864,"|",Data!N864)</f>
        <v>Society of St Vincent de Paul|ACTIVE</v>
      </c>
      <c r="B864" s="161" t="str">
        <f>IFERROR(__xludf.DUMMYFUNCTION("""COMPUTED_VALUE"""),"Society of St Vincent de Paul")</f>
        <v>Society of St Vincent de Paul</v>
      </c>
      <c r="C864" s="161" t="str">
        <f>IFERROR(__xludf.DUMMYFUNCTION("""COMPUTED_VALUE"""),"ACTIVE")</f>
        <v>ACTIVE</v>
      </c>
      <c r="E864" s="161" t="s">
        <v>5783</v>
      </c>
      <c r="F864" s="161" t="s">
        <v>42</v>
      </c>
    </row>
    <row r="865">
      <c r="A865" s="132" t="str">
        <f>CONCATENATE(Data!AA865,"|",Data!N865)</f>
        <v>St Peter &amp; Paul Bellville|ACTIVE</v>
      </c>
      <c r="B865" s="161" t="str">
        <f>IFERROR(__xludf.DUMMYFUNCTION("""COMPUTED_VALUE"""),"St Peter &amp; Paul Bellville")</f>
        <v>St Peter &amp; Paul Bellville</v>
      </c>
      <c r="C865" s="161" t="str">
        <f>IFERROR(__xludf.DUMMYFUNCTION("""COMPUTED_VALUE"""),"ACTIVE")</f>
        <v>ACTIVE</v>
      </c>
      <c r="E865" s="161" t="s">
        <v>5783</v>
      </c>
      <c r="F865" s="161" t="s">
        <v>42</v>
      </c>
    </row>
    <row r="866">
      <c r="A866" s="132" t="str">
        <f>CONCATENATE(Data!AA866,"|",Data!N866)</f>
        <v>Society of St Vincent de Paul|ACTIVE</v>
      </c>
      <c r="B866" s="161" t="str">
        <f>IFERROR(__xludf.DUMMYFUNCTION("""COMPUTED_VALUE"""),"Society of St Vincent de Paul")</f>
        <v>Society of St Vincent de Paul</v>
      </c>
      <c r="C866" s="161" t="str">
        <f>IFERROR(__xludf.DUMMYFUNCTION("""COMPUTED_VALUE"""),"ACTIVE")</f>
        <v>ACTIVE</v>
      </c>
      <c r="E866" s="161" t="s">
        <v>5784</v>
      </c>
      <c r="F866" s="161" t="s">
        <v>42</v>
      </c>
    </row>
    <row r="867">
      <c r="A867" s="132" t="str">
        <f>CONCATENATE(Data!AA867,"|",Data!N867)</f>
        <v>Society of St Vincent de Paul|ACTIVE</v>
      </c>
      <c r="B867" s="161" t="str">
        <f>IFERROR(__xludf.DUMMYFUNCTION("""COMPUTED_VALUE"""),"Society of St Vincent de Paul")</f>
        <v>Society of St Vincent de Paul</v>
      </c>
      <c r="C867" s="161" t="str">
        <f>IFERROR(__xludf.DUMMYFUNCTION("""COMPUTED_VALUE"""),"ACTIVE")</f>
        <v>ACTIVE</v>
      </c>
      <c r="E867" s="161" t="s">
        <v>5784</v>
      </c>
      <c r="F867" s="161" t="s">
        <v>42</v>
      </c>
    </row>
    <row r="868">
      <c r="A868" s="132" t="str">
        <f>CONCATENATE(Data!AA868,"|",Data!N868)</f>
        <v>St Philip the Apostle|ACTIVE</v>
      </c>
      <c r="B868" s="161" t="str">
        <f>IFERROR(__xludf.DUMMYFUNCTION("""COMPUTED_VALUE"""),"St Philip the Apostle")</f>
        <v>St Philip the Apostle</v>
      </c>
      <c r="C868" s="161" t="str">
        <f>IFERROR(__xludf.DUMMYFUNCTION("""COMPUTED_VALUE"""),"ACTIVE")</f>
        <v>ACTIVE</v>
      </c>
      <c r="E868" s="161" t="s">
        <v>5784</v>
      </c>
      <c r="F868" s="161" t="s">
        <v>42</v>
      </c>
    </row>
    <row r="869">
      <c r="A869" s="132" t="str">
        <f>CONCATENATE(Data!AA869,"|",Data!N869)</f>
        <v>St Philip the Apostle|ACTIVE</v>
      </c>
      <c r="B869" s="161" t="str">
        <f>IFERROR(__xludf.DUMMYFUNCTION("""COMPUTED_VALUE"""),"St Philip the Apostle")</f>
        <v>St Philip the Apostle</v>
      </c>
      <c r="C869" s="161" t="str">
        <f>IFERROR(__xludf.DUMMYFUNCTION("""COMPUTED_VALUE"""),"ACTIVE")</f>
        <v>ACTIVE</v>
      </c>
      <c r="E869" s="161" t="s">
        <v>5784</v>
      </c>
      <c r="F869" s="161" t="s">
        <v>42</v>
      </c>
    </row>
    <row r="870">
      <c r="A870" s="132" t="str">
        <f>CONCATENATE(Data!AA870,"|",Data!N870)</f>
        <v>St Pius Pasadena|ACTIVE</v>
      </c>
      <c r="B870" s="161" t="str">
        <f>IFERROR(__xludf.DUMMYFUNCTION("""COMPUTED_VALUE"""),"St Pius Pasadena")</f>
        <v>St Pius Pasadena</v>
      </c>
      <c r="C870" s="161" t="str">
        <f>IFERROR(__xludf.DUMMYFUNCTION("""COMPUTED_VALUE"""),"ACTIVE")</f>
        <v>ACTIVE</v>
      </c>
      <c r="E870" s="161" t="s">
        <v>5784</v>
      </c>
      <c r="F870" s="161" t="s">
        <v>42</v>
      </c>
    </row>
    <row r="871">
      <c r="A871" s="132" t="str">
        <f>CONCATENATE(Data!AA871,"|",Data!N871)</f>
        <v>Society of St Vincent de Paul|ACTIVE</v>
      </c>
      <c r="B871" s="161" t="str">
        <f>IFERROR(__xludf.DUMMYFUNCTION("""COMPUTED_VALUE"""),"Society of St Vincent de Paul")</f>
        <v>Society of St Vincent de Paul</v>
      </c>
      <c r="C871" s="161" t="str">
        <f>IFERROR(__xludf.DUMMYFUNCTION("""COMPUTED_VALUE"""),"ACTIVE")</f>
        <v>ACTIVE</v>
      </c>
      <c r="E871" s="161" t="s">
        <v>5784</v>
      </c>
      <c r="F871" s="161" t="s">
        <v>42</v>
      </c>
    </row>
    <row r="872">
      <c r="A872" s="132" t="str">
        <f>CONCATENATE(Data!AA872,"|",Data!N872)</f>
        <v>Society of St Vincent de Paul|ACTIVE</v>
      </c>
      <c r="B872" s="161" t="str">
        <f>IFERROR(__xludf.DUMMYFUNCTION("""COMPUTED_VALUE"""),"Society of St Vincent de Paul")</f>
        <v>Society of St Vincent de Paul</v>
      </c>
      <c r="C872" s="161" t="str">
        <f>IFERROR(__xludf.DUMMYFUNCTION("""COMPUTED_VALUE"""),"ACTIVE")</f>
        <v>ACTIVE</v>
      </c>
      <c r="E872" s="161" t="s">
        <v>4721</v>
      </c>
      <c r="F872" s="161" t="s">
        <v>42</v>
      </c>
    </row>
    <row r="873">
      <c r="A873" s="132" t="str">
        <f>CONCATENATE(Data!AA873,"|",Data!N873)</f>
        <v>Society of St Vincent de Paul|ACTIVE</v>
      </c>
      <c r="B873" s="161" t="str">
        <f>IFERROR(__xludf.DUMMYFUNCTION("""COMPUTED_VALUE"""),"Society of St Vincent de Paul")</f>
        <v>Society of St Vincent de Paul</v>
      </c>
      <c r="C873" s="161" t="str">
        <f>IFERROR(__xludf.DUMMYFUNCTION("""COMPUTED_VALUE"""),"ACTIVE")</f>
        <v>ACTIVE</v>
      </c>
      <c r="E873" s="161" t="s">
        <v>4728</v>
      </c>
      <c r="F873" s="161" t="s">
        <v>42</v>
      </c>
    </row>
    <row r="874">
      <c r="A874" s="132" t="str">
        <f>CONCATENATE(Data!AA874,"|",Data!N874)</f>
        <v>Society of St Vincent de Paul|INACTIVE</v>
      </c>
      <c r="B874" s="161" t="str">
        <f>IFERROR(__xludf.DUMMYFUNCTION("""COMPUTED_VALUE"""),"Society of St Vincent de Paul")</f>
        <v>Society of St Vincent de Paul</v>
      </c>
      <c r="C874" s="161" t="str">
        <f>IFERROR(__xludf.DUMMYFUNCTION("""COMPUTED_VALUE"""),"INACTIVE")</f>
        <v>INACTIVE</v>
      </c>
      <c r="E874" s="161" t="s">
        <v>4728</v>
      </c>
      <c r="F874" s="161" t="s">
        <v>42</v>
      </c>
    </row>
    <row r="875">
      <c r="A875" s="132" t="str">
        <f>CONCATENATE(Data!AA875,"|",Data!N875)</f>
        <v>Society of St Vincent de Paul|ACTIVE</v>
      </c>
      <c r="B875" s="161" t="str">
        <f>IFERROR(__xludf.DUMMYFUNCTION("""COMPUTED_VALUE"""),"Society of St Vincent de Paul")</f>
        <v>Society of St Vincent de Paul</v>
      </c>
      <c r="C875" s="161" t="str">
        <f>IFERROR(__xludf.DUMMYFUNCTION("""COMPUTED_VALUE"""),"ACTIVE")</f>
        <v>ACTIVE</v>
      </c>
      <c r="E875" s="161" t="s">
        <v>4728</v>
      </c>
      <c r="F875" s="161" t="s">
        <v>42</v>
      </c>
    </row>
    <row r="876">
      <c r="A876" s="132" t="str">
        <f>CONCATENATE(Data!AA876,"|",Data!N876)</f>
        <v>Society of St Vincent de Paul|ACTIVE</v>
      </c>
      <c r="B876" s="161" t="str">
        <f>IFERROR(__xludf.DUMMYFUNCTION("""COMPUTED_VALUE"""),"Society of St Vincent de Paul")</f>
        <v>Society of St Vincent de Paul</v>
      </c>
      <c r="C876" s="161" t="str">
        <f>IFERROR(__xludf.DUMMYFUNCTION("""COMPUTED_VALUE"""),"ACTIVE")</f>
        <v>ACTIVE</v>
      </c>
      <c r="E876" s="161" t="s">
        <v>4728</v>
      </c>
      <c r="F876" s="161" t="s">
        <v>42</v>
      </c>
    </row>
    <row r="877">
      <c r="A877" s="132" t="str">
        <f>CONCATENATE(Data!AA877,"|",Data!N877)</f>
        <v>Society of St Vincent de Paul|ACTIVE</v>
      </c>
      <c r="B877" s="161" t="str">
        <f>IFERROR(__xludf.DUMMYFUNCTION("""COMPUTED_VALUE"""),"Society of St Vincent de Paul")</f>
        <v>Society of St Vincent de Paul</v>
      </c>
      <c r="C877" s="161" t="str">
        <f>IFERROR(__xludf.DUMMYFUNCTION("""COMPUTED_VALUE"""),"ACTIVE")</f>
        <v>ACTIVE</v>
      </c>
      <c r="E877" s="161" t="s">
        <v>4728</v>
      </c>
      <c r="F877" s="161" t="s">
        <v>42</v>
      </c>
    </row>
    <row r="878">
      <c r="A878" s="132" t="str">
        <f>CONCATENATE(Data!AA878,"|",Data!N878)</f>
        <v>Society of St Vincent de Paul|ACTIVE</v>
      </c>
      <c r="B878" s="161" t="str">
        <f>IFERROR(__xludf.DUMMYFUNCTION("""COMPUTED_VALUE"""),"Society of St Vincent de Paul")</f>
        <v>Society of St Vincent de Paul</v>
      </c>
      <c r="C878" s="161" t="str">
        <f>IFERROR(__xludf.DUMMYFUNCTION("""COMPUTED_VALUE"""),"ACTIVE")</f>
        <v>ACTIVE</v>
      </c>
      <c r="E878" s="161" t="s">
        <v>4762</v>
      </c>
      <c r="F878" s="161" t="s">
        <v>42</v>
      </c>
    </row>
    <row r="879">
      <c r="A879" s="132" t="str">
        <f>CONCATENATE(Data!AA879,"|",Data!N879)</f>
        <v>Society of St Vincent de Paul|ACTIVE</v>
      </c>
      <c r="B879" s="161" t="str">
        <f>IFERROR(__xludf.DUMMYFUNCTION("""COMPUTED_VALUE"""),"Society of St Vincent de Paul")</f>
        <v>Society of St Vincent de Paul</v>
      </c>
      <c r="C879" s="161" t="str">
        <f>IFERROR(__xludf.DUMMYFUNCTION("""COMPUTED_VALUE"""),"ACTIVE")</f>
        <v>ACTIVE</v>
      </c>
      <c r="E879" s="161" t="s">
        <v>4762</v>
      </c>
      <c r="F879" s="161" t="s">
        <v>42</v>
      </c>
    </row>
    <row r="880">
      <c r="A880" s="132" t="str">
        <f>CONCATENATE(Data!AA880,"|",Data!N880)</f>
        <v>Society of St Vincent de Paul|ACTIVE</v>
      </c>
      <c r="B880" s="161" t="str">
        <f>IFERROR(__xludf.DUMMYFUNCTION("""COMPUTED_VALUE"""),"Society of St Vincent de Paul")</f>
        <v>Society of St Vincent de Paul</v>
      </c>
      <c r="C880" s="161" t="str">
        <f>IFERROR(__xludf.DUMMYFUNCTION("""COMPUTED_VALUE"""),"ACTIVE")</f>
        <v>ACTIVE</v>
      </c>
      <c r="E880" s="161" t="s">
        <v>4762</v>
      </c>
      <c r="F880" s="161" t="s">
        <v>42</v>
      </c>
    </row>
    <row r="881">
      <c r="A881" s="132" t="str">
        <f>CONCATENATE(Data!AA881,"|",Data!N881)</f>
        <v>Society of St Vincent de Paul|ACTIVE</v>
      </c>
      <c r="B881" s="161" t="str">
        <f>IFERROR(__xludf.DUMMYFUNCTION("""COMPUTED_VALUE"""),"Society of St Vincent de Paul")</f>
        <v>Society of St Vincent de Paul</v>
      </c>
      <c r="C881" s="161" t="str">
        <f>IFERROR(__xludf.DUMMYFUNCTION("""COMPUTED_VALUE"""),"ACTIVE")</f>
        <v>ACTIVE</v>
      </c>
      <c r="E881" s="161" t="s">
        <v>4762</v>
      </c>
      <c r="F881" s="161" t="s">
        <v>42</v>
      </c>
    </row>
    <row r="882">
      <c r="A882" s="132" t="str">
        <f>CONCATENATE(Data!AA882,"|",Data!N882)</f>
        <v>St Thomas Presbyterian Church|ACTIVE</v>
      </c>
      <c r="B882" s="161" t="str">
        <f>IFERROR(__xludf.DUMMYFUNCTION("""COMPUTED_VALUE"""),"St Thomas Presbyterian Church")</f>
        <v>St Thomas Presbyterian Church</v>
      </c>
      <c r="C882" s="161" t="str">
        <f>IFERROR(__xludf.DUMMYFUNCTION("""COMPUTED_VALUE"""),"ACTIVE")</f>
        <v>ACTIVE</v>
      </c>
      <c r="E882" s="161" t="s">
        <v>4762</v>
      </c>
      <c r="F882" s="161" t="s">
        <v>42</v>
      </c>
    </row>
    <row r="883">
      <c r="A883" s="132" t="str">
        <f>CONCATENATE(Data!AA883,"|",Data!N883)</f>
        <v>Society of St Vincent de Paul|ACTIVE</v>
      </c>
      <c r="B883" s="161" t="str">
        <f>IFERROR(__xludf.DUMMYFUNCTION("""COMPUTED_VALUE"""),"Society of St Vincent de Paul")</f>
        <v>Society of St Vincent de Paul</v>
      </c>
      <c r="C883" s="161" t="str">
        <f>IFERROR(__xludf.DUMMYFUNCTION("""COMPUTED_VALUE"""),"ACTIVE")</f>
        <v>ACTIVE</v>
      </c>
      <c r="E883" s="161" t="s">
        <v>4762</v>
      </c>
      <c r="F883" s="161" t="s">
        <v>42</v>
      </c>
    </row>
    <row r="884">
      <c r="A884" s="132" t="str">
        <f>CONCATENATE(Data!AA884,"|",Data!N884)</f>
        <v>Society of St Vincent de Paul|ACTIVE</v>
      </c>
      <c r="B884" s="161" t="str">
        <f>IFERROR(__xludf.DUMMYFUNCTION("""COMPUTED_VALUE"""),"Society of St Vincent de Paul")</f>
        <v>Society of St Vincent de Paul</v>
      </c>
      <c r="C884" s="161" t="str">
        <f>IFERROR(__xludf.DUMMYFUNCTION("""COMPUTED_VALUE"""),"ACTIVE")</f>
        <v>ACTIVE</v>
      </c>
      <c r="E884" s="161" t="s">
        <v>4762</v>
      </c>
      <c r="F884" s="161" t="s">
        <v>42</v>
      </c>
    </row>
    <row r="885">
      <c r="A885" s="132" t="str">
        <f>CONCATENATE(Data!AA885,"|",Data!N885)</f>
        <v>Society of St Vincent de Paul|ACTIVE</v>
      </c>
      <c r="B885" s="161" t="str">
        <f>IFERROR(__xludf.DUMMYFUNCTION("""COMPUTED_VALUE"""),"Society of St Vincent de Paul")</f>
        <v>Society of St Vincent de Paul</v>
      </c>
      <c r="C885" s="161" t="str">
        <f>IFERROR(__xludf.DUMMYFUNCTION("""COMPUTED_VALUE"""),"ACTIVE")</f>
        <v>ACTIVE</v>
      </c>
      <c r="E885" s="161" t="s">
        <v>4762</v>
      </c>
      <c r="F885" s="161" t="s">
        <v>42</v>
      </c>
    </row>
    <row r="886">
      <c r="A886" s="132" t="str">
        <f>CONCATENATE(Data!AA886,"|",Data!N886)</f>
        <v>Society of St Vincent de Paul|ACTIVE</v>
      </c>
      <c r="B886" s="161" t="str">
        <f>IFERROR(__xludf.DUMMYFUNCTION("""COMPUTED_VALUE"""),"Society of St Vincent de Paul")</f>
        <v>Society of St Vincent de Paul</v>
      </c>
      <c r="C886" s="161" t="str">
        <f>IFERROR(__xludf.DUMMYFUNCTION("""COMPUTED_VALUE"""),"ACTIVE")</f>
        <v>ACTIVE</v>
      </c>
      <c r="E886" s="161" t="s">
        <v>4783</v>
      </c>
      <c r="F886" s="161" t="s">
        <v>42</v>
      </c>
    </row>
    <row r="887">
      <c r="A887" s="132" t="str">
        <f>CONCATENATE(Data!AA887,"|",Data!N887)</f>
        <v>Society of St Vincent de Paul|ACTIVE</v>
      </c>
      <c r="B887" s="161" t="str">
        <f>IFERROR(__xludf.DUMMYFUNCTION("""COMPUTED_VALUE"""),"Society of St Vincent de Paul")</f>
        <v>Society of St Vincent de Paul</v>
      </c>
      <c r="C887" s="161" t="str">
        <f>IFERROR(__xludf.DUMMYFUNCTION("""COMPUTED_VALUE"""),"ACTIVE")</f>
        <v>ACTIVE</v>
      </c>
      <c r="E887" s="161" t="s">
        <v>4783</v>
      </c>
      <c r="F887" s="161" t="s">
        <v>42</v>
      </c>
    </row>
    <row r="888">
      <c r="A888" s="132" t="str">
        <f>CONCATENATE(Data!AA888,"|",Data!N888)</f>
        <v>Society of St Vincent de Paul|ACTIVE</v>
      </c>
      <c r="B888" s="161" t="str">
        <f>IFERROR(__xludf.DUMMYFUNCTION("""COMPUTED_VALUE"""),"Society of St Vincent de Paul")</f>
        <v>Society of St Vincent de Paul</v>
      </c>
      <c r="C888" s="161" t="str">
        <f>IFERROR(__xludf.DUMMYFUNCTION("""COMPUTED_VALUE"""),"ACTIVE")</f>
        <v>ACTIVE</v>
      </c>
      <c r="E888" s="161" t="s">
        <v>4793</v>
      </c>
      <c r="F888" s="161" t="s">
        <v>42</v>
      </c>
    </row>
    <row r="889">
      <c r="A889" s="132" t="str">
        <f>CONCATENATE(Data!AA889,"|",Data!N889)</f>
        <v>St Vincent's House|ACTIVE</v>
      </c>
      <c r="B889" s="161" t="str">
        <f>IFERROR(__xludf.DUMMYFUNCTION("""COMPUTED_VALUE"""),"St Vincent's House")</f>
        <v>St Vincent's House</v>
      </c>
      <c r="C889" s="161" t="str">
        <f>IFERROR(__xludf.DUMMYFUNCTION("""COMPUTED_VALUE"""),"ACTIVE")</f>
        <v>ACTIVE</v>
      </c>
      <c r="E889" s="161" t="s">
        <v>5785</v>
      </c>
      <c r="F889" s="161" t="s">
        <v>42</v>
      </c>
    </row>
    <row r="890">
      <c r="A890" s="132" t="str">
        <f>CONCATENATE(Data!AA890,"|",Data!N890)</f>
        <v>St Vincent's House|ACTIVE</v>
      </c>
      <c r="B890" s="161" t="str">
        <f>IFERROR(__xludf.DUMMYFUNCTION("""COMPUTED_VALUE"""),"St Vincent's House")</f>
        <v>St Vincent's House</v>
      </c>
      <c r="C890" s="161" t="str">
        <f>IFERROR(__xludf.DUMMYFUNCTION("""COMPUTED_VALUE"""),"ACTIVE")</f>
        <v>ACTIVE</v>
      </c>
      <c r="E890" s="161" t="s">
        <v>5785</v>
      </c>
      <c r="F890" s="161" t="s">
        <v>42</v>
      </c>
    </row>
    <row r="891">
      <c r="A891" s="132" t="str">
        <f>CONCATENATE(Data!AA891,"|",Data!N891)</f>
        <v>St Vincent's House|ACTIVE</v>
      </c>
      <c r="B891" s="161" t="str">
        <f>IFERROR(__xludf.DUMMYFUNCTION("""COMPUTED_VALUE"""),"St Vincent's House")</f>
        <v>St Vincent's House</v>
      </c>
      <c r="C891" s="161" t="str">
        <f>IFERROR(__xludf.DUMMYFUNCTION("""COMPUTED_VALUE"""),"ACTIVE")</f>
        <v>ACTIVE</v>
      </c>
      <c r="E891" s="161" t="s">
        <v>4817</v>
      </c>
      <c r="F891" s="161" t="s">
        <v>42</v>
      </c>
    </row>
    <row r="892">
      <c r="A892" s="132" t="str">
        <f>CONCATENATE(Data!AA892,"|",Data!N892)</f>
        <v>St Vincent's House|ACTIVE</v>
      </c>
      <c r="B892" s="161" t="str">
        <f>IFERROR(__xludf.DUMMYFUNCTION("""COMPUTED_VALUE"""),"St Vincent's House")</f>
        <v>St Vincent's House</v>
      </c>
      <c r="C892" s="161" t="str">
        <f>IFERROR(__xludf.DUMMYFUNCTION("""COMPUTED_VALUE"""),"ACTIVE")</f>
        <v>ACTIVE</v>
      </c>
      <c r="E892" s="161" t="s">
        <v>51</v>
      </c>
      <c r="F892" s="161" t="s">
        <v>57</v>
      </c>
    </row>
    <row r="893">
      <c r="A893" s="132" t="str">
        <f>CONCATENATE(Data!AA893,"|",Data!N893)</f>
        <v>St Vincent's House|ACTIVE</v>
      </c>
      <c r="B893" s="161" t="str">
        <f>IFERROR(__xludf.DUMMYFUNCTION("""COMPUTED_VALUE"""),"St Vincent's House")</f>
        <v>St Vincent's House</v>
      </c>
      <c r="C893" s="161" t="str">
        <f>IFERROR(__xludf.DUMMYFUNCTION("""COMPUTED_VALUE"""),"ACTIVE")</f>
        <v>ACTIVE</v>
      </c>
      <c r="E893" s="161" t="s">
        <v>392</v>
      </c>
      <c r="F893" s="161" t="s">
        <v>57</v>
      </c>
    </row>
    <row r="894">
      <c r="A894" s="132" t="str">
        <f>CONCATENATE(Data!AA894,"|",Data!N894)</f>
        <v>St Vincent's House|ACTIVE</v>
      </c>
      <c r="B894" s="161" t="str">
        <f>IFERROR(__xludf.DUMMYFUNCTION("""COMPUTED_VALUE"""),"St Vincent's House")</f>
        <v>St Vincent's House</v>
      </c>
      <c r="C894" s="161" t="str">
        <f>IFERROR(__xludf.DUMMYFUNCTION("""COMPUTED_VALUE"""),"ACTIVE")</f>
        <v>ACTIVE</v>
      </c>
      <c r="E894" s="161" t="s">
        <v>820</v>
      </c>
      <c r="F894" s="161" t="s">
        <v>57</v>
      </c>
    </row>
    <row r="895">
      <c r="A895" s="132" t="str">
        <f>CONCATENATE(Data!AA895,"|",Data!N895)</f>
        <v>St Vincent's House|ACTIVE</v>
      </c>
      <c r="B895" s="161" t="str">
        <f>IFERROR(__xludf.DUMMYFUNCTION("""COMPUTED_VALUE"""),"St Vincent's House")</f>
        <v>St Vincent's House</v>
      </c>
      <c r="C895" s="161" t="str">
        <f>IFERROR(__xludf.DUMMYFUNCTION("""COMPUTED_VALUE"""),"ACTIVE")</f>
        <v>ACTIVE</v>
      </c>
      <c r="E895" s="161" t="s">
        <v>962</v>
      </c>
      <c r="F895" s="161" t="s">
        <v>57</v>
      </c>
    </row>
    <row r="896">
      <c r="A896" s="132" t="str">
        <f>CONCATENATE(Data!AA896,"|",Data!N896)</f>
        <v>St Vincent's House|ACTIVE</v>
      </c>
      <c r="B896" s="161" t="str">
        <f>IFERROR(__xludf.DUMMYFUNCTION("""COMPUTED_VALUE"""),"St Vincent's House")</f>
        <v>St Vincent's House</v>
      </c>
      <c r="C896" s="161" t="str">
        <f>IFERROR(__xludf.DUMMYFUNCTION("""COMPUTED_VALUE"""),"ACTIVE")</f>
        <v>ACTIVE</v>
      </c>
      <c r="E896" s="161" t="s">
        <v>1098</v>
      </c>
      <c r="F896" s="161" t="s">
        <v>57</v>
      </c>
    </row>
    <row r="897">
      <c r="A897" s="132" t="str">
        <f>CONCATENATE(Data!AA897,"|",Data!N897)</f>
        <v>Star of Hope Mission|ACTIVE</v>
      </c>
      <c r="B897" s="161" t="str">
        <f>IFERROR(__xludf.DUMMYFUNCTION("""COMPUTED_VALUE"""),"Star of Hope Mission")</f>
        <v>Star of Hope Mission</v>
      </c>
      <c r="C897" s="161" t="str">
        <f>IFERROR(__xludf.DUMMYFUNCTION("""COMPUTED_VALUE"""),"ACTIVE")</f>
        <v>ACTIVE</v>
      </c>
      <c r="E897" s="161" t="s">
        <v>1098</v>
      </c>
      <c r="F897" s="161" t="s">
        <v>57</v>
      </c>
    </row>
    <row r="898">
      <c r="A898" s="132" t="str">
        <f>CONCATENATE(Data!AA898,"|",Data!N898)</f>
        <v>Star of Hope Mission|ACTIVE</v>
      </c>
      <c r="B898" s="161" t="str">
        <f>IFERROR(__xludf.DUMMYFUNCTION("""COMPUTED_VALUE"""),"Star of Hope Mission")</f>
        <v>Star of Hope Mission</v>
      </c>
      <c r="C898" s="161" t="str">
        <f>IFERROR(__xludf.DUMMYFUNCTION("""COMPUTED_VALUE"""),"ACTIVE")</f>
        <v>ACTIVE</v>
      </c>
      <c r="E898" s="161" t="s">
        <v>1098</v>
      </c>
      <c r="F898" s="161" t="s">
        <v>57</v>
      </c>
    </row>
    <row r="899">
      <c r="A899" s="132" t="str">
        <f>CONCATENATE(Data!AA899,"|",Data!N899)</f>
        <v>Star of Hope Mission|ACTIVE</v>
      </c>
      <c r="B899" s="161" t="str">
        <f>IFERROR(__xludf.DUMMYFUNCTION("""COMPUTED_VALUE"""),"Star of Hope Mission")</f>
        <v>Star of Hope Mission</v>
      </c>
      <c r="C899" s="161" t="str">
        <f>IFERROR(__xludf.DUMMYFUNCTION("""COMPUTED_VALUE"""),"ACTIVE")</f>
        <v>ACTIVE</v>
      </c>
      <c r="E899" s="161" t="s">
        <v>1098</v>
      </c>
      <c r="F899" s="161" t="s">
        <v>57</v>
      </c>
    </row>
    <row r="900">
      <c r="A900" s="132" t="str">
        <f>CONCATENATE(Data!AA900,"|",Data!N900)</f>
        <v>Society of St Vincent de Paul|ACTIVE</v>
      </c>
      <c r="B900" s="161" t="str">
        <f>IFERROR(__xludf.DUMMYFUNCTION("""COMPUTED_VALUE"""),"Society of St Vincent de Paul")</f>
        <v>Society of St Vincent de Paul</v>
      </c>
      <c r="C900" s="161" t="str">
        <f>IFERROR(__xludf.DUMMYFUNCTION("""COMPUTED_VALUE"""),"ACTIVE")</f>
        <v>ACTIVE</v>
      </c>
      <c r="E900" s="161" t="s">
        <v>1148</v>
      </c>
      <c r="F900" s="161" t="s">
        <v>57</v>
      </c>
    </row>
    <row r="901">
      <c r="A901" s="132" t="str">
        <f>CONCATENATE(Data!AA901,"|",Data!N901)</f>
        <v>Society of St Vincent de Paul|ACTIVE</v>
      </c>
      <c r="B901" s="161" t="str">
        <f>IFERROR(__xludf.DUMMYFUNCTION("""COMPUTED_VALUE"""),"Society of St Vincent de Paul")</f>
        <v>Society of St Vincent de Paul</v>
      </c>
      <c r="C901" s="161" t="str">
        <f>IFERROR(__xludf.DUMMYFUNCTION("""COMPUTED_VALUE"""),"ACTIVE")</f>
        <v>ACTIVE</v>
      </c>
      <c r="E901" s="161" t="s">
        <v>1746</v>
      </c>
      <c r="F901" s="161" t="s">
        <v>57</v>
      </c>
    </row>
    <row r="902">
      <c r="A902" s="132" t="str">
        <f>CONCATENATE(Data!AA902,"|",Data!N902)</f>
        <v>Society of St Vincent de Paul|ACTIVE</v>
      </c>
      <c r="B902" s="161" t="str">
        <f>IFERROR(__xludf.DUMMYFUNCTION("""COMPUTED_VALUE"""),"Society of St Vincent de Paul")</f>
        <v>Society of St Vincent de Paul</v>
      </c>
      <c r="C902" s="161" t="str">
        <f>IFERROR(__xludf.DUMMYFUNCTION("""COMPUTED_VALUE"""),"ACTIVE")</f>
        <v>ACTIVE</v>
      </c>
      <c r="E902" s="161" t="s">
        <v>1746</v>
      </c>
      <c r="F902" s="161" t="s">
        <v>57</v>
      </c>
    </row>
    <row r="903">
      <c r="A903" s="132" t="str">
        <f>CONCATENATE(Data!AA903,"|",Data!N903)</f>
        <v>City of Houston|ACTIVE</v>
      </c>
      <c r="B903" s="161" t="str">
        <f>IFERROR(__xludf.DUMMYFUNCTION("""COMPUTED_VALUE"""),"City of Houston")</f>
        <v>City of Houston</v>
      </c>
      <c r="C903" s="161" t="str">
        <f>IFERROR(__xludf.DUMMYFUNCTION("""COMPUTED_VALUE"""),"ACTIVE")</f>
        <v>ACTIVE</v>
      </c>
      <c r="E903" s="161" t="s">
        <v>1907</v>
      </c>
      <c r="F903" s="161" t="s">
        <v>57</v>
      </c>
    </row>
    <row r="904">
      <c r="A904" s="132" t="str">
        <f>CONCATENATE(Data!AA904,"|",Data!N904)</f>
        <v>City of Houston|ACTIVE</v>
      </c>
      <c r="B904" s="161" t="str">
        <f>IFERROR(__xludf.DUMMYFUNCTION("""COMPUTED_VALUE"""),"City of Houston")</f>
        <v>City of Houston</v>
      </c>
      <c r="C904" s="161" t="str">
        <f>IFERROR(__xludf.DUMMYFUNCTION("""COMPUTED_VALUE"""),"ACTIVE")</f>
        <v>ACTIVE</v>
      </c>
      <c r="E904" s="161" t="s">
        <v>5765</v>
      </c>
      <c r="F904" s="161" t="s">
        <v>57</v>
      </c>
    </row>
    <row r="905">
      <c r="A905" s="132" t="str">
        <f>CONCATENATE(Data!AA905,"|",Data!N905)</f>
        <v>City of Houston|ACTIVE</v>
      </c>
      <c r="B905" s="161" t="str">
        <f>IFERROR(__xludf.DUMMYFUNCTION("""COMPUTED_VALUE"""),"City of Houston")</f>
        <v>City of Houston</v>
      </c>
      <c r="C905" s="161" t="str">
        <f>IFERROR(__xludf.DUMMYFUNCTION("""COMPUTED_VALUE"""),"ACTIVE")</f>
        <v>ACTIVE</v>
      </c>
      <c r="E905" s="161" t="s">
        <v>2484</v>
      </c>
      <c r="F905" s="161" t="s">
        <v>57</v>
      </c>
    </row>
    <row r="906">
      <c r="A906" s="132" t="str">
        <f>CONCATENATE(Data!AA906,"|",Data!N906)</f>
        <v>City of Houston|ACTIVE</v>
      </c>
      <c r="B906" s="161" t="str">
        <f>IFERROR(__xludf.DUMMYFUNCTION("""COMPUTED_VALUE"""),"City of Houston")</f>
        <v>City of Houston</v>
      </c>
      <c r="C906" s="161" t="str">
        <f>IFERROR(__xludf.DUMMYFUNCTION("""COMPUTED_VALUE"""),"ACTIVE")</f>
        <v>ACTIVE</v>
      </c>
      <c r="E906" s="161" t="s">
        <v>2991</v>
      </c>
      <c r="F906" s="161" t="s">
        <v>57</v>
      </c>
    </row>
    <row r="907">
      <c r="A907" s="132" t="str">
        <f>CONCATENATE(Data!AA907,"|",Data!N907)</f>
        <v>City of Houston|ACTIVE</v>
      </c>
      <c r="B907" s="161" t="str">
        <f>IFERROR(__xludf.DUMMYFUNCTION("""COMPUTED_VALUE"""),"City of Houston")</f>
        <v>City of Houston</v>
      </c>
      <c r="C907" s="161" t="str">
        <f>IFERROR(__xludf.DUMMYFUNCTION("""COMPUTED_VALUE"""),"ACTIVE")</f>
        <v>ACTIVE</v>
      </c>
      <c r="E907" s="161" t="s">
        <v>2991</v>
      </c>
      <c r="F907" s="161" t="s">
        <v>57</v>
      </c>
    </row>
    <row r="908">
      <c r="A908" s="132" t="str">
        <f>CONCATENATE(Data!AA908,"|",Data!N908)</f>
        <v>Tahirih Justice Center|ACTIVE</v>
      </c>
      <c r="B908" s="161" t="str">
        <f>IFERROR(__xludf.DUMMYFUNCTION("""COMPUTED_VALUE"""),"Tahirih Justice Center")</f>
        <v>Tahirih Justice Center</v>
      </c>
      <c r="C908" s="161" t="str">
        <f>IFERROR(__xludf.DUMMYFUNCTION("""COMPUTED_VALUE"""),"ACTIVE")</f>
        <v>ACTIVE</v>
      </c>
      <c r="E908" s="161" t="s">
        <v>3011</v>
      </c>
      <c r="F908" s="161" t="s">
        <v>57</v>
      </c>
    </row>
    <row r="909">
      <c r="A909" s="132" t="str">
        <f>CONCATENATE(Data!AA909,"|",Data!N909)</f>
        <v>Target Hunger|ACTIVE</v>
      </c>
      <c r="B909" s="161" t="str">
        <f>IFERROR(__xludf.DUMMYFUNCTION("""COMPUTED_VALUE"""),"Target Hunger")</f>
        <v>Target Hunger</v>
      </c>
      <c r="C909" s="161" t="str">
        <f>IFERROR(__xludf.DUMMYFUNCTION("""COMPUTED_VALUE"""),"ACTIVE")</f>
        <v>ACTIVE</v>
      </c>
      <c r="E909" s="161" t="s">
        <v>3011</v>
      </c>
      <c r="F909" s="161" t="s">
        <v>57</v>
      </c>
    </row>
    <row r="910">
      <c r="A910" s="132" t="str">
        <f>CONCATENATE(Data!AA910,"|",Data!N910)</f>
        <v>Target Hunger|ACTIVE</v>
      </c>
      <c r="B910" s="161" t="str">
        <f>IFERROR(__xludf.DUMMYFUNCTION("""COMPUTED_VALUE"""),"Target Hunger")</f>
        <v>Target Hunger</v>
      </c>
      <c r="C910" s="161" t="str">
        <f>IFERROR(__xludf.DUMMYFUNCTION("""COMPUTED_VALUE"""),"ACTIVE")</f>
        <v>ACTIVE</v>
      </c>
      <c r="E910" s="161" t="s">
        <v>3427</v>
      </c>
      <c r="F910" s="161" t="s">
        <v>57</v>
      </c>
    </row>
    <row r="911">
      <c r="A911" s="132" t="str">
        <f>CONCATENATE(Data!AA911,"|",Data!N911)</f>
        <v>Texas Defender Service|ACTIVE</v>
      </c>
      <c r="B911" s="161" t="str">
        <f>IFERROR(__xludf.DUMMYFUNCTION("""COMPUTED_VALUE"""),"Texas Defender Service")</f>
        <v>Texas Defender Service</v>
      </c>
      <c r="C911" s="161" t="str">
        <f>IFERROR(__xludf.DUMMYFUNCTION("""COMPUTED_VALUE"""),"ACTIVE")</f>
        <v>ACTIVE</v>
      </c>
      <c r="E911" s="161" t="s">
        <v>3427</v>
      </c>
      <c r="F911" s="161" t="s">
        <v>57</v>
      </c>
    </row>
    <row r="912">
      <c r="A912" s="132" t="str">
        <f>CONCATENATE(Data!AA912,"|",Data!N912)</f>
        <v>Texas Health &amp; Human Services|ACTIVE</v>
      </c>
      <c r="B912" s="161" t="str">
        <f>IFERROR(__xludf.DUMMYFUNCTION("""COMPUTED_VALUE"""),"Texas Health &amp; Human Services")</f>
        <v>Texas Health &amp; Human Services</v>
      </c>
      <c r="C912" s="161" t="str">
        <f>IFERROR(__xludf.DUMMYFUNCTION("""COMPUTED_VALUE"""),"ACTIVE")</f>
        <v>ACTIVE</v>
      </c>
      <c r="E912" s="161" t="s">
        <v>3763</v>
      </c>
      <c r="F912" s="161" t="s">
        <v>57</v>
      </c>
    </row>
    <row r="913">
      <c r="A913" s="132" t="str">
        <f>CONCATENATE(Data!AA913,"|",Data!N913)</f>
        <v>Texas Legal Services Center|ACTIVE</v>
      </c>
      <c r="B913" s="161" t="str">
        <f>IFERROR(__xludf.DUMMYFUNCTION("""COMPUTED_VALUE"""),"Texas Legal Services Center")</f>
        <v>Texas Legal Services Center</v>
      </c>
      <c r="C913" s="161" t="str">
        <f>IFERROR(__xludf.DUMMYFUNCTION("""COMPUTED_VALUE"""),"ACTIVE")</f>
        <v>ACTIVE</v>
      </c>
      <c r="E913" s="161" t="s">
        <v>5780</v>
      </c>
      <c r="F913" s="161" t="s">
        <v>57</v>
      </c>
    </row>
    <row r="914">
      <c r="A914" s="132" t="str">
        <f>CONCATENATE(Data!AA914,"|",Data!N914)</f>
        <v>Texas National Guard Family Support Foundation|ACTIVE</v>
      </c>
      <c r="B914" s="161" t="str">
        <f>IFERROR(__xludf.DUMMYFUNCTION("""COMPUTED_VALUE"""),"Texas National Guard Family Support Foundation")</f>
        <v>Texas National Guard Family Support Foundation</v>
      </c>
      <c r="C914" s="161" t="str">
        <f>IFERROR(__xludf.DUMMYFUNCTION("""COMPUTED_VALUE"""),"ACTIVE")</f>
        <v>ACTIVE</v>
      </c>
      <c r="E914" s="161" t="s">
        <v>5780</v>
      </c>
      <c r="F914" s="161" t="s">
        <v>57</v>
      </c>
    </row>
    <row r="915">
      <c r="A915" s="132" t="str">
        <f>CONCATENATE(Data!AA915,"|",Data!N915)</f>
        <v>Texas Rio Grande Legal Aid|ACTIVE</v>
      </c>
      <c r="B915" s="161" t="str">
        <f>IFERROR(__xludf.DUMMYFUNCTION("""COMPUTED_VALUE"""),"Texas Rio Grande Legal Aid")</f>
        <v>Texas Rio Grande Legal Aid</v>
      </c>
      <c r="C915" s="161" t="str">
        <f>IFERROR(__xludf.DUMMYFUNCTION("""COMPUTED_VALUE"""),"ACTIVE")</f>
        <v>ACTIVE</v>
      </c>
      <c r="E915" s="161" t="s">
        <v>5780</v>
      </c>
      <c r="F915" s="161" t="s">
        <v>57</v>
      </c>
    </row>
    <row r="916">
      <c r="A916" s="132" t="str">
        <f>CONCATENATE(Data!AA916,"|",Data!N916)</f>
        <v>Texas Temporary Assistance for Needy Families (TANF)|ACTIVE</v>
      </c>
      <c r="B916" s="161" t="str">
        <f>IFERROR(__xludf.DUMMYFUNCTION("""COMPUTED_VALUE"""),"Texas Temporary Assistance for Needy Families (TANF)")</f>
        <v>Texas Temporary Assistance for Needy Families (TANF)</v>
      </c>
      <c r="C916" s="161" t="str">
        <f>IFERROR(__xludf.DUMMYFUNCTION("""COMPUTED_VALUE"""),"ACTIVE")</f>
        <v>ACTIVE</v>
      </c>
      <c r="E916" s="161" t="s">
        <v>3809</v>
      </c>
      <c r="F916" s="161" t="s">
        <v>57</v>
      </c>
    </row>
    <row r="917">
      <c r="A917" s="132" t="str">
        <f>CONCATENATE(Data!AA917,"|",Data!N917)</f>
        <v>Texas Veterans Commission|ACTIVE</v>
      </c>
      <c r="B917" s="161" t="str">
        <f>IFERROR(__xludf.DUMMYFUNCTION("""COMPUTED_VALUE"""),"Texas Veterans Commission")</f>
        <v>Texas Veterans Commission</v>
      </c>
      <c r="C917" s="161" t="str">
        <f>IFERROR(__xludf.DUMMYFUNCTION("""COMPUTED_VALUE"""),"ACTIVE")</f>
        <v>ACTIVE</v>
      </c>
      <c r="E917" s="161" t="s">
        <v>3809</v>
      </c>
      <c r="F917" s="161" t="s">
        <v>57</v>
      </c>
    </row>
    <row r="918">
      <c r="A918" s="132" t="str">
        <f>CONCATENATE(Data!AA918,"|",Data!N918)</f>
        <v>The Assistance Fund (TAF)|ACTIVE</v>
      </c>
      <c r="B918" s="161" t="str">
        <f>IFERROR(__xludf.DUMMYFUNCTION("""COMPUTED_VALUE"""),"The Assistance Fund (TAF)")</f>
        <v>The Assistance Fund (TAF)</v>
      </c>
      <c r="C918" s="161" t="str">
        <f>IFERROR(__xludf.DUMMYFUNCTION("""COMPUTED_VALUE"""),"ACTIVE")</f>
        <v>ACTIVE</v>
      </c>
      <c r="E918" s="161" t="s">
        <v>3837</v>
      </c>
      <c r="F918" s="161" t="s">
        <v>57</v>
      </c>
    </row>
    <row r="919">
      <c r="A919" s="132" t="str">
        <f>CONCATENATE(Data!AA919,"|",Data!N919)</f>
        <v>The Ballard House|ACTIVE</v>
      </c>
      <c r="B919" s="161" t="str">
        <f>IFERROR(__xludf.DUMMYFUNCTION("""COMPUTED_VALUE"""),"The Ballard House")</f>
        <v>The Ballard House</v>
      </c>
      <c r="C919" s="161" t="str">
        <f>IFERROR(__xludf.DUMMYFUNCTION("""COMPUTED_VALUE"""),"ACTIVE")</f>
        <v>ACTIVE</v>
      </c>
      <c r="E919" s="161" t="s">
        <v>971</v>
      </c>
      <c r="F919" s="161" t="s">
        <v>973</v>
      </c>
    </row>
    <row r="920">
      <c r="A920" s="132" t="str">
        <f>CONCATENATE(Data!AA920,"|",Data!N920)</f>
        <v>The Beacon|ACTIVE</v>
      </c>
      <c r="B920" s="161" t="str">
        <f>IFERROR(__xludf.DUMMYFUNCTION("""COMPUTED_VALUE"""),"The Beacon")</f>
        <v>The Beacon</v>
      </c>
      <c r="C920" s="161" t="str">
        <f>IFERROR(__xludf.DUMMYFUNCTION("""COMPUTED_VALUE"""),"ACTIVE")</f>
        <v>ACTIVE</v>
      </c>
      <c r="E920" s="161" t="s">
        <v>971</v>
      </c>
      <c r="F920" s="161" t="s">
        <v>973</v>
      </c>
    </row>
    <row r="921">
      <c r="A921" s="132" t="str">
        <f>CONCATENATE(Data!AA921,"|",Data!N921)</f>
        <v>The Beacon|ACTIVE</v>
      </c>
      <c r="B921" s="161" t="str">
        <f>IFERROR(__xludf.DUMMYFUNCTION("""COMPUTED_VALUE"""),"The Beacon")</f>
        <v>The Beacon</v>
      </c>
      <c r="C921" s="161" t="str">
        <f>IFERROR(__xludf.DUMMYFUNCTION("""COMPUTED_VALUE"""),"ACTIVE")</f>
        <v>ACTIVE</v>
      </c>
      <c r="E921" s="161" t="s">
        <v>971</v>
      </c>
      <c r="F921" s="161" t="s">
        <v>973</v>
      </c>
    </row>
    <row r="922">
      <c r="A922" s="132" t="str">
        <f>CONCATENATE(Data!AA922,"|",Data!N922)</f>
        <v>The Bridge Over Troubled Waters|ACTIVE</v>
      </c>
      <c r="B922" s="161" t="str">
        <f>IFERROR(__xludf.DUMMYFUNCTION("""COMPUTED_VALUE"""),"The Bridge Over Troubled Waters")</f>
        <v>The Bridge Over Troubled Waters</v>
      </c>
      <c r="C922" s="161" t="str">
        <f>IFERROR(__xludf.DUMMYFUNCTION("""COMPUTED_VALUE"""),"ACTIVE")</f>
        <v>ACTIVE</v>
      </c>
      <c r="E922" s="161" t="s">
        <v>1021</v>
      </c>
      <c r="F922" s="161" t="s">
        <v>973</v>
      </c>
    </row>
    <row r="923">
      <c r="A923" s="132" t="str">
        <f>CONCATENATE(Data!AA923,"|",Data!N923)</f>
        <v>The Bridge Over Troubled Waters|ACTIVE</v>
      </c>
      <c r="B923" s="161" t="str">
        <f>IFERROR(__xludf.DUMMYFUNCTION("""COMPUTED_VALUE"""),"The Bridge Over Troubled Waters")</f>
        <v>The Bridge Over Troubled Waters</v>
      </c>
      <c r="C923" s="161" t="str">
        <f>IFERROR(__xludf.DUMMYFUNCTION("""COMPUTED_VALUE"""),"ACTIVE")</f>
        <v>ACTIVE</v>
      </c>
      <c r="E923" s="161" t="s">
        <v>1021</v>
      </c>
      <c r="F923" s="161" t="s">
        <v>973</v>
      </c>
    </row>
    <row r="924">
      <c r="A924" s="132" t="str">
        <f>CONCATENATE(Data!AA924,"|",Data!N924)</f>
        <v>The Council on Recovery|ACTIVE</v>
      </c>
      <c r="B924" s="161" t="str">
        <f>IFERROR(__xludf.DUMMYFUNCTION("""COMPUTED_VALUE"""),"The Council on Recovery")</f>
        <v>The Council on Recovery</v>
      </c>
      <c r="C924" s="161" t="str">
        <f>IFERROR(__xludf.DUMMYFUNCTION("""COMPUTED_VALUE"""),"ACTIVE")</f>
        <v>ACTIVE</v>
      </c>
      <c r="E924" s="161" t="s">
        <v>1034</v>
      </c>
      <c r="F924" s="161" t="s">
        <v>973</v>
      </c>
    </row>
    <row r="925">
      <c r="A925" s="132" t="str">
        <f>CONCATENATE(Data!AA925,"|",Data!N925)</f>
        <v>The Houston Alumni and Youth Center (HAY)|ACTIVE</v>
      </c>
      <c r="B925" s="161" t="str">
        <f>IFERROR(__xludf.DUMMYFUNCTION("""COMPUTED_VALUE"""),"The Houston Alumni and Youth Center (HAY)")</f>
        <v>The Houston Alumni and Youth Center (HAY)</v>
      </c>
      <c r="C925" s="161" t="str">
        <f>IFERROR(__xludf.DUMMYFUNCTION("""COMPUTED_VALUE"""),"ACTIVE")</f>
        <v>ACTIVE</v>
      </c>
      <c r="E925" s="161" t="s">
        <v>1034</v>
      </c>
      <c r="F925" s="161" t="s">
        <v>973</v>
      </c>
    </row>
    <row r="926">
      <c r="A926" s="132" t="str">
        <f>CONCATENATE(Data!AA926,"|",Data!N926)</f>
        <v>The Lamp Project|INACTIVE</v>
      </c>
      <c r="B926" s="161" t="str">
        <f>IFERROR(__xludf.DUMMYFUNCTION("""COMPUTED_VALUE"""),"The Lamp Project")</f>
        <v>The Lamp Project</v>
      </c>
      <c r="C926" s="161" t="str">
        <f>IFERROR(__xludf.DUMMYFUNCTION("""COMPUTED_VALUE"""),"INACTIVE")</f>
        <v>INACTIVE</v>
      </c>
      <c r="E926" s="161" t="s">
        <v>253</v>
      </c>
      <c r="F926" s="161" t="s">
        <v>973</v>
      </c>
    </row>
    <row r="927">
      <c r="A927" s="132" t="str">
        <f>CONCATENATE(Data!AA927,"|",Data!N927)</f>
        <v>The Lamp Project|INACTIVE</v>
      </c>
      <c r="B927" s="161" t="str">
        <f>IFERROR(__xludf.DUMMYFUNCTION("""COMPUTED_VALUE"""),"The Lamp Project")</f>
        <v>The Lamp Project</v>
      </c>
      <c r="C927" s="161" t="str">
        <f>IFERROR(__xludf.DUMMYFUNCTION("""COMPUTED_VALUE"""),"INACTIVE")</f>
        <v>INACTIVE</v>
      </c>
      <c r="E927" s="161" t="s">
        <v>1297</v>
      </c>
      <c r="F927" s="161" t="s">
        <v>973</v>
      </c>
    </row>
    <row r="928">
      <c r="A928" s="132" t="str">
        <f>CONCATENATE(Data!AA928,"|",Data!N928)</f>
        <v>The Lamp Project|ACTIVE</v>
      </c>
      <c r="B928" s="161" t="str">
        <f>IFERROR(__xludf.DUMMYFUNCTION("""COMPUTED_VALUE"""),"The Lamp Project")</f>
        <v>The Lamp Project</v>
      </c>
      <c r="C928" s="161" t="str">
        <f>IFERROR(__xludf.DUMMYFUNCTION("""COMPUTED_VALUE"""),"ACTIVE")</f>
        <v>ACTIVE</v>
      </c>
      <c r="E928" s="161" t="s">
        <v>1297</v>
      </c>
      <c r="F928" s="161" t="s">
        <v>973</v>
      </c>
    </row>
    <row r="929">
      <c r="A929" s="132" t="str">
        <f>CONCATENATE(Data!AA929,"|",Data!N929)</f>
        <v>The Lamp Project|ACTIVE</v>
      </c>
      <c r="B929" s="161" t="str">
        <f>IFERROR(__xludf.DUMMYFUNCTION("""COMPUTED_VALUE"""),"The Lamp Project")</f>
        <v>The Lamp Project</v>
      </c>
      <c r="C929" s="161" t="str">
        <f>IFERROR(__xludf.DUMMYFUNCTION("""COMPUTED_VALUE"""),"ACTIVE")</f>
        <v>ACTIVE</v>
      </c>
      <c r="E929" s="161" t="s">
        <v>1297</v>
      </c>
      <c r="F929" s="161" t="s">
        <v>973</v>
      </c>
    </row>
    <row r="930">
      <c r="A930" s="132" t="str">
        <f>CONCATENATE(Data!AA930,"|",Data!N930)</f>
        <v>The Landing|ACTIVE</v>
      </c>
      <c r="B930" s="161" t="str">
        <f>IFERROR(__xludf.DUMMYFUNCTION("""COMPUTED_VALUE"""),"The Landing")</f>
        <v>The Landing</v>
      </c>
      <c r="C930" s="161" t="str">
        <f>IFERROR(__xludf.DUMMYFUNCTION("""COMPUTED_VALUE"""),"ACTIVE")</f>
        <v>ACTIVE</v>
      </c>
      <c r="E930" s="161" t="s">
        <v>1297</v>
      </c>
      <c r="F930" s="161" t="s">
        <v>973</v>
      </c>
    </row>
    <row r="931">
      <c r="A931" s="132" t="str">
        <f>CONCATENATE(Data!AA931,"|",Data!N931)</f>
        <v>The Lighthouse of Houston|ACTIVE</v>
      </c>
      <c r="B931" s="161" t="str">
        <f>IFERROR(__xludf.DUMMYFUNCTION("""COMPUTED_VALUE"""),"The Lighthouse of Houston")</f>
        <v>The Lighthouse of Houston</v>
      </c>
      <c r="C931" s="161" t="str">
        <f>IFERROR(__xludf.DUMMYFUNCTION("""COMPUTED_VALUE"""),"ACTIVE")</f>
        <v>ACTIVE</v>
      </c>
      <c r="E931" s="161" t="s">
        <v>1350</v>
      </c>
      <c r="F931" s="161" t="s">
        <v>973</v>
      </c>
    </row>
    <row r="932">
      <c r="A932" s="132" t="str">
        <f>CONCATENATE(Data!AA932,"|",Data!N932)</f>
        <v>The Lighthouse of Houston|ACTIVE</v>
      </c>
      <c r="B932" s="161" t="str">
        <f>IFERROR(__xludf.DUMMYFUNCTION("""COMPUTED_VALUE"""),"The Lighthouse of Houston")</f>
        <v>The Lighthouse of Houston</v>
      </c>
      <c r="C932" s="161" t="str">
        <f>IFERROR(__xludf.DUMMYFUNCTION("""COMPUTED_VALUE"""),"ACTIVE")</f>
        <v>ACTIVE</v>
      </c>
      <c r="E932" s="161" t="s">
        <v>1350</v>
      </c>
      <c r="F932" s="161" t="s">
        <v>973</v>
      </c>
    </row>
    <row r="933">
      <c r="A933" s="132" t="str">
        <f>CONCATENATE(Data!AA933,"|",Data!N933)</f>
        <v>The Lighthouse of Houston|ACTIVE</v>
      </c>
      <c r="B933" s="161" t="str">
        <f>IFERROR(__xludf.DUMMYFUNCTION("""COMPUTED_VALUE"""),"The Lighthouse of Houston")</f>
        <v>The Lighthouse of Houston</v>
      </c>
      <c r="C933" s="161" t="str">
        <f>IFERROR(__xludf.DUMMYFUNCTION("""COMPUTED_VALUE"""),"ACTIVE")</f>
        <v>ACTIVE</v>
      </c>
      <c r="E933" s="161" t="s">
        <v>5761</v>
      </c>
      <c r="F933" s="161" t="s">
        <v>973</v>
      </c>
    </row>
    <row r="934">
      <c r="A934" s="132" t="str">
        <f>CONCATENATE(Data!AA934,"|",Data!N934)</f>
        <v>The Women's Home|ACTIVE</v>
      </c>
      <c r="B934" s="161" t="str">
        <f>IFERROR(__xludf.DUMMYFUNCTION("""COMPUTED_VALUE"""),"The Women's Home")</f>
        <v>The Women's Home</v>
      </c>
      <c r="C934" s="161" t="str">
        <f>IFERROR(__xludf.DUMMYFUNCTION("""COMPUTED_VALUE"""),"ACTIVE")</f>
        <v>ACTIVE</v>
      </c>
      <c r="E934" s="161" t="s">
        <v>5761</v>
      </c>
      <c r="F934" s="161" t="s">
        <v>973</v>
      </c>
    </row>
    <row r="935">
      <c r="A935" s="132" t="str">
        <f>CONCATENATE(Data!AA935,"|",Data!N935)</f>
        <v>City of Houston|ACTIVE</v>
      </c>
      <c r="B935" s="161" t="str">
        <f>IFERROR(__xludf.DUMMYFUNCTION("""COMPUTED_VALUE"""),"City of Houston")</f>
        <v>City of Houston</v>
      </c>
      <c r="C935" s="161" t="str">
        <f>IFERROR(__xludf.DUMMYFUNCTION("""COMPUTED_VALUE"""),"ACTIVE")</f>
        <v>ACTIVE</v>
      </c>
      <c r="E935" s="161" t="s">
        <v>5761</v>
      </c>
      <c r="F935" s="161" t="s">
        <v>973</v>
      </c>
    </row>
    <row r="936">
      <c r="A936" s="132" t="str">
        <f>CONCATENATE(Data!AA936,"|",Data!N936)</f>
        <v>Tomball Emergency Asst Ministry|ACTIVE</v>
      </c>
      <c r="B936" s="161" t="str">
        <f>IFERROR(__xludf.DUMMYFUNCTION("""COMPUTED_VALUE"""),"Tomball Emergency Asst Ministry")</f>
        <v>Tomball Emergency Asst Ministry</v>
      </c>
      <c r="C936" s="161" t="str">
        <f>IFERROR(__xludf.DUMMYFUNCTION("""COMPUTED_VALUE"""),"ACTIVE")</f>
        <v>ACTIVE</v>
      </c>
      <c r="E936" s="161" t="s">
        <v>1621</v>
      </c>
      <c r="F936" s="161" t="s">
        <v>973</v>
      </c>
    </row>
    <row r="937">
      <c r="A937" s="132" t="str">
        <f>CONCATENATE(Data!AA937,"|",Data!N937)</f>
        <v>Tomball Emergency Asst Ministry|ACTIVE</v>
      </c>
      <c r="B937" s="161" t="str">
        <f>IFERROR(__xludf.DUMMYFUNCTION("""COMPUTED_VALUE"""),"Tomball Emergency Asst Ministry")</f>
        <v>Tomball Emergency Asst Ministry</v>
      </c>
      <c r="C937" s="161" t="str">
        <f>IFERROR(__xludf.DUMMYFUNCTION("""COMPUTED_VALUE"""),"ACTIVE")</f>
        <v>ACTIVE</v>
      </c>
      <c r="E937" s="161" t="s">
        <v>1621</v>
      </c>
      <c r="F937" s="161" t="s">
        <v>973</v>
      </c>
    </row>
    <row r="938">
      <c r="A938" s="132" t="str">
        <f>CONCATENATE(Data!AA938,"|",Data!N938)</f>
        <v>Tomball Emergency Asst Ministry|ACTIVE</v>
      </c>
      <c r="B938" s="161" t="str">
        <f>IFERROR(__xludf.DUMMYFUNCTION("""COMPUTED_VALUE"""),"Tomball Emergency Asst Ministry")</f>
        <v>Tomball Emergency Asst Ministry</v>
      </c>
      <c r="C938" s="161" t="str">
        <f>IFERROR(__xludf.DUMMYFUNCTION("""COMPUTED_VALUE"""),"ACTIVE")</f>
        <v>ACTIVE</v>
      </c>
      <c r="E938" s="161" t="s">
        <v>1621</v>
      </c>
      <c r="F938" s="161" t="s">
        <v>973</v>
      </c>
    </row>
    <row r="939">
      <c r="A939" s="132" t="str">
        <f>CONCATENATE(Data!AA939,"|",Data!N939)</f>
        <v>Tomball Emergency Asst Ministry|ACTIVE</v>
      </c>
      <c r="B939" s="161" t="str">
        <f>IFERROR(__xludf.DUMMYFUNCTION("""COMPUTED_VALUE"""),"Tomball Emergency Asst Ministry")</f>
        <v>Tomball Emergency Asst Ministry</v>
      </c>
      <c r="C939" s="161" t="str">
        <f>IFERROR(__xludf.DUMMYFUNCTION("""COMPUTED_VALUE"""),"ACTIVE")</f>
        <v>ACTIVE</v>
      </c>
      <c r="E939" s="161" t="s">
        <v>1832</v>
      </c>
      <c r="F939" s="161" t="s">
        <v>973</v>
      </c>
    </row>
    <row r="940">
      <c r="A940" s="132" t="str">
        <f>CONCATENATE(Data!AA940,"|",Data!N940)</f>
        <v>Tomball Emergency Asst Ministry|ACTIVE</v>
      </c>
      <c r="B940" s="161" t="str">
        <f>IFERROR(__xludf.DUMMYFUNCTION("""COMPUTED_VALUE"""),"Tomball Emergency Asst Ministry")</f>
        <v>Tomball Emergency Asst Ministry</v>
      </c>
      <c r="C940" s="161" t="str">
        <f>IFERROR(__xludf.DUMMYFUNCTION("""COMPUTED_VALUE"""),"ACTIVE")</f>
        <v>ACTIVE</v>
      </c>
      <c r="E940" s="161" t="s">
        <v>5765</v>
      </c>
      <c r="F940" s="161" t="s">
        <v>973</v>
      </c>
    </row>
    <row r="941">
      <c r="A941" s="132" t="str">
        <f>CONCATENATE(Data!AA941,"|",Data!N941)</f>
        <v>Tomball Emergency Asst Ministry|ACTIVE</v>
      </c>
      <c r="B941" s="161" t="str">
        <f>IFERROR(__xludf.DUMMYFUNCTION("""COMPUTED_VALUE"""),"Tomball Emergency Asst Ministry")</f>
        <v>Tomball Emergency Asst Ministry</v>
      </c>
      <c r="C941" s="161" t="str">
        <f>IFERROR(__xludf.DUMMYFUNCTION("""COMPUTED_VALUE"""),"ACTIVE")</f>
        <v>ACTIVE</v>
      </c>
      <c r="E941" s="161" t="s">
        <v>2382</v>
      </c>
      <c r="F941" s="161" t="s">
        <v>973</v>
      </c>
    </row>
    <row r="942">
      <c r="A942" s="132" t="str">
        <f>CONCATENATE(Data!AA942,"|",Data!N942)</f>
        <v>Tomball Emergency Asst Ministry|ACTIVE</v>
      </c>
      <c r="B942" s="161" t="str">
        <f>IFERROR(__xludf.DUMMYFUNCTION("""COMPUTED_VALUE"""),"Tomball Emergency Asst Ministry")</f>
        <v>Tomball Emergency Asst Ministry</v>
      </c>
      <c r="C942" s="161" t="str">
        <f>IFERROR(__xludf.DUMMYFUNCTION("""COMPUTED_VALUE"""),"ACTIVE")</f>
        <v>ACTIVE</v>
      </c>
      <c r="E942" s="161" t="s">
        <v>2396</v>
      </c>
      <c r="F942" s="161" t="s">
        <v>973</v>
      </c>
    </row>
    <row r="943">
      <c r="A943" s="132" t="str">
        <f>CONCATENATE(Data!AA943,"|",Data!N943)</f>
        <v>Tomball Emergency Asst Ministry|ACTIVE</v>
      </c>
      <c r="B943" s="161" t="str">
        <f>IFERROR(__xludf.DUMMYFUNCTION("""COMPUTED_VALUE"""),"Tomball Emergency Asst Ministry")</f>
        <v>Tomball Emergency Asst Ministry</v>
      </c>
      <c r="C943" s="161" t="str">
        <f>IFERROR(__xludf.DUMMYFUNCTION("""COMPUTED_VALUE"""),"ACTIVE")</f>
        <v>ACTIVE</v>
      </c>
      <c r="E943" s="161" t="s">
        <v>2751</v>
      </c>
      <c r="F943" s="161" t="s">
        <v>973</v>
      </c>
    </row>
    <row r="944">
      <c r="A944" s="132" t="str">
        <f>CONCATENATE(Data!AA944,"|",Data!N944)</f>
        <v>Tomball Emergency Asst Ministry|ACTIVE</v>
      </c>
      <c r="B944" s="161" t="str">
        <f>IFERROR(__xludf.DUMMYFUNCTION("""COMPUTED_VALUE"""),"Tomball Emergency Asst Ministry")</f>
        <v>Tomball Emergency Asst Ministry</v>
      </c>
      <c r="C944" s="161" t="str">
        <f>IFERROR(__xludf.DUMMYFUNCTION("""COMPUTED_VALUE"""),"ACTIVE")</f>
        <v>ACTIVE</v>
      </c>
      <c r="E944" s="161" t="s">
        <v>5778</v>
      </c>
      <c r="F944" s="161" t="s">
        <v>973</v>
      </c>
    </row>
    <row r="945">
      <c r="A945" s="132" t="str">
        <f>CONCATENATE(Data!AA945,"|",Data!N945)</f>
        <v>Trinity Lutheran|ACTIVE</v>
      </c>
      <c r="B945" s="161" t="str">
        <f>IFERROR(__xludf.DUMMYFUNCTION("""COMPUTED_VALUE"""),"Trinity Lutheran")</f>
        <v>Trinity Lutheran</v>
      </c>
      <c r="C945" s="161" t="str">
        <f>IFERROR(__xludf.DUMMYFUNCTION("""COMPUTED_VALUE"""),"ACTIVE")</f>
        <v>ACTIVE</v>
      </c>
      <c r="E945" s="161" t="s">
        <v>3788</v>
      </c>
      <c r="F945" s="161" t="s">
        <v>973</v>
      </c>
    </row>
    <row r="946">
      <c r="A946" s="132" t="str">
        <f>CONCATENATE(Data!AA946,"|",Data!N946)</f>
        <v>Trinity Lutheran|ACTIVE</v>
      </c>
      <c r="B946" s="161" t="str">
        <f>IFERROR(__xludf.DUMMYFUNCTION("""COMPUTED_VALUE"""),"Trinity Lutheran")</f>
        <v>Trinity Lutheran</v>
      </c>
      <c r="C946" s="161" t="str">
        <f>IFERROR(__xludf.DUMMYFUNCTION("""COMPUTED_VALUE"""),"ACTIVE")</f>
        <v>ACTIVE</v>
      </c>
      <c r="E946" s="161" t="s">
        <v>5780</v>
      </c>
      <c r="F946" s="161" t="s">
        <v>973</v>
      </c>
    </row>
    <row r="947">
      <c r="A947" s="132" t="str">
        <f>CONCATENATE(Data!AA947,"|",Data!N947)</f>
        <v>Trinity Lutheran|ACTIVE</v>
      </c>
      <c r="B947" s="161" t="str">
        <f>IFERROR(__xludf.DUMMYFUNCTION("""COMPUTED_VALUE"""),"Trinity Lutheran")</f>
        <v>Trinity Lutheran</v>
      </c>
      <c r="C947" s="161" t="str">
        <f>IFERROR(__xludf.DUMMYFUNCTION("""COMPUTED_VALUE"""),"ACTIVE")</f>
        <v>ACTIVE</v>
      </c>
      <c r="E947" s="161" t="s">
        <v>5780</v>
      </c>
      <c r="F947" s="161" t="s">
        <v>973</v>
      </c>
    </row>
    <row r="948">
      <c r="A948" s="132" t="str">
        <f>CONCATENATE(Data!AA948,"|",Data!N948)</f>
        <v>UH Health Family Care Center|ACTIVE</v>
      </c>
      <c r="B948" s="161" t="str">
        <f>IFERROR(__xludf.DUMMYFUNCTION("""COMPUTED_VALUE"""),"UH Health Family Care Center")</f>
        <v>UH Health Family Care Center</v>
      </c>
      <c r="C948" s="161" t="str">
        <f>IFERROR(__xludf.DUMMYFUNCTION("""COMPUTED_VALUE"""),"ACTIVE")</f>
        <v>ACTIVE</v>
      </c>
      <c r="E948" s="161" t="s">
        <v>5780</v>
      </c>
      <c r="F948" s="161" t="s">
        <v>973</v>
      </c>
    </row>
    <row r="949">
      <c r="A949" s="132" t="str">
        <f>CONCATENATE(Data!AA949,"|",Data!N949)</f>
        <v>United Way of Greater Houston|ACTIVE</v>
      </c>
      <c r="B949" s="161" t="str">
        <f>IFERROR(__xludf.DUMMYFUNCTION("""COMPUTED_VALUE"""),"United Way of Greater Houston")</f>
        <v>United Way of Greater Houston</v>
      </c>
      <c r="C949" s="161" t="str">
        <f>IFERROR(__xludf.DUMMYFUNCTION("""COMPUTED_VALUE"""),"ACTIVE")</f>
        <v>ACTIVE</v>
      </c>
      <c r="E949" s="161" t="s">
        <v>4004</v>
      </c>
      <c r="F949" s="161" t="s">
        <v>973</v>
      </c>
    </row>
    <row r="950">
      <c r="A950" s="132" t="str">
        <f>CONCATENATE(Data!AA950,"|",Data!N950)</f>
        <v>University of Houston Law Center Immigration Clinic|ACTIVE</v>
      </c>
      <c r="B950" s="161" t="str">
        <f>IFERROR(__xludf.DUMMYFUNCTION("""COMPUTED_VALUE"""),"University of Houston Law Center Immigration Clinic")</f>
        <v>University of Houston Law Center Immigration Clinic</v>
      </c>
      <c r="C950" s="161" t="str">
        <f>IFERROR(__xludf.DUMMYFUNCTION("""COMPUTED_VALUE"""),"ACTIVE")</f>
        <v>ACTIVE</v>
      </c>
      <c r="E950" s="161" t="s">
        <v>4598</v>
      </c>
      <c r="F950" s="161" t="s">
        <v>973</v>
      </c>
    </row>
    <row r="951">
      <c r="A951" s="132" t="str">
        <f>CONCATENATE(Data!AA951,"|",Data!N951)</f>
        <v>USA Cares|ACTIVE</v>
      </c>
      <c r="B951" s="161" t="str">
        <f>IFERROR(__xludf.DUMMYFUNCTION("""COMPUTED_VALUE"""),"USA Cares")</f>
        <v>USA Cares</v>
      </c>
      <c r="C951" s="161" t="str">
        <f>IFERROR(__xludf.DUMMYFUNCTION("""COMPUTED_VALUE"""),"ACTIVE")</f>
        <v>ACTIVE</v>
      </c>
      <c r="E951" s="161" t="s">
        <v>4598</v>
      </c>
      <c r="F951" s="161" t="s">
        <v>973</v>
      </c>
    </row>
    <row r="952">
      <c r="A952" s="132" t="str">
        <f>CONCATENATE(Data!AA952,"|",Data!N952)</f>
        <v>VA Community Resource &amp; Referral Center|ACTIVE</v>
      </c>
      <c r="B952" s="161" t="str">
        <f>IFERROR(__xludf.DUMMYFUNCTION("""COMPUTED_VALUE"""),"VA Community Resource &amp; Referral Center")</f>
        <v>VA Community Resource &amp; Referral Center</v>
      </c>
      <c r="C952" s="161" t="str">
        <f>IFERROR(__xludf.DUMMYFUNCTION("""COMPUTED_VALUE"""),"ACTIVE")</f>
        <v>ACTIVE</v>
      </c>
      <c r="E952" s="161" t="s">
        <v>4728</v>
      </c>
      <c r="F952" s="161" t="s">
        <v>973</v>
      </c>
    </row>
    <row r="953">
      <c r="A953" s="132" t="str">
        <f>CONCATENATE(Data!AA953,"|",Data!N953)</f>
        <v>Waller Assistance &amp; Restoration Ministries|ACTIVE</v>
      </c>
      <c r="B953" s="161" t="str">
        <f>IFERROR(__xludf.DUMMYFUNCTION("""COMPUTED_VALUE"""),"Waller Assistance &amp; Restoration Ministries")</f>
        <v>Waller Assistance &amp; Restoration Ministries</v>
      </c>
      <c r="C953" s="161" t="str">
        <f>IFERROR(__xludf.DUMMYFUNCTION("""COMPUTED_VALUE"""),"ACTIVE")</f>
        <v>ACTIVE</v>
      </c>
      <c r="E953" s="161" t="s">
        <v>4728</v>
      </c>
      <c r="F953" s="161" t="s">
        <v>973</v>
      </c>
    </row>
    <row r="954">
      <c r="A954" s="132" t="str">
        <f>CONCATENATE(Data!AA954,"|",Data!N954)</f>
        <v>Waller Assistance &amp; Restoration Ministries|ACTIVE</v>
      </c>
      <c r="B954" s="161" t="str">
        <f>IFERROR(__xludf.DUMMYFUNCTION("""COMPUTED_VALUE"""),"Waller Assistance &amp; Restoration Ministries")</f>
        <v>Waller Assistance &amp; Restoration Ministries</v>
      </c>
      <c r="C954" s="161" t="str">
        <f>IFERROR(__xludf.DUMMYFUNCTION("""COMPUTED_VALUE"""),"ACTIVE")</f>
        <v>ACTIVE</v>
      </c>
      <c r="E954" s="161" t="s">
        <v>4762</v>
      </c>
      <c r="F954" s="161" t="s">
        <v>973</v>
      </c>
    </row>
    <row r="955">
      <c r="A955" s="132" t="str">
        <f>CONCATENATE(Data!AA955,"|",Data!N955)</f>
        <v>Waller Assistance &amp; Restoration Ministries|ACTIVE</v>
      </c>
      <c r="B955" s="161" t="str">
        <f>IFERROR(__xludf.DUMMYFUNCTION("""COMPUTED_VALUE"""),"Waller Assistance &amp; Restoration Ministries")</f>
        <v>Waller Assistance &amp; Restoration Ministries</v>
      </c>
      <c r="C955" s="161" t="str">
        <f>IFERROR(__xludf.DUMMYFUNCTION("""COMPUTED_VALUE"""),"ACTIVE")</f>
        <v>ACTIVE</v>
      </c>
      <c r="E955" s="161" t="s">
        <v>4762</v>
      </c>
      <c r="F955" s="161" t="s">
        <v>973</v>
      </c>
    </row>
    <row r="956">
      <c r="A956" s="132" t="str">
        <f>CONCATENATE(Data!AA956,"|",Data!N956)</f>
        <v>Waller Assistance &amp; Restoration Ministries|ACTIVE</v>
      </c>
      <c r="B956" s="161" t="str">
        <f>IFERROR(__xludf.DUMMYFUNCTION("""COMPUTED_VALUE"""),"Waller Assistance &amp; Restoration Ministries")</f>
        <v>Waller Assistance &amp; Restoration Ministries</v>
      </c>
      <c r="C956" s="161" t="str">
        <f>IFERROR(__xludf.DUMMYFUNCTION("""COMPUTED_VALUE"""),"ACTIVE")</f>
        <v>ACTIVE</v>
      </c>
      <c r="E956" s="161" t="s">
        <v>4762</v>
      </c>
      <c r="F956" s="161" t="s">
        <v>973</v>
      </c>
    </row>
    <row r="957">
      <c r="A957" s="132" t="str">
        <f>CONCATENATE(Data!AA957,"|",Data!N957)</f>
        <v>Waller Assistance &amp; Restoration Ministries|ACTIVE</v>
      </c>
      <c r="B957" s="161" t="str">
        <f>IFERROR(__xludf.DUMMYFUNCTION("""COMPUTED_VALUE"""),"Waller Assistance &amp; Restoration Ministries")</f>
        <v>Waller Assistance &amp; Restoration Ministries</v>
      </c>
      <c r="C957" s="161" t="str">
        <f>IFERROR(__xludf.DUMMYFUNCTION("""COMPUTED_VALUE"""),"ACTIVE")</f>
        <v>ACTIVE</v>
      </c>
      <c r="E957" s="161" t="s">
        <v>4793</v>
      </c>
      <c r="F957" s="161" t="s">
        <v>973</v>
      </c>
    </row>
    <row r="958">
      <c r="A958" s="132" t="str">
        <f>CONCATENATE(Data!AA958,"|",Data!N958)</f>
        <v>Waller Assistance &amp; Restoration Ministries|ACTIVE</v>
      </c>
      <c r="B958" s="161" t="str">
        <f>IFERROR(__xludf.DUMMYFUNCTION("""COMPUTED_VALUE"""),"Waller Assistance &amp; Restoration Ministries")</f>
        <v>Waller Assistance &amp; Restoration Ministries</v>
      </c>
      <c r="C958" s="161" t="str">
        <f>IFERROR(__xludf.DUMMYFUNCTION("""COMPUTED_VALUE"""),"ACTIVE")</f>
        <v>ACTIVE</v>
      </c>
      <c r="E958" s="161" t="s">
        <v>4793</v>
      </c>
      <c r="F958" s="161" t="s">
        <v>973</v>
      </c>
    </row>
    <row r="959">
      <c r="A959" s="132" t="str">
        <f>CONCATENATE(Data!AA959,"|",Data!N959)</f>
        <v>Wellsprings Village Inc.|ACTIVE</v>
      </c>
      <c r="B959" s="161" t="str">
        <f>IFERROR(__xludf.DUMMYFUNCTION("""COMPUTED_VALUE"""),"Wellsprings Village Inc.")</f>
        <v>Wellsprings Village Inc.</v>
      </c>
      <c r="C959" s="161" t="str">
        <f>IFERROR(__xludf.DUMMYFUNCTION("""COMPUTED_VALUE"""),"ACTIVE")</f>
        <v>ACTIVE</v>
      </c>
      <c r="E959" s="161" t="s">
        <v>381</v>
      </c>
      <c r="F959" s="161" t="s">
        <v>385</v>
      </c>
    </row>
    <row r="960">
      <c r="A960" s="132" t="str">
        <f>CONCATENATE(Data!AA960,"|",Data!N960)</f>
        <v>Wesley Community Center|INACTIVE</v>
      </c>
      <c r="B960" s="161" t="str">
        <f>IFERROR(__xludf.DUMMYFUNCTION("""COMPUTED_VALUE"""),"Wesley Community Center")</f>
        <v>Wesley Community Center</v>
      </c>
      <c r="C960" s="161" t="str">
        <f>IFERROR(__xludf.DUMMYFUNCTION("""COMPUTED_VALUE"""),"INACTIVE")</f>
        <v>INACTIVE</v>
      </c>
      <c r="E960" s="161" t="s">
        <v>381</v>
      </c>
      <c r="F960" s="161" t="s">
        <v>385</v>
      </c>
    </row>
    <row r="961">
      <c r="A961" s="132" t="str">
        <f>CONCATENATE(Data!AA961,"|",Data!N961)</f>
        <v>Wesley Community Center|INACTIVE</v>
      </c>
      <c r="B961" s="161" t="str">
        <f>IFERROR(__xludf.DUMMYFUNCTION("""COMPUTED_VALUE"""),"Wesley Community Center")</f>
        <v>Wesley Community Center</v>
      </c>
      <c r="C961" s="161" t="str">
        <f>IFERROR(__xludf.DUMMYFUNCTION("""COMPUTED_VALUE"""),"INACTIVE")</f>
        <v>INACTIVE</v>
      </c>
      <c r="E961" s="161" t="s">
        <v>381</v>
      </c>
      <c r="F961" s="161" t="s">
        <v>385</v>
      </c>
    </row>
    <row r="962">
      <c r="A962" s="132" t="str">
        <f>CONCATENATE(Data!AA962,"|",Data!N962)</f>
        <v>Wesley Community Center|ACTIVE</v>
      </c>
      <c r="B962" s="161" t="str">
        <f>IFERROR(__xludf.DUMMYFUNCTION("""COMPUTED_VALUE"""),"Wesley Community Center")</f>
        <v>Wesley Community Center</v>
      </c>
      <c r="C962" s="161" t="str">
        <f>IFERROR(__xludf.DUMMYFUNCTION("""COMPUTED_VALUE"""),"ACTIVE")</f>
        <v>ACTIVE</v>
      </c>
      <c r="E962" s="161" t="s">
        <v>439</v>
      </c>
      <c r="F962" s="161" t="s">
        <v>385</v>
      </c>
    </row>
    <row r="963">
      <c r="A963" s="132" t="str">
        <f>CONCATENATE(Data!AA963,"|",Data!N963)</f>
        <v>Wesley Community Center|ACTIVE</v>
      </c>
      <c r="B963" s="161" t="str">
        <f>IFERROR(__xludf.DUMMYFUNCTION("""COMPUTED_VALUE"""),"Wesley Community Center")</f>
        <v>Wesley Community Center</v>
      </c>
      <c r="C963" s="161" t="str">
        <f>IFERROR(__xludf.DUMMYFUNCTION("""COMPUTED_VALUE"""),"ACTIVE")</f>
        <v>ACTIVE</v>
      </c>
      <c r="E963" s="161" t="s">
        <v>928</v>
      </c>
      <c r="F963" s="161" t="s">
        <v>385</v>
      </c>
    </row>
    <row r="964">
      <c r="A964" s="132" t="str">
        <f>CONCATENATE(Data!AA964,"|",Data!N964)</f>
        <v>Wesley Community Center|ACTIVE</v>
      </c>
      <c r="B964" s="161" t="str">
        <f>IFERROR(__xludf.DUMMYFUNCTION("""COMPUTED_VALUE"""),"Wesley Community Center")</f>
        <v>Wesley Community Center</v>
      </c>
      <c r="C964" s="161" t="str">
        <f>IFERROR(__xludf.DUMMYFUNCTION("""COMPUTED_VALUE"""),"ACTIVE")</f>
        <v>ACTIVE</v>
      </c>
      <c r="E964" s="161" t="s">
        <v>1034</v>
      </c>
      <c r="F964" s="161" t="s">
        <v>385</v>
      </c>
    </row>
    <row r="965">
      <c r="A965" s="132" t="str">
        <f>CONCATENATE(Data!AA965,"|",Data!N965)</f>
        <v>Wesley Community Center|ACTIVE</v>
      </c>
      <c r="B965" s="161" t="str">
        <f>IFERROR(__xludf.DUMMYFUNCTION("""COMPUTED_VALUE"""),"Wesley Community Center")</f>
        <v>Wesley Community Center</v>
      </c>
      <c r="C965" s="161" t="str">
        <f>IFERROR(__xludf.DUMMYFUNCTION("""COMPUTED_VALUE"""),"ACTIVE")</f>
        <v>ACTIVE</v>
      </c>
      <c r="E965" s="161" t="s">
        <v>1062</v>
      </c>
      <c r="F965" s="161" t="s">
        <v>385</v>
      </c>
    </row>
    <row r="966">
      <c r="A966" s="132" t="str">
        <f>CONCATENATE(Data!AA966,"|",Data!N966)</f>
        <v>Wesley Community Center|ACTIVE</v>
      </c>
      <c r="B966" s="161" t="str">
        <f>IFERROR(__xludf.DUMMYFUNCTION("""COMPUTED_VALUE"""),"Wesley Community Center")</f>
        <v>Wesley Community Center</v>
      </c>
      <c r="C966" s="161" t="str">
        <f>IFERROR(__xludf.DUMMYFUNCTION("""COMPUTED_VALUE"""),"ACTIVE")</f>
        <v>ACTIVE</v>
      </c>
      <c r="E966" s="161" t="s">
        <v>1098</v>
      </c>
      <c r="F966" s="161" t="s">
        <v>385</v>
      </c>
    </row>
    <row r="967">
      <c r="A967" s="132" t="str">
        <f>CONCATENATE(Data!AA967,"|",Data!N967)</f>
        <v>City of Houston|ACTIVE</v>
      </c>
      <c r="B967" s="161" t="str">
        <f>IFERROR(__xludf.DUMMYFUNCTION("""COMPUTED_VALUE"""),"City of Houston")</f>
        <v>City of Houston</v>
      </c>
      <c r="C967" s="161" t="str">
        <f>IFERROR(__xludf.DUMMYFUNCTION("""COMPUTED_VALUE"""),"ACTIVE")</f>
        <v>ACTIVE</v>
      </c>
      <c r="E967" s="161" t="s">
        <v>1098</v>
      </c>
      <c r="F967" s="161" t="s">
        <v>385</v>
      </c>
    </row>
    <row r="968">
      <c r="A968" s="132" t="str">
        <f>CONCATENATE(Data!AA968,"|",Data!N968)</f>
        <v>West Houston Assistance Ministries (WHAM)|ACTIVE</v>
      </c>
      <c r="B968" s="161" t="str">
        <f>IFERROR(__xludf.DUMMYFUNCTION("""COMPUTED_VALUE"""),"West Houston Assistance Ministries (WHAM)")</f>
        <v>West Houston Assistance Ministries (WHAM)</v>
      </c>
      <c r="C968" s="161" t="str">
        <f>IFERROR(__xludf.DUMMYFUNCTION("""COMPUTED_VALUE"""),"ACTIVE")</f>
        <v>ACTIVE</v>
      </c>
      <c r="E968" s="161" t="s">
        <v>253</v>
      </c>
      <c r="F968" s="161" t="s">
        <v>385</v>
      </c>
    </row>
    <row r="969">
      <c r="A969" s="132" t="str">
        <f>CONCATENATE(Data!AA969,"|",Data!N969)</f>
        <v>West Houston Assistance Ministries (WHAM)|ACTIVE</v>
      </c>
      <c r="B969" s="161" t="str">
        <f>IFERROR(__xludf.DUMMYFUNCTION("""COMPUTED_VALUE"""),"West Houston Assistance Ministries (WHAM)")</f>
        <v>West Houston Assistance Ministries (WHAM)</v>
      </c>
      <c r="C969" s="161" t="str">
        <f>IFERROR(__xludf.DUMMYFUNCTION("""COMPUTED_VALUE"""),"ACTIVE")</f>
        <v>ACTIVE</v>
      </c>
      <c r="E969" s="161" t="s">
        <v>1374</v>
      </c>
      <c r="F969" s="161" t="s">
        <v>385</v>
      </c>
    </row>
    <row r="970">
      <c r="A970" s="132" t="str">
        <f>CONCATENATE(Data!AA970,"|",Data!N970)</f>
        <v>West Houston Assistance Ministries (WHAM)|ACTIVE</v>
      </c>
      <c r="B970" s="161" t="str">
        <f>IFERROR(__xludf.DUMMYFUNCTION("""COMPUTED_VALUE"""),"West Houston Assistance Ministries (WHAM)")</f>
        <v>West Houston Assistance Ministries (WHAM)</v>
      </c>
      <c r="C970" s="161" t="str">
        <f>IFERROR(__xludf.DUMMYFUNCTION("""COMPUTED_VALUE"""),"ACTIVE")</f>
        <v>ACTIVE</v>
      </c>
      <c r="E970" s="161" t="s">
        <v>1412</v>
      </c>
      <c r="F970" s="161" t="s">
        <v>385</v>
      </c>
    </row>
    <row r="971">
      <c r="A971" s="132" t="str">
        <f>CONCATENATE(Data!AA971,"|",Data!N971)</f>
        <v>West Houston Assistance Ministries (WHAM)|INACTIVE</v>
      </c>
      <c r="B971" s="161" t="str">
        <f>IFERROR(__xludf.DUMMYFUNCTION("""COMPUTED_VALUE"""),"West Houston Assistance Ministries (WHAM)")</f>
        <v>West Houston Assistance Ministries (WHAM)</v>
      </c>
      <c r="C971" s="161" t="str">
        <f>IFERROR(__xludf.DUMMYFUNCTION("""COMPUTED_VALUE"""),"INACTIVE")</f>
        <v>INACTIVE</v>
      </c>
      <c r="E971" s="161" t="s">
        <v>1465</v>
      </c>
      <c r="F971" s="161" t="s">
        <v>385</v>
      </c>
    </row>
    <row r="972">
      <c r="A972" s="132" t="str">
        <f>CONCATENATE(Data!AA972,"|",Data!N972)</f>
        <v>West Houston Assistance Ministries (WHAM)|INACTIVE</v>
      </c>
      <c r="B972" s="161" t="str">
        <f>IFERROR(__xludf.DUMMYFUNCTION("""COMPUTED_VALUE"""),"West Houston Assistance Ministries (WHAM)")</f>
        <v>West Houston Assistance Ministries (WHAM)</v>
      </c>
      <c r="C972" s="161" t="str">
        <f>IFERROR(__xludf.DUMMYFUNCTION("""COMPUTED_VALUE"""),"INACTIVE")</f>
        <v>INACTIVE</v>
      </c>
      <c r="E972" s="161" t="s">
        <v>1465</v>
      </c>
      <c r="F972" s="161" t="s">
        <v>385</v>
      </c>
    </row>
    <row r="973">
      <c r="A973" s="132" t="str">
        <f>CONCATENATE(Data!AA973,"|",Data!N973)</f>
        <v>West Houston Assistance Ministries (WHAM)|ACTIVE</v>
      </c>
      <c r="B973" s="161" t="str">
        <f>IFERROR(__xludf.DUMMYFUNCTION("""COMPUTED_VALUE"""),"West Houston Assistance Ministries (WHAM)")</f>
        <v>West Houston Assistance Ministries (WHAM)</v>
      </c>
      <c r="C973" s="161" t="str">
        <f>IFERROR(__xludf.DUMMYFUNCTION("""COMPUTED_VALUE"""),"ACTIVE")</f>
        <v>ACTIVE</v>
      </c>
      <c r="E973" s="161" t="s">
        <v>1552</v>
      </c>
      <c r="F973" s="161" t="s">
        <v>385</v>
      </c>
    </row>
    <row r="974">
      <c r="A974" s="132" t="str">
        <f>CONCATENATE(Data!AA974,"|",Data!N974)</f>
        <v>West Houston Assistance Ministries (WHAM)|ACTIVE</v>
      </c>
      <c r="B974" s="161" t="str">
        <f>IFERROR(__xludf.DUMMYFUNCTION("""COMPUTED_VALUE"""),"West Houston Assistance Ministries (WHAM)")</f>
        <v>West Houston Assistance Ministries (WHAM)</v>
      </c>
      <c r="C974" s="161" t="str">
        <f>IFERROR(__xludf.DUMMYFUNCTION("""COMPUTED_VALUE"""),"ACTIVE")</f>
        <v>ACTIVE</v>
      </c>
      <c r="E974" s="161" t="s">
        <v>2444</v>
      </c>
      <c r="F974" s="161" t="s">
        <v>385</v>
      </c>
    </row>
    <row r="975">
      <c r="A975" s="132" t="str">
        <f>CONCATENATE(Data!AA975,"|",Data!N975)</f>
        <v>West Houston Assistance Ministries (WHAM)|ACTIVE</v>
      </c>
      <c r="B975" s="161" t="str">
        <f>IFERROR(__xludf.DUMMYFUNCTION("""COMPUTED_VALUE"""),"West Houston Assistance Ministries (WHAM)")</f>
        <v>West Houston Assistance Ministries (WHAM)</v>
      </c>
      <c r="C975" s="161" t="str">
        <f>IFERROR(__xludf.DUMMYFUNCTION("""COMPUTED_VALUE"""),"ACTIVE")</f>
        <v>ACTIVE</v>
      </c>
      <c r="E975" s="161" t="s">
        <v>2706</v>
      </c>
      <c r="F975" s="161" t="s">
        <v>385</v>
      </c>
    </row>
    <row r="976">
      <c r="A976" s="132" t="str">
        <f>CONCATENATE(Data!AA976,"|",Data!N976)</f>
        <v>West Houston Assistance Ministries (WHAM)|ACTIVE</v>
      </c>
      <c r="B976" s="161" t="str">
        <f>IFERROR(__xludf.DUMMYFUNCTION("""COMPUTED_VALUE"""),"West Houston Assistance Ministries (WHAM)")</f>
        <v>West Houston Assistance Ministries (WHAM)</v>
      </c>
      <c r="C976" s="161" t="str">
        <f>IFERROR(__xludf.DUMMYFUNCTION("""COMPUTED_VALUE"""),"ACTIVE")</f>
        <v>ACTIVE</v>
      </c>
      <c r="E976" s="161" t="s">
        <v>2706</v>
      </c>
      <c r="F976" s="161" t="s">
        <v>385</v>
      </c>
    </row>
    <row r="977">
      <c r="A977" s="132" t="str">
        <f>CONCATENATE(Data!AA977,"|",Data!N977)</f>
        <v>West Houston Assistance Ministries (WHAM)|INACTIVE</v>
      </c>
      <c r="B977" s="161" t="str">
        <f>IFERROR(__xludf.DUMMYFUNCTION("""COMPUTED_VALUE"""),"West Houston Assistance Ministries (WHAM)")</f>
        <v>West Houston Assistance Ministries (WHAM)</v>
      </c>
      <c r="C977" s="161" t="str">
        <f>IFERROR(__xludf.DUMMYFUNCTION("""COMPUTED_VALUE"""),"INACTIVE")</f>
        <v>INACTIVE</v>
      </c>
      <c r="E977" s="161" t="s">
        <v>2724</v>
      </c>
      <c r="F977" s="161" t="s">
        <v>385</v>
      </c>
    </row>
    <row r="978">
      <c r="A978" s="132" t="str">
        <f>CONCATENATE(Data!AA978,"|",Data!N978)</f>
        <v>West Houston Assistance Ministries (WHAM)|ACTIVE</v>
      </c>
      <c r="B978" s="161" t="str">
        <f>IFERROR(__xludf.DUMMYFUNCTION("""COMPUTED_VALUE"""),"West Houston Assistance Ministries (WHAM)")</f>
        <v>West Houston Assistance Ministries (WHAM)</v>
      </c>
      <c r="C978" s="161" t="str">
        <f>IFERROR(__xludf.DUMMYFUNCTION("""COMPUTED_VALUE"""),"ACTIVE")</f>
        <v>ACTIVE</v>
      </c>
      <c r="E978" s="161" t="s">
        <v>3423</v>
      </c>
      <c r="F978" s="161" t="s">
        <v>385</v>
      </c>
    </row>
    <row r="979">
      <c r="A979" s="132" t="str">
        <f>CONCATENATE(Data!AA979,"|",Data!N979)</f>
        <v>Wheeler Avenue Baptist Church|ACTIVE</v>
      </c>
      <c r="B979" s="161" t="str">
        <f>IFERROR(__xludf.DUMMYFUNCTION("""COMPUTED_VALUE"""),"Wheeler Avenue Baptist Church")</f>
        <v>Wheeler Avenue Baptist Church</v>
      </c>
      <c r="C979" s="161" t="str">
        <f>IFERROR(__xludf.DUMMYFUNCTION("""COMPUTED_VALUE"""),"ACTIVE")</f>
        <v>ACTIVE</v>
      </c>
      <c r="E979" s="161" t="s">
        <v>3561</v>
      </c>
      <c r="F979" s="161" t="s">
        <v>385</v>
      </c>
    </row>
    <row r="980">
      <c r="A980" s="132" t="str">
        <f>CONCATENATE(Data!AA980,"|",Data!N980)</f>
        <v>Wheeler Avenue Baptist Church|ACTIVE</v>
      </c>
      <c r="B980" s="161" t="str">
        <f>IFERROR(__xludf.DUMMYFUNCTION("""COMPUTED_VALUE"""),"Wheeler Avenue Baptist Church")</f>
        <v>Wheeler Avenue Baptist Church</v>
      </c>
      <c r="C980" s="161" t="str">
        <f>IFERROR(__xludf.DUMMYFUNCTION("""COMPUTED_VALUE"""),"ACTIVE")</f>
        <v>ACTIVE</v>
      </c>
      <c r="E980" s="161" t="s">
        <v>3561</v>
      </c>
      <c r="F980" s="161" t="s">
        <v>385</v>
      </c>
    </row>
    <row r="981">
      <c r="A981" s="132" t="str">
        <f>CONCATENATE(Data!AA981,"|",Data!N981)</f>
        <v>Windsor Village Social Services|INACTIVE</v>
      </c>
      <c r="B981" s="161" t="str">
        <f>IFERROR(__xludf.DUMMYFUNCTION("""COMPUTED_VALUE"""),"Windsor Village Social Services")</f>
        <v>Windsor Village Social Services</v>
      </c>
      <c r="C981" s="161" t="str">
        <f>IFERROR(__xludf.DUMMYFUNCTION("""COMPUTED_VALUE"""),"INACTIVE")</f>
        <v>INACTIVE</v>
      </c>
      <c r="E981" s="161" t="s">
        <v>3561</v>
      </c>
      <c r="F981" s="161" t="s">
        <v>385</v>
      </c>
    </row>
    <row r="982">
      <c r="A982" s="132" t="str">
        <f>CONCATENATE(Data!AA982,"|",Data!N982)</f>
        <v>Windsor Village Social Services|INACTIVE</v>
      </c>
      <c r="B982" s="161" t="str">
        <f>IFERROR(__xludf.DUMMYFUNCTION("""COMPUTED_VALUE"""),"Windsor Village Social Services")</f>
        <v>Windsor Village Social Services</v>
      </c>
      <c r="C982" s="161" t="str">
        <f>IFERROR(__xludf.DUMMYFUNCTION("""COMPUTED_VALUE"""),"INACTIVE")</f>
        <v>INACTIVE</v>
      </c>
      <c r="E982" s="161" t="s">
        <v>3561</v>
      </c>
      <c r="F982" s="161" t="s">
        <v>385</v>
      </c>
    </row>
    <row r="983">
      <c r="A983" s="132" t="str">
        <f>CONCATENATE(Data!AA983,"|",Data!N983)</f>
        <v>Windsor Village Social Services|ACTIVE</v>
      </c>
      <c r="B983" s="161" t="str">
        <f>IFERROR(__xludf.DUMMYFUNCTION("""COMPUTED_VALUE"""),"Windsor Village Social Services")</f>
        <v>Windsor Village Social Services</v>
      </c>
      <c r="C983" s="161" t="str">
        <f>IFERROR(__xludf.DUMMYFUNCTION("""COMPUTED_VALUE"""),"ACTIVE")</f>
        <v>ACTIVE</v>
      </c>
      <c r="E983" s="161" t="s">
        <v>3660</v>
      </c>
      <c r="F983" s="161" t="s">
        <v>385</v>
      </c>
    </row>
    <row r="984">
      <c r="A984" s="132" t="str">
        <f>CONCATENATE(Data!AA984,"|",Data!N984)</f>
        <v>WorkFaith|ACTIVE</v>
      </c>
      <c r="B984" s="161" t="str">
        <f>IFERROR(__xludf.DUMMYFUNCTION("""COMPUTED_VALUE"""),"WorkFaith")</f>
        <v>WorkFaith</v>
      </c>
      <c r="C984" s="161" t="str">
        <f>IFERROR(__xludf.DUMMYFUNCTION("""COMPUTED_VALUE"""),"ACTIVE")</f>
        <v>ACTIVE</v>
      </c>
      <c r="E984" s="161" t="s">
        <v>3660</v>
      </c>
      <c r="F984" s="161" t="s">
        <v>385</v>
      </c>
    </row>
    <row r="985">
      <c r="A985" s="132" t="str">
        <f>CONCATENATE(Data!AA985,"|",Data!N985)</f>
        <v>WorkFaith|ACTIVE</v>
      </c>
      <c r="B985" s="161" t="str">
        <f>IFERROR(__xludf.DUMMYFUNCTION("""COMPUTED_VALUE"""),"WorkFaith")</f>
        <v>WorkFaith</v>
      </c>
      <c r="C985" s="161" t="str">
        <f>IFERROR(__xludf.DUMMYFUNCTION("""COMPUTED_VALUE"""),"ACTIVE")</f>
        <v>ACTIVE</v>
      </c>
      <c r="E985" s="161" t="s">
        <v>3660</v>
      </c>
      <c r="F985" s="161" t="s">
        <v>385</v>
      </c>
    </row>
    <row r="986">
      <c r="A986" s="132" t="str">
        <f>CONCATENATE(Data!AA986,"|",Data!N986)</f>
        <v>Workforce Solutions|LIMITED</v>
      </c>
      <c r="B986" s="161" t="str">
        <f>IFERROR(__xludf.DUMMYFUNCTION("""COMPUTED_VALUE"""),"Workforce Solutions")</f>
        <v>Workforce Solutions</v>
      </c>
      <c r="C986" s="161" t="str">
        <f>IFERROR(__xludf.DUMMYFUNCTION("""COMPUTED_VALUE"""),"LIMITED")</f>
        <v>LIMITED</v>
      </c>
      <c r="E986" s="161" t="s">
        <v>4160</v>
      </c>
      <c r="F986" s="161" t="s">
        <v>385</v>
      </c>
    </row>
    <row r="987">
      <c r="A987" s="132" t="str">
        <f>CONCATENATE(Data!AA987,"|",Data!N987)</f>
        <v>Workforce Solutions|ACTIVE</v>
      </c>
      <c r="B987" s="161" t="str">
        <f>IFERROR(__xludf.DUMMYFUNCTION("""COMPUTED_VALUE"""),"Workforce Solutions")</f>
        <v>Workforce Solutions</v>
      </c>
      <c r="C987" s="161" t="str">
        <f>IFERROR(__xludf.DUMMYFUNCTION("""COMPUTED_VALUE"""),"ACTIVE")</f>
        <v>ACTIVE</v>
      </c>
      <c r="E987" s="161" t="s">
        <v>4817</v>
      </c>
      <c r="F987" s="161" t="s">
        <v>385</v>
      </c>
    </row>
    <row r="988">
      <c r="A988" s="132" t="str">
        <f>CONCATENATE(Data!AA988,"|",Data!N988)</f>
        <v>YMCA International Services|LIMITED</v>
      </c>
      <c r="B988" s="161" t="str">
        <f>IFERROR(__xludf.DUMMYFUNCTION("""COMPUTED_VALUE"""),"YMCA International Services")</f>
        <v>YMCA International Services</v>
      </c>
      <c r="C988" s="161" t="str">
        <f>IFERROR(__xludf.DUMMYFUNCTION("""COMPUTED_VALUE"""),"LIMITED")</f>
        <v>LIMITED</v>
      </c>
      <c r="E988" s="161" t="s">
        <v>4827</v>
      </c>
      <c r="F988" s="161" t="s">
        <v>385</v>
      </c>
    </row>
    <row r="989">
      <c r="A989" s="132" t="str">
        <f>CONCATENATE(Data!AA989,"|",Data!N989)</f>
        <v>|</v>
      </c>
      <c r="B989" s="161" t="str">
        <f>IFERROR(__xludf.DUMMYFUNCTION("""COMPUTED_VALUE"""),"|")</f>
        <v>|</v>
      </c>
      <c r="C989" s="161"/>
      <c r="E989" s="161" t="s">
        <v>5896</v>
      </c>
    </row>
    <row r="990">
      <c r="A990" s="132" t="str">
        <f>CONCATENATE(Data!AA990,"|",Data!N990)</f>
        <v>|</v>
      </c>
      <c r="B990" s="161" t="str">
        <f>IFERROR(__xludf.DUMMYFUNCTION("""COMPUTED_VALUE"""),"|")</f>
        <v>|</v>
      </c>
      <c r="C990" s="161"/>
      <c r="E990" s="161" t="s">
        <v>5896</v>
      </c>
    </row>
    <row r="991">
      <c r="A991" s="132" t="str">
        <f>CONCATENATE(Data!AA991,"|",Data!N991)</f>
        <v>|</v>
      </c>
      <c r="B991" s="161" t="str">
        <f>IFERROR(__xludf.DUMMYFUNCTION("""COMPUTED_VALUE"""),"|")</f>
        <v>|</v>
      </c>
      <c r="C991" s="161"/>
      <c r="E991" s="161" t="s">
        <v>5896</v>
      </c>
    </row>
    <row r="992">
      <c r="A992" s="132" t="str">
        <f>CONCATENATE(Data!AA992,"|",Data!N992)</f>
        <v>|</v>
      </c>
      <c r="B992" s="161" t="str">
        <f>IFERROR(__xludf.DUMMYFUNCTION("""COMPUTED_VALUE"""),"|")</f>
        <v>|</v>
      </c>
      <c r="C992" s="161"/>
      <c r="E992" s="161" t="s">
        <v>5896</v>
      </c>
    </row>
    <row r="993">
      <c r="A993" s="132" t="str">
        <f>CONCATENATE(Data!AA993,"|",Data!N993)</f>
        <v>|</v>
      </c>
      <c r="B993" s="161" t="str">
        <f>IFERROR(__xludf.DUMMYFUNCTION("""COMPUTED_VALUE"""),"|")</f>
        <v>|</v>
      </c>
      <c r="C993" s="161"/>
      <c r="E993" s="161" t="s">
        <v>5896</v>
      </c>
    </row>
    <row r="994">
      <c r="A994" s="132" t="str">
        <f>CONCATENATE(Data!AA994,"|",Data!N994)</f>
        <v>|</v>
      </c>
      <c r="B994" s="161" t="str">
        <f>IFERROR(__xludf.DUMMYFUNCTION("""COMPUTED_VALUE"""),"|")</f>
        <v>|</v>
      </c>
      <c r="C994" s="161"/>
      <c r="E994" s="161" t="s">
        <v>5896</v>
      </c>
    </row>
    <row r="995">
      <c r="A995" s="132" t="str">
        <f>CONCATENATE(Data!AA995,"|",Data!N995)</f>
        <v>|</v>
      </c>
      <c r="B995" s="161" t="str">
        <f>IFERROR(__xludf.DUMMYFUNCTION("""COMPUTED_VALUE"""),"|")</f>
        <v>|</v>
      </c>
      <c r="C995" s="161"/>
      <c r="E995" s="161" t="s">
        <v>5896</v>
      </c>
    </row>
    <row r="996">
      <c r="A996" s="132" t="str">
        <f>CONCATENATE(Data!AA996,"|",Data!N996)</f>
        <v>|</v>
      </c>
      <c r="B996" s="161" t="str">
        <f>IFERROR(__xludf.DUMMYFUNCTION("""COMPUTED_VALUE"""),"|")</f>
        <v>|</v>
      </c>
      <c r="C996" s="161"/>
      <c r="E996" s="161" t="s">
        <v>5896</v>
      </c>
    </row>
    <row r="997">
      <c r="A997" s="132" t="str">
        <f>CONCATENATE(Data!AA997,"|",Data!N997)</f>
        <v>|</v>
      </c>
      <c r="B997" s="161" t="str">
        <f>IFERROR(__xludf.DUMMYFUNCTION("""COMPUTED_VALUE"""),"|")</f>
        <v>|</v>
      </c>
      <c r="C997" s="161"/>
      <c r="E997" s="161" t="s">
        <v>5896</v>
      </c>
    </row>
    <row r="998">
      <c r="A998" s="132" t="str">
        <f>CONCATENATE(Data!AA998,"|",Data!N998)</f>
        <v>|</v>
      </c>
      <c r="B998" s="161" t="str">
        <f>IFERROR(__xludf.DUMMYFUNCTION("""COMPUTED_VALUE"""),"|")</f>
        <v>|</v>
      </c>
      <c r="C998" s="161"/>
      <c r="E998" s="161" t="s">
        <v>5896</v>
      </c>
    </row>
    <row r="999">
      <c r="A999" s="132" t="str">
        <f>CONCATENATE(Data!AA999,"|",Data!N999)</f>
        <v>|</v>
      </c>
      <c r="B999" s="161" t="str">
        <f>IFERROR(__xludf.DUMMYFUNCTION("""COMPUTED_VALUE"""),"|")</f>
        <v>|</v>
      </c>
      <c r="C999" s="161"/>
      <c r="E999" s="161" t="s">
        <v>5896</v>
      </c>
    </row>
    <row r="1000">
      <c r="A1000" s="132" t="str">
        <f>CONCATENATE(Data!AA1000,"|",Data!N1000)</f>
        <v>|</v>
      </c>
      <c r="B1000" s="161" t="str">
        <f>IFERROR(__xludf.DUMMYFUNCTION("""COMPUTED_VALUE"""),"|")</f>
        <v>|</v>
      </c>
      <c r="C1000" s="161"/>
      <c r="E1000" s="161" t="s">
        <v>5896</v>
      </c>
    </row>
  </sheetData>
  <autoFilter ref="$L$1:$M$1000"/>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25"/>
    <col customWidth="1" min="2" max="2" width="9.5"/>
    <col customWidth="1" min="3" max="3" width="14.38"/>
    <col customWidth="1" min="4" max="4" width="24.63"/>
    <col customWidth="1" min="5" max="5" width="17.38"/>
    <col customWidth="1" min="6" max="7" width="20.38"/>
    <col customWidth="1" min="8" max="8" width="17.63"/>
    <col customWidth="1" min="9" max="9" width="16.25"/>
    <col customWidth="1" min="10" max="10" width="14.88"/>
    <col customWidth="1" min="11" max="11" width="23.0"/>
    <col customWidth="1" min="12" max="12" width="12.5"/>
    <col customWidth="1" min="13" max="13" width="14.38"/>
    <col customWidth="1" min="14" max="14" width="17.38"/>
    <col customWidth="1" min="15" max="16" width="20.38"/>
    <col customWidth="1" min="17" max="17" width="17.63"/>
    <col customWidth="1" min="18" max="18" width="16.25"/>
    <col customWidth="1" min="19" max="19" width="14.88"/>
    <col customWidth="1" min="20" max="20" width="23.0"/>
    <col customWidth="1" min="21" max="21" width="12.5"/>
    <col customWidth="1" min="22" max="22" width="14.38"/>
    <col customWidth="1" min="23" max="23" width="17.38"/>
    <col customWidth="1" min="24" max="25" width="20.38"/>
    <col customWidth="1" min="26" max="26" width="17.63"/>
    <col customWidth="1" min="27" max="27" width="16.25"/>
    <col customWidth="1" min="28" max="28" width="14.88"/>
    <col customWidth="1" min="29" max="29" width="23.0"/>
    <col customWidth="1" min="30" max="31" width="12.5"/>
  </cols>
  <sheetData>
    <row r="1">
      <c r="A1" s="187"/>
      <c r="B1" s="187"/>
      <c r="C1" s="187"/>
      <c r="D1" s="187"/>
      <c r="E1" s="187"/>
      <c r="F1" s="187"/>
      <c r="G1" s="187"/>
      <c r="H1" s="187"/>
      <c r="I1" s="187"/>
      <c r="J1" s="187"/>
      <c r="K1" s="187"/>
      <c r="L1" s="188" t="s">
        <v>5897</v>
      </c>
      <c r="M1" s="132">
        <f>min(C20:C232)</f>
        <v>2.6</v>
      </c>
      <c r="N1" s="189">
        <f t="shared" ref="N1:U1" si="1">min(E20:E232)</f>
        <v>0.26</v>
      </c>
      <c r="O1" s="132">
        <f t="shared" si="1"/>
        <v>0</v>
      </c>
      <c r="P1" s="132">
        <f t="shared" si="1"/>
        <v>0.7</v>
      </c>
      <c r="Q1" s="132">
        <f t="shared" si="1"/>
        <v>0.3</v>
      </c>
      <c r="R1" s="132">
        <f t="shared" si="1"/>
        <v>0</v>
      </c>
      <c r="S1" s="132">
        <f t="shared" si="1"/>
        <v>2.3</v>
      </c>
      <c r="T1" s="189">
        <f t="shared" si="1"/>
        <v>6.5</v>
      </c>
      <c r="U1" s="190">
        <f t="shared" si="1"/>
        <v>0</v>
      </c>
      <c r="AE1" s="191"/>
    </row>
    <row r="2">
      <c r="A2" s="187"/>
      <c r="B2" s="187"/>
      <c r="C2" s="187"/>
      <c r="D2" s="187"/>
      <c r="E2" s="187"/>
      <c r="F2" s="187"/>
      <c r="G2" s="187"/>
      <c r="H2" s="187"/>
      <c r="I2" s="187"/>
      <c r="J2" s="187"/>
      <c r="K2" s="187"/>
      <c r="L2" s="188" t="s">
        <v>5898</v>
      </c>
      <c r="M2" s="132">
        <f>MAX(C20:C232)</f>
        <v>52.3</v>
      </c>
      <c r="N2" s="189">
        <f t="shared" ref="N2:U2" si="2">MAX(E20:E232)</f>
        <v>3.23</v>
      </c>
      <c r="O2" s="132">
        <f t="shared" si="2"/>
        <v>20</v>
      </c>
      <c r="P2" s="132">
        <f t="shared" si="2"/>
        <v>50.6</v>
      </c>
      <c r="Q2" s="132">
        <f t="shared" si="2"/>
        <v>39.2</v>
      </c>
      <c r="R2" s="132">
        <f t="shared" si="2"/>
        <v>49.1</v>
      </c>
      <c r="S2" s="132">
        <f t="shared" si="2"/>
        <v>52.8</v>
      </c>
      <c r="T2" s="189">
        <f t="shared" si="2"/>
        <v>94</v>
      </c>
      <c r="U2" s="190">
        <f t="shared" si="2"/>
        <v>21.2</v>
      </c>
      <c r="V2" s="132">
        <v>0.2</v>
      </c>
      <c r="W2" s="132">
        <v>0.2</v>
      </c>
      <c r="X2" s="132">
        <v>0.05</v>
      </c>
      <c r="Y2" s="132">
        <v>0.05</v>
      </c>
      <c r="Z2" s="132">
        <v>0.05</v>
      </c>
      <c r="AA2" s="132">
        <v>0.1</v>
      </c>
      <c r="AB2" s="132">
        <v>0.15</v>
      </c>
      <c r="AC2" s="132">
        <v>0.15</v>
      </c>
      <c r="AD2" s="132">
        <v>0.05</v>
      </c>
      <c r="AE2" s="132">
        <f>SUM(V2:AD2)</f>
        <v>1</v>
      </c>
    </row>
    <row r="3">
      <c r="A3" s="192" t="s">
        <v>5899</v>
      </c>
      <c r="B3" s="192" t="s">
        <v>5869</v>
      </c>
      <c r="C3" s="192" t="s">
        <v>5900</v>
      </c>
      <c r="D3" s="192" t="s">
        <v>5901</v>
      </c>
      <c r="E3" s="192" t="s">
        <v>5902</v>
      </c>
      <c r="F3" s="192" t="s">
        <v>5903</v>
      </c>
      <c r="G3" s="192" t="s">
        <v>5904</v>
      </c>
      <c r="H3" s="192" t="s">
        <v>5905</v>
      </c>
      <c r="I3" s="192" t="s">
        <v>5906</v>
      </c>
      <c r="J3" s="192" t="s">
        <v>5907</v>
      </c>
      <c r="K3" s="192" t="s">
        <v>5908</v>
      </c>
      <c r="L3" s="193" t="s">
        <v>5909</v>
      </c>
      <c r="M3" s="194" t="s">
        <v>5900</v>
      </c>
      <c r="N3" s="195" t="s">
        <v>5902</v>
      </c>
      <c r="O3" s="192" t="s">
        <v>5903</v>
      </c>
      <c r="P3" s="192" t="s">
        <v>5904</v>
      </c>
      <c r="Q3" s="192" t="s">
        <v>5905</v>
      </c>
      <c r="R3" s="192" t="s">
        <v>5906</v>
      </c>
      <c r="S3" s="196" t="s">
        <v>5907</v>
      </c>
      <c r="T3" s="197" t="s">
        <v>5908</v>
      </c>
      <c r="U3" s="198" t="s">
        <v>5909</v>
      </c>
      <c r="V3" s="194" t="s">
        <v>5900</v>
      </c>
      <c r="W3" s="192" t="s">
        <v>5902</v>
      </c>
      <c r="X3" s="192" t="s">
        <v>5903</v>
      </c>
      <c r="Y3" s="192" t="s">
        <v>5904</v>
      </c>
      <c r="Z3" s="192" t="s">
        <v>5905</v>
      </c>
      <c r="AA3" s="192" t="s">
        <v>5906</v>
      </c>
      <c r="AB3" s="192" t="s">
        <v>5907</v>
      </c>
      <c r="AC3" s="192" t="s">
        <v>5908</v>
      </c>
      <c r="AD3" s="192" t="s">
        <v>5909</v>
      </c>
      <c r="AE3" s="199" t="s">
        <v>5910</v>
      </c>
    </row>
    <row r="4">
      <c r="A4" s="200">
        <v>77341.0</v>
      </c>
      <c r="B4" s="201">
        <v>0.0</v>
      </c>
      <c r="C4" s="201">
        <v>-6.66666666E8</v>
      </c>
      <c r="D4" s="201">
        <v>-6.66666666E8</v>
      </c>
      <c r="E4" s="201">
        <v>-9128.04</v>
      </c>
      <c r="F4" s="201">
        <v>-6.66666666E8</v>
      </c>
      <c r="G4" s="201">
        <v>-6.66666666E8</v>
      </c>
      <c r="H4" s="201">
        <v>-6.66666666E8</v>
      </c>
      <c r="I4" s="201">
        <v>-1.333333332E9</v>
      </c>
      <c r="J4" s="201">
        <v>-6.66666666E8</v>
      </c>
      <c r="K4" s="201">
        <v>-6.66666666E8</v>
      </c>
      <c r="L4" s="202">
        <v>-6.66666666E8</v>
      </c>
      <c r="M4" s="203"/>
      <c r="N4" s="204"/>
      <c r="O4" s="203"/>
      <c r="P4" s="203"/>
      <c r="Q4" s="203"/>
      <c r="R4" s="203"/>
      <c r="S4" s="203"/>
      <c r="T4" s="204"/>
      <c r="U4" s="205"/>
      <c r="V4" s="203"/>
      <c r="W4" s="203"/>
      <c r="X4" s="203"/>
      <c r="Y4" s="203"/>
      <c r="Z4" s="203"/>
      <c r="AA4" s="203"/>
      <c r="AB4" s="203"/>
      <c r="AC4" s="203"/>
      <c r="AD4" s="203"/>
      <c r="AE4" s="206">
        <v>0.0</v>
      </c>
    </row>
    <row r="5">
      <c r="A5" s="200">
        <v>77342.0</v>
      </c>
      <c r="B5" s="201">
        <v>0.0</v>
      </c>
      <c r="C5" s="201">
        <v>-6.66666666E8</v>
      </c>
      <c r="D5" s="201">
        <v>-6.66666666E8</v>
      </c>
      <c r="E5" s="201">
        <v>-9128.04</v>
      </c>
      <c r="F5" s="201">
        <v>-6.66666666E8</v>
      </c>
      <c r="G5" s="201">
        <v>-6.66666666E8</v>
      </c>
      <c r="H5" s="201">
        <v>-6.66666666E8</v>
      </c>
      <c r="I5" s="201">
        <v>-1.333333332E9</v>
      </c>
      <c r="J5" s="201">
        <v>-6.66666666E8</v>
      </c>
      <c r="K5" s="201">
        <v>-6.66666666E8</v>
      </c>
      <c r="L5" s="202">
        <v>-6.66666666E8</v>
      </c>
      <c r="M5" s="203"/>
      <c r="N5" s="204"/>
      <c r="O5" s="203"/>
      <c r="P5" s="203"/>
      <c r="Q5" s="203"/>
      <c r="R5" s="203"/>
      <c r="S5" s="203"/>
      <c r="T5" s="204"/>
      <c r="U5" s="205"/>
      <c r="V5" s="203"/>
      <c r="W5" s="203"/>
      <c r="X5" s="203"/>
      <c r="Y5" s="203"/>
      <c r="Z5" s="203"/>
      <c r="AA5" s="203"/>
      <c r="AB5" s="203"/>
      <c r="AC5" s="203"/>
      <c r="AD5" s="203"/>
      <c r="AE5" s="206">
        <v>0.0</v>
      </c>
    </row>
    <row r="6">
      <c r="A6" s="200">
        <v>77555.0</v>
      </c>
      <c r="B6" s="201">
        <v>2.0</v>
      </c>
      <c r="C6" s="201">
        <v>-6.66666666E8</v>
      </c>
      <c r="D6" s="201">
        <v>-6.66666666E8</v>
      </c>
      <c r="E6" s="201">
        <v>-9128.04</v>
      </c>
      <c r="F6" s="201">
        <v>-6.66666666E8</v>
      </c>
      <c r="G6" s="201">
        <v>-6.66666666E8</v>
      </c>
      <c r="H6" s="201">
        <v>-6.66666666E8</v>
      </c>
      <c r="I6" s="201">
        <v>50.0</v>
      </c>
      <c r="J6" s="201">
        <v>-6.66666666E8</v>
      </c>
      <c r="K6" s="201">
        <v>-6.66666666E8</v>
      </c>
      <c r="L6" s="202">
        <v>-6.66666666E8</v>
      </c>
      <c r="M6" s="203"/>
      <c r="N6" s="204"/>
      <c r="O6" s="203"/>
      <c r="P6" s="203"/>
      <c r="Q6" s="203"/>
      <c r="R6" s="203"/>
      <c r="S6" s="203"/>
      <c r="T6" s="204"/>
      <c r="U6" s="205"/>
      <c r="V6" s="203"/>
      <c r="W6" s="203"/>
      <c r="X6" s="203"/>
      <c r="Y6" s="203"/>
      <c r="Z6" s="203"/>
      <c r="AA6" s="203"/>
      <c r="AB6" s="203"/>
      <c r="AC6" s="203"/>
      <c r="AD6" s="203"/>
      <c r="AE6" s="206">
        <v>0.0</v>
      </c>
    </row>
    <row r="7">
      <c r="A7" s="200">
        <v>77428.0</v>
      </c>
      <c r="B7" s="201">
        <v>126.0</v>
      </c>
      <c r="C7" s="201">
        <v>0.0</v>
      </c>
      <c r="D7" s="201">
        <v>-6.66666666E8</v>
      </c>
      <c r="E7" s="201">
        <v>-9128.04</v>
      </c>
      <c r="F7" s="201">
        <v>0.0</v>
      </c>
      <c r="G7" s="201">
        <v>0.0</v>
      </c>
      <c r="H7" s="201">
        <v>0.0</v>
      </c>
      <c r="I7" s="201">
        <v>0.0</v>
      </c>
      <c r="J7" s="201">
        <v>77.3</v>
      </c>
      <c r="K7" s="201">
        <v>0.0</v>
      </c>
      <c r="L7" s="202">
        <v>0.0</v>
      </c>
      <c r="M7" s="203"/>
      <c r="N7" s="204"/>
      <c r="O7" s="203"/>
      <c r="P7" s="203"/>
      <c r="Q7" s="203"/>
      <c r="R7" s="203"/>
      <c r="S7" s="203"/>
      <c r="T7" s="204"/>
      <c r="U7" s="205"/>
      <c r="V7" s="203"/>
      <c r="W7" s="203"/>
      <c r="X7" s="203"/>
      <c r="Y7" s="203"/>
      <c r="Z7" s="203"/>
      <c r="AA7" s="203"/>
      <c r="AB7" s="203"/>
      <c r="AC7" s="203"/>
      <c r="AD7" s="203"/>
      <c r="AE7" s="206">
        <v>0.0</v>
      </c>
    </row>
    <row r="8">
      <c r="A8" s="200">
        <v>77481.0</v>
      </c>
      <c r="B8" s="201">
        <v>128.0</v>
      </c>
      <c r="C8" s="201">
        <v>67.2</v>
      </c>
      <c r="D8" s="201">
        <v>-6.66666666E8</v>
      </c>
      <c r="E8" s="201">
        <v>-9128.04</v>
      </c>
      <c r="F8" s="201">
        <v>0.0</v>
      </c>
      <c r="G8" s="201">
        <v>0.0</v>
      </c>
      <c r="H8" s="201">
        <v>7.3</v>
      </c>
      <c r="I8" s="201">
        <v>0.0</v>
      </c>
      <c r="J8" s="201">
        <v>5.2</v>
      </c>
      <c r="K8" s="201">
        <v>23.6</v>
      </c>
      <c r="L8" s="202">
        <v>0.0</v>
      </c>
      <c r="M8" s="203"/>
      <c r="N8" s="204"/>
      <c r="O8" s="203"/>
      <c r="P8" s="203"/>
      <c r="Q8" s="203"/>
      <c r="R8" s="203"/>
      <c r="S8" s="203"/>
      <c r="T8" s="204"/>
      <c r="U8" s="205"/>
      <c r="V8" s="203"/>
      <c r="W8" s="203"/>
      <c r="X8" s="203"/>
      <c r="Y8" s="203"/>
      <c r="Z8" s="203"/>
      <c r="AA8" s="203"/>
      <c r="AB8" s="203"/>
      <c r="AC8" s="203"/>
      <c r="AD8" s="203"/>
      <c r="AE8" s="206">
        <v>0.0</v>
      </c>
    </row>
    <row r="9">
      <c r="A9" s="200">
        <v>77454.0</v>
      </c>
      <c r="B9" s="201">
        <v>180.0</v>
      </c>
      <c r="C9" s="201">
        <v>0.0</v>
      </c>
      <c r="D9" s="201">
        <v>-6.66666666E8</v>
      </c>
      <c r="E9" s="201">
        <v>-9128.04</v>
      </c>
      <c r="F9" s="201">
        <v>0.0</v>
      </c>
      <c r="G9" s="201">
        <v>0.0</v>
      </c>
      <c r="H9" s="201">
        <v>0.0</v>
      </c>
      <c r="I9" s="201">
        <v>0.0</v>
      </c>
      <c r="J9" s="201">
        <v>0.0</v>
      </c>
      <c r="K9" s="201">
        <v>100.0</v>
      </c>
      <c r="L9" s="202">
        <v>0.0</v>
      </c>
      <c r="M9" s="203"/>
      <c r="N9" s="204"/>
      <c r="O9" s="203"/>
      <c r="P9" s="203"/>
      <c r="Q9" s="203"/>
      <c r="R9" s="203"/>
      <c r="S9" s="203"/>
      <c r="T9" s="204"/>
      <c r="U9" s="205"/>
      <c r="V9" s="203"/>
      <c r="W9" s="203"/>
      <c r="X9" s="203"/>
      <c r="Y9" s="203"/>
      <c r="Z9" s="203"/>
      <c r="AA9" s="203"/>
      <c r="AB9" s="203"/>
      <c r="AC9" s="203"/>
      <c r="AD9" s="203"/>
      <c r="AE9" s="206">
        <v>0.0</v>
      </c>
    </row>
    <row r="10">
      <c r="A10" s="200">
        <v>77334.0</v>
      </c>
      <c r="B10" s="201">
        <v>211.0</v>
      </c>
      <c r="C10" s="201">
        <v>0.0</v>
      </c>
      <c r="D10" s="201">
        <v>-6.66666666E8</v>
      </c>
      <c r="E10" s="201">
        <v>-9128.04</v>
      </c>
      <c r="F10" s="201">
        <v>0.0</v>
      </c>
      <c r="G10" s="201">
        <v>29.9</v>
      </c>
      <c r="H10" s="201">
        <v>74.1</v>
      </c>
      <c r="I10" s="201">
        <v>0.0</v>
      </c>
      <c r="J10" s="201">
        <v>0.0</v>
      </c>
      <c r="K10" s="201">
        <v>74.1</v>
      </c>
      <c r="L10" s="202">
        <v>0.0</v>
      </c>
      <c r="M10" s="203"/>
      <c r="N10" s="204"/>
      <c r="O10" s="203"/>
      <c r="P10" s="203"/>
      <c r="Q10" s="203"/>
      <c r="R10" s="203"/>
      <c r="S10" s="203"/>
      <c r="T10" s="204"/>
      <c r="U10" s="205"/>
      <c r="V10" s="203"/>
      <c r="W10" s="203"/>
      <c r="X10" s="203"/>
      <c r="Y10" s="203"/>
      <c r="Z10" s="203"/>
      <c r="AA10" s="203"/>
      <c r="AB10" s="203"/>
      <c r="AC10" s="203"/>
      <c r="AD10" s="203"/>
      <c r="AE10" s="206">
        <v>0.0</v>
      </c>
    </row>
    <row r="11">
      <c r="A11" s="200">
        <v>77466.0</v>
      </c>
      <c r="B11" s="201">
        <v>258.0</v>
      </c>
      <c r="C11" s="201">
        <v>28.3</v>
      </c>
      <c r="D11" s="201">
        <v>43708.0</v>
      </c>
      <c r="E11" s="201">
        <v>0.6</v>
      </c>
      <c r="F11" s="201">
        <v>8.4</v>
      </c>
      <c r="G11" s="201">
        <v>7.4</v>
      </c>
      <c r="H11" s="201">
        <v>0.0</v>
      </c>
      <c r="I11" s="201">
        <v>4.2</v>
      </c>
      <c r="J11" s="201">
        <v>5.8</v>
      </c>
      <c r="K11" s="201">
        <v>82.3</v>
      </c>
      <c r="L11" s="202">
        <v>0.0</v>
      </c>
      <c r="M11" s="203"/>
      <c r="N11" s="204"/>
      <c r="O11" s="203"/>
      <c r="P11" s="203"/>
      <c r="Q11" s="203"/>
      <c r="R11" s="203"/>
      <c r="S11" s="203"/>
      <c r="T11" s="204"/>
      <c r="U11" s="205"/>
      <c r="V11" s="203"/>
      <c r="W11" s="203"/>
      <c r="X11" s="203"/>
      <c r="Y11" s="203"/>
      <c r="Z11" s="203"/>
      <c r="AA11" s="203"/>
      <c r="AB11" s="203"/>
      <c r="AC11" s="203"/>
      <c r="AD11" s="203"/>
      <c r="AE11" s="206">
        <v>0.0</v>
      </c>
    </row>
    <row r="12">
      <c r="A12" s="200">
        <v>77483.0</v>
      </c>
      <c r="B12" s="201">
        <v>337.0</v>
      </c>
      <c r="C12" s="201">
        <v>0.0</v>
      </c>
      <c r="D12" s="201">
        <v>-6.66666666E8</v>
      </c>
      <c r="E12" s="201">
        <v>-9128.04</v>
      </c>
      <c r="F12" s="201">
        <v>0.0</v>
      </c>
      <c r="G12" s="201">
        <v>35.0</v>
      </c>
      <c r="H12" s="201">
        <v>56.8</v>
      </c>
      <c r="I12" s="201">
        <v>20.0</v>
      </c>
      <c r="J12" s="201">
        <v>42.1</v>
      </c>
      <c r="K12" s="201">
        <v>100.0</v>
      </c>
      <c r="L12" s="202">
        <v>0.0</v>
      </c>
      <c r="M12" s="203"/>
      <c r="N12" s="204"/>
      <c r="O12" s="203"/>
      <c r="P12" s="203"/>
      <c r="Q12" s="203"/>
      <c r="R12" s="203"/>
      <c r="S12" s="203"/>
      <c r="T12" s="204"/>
      <c r="U12" s="205"/>
      <c r="V12" s="203"/>
      <c r="W12" s="203"/>
      <c r="X12" s="203"/>
      <c r="Y12" s="203"/>
      <c r="Z12" s="203"/>
      <c r="AA12" s="203"/>
      <c r="AB12" s="203"/>
      <c r="AC12" s="203"/>
      <c r="AD12" s="203"/>
      <c r="AE12" s="206">
        <v>0.0</v>
      </c>
    </row>
    <row r="13">
      <c r="A13" s="200">
        <v>77476.0</v>
      </c>
      <c r="B13" s="201">
        <v>341.0</v>
      </c>
      <c r="C13" s="201">
        <v>14.8</v>
      </c>
      <c r="D13" s="201">
        <v>-6.66666666E8</v>
      </c>
      <c r="E13" s="201">
        <v>-9128.04</v>
      </c>
      <c r="F13" s="201">
        <v>0.0</v>
      </c>
      <c r="G13" s="201">
        <v>5.0</v>
      </c>
      <c r="H13" s="201">
        <v>5.9</v>
      </c>
      <c r="I13" s="201">
        <v>2.3</v>
      </c>
      <c r="J13" s="201">
        <v>17.6</v>
      </c>
      <c r="K13" s="201">
        <v>89.0</v>
      </c>
      <c r="L13" s="202">
        <v>0.0</v>
      </c>
      <c r="M13" s="203"/>
      <c r="N13" s="204"/>
      <c r="O13" s="203"/>
      <c r="P13" s="203"/>
      <c r="Q13" s="203"/>
      <c r="R13" s="203"/>
      <c r="S13" s="203"/>
      <c r="T13" s="204"/>
      <c r="U13" s="205"/>
      <c r="V13" s="203"/>
      <c r="W13" s="203"/>
      <c r="X13" s="203"/>
      <c r="Y13" s="203"/>
      <c r="Z13" s="203"/>
      <c r="AA13" s="203"/>
      <c r="AB13" s="203"/>
      <c r="AC13" s="203"/>
      <c r="AD13" s="203"/>
      <c r="AE13" s="206">
        <v>0.0</v>
      </c>
    </row>
    <row r="14">
      <c r="A14" s="200">
        <v>77464.0</v>
      </c>
      <c r="B14" s="201">
        <v>457.0</v>
      </c>
      <c r="C14" s="201">
        <v>5.3</v>
      </c>
      <c r="D14" s="201">
        <v>58140.0</v>
      </c>
      <c r="E14" s="201">
        <v>0.8</v>
      </c>
      <c r="F14" s="201">
        <v>0.0</v>
      </c>
      <c r="G14" s="201">
        <v>11.6</v>
      </c>
      <c r="H14" s="201">
        <v>5.0</v>
      </c>
      <c r="I14" s="201">
        <v>20.4</v>
      </c>
      <c r="J14" s="201">
        <v>2.9</v>
      </c>
      <c r="K14" s="201">
        <v>40.1</v>
      </c>
      <c r="L14" s="202">
        <v>0.0</v>
      </c>
      <c r="M14" s="203"/>
      <c r="N14" s="204"/>
      <c r="O14" s="203"/>
      <c r="P14" s="203"/>
      <c r="Q14" s="203"/>
      <c r="R14" s="203"/>
      <c r="S14" s="203"/>
      <c r="T14" s="204"/>
      <c r="U14" s="205"/>
      <c r="V14" s="203"/>
      <c r="W14" s="203"/>
      <c r="X14" s="203"/>
      <c r="Y14" s="203"/>
      <c r="Z14" s="203"/>
      <c r="AA14" s="203"/>
      <c r="AB14" s="203"/>
      <c r="AC14" s="203"/>
      <c r="AD14" s="203"/>
      <c r="AE14" s="206">
        <v>0.0</v>
      </c>
    </row>
    <row r="15">
      <c r="A15" s="200">
        <v>77451.0</v>
      </c>
      <c r="B15" s="201">
        <v>510.0</v>
      </c>
      <c r="C15" s="201">
        <v>26.2</v>
      </c>
      <c r="D15" s="201">
        <v>41838.0</v>
      </c>
      <c r="E15" s="201">
        <v>0.57</v>
      </c>
      <c r="F15" s="201">
        <v>0.0</v>
      </c>
      <c r="G15" s="201">
        <v>19.2</v>
      </c>
      <c r="H15" s="201">
        <v>27.1</v>
      </c>
      <c r="I15" s="201">
        <v>10.9</v>
      </c>
      <c r="J15" s="201">
        <v>23.0</v>
      </c>
      <c r="K15" s="201">
        <v>74.6</v>
      </c>
      <c r="L15" s="202">
        <v>0.0</v>
      </c>
      <c r="M15" s="203"/>
      <c r="N15" s="204"/>
      <c r="O15" s="203"/>
      <c r="P15" s="203"/>
      <c r="Q15" s="203"/>
      <c r="R15" s="203"/>
      <c r="S15" s="203"/>
      <c r="T15" s="204"/>
      <c r="U15" s="205"/>
      <c r="V15" s="203"/>
      <c r="W15" s="203"/>
      <c r="X15" s="203"/>
      <c r="Y15" s="203"/>
      <c r="Z15" s="203"/>
      <c r="AA15" s="203"/>
      <c r="AB15" s="203"/>
      <c r="AC15" s="203"/>
      <c r="AD15" s="203"/>
      <c r="AE15" s="206">
        <v>0.0</v>
      </c>
    </row>
    <row r="16">
      <c r="A16" s="200">
        <v>77507.0</v>
      </c>
      <c r="B16" s="201">
        <v>578.0</v>
      </c>
      <c r="C16" s="201">
        <v>0.0</v>
      </c>
      <c r="D16" s="201">
        <v>74536.0</v>
      </c>
      <c r="E16" s="201">
        <v>1.02</v>
      </c>
      <c r="F16" s="201">
        <v>0.0</v>
      </c>
      <c r="G16" s="201">
        <v>8.7</v>
      </c>
      <c r="H16" s="201">
        <v>0.0</v>
      </c>
      <c r="I16" s="201">
        <v>0.0</v>
      </c>
      <c r="J16" s="201">
        <v>15.2</v>
      </c>
      <c r="K16" s="201">
        <v>0.0</v>
      </c>
      <c r="L16" s="202">
        <v>4.3</v>
      </c>
      <c r="M16" s="203"/>
      <c r="N16" s="204"/>
      <c r="O16" s="203"/>
      <c r="P16" s="203"/>
      <c r="Q16" s="203"/>
      <c r="R16" s="203"/>
      <c r="S16" s="203"/>
      <c r="T16" s="204"/>
      <c r="U16" s="205"/>
      <c r="V16" s="203"/>
      <c r="W16" s="203"/>
      <c r="X16" s="203"/>
      <c r="Y16" s="203"/>
      <c r="Z16" s="203"/>
      <c r="AA16" s="203"/>
      <c r="AB16" s="203"/>
      <c r="AC16" s="203"/>
      <c r="AD16" s="203"/>
      <c r="AE16" s="206">
        <v>0.0</v>
      </c>
    </row>
    <row r="17">
      <c r="A17" s="200">
        <v>77010.0</v>
      </c>
      <c r="B17" s="201">
        <v>620.0</v>
      </c>
      <c r="C17" s="201">
        <v>0.0</v>
      </c>
      <c r="D17" s="201">
        <v>183681.0</v>
      </c>
      <c r="E17" s="201">
        <v>2.51</v>
      </c>
      <c r="F17" s="201">
        <v>0.0</v>
      </c>
      <c r="G17" s="201">
        <v>4.8</v>
      </c>
      <c r="H17" s="201">
        <v>0.0</v>
      </c>
      <c r="I17" s="201">
        <v>0.0</v>
      </c>
      <c r="J17" s="201">
        <v>33.8</v>
      </c>
      <c r="K17" s="201">
        <v>0.0</v>
      </c>
      <c r="L17" s="202">
        <v>7.4</v>
      </c>
      <c r="M17" s="203"/>
      <c r="N17" s="204"/>
      <c r="O17" s="203"/>
      <c r="P17" s="203"/>
      <c r="Q17" s="203"/>
      <c r="R17" s="203"/>
      <c r="S17" s="203"/>
      <c r="T17" s="204"/>
      <c r="U17" s="205"/>
      <c r="V17" s="203"/>
      <c r="W17" s="203"/>
      <c r="X17" s="203"/>
      <c r="Y17" s="203"/>
      <c r="Z17" s="203"/>
      <c r="AA17" s="203"/>
      <c r="AB17" s="203"/>
      <c r="AC17" s="203"/>
      <c r="AD17" s="203"/>
      <c r="AE17" s="206">
        <v>0.0</v>
      </c>
    </row>
    <row r="18">
      <c r="A18" s="200">
        <v>77367.0</v>
      </c>
      <c r="B18" s="201">
        <v>634.0</v>
      </c>
      <c r="C18" s="201">
        <v>7.4</v>
      </c>
      <c r="D18" s="201">
        <v>73923.0</v>
      </c>
      <c r="E18" s="201">
        <v>1.01</v>
      </c>
      <c r="F18" s="201">
        <v>6.3</v>
      </c>
      <c r="G18" s="201">
        <v>14.2</v>
      </c>
      <c r="H18" s="201">
        <v>4.7</v>
      </c>
      <c r="I18" s="201">
        <v>11.0</v>
      </c>
      <c r="J18" s="201">
        <v>19.9</v>
      </c>
      <c r="K18" s="201">
        <v>57.0</v>
      </c>
      <c r="L18" s="202">
        <v>0.0</v>
      </c>
      <c r="M18" s="203"/>
      <c r="N18" s="204"/>
      <c r="O18" s="203"/>
      <c r="P18" s="203"/>
      <c r="Q18" s="203"/>
      <c r="R18" s="203"/>
      <c r="S18" s="203"/>
      <c r="T18" s="204"/>
      <c r="U18" s="205"/>
      <c r="V18" s="203"/>
      <c r="W18" s="203"/>
      <c r="X18" s="203"/>
      <c r="Y18" s="203"/>
      <c r="Z18" s="203"/>
      <c r="AA18" s="203"/>
      <c r="AB18" s="203"/>
      <c r="AC18" s="203"/>
      <c r="AD18" s="203"/>
      <c r="AE18" s="206">
        <v>0.0</v>
      </c>
    </row>
    <row r="19">
      <c r="A19" s="200">
        <v>77444.0</v>
      </c>
      <c r="B19" s="201">
        <v>793.0</v>
      </c>
      <c r="C19" s="201">
        <v>28.2</v>
      </c>
      <c r="D19" s="201">
        <v>-6.66666666E8</v>
      </c>
      <c r="E19" s="201">
        <v>-9128.04</v>
      </c>
      <c r="F19" s="201">
        <v>7.3</v>
      </c>
      <c r="G19" s="201">
        <v>18.7</v>
      </c>
      <c r="H19" s="201">
        <v>25.2</v>
      </c>
      <c r="I19" s="201">
        <v>21.4</v>
      </c>
      <c r="J19" s="201">
        <v>22.2</v>
      </c>
      <c r="K19" s="201">
        <v>93.3</v>
      </c>
      <c r="L19" s="202">
        <v>17.9</v>
      </c>
      <c r="M19" s="203"/>
      <c r="N19" s="204"/>
      <c r="O19" s="203"/>
      <c r="P19" s="203"/>
      <c r="Q19" s="203"/>
      <c r="R19" s="203"/>
      <c r="S19" s="203"/>
      <c r="T19" s="204"/>
      <c r="U19" s="205"/>
      <c r="V19" s="203"/>
      <c r="W19" s="203"/>
      <c r="X19" s="203"/>
      <c r="Y19" s="203"/>
      <c r="Z19" s="203"/>
      <c r="AA19" s="203"/>
      <c r="AB19" s="203"/>
      <c r="AC19" s="203"/>
      <c r="AD19" s="203"/>
      <c r="AE19" s="206">
        <v>0.0</v>
      </c>
    </row>
    <row r="20">
      <c r="A20" s="207">
        <v>77401.0</v>
      </c>
      <c r="B20" s="208">
        <v>17125.0</v>
      </c>
      <c r="C20" s="208">
        <v>2.6</v>
      </c>
      <c r="D20" s="208">
        <v>236037.0</v>
      </c>
      <c r="E20" s="208">
        <v>3.23</v>
      </c>
      <c r="F20" s="208">
        <v>3.0</v>
      </c>
      <c r="G20" s="208">
        <v>1.9</v>
      </c>
      <c r="H20" s="208">
        <v>2.1</v>
      </c>
      <c r="I20" s="208">
        <v>1.5</v>
      </c>
      <c r="J20" s="208">
        <v>7.6</v>
      </c>
      <c r="K20" s="208">
        <v>87.9</v>
      </c>
      <c r="L20" s="209">
        <v>2.3</v>
      </c>
      <c r="M20" s="161">
        <f t="shared" ref="M20:M232" si="5">((C20-M$1)/(M$2-M$1))*100</f>
        <v>0</v>
      </c>
      <c r="N20" s="189">
        <f t="shared" ref="N20:N232" si="6">((N$2-E20)/(N$2-N$1))*100</f>
        <v>0</v>
      </c>
      <c r="O20" s="161">
        <f t="shared" ref="O20:S20" si="3">((F20-O$1)/(O$2-O$1))*100</f>
        <v>15</v>
      </c>
      <c r="P20" s="161">
        <f t="shared" si="3"/>
        <v>2.404809619</v>
      </c>
      <c r="Q20" s="161">
        <f t="shared" si="3"/>
        <v>4.627249357</v>
      </c>
      <c r="R20" s="161">
        <f t="shared" si="3"/>
        <v>3.054989817</v>
      </c>
      <c r="S20" s="161">
        <f t="shared" si="3"/>
        <v>10.4950495</v>
      </c>
      <c r="T20" s="189">
        <f t="shared" ref="T20:T232" si="8">((T$2-K20)/(T$2-T$1))*100</f>
        <v>6.971428571</v>
      </c>
      <c r="U20" s="210">
        <f t="shared" ref="U20:U232" si="9">((L20-U$1)/(U$2-U$1))*100</f>
        <v>10.8490566</v>
      </c>
      <c r="V20" s="161">
        <f t="shared" ref="V20:AD20" si="4">M20*V$2</f>
        <v>0</v>
      </c>
      <c r="W20" s="161">
        <f t="shared" si="4"/>
        <v>0</v>
      </c>
      <c r="X20" s="161">
        <f t="shared" si="4"/>
        <v>0.75</v>
      </c>
      <c r="Y20" s="161">
        <f t="shared" si="4"/>
        <v>0.120240481</v>
      </c>
      <c r="Z20" s="161">
        <f t="shared" si="4"/>
        <v>0.2313624679</v>
      </c>
      <c r="AA20" s="161">
        <f t="shared" si="4"/>
        <v>0.3054989817</v>
      </c>
      <c r="AB20" s="161">
        <f t="shared" si="4"/>
        <v>1.574257426</v>
      </c>
      <c r="AC20" s="161">
        <f t="shared" si="4"/>
        <v>1.045714286</v>
      </c>
      <c r="AD20" s="161">
        <f t="shared" si="4"/>
        <v>0.5424528302</v>
      </c>
      <c r="AE20" s="161">
        <f t="shared" ref="AE20:AE232" si="11">SUM(V20:AD20)/9</f>
        <v>0.5077251636</v>
      </c>
    </row>
    <row r="21">
      <c r="A21" s="207">
        <v>77441.0</v>
      </c>
      <c r="B21" s="208">
        <v>32905.0</v>
      </c>
      <c r="C21" s="208">
        <v>3.4</v>
      </c>
      <c r="D21" s="208">
        <v>177591.0</v>
      </c>
      <c r="E21" s="208">
        <v>2.43</v>
      </c>
      <c r="F21" s="208">
        <v>4.1</v>
      </c>
      <c r="G21" s="208">
        <v>3.5</v>
      </c>
      <c r="H21" s="208">
        <v>4.6</v>
      </c>
      <c r="I21" s="208">
        <v>2.6</v>
      </c>
      <c r="J21" s="208">
        <v>4.8</v>
      </c>
      <c r="K21" s="208">
        <v>92.7</v>
      </c>
      <c r="L21" s="209">
        <v>0.0</v>
      </c>
      <c r="M21" s="161">
        <f t="shared" si="5"/>
        <v>1.609657948</v>
      </c>
      <c r="N21" s="189">
        <f t="shared" si="6"/>
        <v>26.93602694</v>
      </c>
      <c r="O21" s="161">
        <f t="shared" ref="O21:S21" si="7">((F21-O$1)/(O$2-O$1))*100</f>
        <v>20.5</v>
      </c>
      <c r="P21" s="161">
        <f t="shared" si="7"/>
        <v>5.611222445</v>
      </c>
      <c r="Q21" s="161">
        <f t="shared" si="7"/>
        <v>11.05398458</v>
      </c>
      <c r="R21" s="161">
        <f t="shared" si="7"/>
        <v>5.295315682</v>
      </c>
      <c r="S21" s="161">
        <f t="shared" si="7"/>
        <v>4.95049505</v>
      </c>
      <c r="T21" s="189">
        <f t="shared" si="8"/>
        <v>1.485714286</v>
      </c>
      <c r="U21" s="210">
        <f t="shared" si="9"/>
        <v>0</v>
      </c>
      <c r="V21" s="161">
        <f t="shared" ref="V21:AD21" si="10">M21*V$2</f>
        <v>0.3219315895</v>
      </c>
      <c r="W21" s="161">
        <f t="shared" si="10"/>
        <v>5.387205387</v>
      </c>
      <c r="X21" s="161">
        <f t="shared" si="10"/>
        <v>1.025</v>
      </c>
      <c r="Y21" s="161">
        <f t="shared" si="10"/>
        <v>0.2805611222</v>
      </c>
      <c r="Z21" s="161">
        <f t="shared" si="10"/>
        <v>0.5526992288</v>
      </c>
      <c r="AA21" s="161">
        <f t="shared" si="10"/>
        <v>0.5295315682</v>
      </c>
      <c r="AB21" s="161">
        <f t="shared" si="10"/>
        <v>0.7425742574</v>
      </c>
      <c r="AC21" s="161">
        <f t="shared" si="10"/>
        <v>0.2228571429</v>
      </c>
      <c r="AD21" s="161">
        <f t="shared" si="10"/>
        <v>0</v>
      </c>
      <c r="AE21" s="161">
        <f t="shared" si="11"/>
        <v>1.006928922</v>
      </c>
    </row>
    <row r="22">
      <c r="A22" s="207">
        <v>77059.0</v>
      </c>
      <c r="B22" s="208">
        <v>18386.0</v>
      </c>
      <c r="C22" s="208">
        <v>4.0</v>
      </c>
      <c r="D22" s="208">
        <v>166614.0</v>
      </c>
      <c r="E22" s="208">
        <v>2.28</v>
      </c>
      <c r="F22" s="208">
        <v>6.6</v>
      </c>
      <c r="G22" s="208">
        <v>6.7</v>
      </c>
      <c r="H22" s="208">
        <v>0.5</v>
      </c>
      <c r="I22" s="208">
        <v>3.4</v>
      </c>
      <c r="J22" s="208">
        <v>2.5</v>
      </c>
      <c r="K22" s="208">
        <v>94.0</v>
      </c>
      <c r="L22" s="209">
        <v>0.3</v>
      </c>
      <c r="M22" s="161">
        <f t="shared" si="5"/>
        <v>2.816901408</v>
      </c>
      <c r="N22" s="189">
        <f t="shared" si="6"/>
        <v>31.98653199</v>
      </c>
      <c r="O22" s="161">
        <f t="shared" ref="O22:S22" si="12">((F22-O$1)/(O$2-O$1))*100</f>
        <v>33</v>
      </c>
      <c r="P22" s="161">
        <f t="shared" si="12"/>
        <v>12.0240481</v>
      </c>
      <c r="Q22" s="161">
        <f t="shared" si="12"/>
        <v>0.5141388175</v>
      </c>
      <c r="R22" s="161">
        <f t="shared" si="12"/>
        <v>6.924643585</v>
      </c>
      <c r="S22" s="161">
        <f t="shared" si="12"/>
        <v>0.396039604</v>
      </c>
      <c r="T22" s="189">
        <f t="shared" si="8"/>
        <v>0</v>
      </c>
      <c r="U22" s="210">
        <f t="shared" si="9"/>
        <v>1.41509434</v>
      </c>
      <c r="V22" s="161">
        <f t="shared" ref="V22:AD22" si="13">M22*V$2</f>
        <v>0.5633802817</v>
      </c>
      <c r="W22" s="161">
        <f t="shared" si="13"/>
        <v>6.397306397</v>
      </c>
      <c r="X22" s="161">
        <f t="shared" si="13"/>
        <v>1.65</v>
      </c>
      <c r="Y22" s="161">
        <f t="shared" si="13"/>
        <v>0.6012024048</v>
      </c>
      <c r="Z22" s="161">
        <f t="shared" si="13"/>
        <v>0.02570694087</v>
      </c>
      <c r="AA22" s="161">
        <f t="shared" si="13"/>
        <v>0.6924643585</v>
      </c>
      <c r="AB22" s="161">
        <f t="shared" si="13"/>
        <v>0.05940594059</v>
      </c>
      <c r="AC22" s="161">
        <f t="shared" si="13"/>
        <v>0</v>
      </c>
      <c r="AD22" s="161">
        <f t="shared" si="13"/>
        <v>0.07075471698</v>
      </c>
      <c r="AE22" s="161">
        <f t="shared" si="11"/>
        <v>1.117802338</v>
      </c>
    </row>
    <row r="23">
      <c r="A23" s="207">
        <v>77005.0</v>
      </c>
      <c r="B23" s="208">
        <v>28231.0</v>
      </c>
      <c r="C23" s="208">
        <v>3.6</v>
      </c>
      <c r="D23" s="208">
        <v>215708.0</v>
      </c>
      <c r="E23" s="208">
        <v>2.95</v>
      </c>
      <c r="F23" s="208">
        <v>4.7</v>
      </c>
      <c r="G23" s="208">
        <v>2.6</v>
      </c>
      <c r="H23" s="208">
        <v>0.5</v>
      </c>
      <c r="I23" s="208">
        <v>1.6</v>
      </c>
      <c r="J23" s="208">
        <v>6.0</v>
      </c>
      <c r="K23" s="208">
        <v>72.4</v>
      </c>
      <c r="L23" s="209">
        <v>6.2</v>
      </c>
      <c r="M23" s="161">
        <f t="shared" si="5"/>
        <v>2.012072435</v>
      </c>
      <c r="N23" s="189">
        <f t="shared" si="6"/>
        <v>9.427609428</v>
      </c>
      <c r="O23" s="161">
        <f t="shared" ref="O23:S23" si="14">((F23-O$1)/(O$2-O$1))*100</f>
        <v>23.5</v>
      </c>
      <c r="P23" s="161">
        <f t="shared" si="14"/>
        <v>3.80761523</v>
      </c>
      <c r="Q23" s="161">
        <f t="shared" si="14"/>
        <v>0.5141388175</v>
      </c>
      <c r="R23" s="161">
        <f t="shared" si="14"/>
        <v>3.258655804</v>
      </c>
      <c r="S23" s="161">
        <f t="shared" si="14"/>
        <v>7.326732673</v>
      </c>
      <c r="T23" s="189">
        <f t="shared" si="8"/>
        <v>24.68571429</v>
      </c>
      <c r="U23" s="210">
        <f t="shared" si="9"/>
        <v>29.24528302</v>
      </c>
      <c r="V23" s="161">
        <f t="shared" ref="V23:AD23" si="15">M23*V$2</f>
        <v>0.4024144869</v>
      </c>
      <c r="W23" s="161">
        <f t="shared" si="15"/>
        <v>1.885521886</v>
      </c>
      <c r="X23" s="161">
        <f t="shared" si="15"/>
        <v>1.175</v>
      </c>
      <c r="Y23" s="161">
        <f t="shared" si="15"/>
        <v>0.1903807615</v>
      </c>
      <c r="Z23" s="161">
        <f t="shared" si="15"/>
        <v>0.02570694087</v>
      </c>
      <c r="AA23" s="161">
        <f t="shared" si="15"/>
        <v>0.3258655804</v>
      </c>
      <c r="AB23" s="161">
        <f t="shared" si="15"/>
        <v>1.099009901</v>
      </c>
      <c r="AC23" s="161">
        <f t="shared" si="15"/>
        <v>3.702857143</v>
      </c>
      <c r="AD23" s="161">
        <f t="shared" si="15"/>
        <v>1.462264151</v>
      </c>
      <c r="AE23" s="161">
        <f t="shared" si="11"/>
        <v>1.141002317</v>
      </c>
    </row>
    <row r="24">
      <c r="A24" s="207">
        <v>77382.0</v>
      </c>
      <c r="B24" s="208">
        <v>40170.0</v>
      </c>
      <c r="C24" s="208">
        <v>4.0</v>
      </c>
      <c r="D24" s="208">
        <v>169669.0</v>
      </c>
      <c r="E24" s="208">
        <v>2.32</v>
      </c>
      <c r="F24" s="208">
        <v>6.7</v>
      </c>
      <c r="G24" s="208">
        <v>5.8</v>
      </c>
      <c r="H24" s="208">
        <v>0.3</v>
      </c>
      <c r="I24" s="208">
        <v>1.5</v>
      </c>
      <c r="J24" s="208">
        <v>3.0</v>
      </c>
      <c r="K24" s="208">
        <v>81.6</v>
      </c>
      <c r="L24" s="209">
        <v>2.8</v>
      </c>
      <c r="M24" s="161">
        <f t="shared" si="5"/>
        <v>2.816901408</v>
      </c>
      <c r="N24" s="189">
        <f t="shared" si="6"/>
        <v>30.63973064</v>
      </c>
      <c r="O24" s="161">
        <f t="shared" ref="O24:S24" si="16">((F24-O$1)/(O$2-O$1))*100</f>
        <v>33.5</v>
      </c>
      <c r="P24" s="161">
        <f t="shared" si="16"/>
        <v>10.22044088</v>
      </c>
      <c r="Q24" s="161">
        <f t="shared" si="16"/>
        <v>0</v>
      </c>
      <c r="R24" s="161">
        <f t="shared" si="16"/>
        <v>3.054989817</v>
      </c>
      <c r="S24" s="161">
        <f t="shared" si="16"/>
        <v>1.386138614</v>
      </c>
      <c r="T24" s="189">
        <f t="shared" si="8"/>
        <v>14.17142857</v>
      </c>
      <c r="U24" s="210">
        <f t="shared" si="9"/>
        <v>13.20754717</v>
      </c>
      <c r="V24" s="161">
        <f t="shared" ref="V24:AD24" si="17">M24*V$2</f>
        <v>0.5633802817</v>
      </c>
      <c r="W24" s="161">
        <f t="shared" si="17"/>
        <v>6.127946128</v>
      </c>
      <c r="X24" s="161">
        <f t="shared" si="17"/>
        <v>1.675</v>
      </c>
      <c r="Y24" s="161">
        <f t="shared" si="17"/>
        <v>0.5110220441</v>
      </c>
      <c r="Z24" s="161">
        <f t="shared" si="17"/>
        <v>0</v>
      </c>
      <c r="AA24" s="161">
        <f t="shared" si="17"/>
        <v>0.3054989817</v>
      </c>
      <c r="AB24" s="161">
        <f t="shared" si="17"/>
        <v>0.2079207921</v>
      </c>
      <c r="AC24" s="161">
        <f t="shared" si="17"/>
        <v>2.125714286</v>
      </c>
      <c r="AD24" s="161">
        <f t="shared" si="17"/>
        <v>0.6603773585</v>
      </c>
      <c r="AE24" s="161">
        <f t="shared" si="11"/>
        <v>1.35298443</v>
      </c>
    </row>
    <row r="25">
      <c r="A25" s="207">
        <v>77345.0</v>
      </c>
      <c r="B25" s="208">
        <v>27574.0</v>
      </c>
      <c r="C25" s="208">
        <v>3.6</v>
      </c>
      <c r="D25" s="208">
        <v>156844.0</v>
      </c>
      <c r="E25" s="208">
        <v>2.15</v>
      </c>
      <c r="F25" s="208">
        <v>4.4</v>
      </c>
      <c r="G25" s="208">
        <v>3.8</v>
      </c>
      <c r="H25" s="208">
        <v>1.7</v>
      </c>
      <c r="I25" s="208">
        <v>3.1</v>
      </c>
      <c r="J25" s="208">
        <v>4.1</v>
      </c>
      <c r="K25" s="208">
        <v>85.7</v>
      </c>
      <c r="L25" s="209">
        <v>2.0</v>
      </c>
      <c r="M25" s="161">
        <f t="shared" si="5"/>
        <v>2.012072435</v>
      </c>
      <c r="N25" s="189">
        <f t="shared" si="6"/>
        <v>36.36363636</v>
      </c>
      <c r="O25" s="161">
        <f t="shared" ref="O25:S25" si="18">((F25-O$1)/(O$2-O$1))*100</f>
        <v>22</v>
      </c>
      <c r="P25" s="161">
        <f t="shared" si="18"/>
        <v>6.21242485</v>
      </c>
      <c r="Q25" s="161">
        <f t="shared" si="18"/>
        <v>3.598971722</v>
      </c>
      <c r="R25" s="161">
        <f t="shared" si="18"/>
        <v>6.313645621</v>
      </c>
      <c r="S25" s="161">
        <f t="shared" si="18"/>
        <v>3.564356436</v>
      </c>
      <c r="T25" s="189">
        <f t="shared" si="8"/>
        <v>9.485714286</v>
      </c>
      <c r="U25" s="210">
        <f t="shared" si="9"/>
        <v>9.433962264</v>
      </c>
      <c r="V25" s="161">
        <f t="shared" ref="V25:AD25" si="19">M25*V$2</f>
        <v>0.4024144869</v>
      </c>
      <c r="W25" s="161">
        <f t="shared" si="19"/>
        <v>7.272727273</v>
      </c>
      <c r="X25" s="161">
        <f t="shared" si="19"/>
        <v>1.1</v>
      </c>
      <c r="Y25" s="161">
        <f t="shared" si="19"/>
        <v>0.3106212425</v>
      </c>
      <c r="Z25" s="161">
        <f t="shared" si="19"/>
        <v>0.1799485861</v>
      </c>
      <c r="AA25" s="161">
        <f t="shared" si="19"/>
        <v>0.6313645621</v>
      </c>
      <c r="AB25" s="161">
        <f t="shared" si="19"/>
        <v>0.5346534653</v>
      </c>
      <c r="AC25" s="161">
        <f t="shared" si="19"/>
        <v>1.422857143</v>
      </c>
      <c r="AD25" s="161">
        <f t="shared" si="19"/>
        <v>0.4716981132</v>
      </c>
      <c r="AE25" s="161">
        <f t="shared" si="11"/>
        <v>1.369587208</v>
      </c>
    </row>
    <row r="26">
      <c r="A26" s="207">
        <v>77479.0</v>
      </c>
      <c r="B26" s="208">
        <v>92355.0</v>
      </c>
      <c r="C26" s="208">
        <v>3.7</v>
      </c>
      <c r="D26" s="208">
        <v>162381.0</v>
      </c>
      <c r="E26" s="208">
        <v>2.22</v>
      </c>
      <c r="F26" s="208">
        <v>4.8</v>
      </c>
      <c r="G26" s="208">
        <v>6.3</v>
      </c>
      <c r="H26" s="208">
        <v>3.2</v>
      </c>
      <c r="I26" s="208">
        <v>4.4</v>
      </c>
      <c r="J26" s="208">
        <v>3.5</v>
      </c>
      <c r="K26" s="208">
        <v>83.0</v>
      </c>
      <c r="L26" s="209">
        <v>2.0</v>
      </c>
      <c r="M26" s="161">
        <f t="shared" si="5"/>
        <v>2.213279678</v>
      </c>
      <c r="N26" s="189">
        <f t="shared" si="6"/>
        <v>34.00673401</v>
      </c>
      <c r="O26" s="161">
        <f t="shared" ref="O26:S26" si="20">((F26-O$1)/(O$2-O$1))*100</f>
        <v>24</v>
      </c>
      <c r="P26" s="161">
        <f t="shared" si="20"/>
        <v>11.22244489</v>
      </c>
      <c r="Q26" s="161">
        <f t="shared" si="20"/>
        <v>7.455012853</v>
      </c>
      <c r="R26" s="161">
        <f t="shared" si="20"/>
        <v>8.961303462</v>
      </c>
      <c r="S26" s="161">
        <f t="shared" si="20"/>
        <v>2.376237624</v>
      </c>
      <c r="T26" s="189">
        <f t="shared" si="8"/>
        <v>12.57142857</v>
      </c>
      <c r="U26" s="210">
        <f t="shared" si="9"/>
        <v>9.433962264</v>
      </c>
      <c r="V26" s="161">
        <f t="shared" ref="V26:AD26" si="21">M26*V$2</f>
        <v>0.4426559356</v>
      </c>
      <c r="W26" s="161">
        <f t="shared" si="21"/>
        <v>6.801346801</v>
      </c>
      <c r="X26" s="161">
        <f t="shared" si="21"/>
        <v>1.2</v>
      </c>
      <c r="Y26" s="161">
        <f t="shared" si="21"/>
        <v>0.5611222445</v>
      </c>
      <c r="Z26" s="161">
        <f t="shared" si="21"/>
        <v>0.3727506427</v>
      </c>
      <c r="AA26" s="161">
        <f t="shared" si="21"/>
        <v>0.8961303462</v>
      </c>
      <c r="AB26" s="161">
        <f t="shared" si="21"/>
        <v>0.3564356436</v>
      </c>
      <c r="AC26" s="161">
        <f t="shared" si="21"/>
        <v>1.885714286</v>
      </c>
      <c r="AD26" s="161">
        <f t="shared" si="21"/>
        <v>0.4716981132</v>
      </c>
      <c r="AE26" s="161">
        <f t="shared" si="11"/>
        <v>1.44309489</v>
      </c>
    </row>
    <row r="27">
      <c r="A27" s="207">
        <v>77094.0</v>
      </c>
      <c r="B27" s="208">
        <v>10718.0</v>
      </c>
      <c r="C27" s="208">
        <v>7.2</v>
      </c>
      <c r="D27" s="208">
        <v>160350.0</v>
      </c>
      <c r="E27" s="208">
        <v>2.2</v>
      </c>
      <c r="F27" s="208">
        <v>6.9</v>
      </c>
      <c r="G27" s="208">
        <v>6.2</v>
      </c>
      <c r="H27" s="208">
        <v>3.6</v>
      </c>
      <c r="I27" s="208">
        <v>1.5</v>
      </c>
      <c r="J27" s="208">
        <v>3.6</v>
      </c>
      <c r="K27" s="208">
        <v>79.5</v>
      </c>
      <c r="L27" s="209">
        <v>1.9</v>
      </c>
      <c r="M27" s="161">
        <f t="shared" si="5"/>
        <v>9.255533199</v>
      </c>
      <c r="N27" s="189">
        <f t="shared" si="6"/>
        <v>34.68013468</v>
      </c>
      <c r="O27" s="161">
        <f t="shared" ref="O27:S27" si="22">((F27-O$1)/(O$2-O$1))*100</f>
        <v>34.5</v>
      </c>
      <c r="P27" s="161">
        <f t="shared" si="22"/>
        <v>11.02204409</v>
      </c>
      <c r="Q27" s="161">
        <f t="shared" si="22"/>
        <v>8.483290488</v>
      </c>
      <c r="R27" s="161">
        <f t="shared" si="22"/>
        <v>3.054989817</v>
      </c>
      <c r="S27" s="161">
        <f t="shared" si="22"/>
        <v>2.574257426</v>
      </c>
      <c r="T27" s="189">
        <f t="shared" si="8"/>
        <v>16.57142857</v>
      </c>
      <c r="U27" s="210">
        <f t="shared" si="9"/>
        <v>8.962264151</v>
      </c>
      <c r="V27" s="161">
        <f t="shared" ref="V27:AD27" si="23">M27*V$2</f>
        <v>1.85110664</v>
      </c>
      <c r="W27" s="161">
        <f t="shared" si="23"/>
        <v>6.936026936</v>
      </c>
      <c r="X27" s="161">
        <f t="shared" si="23"/>
        <v>1.725</v>
      </c>
      <c r="Y27" s="161">
        <f t="shared" si="23"/>
        <v>0.5511022044</v>
      </c>
      <c r="Z27" s="161">
        <f t="shared" si="23"/>
        <v>0.4241645244</v>
      </c>
      <c r="AA27" s="161">
        <f t="shared" si="23"/>
        <v>0.3054989817</v>
      </c>
      <c r="AB27" s="161">
        <f t="shared" si="23"/>
        <v>0.3861386139</v>
      </c>
      <c r="AC27" s="161">
        <f t="shared" si="23"/>
        <v>2.485714286</v>
      </c>
      <c r="AD27" s="161">
        <f t="shared" si="23"/>
        <v>0.4481132075</v>
      </c>
      <c r="AE27" s="161">
        <f t="shared" si="11"/>
        <v>1.679207266</v>
      </c>
    </row>
    <row r="28">
      <c r="A28" s="207">
        <v>77406.0</v>
      </c>
      <c r="B28" s="208">
        <v>65716.0</v>
      </c>
      <c r="C28" s="208">
        <v>5.6</v>
      </c>
      <c r="D28" s="208">
        <v>143023.0</v>
      </c>
      <c r="E28" s="208">
        <v>1.96</v>
      </c>
      <c r="F28" s="208">
        <v>3.4</v>
      </c>
      <c r="G28" s="208">
        <v>9.8</v>
      </c>
      <c r="H28" s="208">
        <v>4.1</v>
      </c>
      <c r="I28" s="208">
        <v>4.9</v>
      </c>
      <c r="J28" s="208">
        <v>4.4</v>
      </c>
      <c r="K28" s="208">
        <v>87.3</v>
      </c>
      <c r="L28" s="209">
        <v>3.3</v>
      </c>
      <c r="M28" s="161">
        <f t="shared" si="5"/>
        <v>6.036217304</v>
      </c>
      <c r="N28" s="189">
        <f t="shared" si="6"/>
        <v>42.76094276</v>
      </c>
      <c r="O28" s="161">
        <f t="shared" ref="O28:S28" si="24">((F28-O$1)/(O$2-O$1))*100</f>
        <v>17</v>
      </c>
      <c r="P28" s="161">
        <f t="shared" si="24"/>
        <v>18.23647295</v>
      </c>
      <c r="Q28" s="161">
        <f t="shared" si="24"/>
        <v>9.768637532</v>
      </c>
      <c r="R28" s="161">
        <f t="shared" si="24"/>
        <v>9.979633401</v>
      </c>
      <c r="S28" s="161">
        <f t="shared" si="24"/>
        <v>4.158415842</v>
      </c>
      <c r="T28" s="189">
        <f t="shared" si="8"/>
        <v>7.657142857</v>
      </c>
      <c r="U28" s="210">
        <f t="shared" si="9"/>
        <v>15.56603774</v>
      </c>
      <c r="V28" s="161">
        <f t="shared" ref="V28:AD28" si="25">M28*V$2</f>
        <v>1.207243461</v>
      </c>
      <c r="W28" s="161">
        <f t="shared" si="25"/>
        <v>8.552188552</v>
      </c>
      <c r="X28" s="161">
        <f t="shared" si="25"/>
        <v>0.85</v>
      </c>
      <c r="Y28" s="161">
        <f t="shared" si="25"/>
        <v>0.9118236473</v>
      </c>
      <c r="Z28" s="161">
        <f t="shared" si="25"/>
        <v>0.4884318766</v>
      </c>
      <c r="AA28" s="161">
        <f t="shared" si="25"/>
        <v>0.9979633401</v>
      </c>
      <c r="AB28" s="161">
        <f t="shared" si="25"/>
        <v>0.6237623762</v>
      </c>
      <c r="AC28" s="161">
        <f t="shared" si="25"/>
        <v>1.148571429</v>
      </c>
      <c r="AD28" s="161">
        <f t="shared" si="25"/>
        <v>0.7783018868</v>
      </c>
      <c r="AE28" s="161">
        <f t="shared" si="11"/>
        <v>1.728698508</v>
      </c>
    </row>
    <row r="29">
      <c r="A29" s="207">
        <v>77459.0</v>
      </c>
      <c r="B29" s="208">
        <v>81251.0</v>
      </c>
      <c r="C29" s="208">
        <v>5.0</v>
      </c>
      <c r="D29" s="208">
        <v>132758.0</v>
      </c>
      <c r="E29" s="208">
        <v>1.82</v>
      </c>
      <c r="F29" s="208">
        <v>4.8</v>
      </c>
      <c r="G29" s="208">
        <v>7.9</v>
      </c>
      <c r="H29" s="208">
        <v>5.5</v>
      </c>
      <c r="I29" s="208">
        <v>4.6</v>
      </c>
      <c r="J29" s="208">
        <v>3.6</v>
      </c>
      <c r="K29" s="208">
        <v>84.1</v>
      </c>
      <c r="L29" s="209">
        <v>1.9</v>
      </c>
      <c r="M29" s="161">
        <f t="shared" si="5"/>
        <v>4.828973843</v>
      </c>
      <c r="N29" s="189">
        <f t="shared" si="6"/>
        <v>47.47474747</v>
      </c>
      <c r="O29" s="161">
        <f t="shared" ref="O29:S29" si="26">((F29-O$1)/(O$2-O$1))*100</f>
        <v>24</v>
      </c>
      <c r="P29" s="161">
        <f t="shared" si="26"/>
        <v>14.42885772</v>
      </c>
      <c r="Q29" s="161">
        <f t="shared" si="26"/>
        <v>13.36760925</v>
      </c>
      <c r="R29" s="161">
        <f t="shared" si="26"/>
        <v>9.368635438</v>
      </c>
      <c r="S29" s="161">
        <f t="shared" si="26"/>
        <v>2.574257426</v>
      </c>
      <c r="T29" s="189">
        <f t="shared" si="8"/>
        <v>11.31428571</v>
      </c>
      <c r="U29" s="210">
        <f t="shared" si="9"/>
        <v>8.962264151</v>
      </c>
      <c r="V29" s="161">
        <f t="shared" ref="V29:AD29" si="27">M29*V$2</f>
        <v>0.9657947686</v>
      </c>
      <c r="W29" s="161">
        <f t="shared" si="27"/>
        <v>9.494949495</v>
      </c>
      <c r="X29" s="161">
        <f t="shared" si="27"/>
        <v>1.2</v>
      </c>
      <c r="Y29" s="161">
        <f t="shared" si="27"/>
        <v>0.7214428858</v>
      </c>
      <c r="Z29" s="161">
        <f t="shared" si="27"/>
        <v>0.6683804627</v>
      </c>
      <c r="AA29" s="161">
        <f t="shared" si="27"/>
        <v>0.9368635438</v>
      </c>
      <c r="AB29" s="161">
        <f t="shared" si="27"/>
        <v>0.3861386139</v>
      </c>
      <c r="AC29" s="161">
        <f t="shared" si="27"/>
        <v>1.697142857</v>
      </c>
      <c r="AD29" s="161">
        <f t="shared" si="27"/>
        <v>0.4481132075</v>
      </c>
      <c r="AE29" s="161">
        <f t="shared" si="11"/>
        <v>1.835425093</v>
      </c>
    </row>
    <row r="30">
      <c r="A30" s="207">
        <v>77381.0</v>
      </c>
      <c r="B30" s="208">
        <v>35184.0</v>
      </c>
      <c r="C30" s="208">
        <v>5.5</v>
      </c>
      <c r="D30" s="208">
        <v>142210.0</v>
      </c>
      <c r="E30" s="208">
        <v>1.95</v>
      </c>
      <c r="F30" s="208">
        <v>4.1</v>
      </c>
      <c r="G30" s="208">
        <v>5.4</v>
      </c>
      <c r="H30" s="208">
        <v>4.4</v>
      </c>
      <c r="I30" s="208">
        <v>2.8</v>
      </c>
      <c r="J30" s="208">
        <v>4.0</v>
      </c>
      <c r="K30" s="208">
        <v>78.1</v>
      </c>
      <c r="L30" s="209">
        <v>6.8</v>
      </c>
      <c r="M30" s="161">
        <f t="shared" si="5"/>
        <v>5.83501006</v>
      </c>
      <c r="N30" s="189">
        <f t="shared" si="6"/>
        <v>43.0976431</v>
      </c>
      <c r="O30" s="161">
        <f t="shared" ref="O30:S30" si="28">((F30-O$1)/(O$2-O$1))*100</f>
        <v>20.5</v>
      </c>
      <c r="P30" s="161">
        <f t="shared" si="28"/>
        <v>9.418837675</v>
      </c>
      <c r="Q30" s="161">
        <f t="shared" si="28"/>
        <v>10.53984576</v>
      </c>
      <c r="R30" s="161">
        <f t="shared" si="28"/>
        <v>5.702647658</v>
      </c>
      <c r="S30" s="161">
        <f t="shared" si="28"/>
        <v>3.366336634</v>
      </c>
      <c r="T30" s="189">
        <f t="shared" si="8"/>
        <v>18.17142857</v>
      </c>
      <c r="U30" s="210">
        <f t="shared" si="9"/>
        <v>32.0754717</v>
      </c>
      <c r="V30" s="161">
        <f t="shared" ref="V30:AD30" si="29">M30*V$2</f>
        <v>1.167002012</v>
      </c>
      <c r="W30" s="161">
        <f t="shared" si="29"/>
        <v>8.61952862</v>
      </c>
      <c r="X30" s="161">
        <f t="shared" si="29"/>
        <v>1.025</v>
      </c>
      <c r="Y30" s="161">
        <f t="shared" si="29"/>
        <v>0.4709418838</v>
      </c>
      <c r="Z30" s="161">
        <f t="shared" si="29"/>
        <v>0.5269922879</v>
      </c>
      <c r="AA30" s="161">
        <f t="shared" si="29"/>
        <v>0.5702647658</v>
      </c>
      <c r="AB30" s="161">
        <f t="shared" si="29"/>
        <v>0.504950495</v>
      </c>
      <c r="AC30" s="161">
        <f t="shared" si="29"/>
        <v>2.725714286</v>
      </c>
      <c r="AD30" s="161">
        <f t="shared" si="29"/>
        <v>1.603773585</v>
      </c>
      <c r="AE30" s="161">
        <f t="shared" si="11"/>
        <v>1.912685326</v>
      </c>
    </row>
    <row r="31">
      <c r="A31" s="207">
        <v>77433.0</v>
      </c>
      <c r="B31" s="208">
        <v>112211.0</v>
      </c>
      <c r="C31" s="208">
        <v>6.2</v>
      </c>
      <c r="D31" s="208">
        <v>137348.0</v>
      </c>
      <c r="E31" s="208">
        <v>1.88</v>
      </c>
      <c r="F31" s="208">
        <v>4.8</v>
      </c>
      <c r="G31" s="208">
        <v>10.8</v>
      </c>
      <c r="H31" s="208">
        <v>4.2</v>
      </c>
      <c r="I31" s="208">
        <v>5.3</v>
      </c>
      <c r="J31" s="208">
        <v>2.8</v>
      </c>
      <c r="K31" s="208">
        <v>80.1</v>
      </c>
      <c r="L31" s="209">
        <v>2.0</v>
      </c>
      <c r="M31" s="161">
        <f t="shared" si="5"/>
        <v>7.243460765</v>
      </c>
      <c r="N31" s="189">
        <f t="shared" si="6"/>
        <v>45.45454545</v>
      </c>
      <c r="O31" s="161">
        <f t="shared" ref="O31:S31" si="30">((F31-O$1)/(O$2-O$1))*100</f>
        <v>24</v>
      </c>
      <c r="P31" s="161">
        <f t="shared" si="30"/>
        <v>20.24048096</v>
      </c>
      <c r="Q31" s="161">
        <f t="shared" si="30"/>
        <v>10.02570694</v>
      </c>
      <c r="R31" s="161">
        <f t="shared" si="30"/>
        <v>10.79429735</v>
      </c>
      <c r="S31" s="161">
        <f t="shared" si="30"/>
        <v>0.9900990099</v>
      </c>
      <c r="T31" s="189">
        <f t="shared" si="8"/>
        <v>15.88571429</v>
      </c>
      <c r="U31" s="210">
        <f t="shared" si="9"/>
        <v>9.433962264</v>
      </c>
      <c r="V31" s="161">
        <f t="shared" ref="V31:AD31" si="31">M31*V$2</f>
        <v>1.448692153</v>
      </c>
      <c r="W31" s="161">
        <f t="shared" si="31"/>
        <v>9.090909091</v>
      </c>
      <c r="X31" s="161">
        <f t="shared" si="31"/>
        <v>1.2</v>
      </c>
      <c r="Y31" s="161">
        <f t="shared" si="31"/>
        <v>1.012024048</v>
      </c>
      <c r="Z31" s="161">
        <f t="shared" si="31"/>
        <v>0.501285347</v>
      </c>
      <c r="AA31" s="161">
        <f t="shared" si="31"/>
        <v>1.079429735</v>
      </c>
      <c r="AB31" s="161">
        <f t="shared" si="31"/>
        <v>0.1485148515</v>
      </c>
      <c r="AC31" s="161">
        <f t="shared" si="31"/>
        <v>2.382857143</v>
      </c>
      <c r="AD31" s="161">
        <f t="shared" si="31"/>
        <v>0.4716981132</v>
      </c>
      <c r="AE31" s="161">
        <f t="shared" si="11"/>
        <v>1.92615672</v>
      </c>
    </row>
    <row r="32">
      <c r="A32" s="207">
        <v>77386.0</v>
      </c>
      <c r="B32" s="208">
        <v>69549.0</v>
      </c>
      <c r="C32" s="208">
        <v>7.1</v>
      </c>
      <c r="D32" s="208">
        <v>130094.0</v>
      </c>
      <c r="E32" s="208">
        <v>1.78</v>
      </c>
      <c r="F32" s="208">
        <v>3.8</v>
      </c>
      <c r="G32" s="208">
        <v>8.6</v>
      </c>
      <c r="H32" s="208">
        <v>3.1</v>
      </c>
      <c r="I32" s="208">
        <v>4.9</v>
      </c>
      <c r="J32" s="208">
        <v>4.4</v>
      </c>
      <c r="K32" s="208">
        <v>81.2</v>
      </c>
      <c r="L32" s="209">
        <v>0.2</v>
      </c>
      <c r="M32" s="161">
        <f t="shared" si="5"/>
        <v>9.054325956</v>
      </c>
      <c r="N32" s="189">
        <f t="shared" si="6"/>
        <v>48.82154882</v>
      </c>
      <c r="O32" s="161">
        <f t="shared" ref="O32:S32" si="32">((F32-O$1)/(O$2-O$1))*100</f>
        <v>19</v>
      </c>
      <c r="P32" s="161">
        <f t="shared" si="32"/>
        <v>15.83166333</v>
      </c>
      <c r="Q32" s="161">
        <f t="shared" si="32"/>
        <v>7.197943445</v>
      </c>
      <c r="R32" s="161">
        <f t="shared" si="32"/>
        <v>9.979633401</v>
      </c>
      <c r="S32" s="161">
        <f t="shared" si="32"/>
        <v>4.158415842</v>
      </c>
      <c r="T32" s="189">
        <f t="shared" si="8"/>
        <v>14.62857143</v>
      </c>
      <c r="U32" s="210">
        <f t="shared" si="9"/>
        <v>0.9433962264</v>
      </c>
      <c r="V32" s="161">
        <f t="shared" ref="V32:AD32" si="33">M32*V$2</f>
        <v>1.810865191</v>
      </c>
      <c r="W32" s="161">
        <f t="shared" si="33"/>
        <v>9.764309764</v>
      </c>
      <c r="X32" s="161">
        <f t="shared" si="33"/>
        <v>0.95</v>
      </c>
      <c r="Y32" s="161">
        <f t="shared" si="33"/>
        <v>0.7915831663</v>
      </c>
      <c r="Z32" s="161">
        <f t="shared" si="33"/>
        <v>0.3598971722</v>
      </c>
      <c r="AA32" s="161">
        <f t="shared" si="33"/>
        <v>0.9979633401</v>
      </c>
      <c r="AB32" s="161">
        <f t="shared" si="33"/>
        <v>0.6237623762</v>
      </c>
      <c r="AC32" s="161">
        <f t="shared" si="33"/>
        <v>2.194285714</v>
      </c>
      <c r="AD32" s="161">
        <f t="shared" si="33"/>
        <v>0.04716981132</v>
      </c>
      <c r="AE32" s="161">
        <f t="shared" si="11"/>
        <v>1.948870726</v>
      </c>
    </row>
    <row r="33">
      <c r="A33" s="207">
        <v>77429.0</v>
      </c>
      <c r="B33" s="208">
        <v>95938.0</v>
      </c>
      <c r="C33" s="208">
        <v>4.7</v>
      </c>
      <c r="D33" s="208">
        <v>117931.0</v>
      </c>
      <c r="E33" s="208">
        <v>1.61</v>
      </c>
      <c r="F33" s="208">
        <v>5.1</v>
      </c>
      <c r="G33" s="208">
        <v>8.0</v>
      </c>
      <c r="H33" s="208">
        <v>3.3</v>
      </c>
      <c r="I33" s="208">
        <v>6.6</v>
      </c>
      <c r="J33" s="208">
        <v>2.7</v>
      </c>
      <c r="K33" s="208">
        <v>82.1</v>
      </c>
      <c r="L33" s="209">
        <v>1.3</v>
      </c>
      <c r="M33" s="161">
        <f t="shared" si="5"/>
        <v>4.225352113</v>
      </c>
      <c r="N33" s="189">
        <f t="shared" si="6"/>
        <v>54.54545455</v>
      </c>
      <c r="O33" s="161">
        <f t="shared" ref="O33:S33" si="34">((F33-O$1)/(O$2-O$1))*100</f>
        <v>25.5</v>
      </c>
      <c r="P33" s="161">
        <f t="shared" si="34"/>
        <v>14.62925852</v>
      </c>
      <c r="Q33" s="161">
        <f t="shared" si="34"/>
        <v>7.712082262</v>
      </c>
      <c r="R33" s="161">
        <f t="shared" si="34"/>
        <v>13.44195519</v>
      </c>
      <c r="S33" s="161">
        <f t="shared" si="34"/>
        <v>0.7920792079</v>
      </c>
      <c r="T33" s="189">
        <f t="shared" si="8"/>
        <v>13.6</v>
      </c>
      <c r="U33" s="210">
        <f t="shared" si="9"/>
        <v>6.132075472</v>
      </c>
      <c r="V33" s="161">
        <f t="shared" ref="V33:AD33" si="35">M33*V$2</f>
        <v>0.8450704225</v>
      </c>
      <c r="W33" s="161">
        <f t="shared" si="35"/>
        <v>10.90909091</v>
      </c>
      <c r="X33" s="161">
        <f t="shared" si="35"/>
        <v>1.275</v>
      </c>
      <c r="Y33" s="161">
        <f t="shared" si="35"/>
        <v>0.7314629259</v>
      </c>
      <c r="Z33" s="161">
        <f t="shared" si="35"/>
        <v>0.3856041131</v>
      </c>
      <c r="AA33" s="161">
        <f t="shared" si="35"/>
        <v>1.344195519</v>
      </c>
      <c r="AB33" s="161">
        <f t="shared" si="35"/>
        <v>0.1188118812</v>
      </c>
      <c r="AC33" s="161">
        <f t="shared" si="35"/>
        <v>2.04</v>
      </c>
      <c r="AD33" s="161">
        <f t="shared" si="35"/>
        <v>0.3066037736</v>
      </c>
      <c r="AE33" s="161">
        <f t="shared" si="11"/>
        <v>1.995093283</v>
      </c>
    </row>
    <row r="34">
      <c r="A34" s="207">
        <v>77316.0</v>
      </c>
      <c r="B34" s="208">
        <v>31917.0</v>
      </c>
      <c r="C34" s="208">
        <v>7.4</v>
      </c>
      <c r="D34" s="208">
        <v>129418.0</v>
      </c>
      <c r="E34" s="208">
        <v>1.77</v>
      </c>
      <c r="F34" s="208">
        <v>5.4</v>
      </c>
      <c r="G34" s="208">
        <v>9.4</v>
      </c>
      <c r="H34" s="208">
        <v>5.6</v>
      </c>
      <c r="I34" s="208">
        <v>3.9</v>
      </c>
      <c r="J34" s="208">
        <v>6.4</v>
      </c>
      <c r="K34" s="208">
        <v>88.9</v>
      </c>
      <c r="L34" s="209">
        <v>1.8</v>
      </c>
      <c r="M34" s="161">
        <f t="shared" si="5"/>
        <v>9.657947686</v>
      </c>
      <c r="N34" s="189">
        <f t="shared" si="6"/>
        <v>49.15824916</v>
      </c>
      <c r="O34" s="161">
        <f t="shared" ref="O34:S34" si="36">((F34-O$1)/(O$2-O$1))*100</f>
        <v>27</v>
      </c>
      <c r="P34" s="161">
        <f t="shared" si="36"/>
        <v>17.43486974</v>
      </c>
      <c r="Q34" s="161">
        <f t="shared" si="36"/>
        <v>13.62467866</v>
      </c>
      <c r="R34" s="161">
        <f t="shared" si="36"/>
        <v>7.942973523</v>
      </c>
      <c r="S34" s="161">
        <f t="shared" si="36"/>
        <v>8.118811881</v>
      </c>
      <c r="T34" s="189">
        <f t="shared" si="8"/>
        <v>5.828571429</v>
      </c>
      <c r="U34" s="210">
        <f t="shared" si="9"/>
        <v>8.490566038</v>
      </c>
      <c r="V34" s="161">
        <f t="shared" ref="V34:AD34" si="37">M34*V$2</f>
        <v>1.931589537</v>
      </c>
      <c r="W34" s="161">
        <f t="shared" si="37"/>
        <v>9.831649832</v>
      </c>
      <c r="X34" s="161">
        <f t="shared" si="37"/>
        <v>1.35</v>
      </c>
      <c r="Y34" s="161">
        <f t="shared" si="37"/>
        <v>0.871743487</v>
      </c>
      <c r="Z34" s="161">
        <f t="shared" si="37"/>
        <v>0.6812339332</v>
      </c>
      <c r="AA34" s="161">
        <f t="shared" si="37"/>
        <v>0.7942973523</v>
      </c>
      <c r="AB34" s="161">
        <f t="shared" si="37"/>
        <v>1.217821782</v>
      </c>
      <c r="AC34" s="161">
        <f t="shared" si="37"/>
        <v>0.8742857143</v>
      </c>
      <c r="AD34" s="161">
        <f t="shared" si="37"/>
        <v>0.4245283019</v>
      </c>
      <c r="AE34" s="161">
        <f t="shared" si="11"/>
        <v>1.997461104</v>
      </c>
    </row>
    <row r="35">
      <c r="A35" s="207">
        <v>77573.0</v>
      </c>
      <c r="B35" s="208">
        <v>97871.0</v>
      </c>
      <c r="C35" s="208">
        <v>4.2</v>
      </c>
      <c r="D35" s="208">
        <v>122783.0</v>
      </c>
      <c r="E35" s="208">
        <v>1.68</v>
      </c>
      <c r="F35" s="208">
        <v>3.9</v>
      </c>
      <c r="G35" s="208">
        <v>7.8</v>
      </c>
      <c r="H35" s="208">
        <v>3.7</v>
      </c>
      <c r="I35" s="208">
        <v>4.2</v>
      </c>
      <c r="J35" s="208">
        <v>3.1</v>
      </c>
      <c r="K35" s="208">
        <v>75.5</v>
      </c>
      <c r="L35" s="209">
        <v>2.3</v>
      </c>
      <c r="M35" s="161">
        <f t="shared" si="5"/>
        <v>3.219315895</v>
      </c>
      <c r="N35" s="189">
        <f t="shared" si="6"/>
        <v>52.18855219</v>
      </c>
      <c r="O35" s="161">
        <f t="shared" ref="O35:S35" si="38">((F35-O$1)/(O$2-O$1))*100</f>
        <v>19.5</v>
      </c>
      <c r="P35" s="161">
        <f t="shared" si="38"/>
        <v>14.22845691</v>
      </c>
      <c r="Q35" s="161">
        <f t="shared" si="38"/>
        <v>8.740359897</v>
      </c>
      <c r="R35" s="161">
        <f t="shared" si="38"/>
        <v>8.553971487</v>
      </c>
      <c r="S35" s="161">
        <f t="shared" si="38"/>
        <v>1.584158416</v>
      </c>
      <c r="T35" s="189">
        <f t="shared" si="8"/>
        <v>21.14285714</v>
      </c>
      <c r="U35" s="210">
        <f t="shared" si="9"/>
        <v>10.8490566</v>
      </c>
      <c r="V35" s="161">
        <f t="shared" ref="V35:AD35" si="39">M35*V$2</f>
        <v>0.6438631791</v>
      </c>
      <c r="W35" s="161">
        <f t="shared" si="39"/>
        <v>10.43771044</v>
      </c>
      <c r="X35" s="161">
        <f t="shared" si="39"/>
        <v>0.975</v>
      </c>
      <c r="Y35" s="161">
        <f t="shared" si="39"/>
        <v>0.7114228457</v>
      </c>
      <c r="Z35" s="161">
        <f t="shared" si="39"/>
        <v>0.4370179949</v>
      </c>
      <c r="AA35" s="161">
        <f t="shared" si="39"/>
        <v>0.8553971487</v>
      </c>
      <c r="AB35" s="161">
        <f t="shared" si="39"/>
        <v>0.2376237624</v>
      </c>
      <c r="AC35" s="161">
        <f t="shared" si="39"/>
        <v>3.171428571</v>
      </c>
      <c r="AD35" s="161">
        <f t="shared" si="39"/>
        <v>0.5424528302</v>
      </c>
      <c r="AE35" s="161">
        <f t="shared" si="11"/>
        <v>2.001324086</v>
      </c>
    </row>
    <row r="36">
      <c r="A36" s="207">
        <v>77389.0</v>
      </c>
      <c r="B36" s="208">
        <v>44545.0</v>
      </c>
      <c r="C36" s="208">
        <v>8.6</v>
      </c>
      <c r="D36" s="208">
        <v>145228.0</v>
      </c>
      <c r="E36" s="208">
        <v>1.99</v>
      </c>
      <c r="F36" s="208">
        <v>5.1</v>
      </c>
      <c r="G36" s="208">
        <v>12.5</v>
      </c>
      <c r="H36" s="208">
        <v>4.3</v>
      </c>
      <c r="I36" s="208">
        <v>5.2</v>
      </c>
      <c r="J36" s="208">
        <v>3.5</v>
      </c>
      <c r="K36" s="208">
        <v>78.5</v>
      </c>
      <c r="L36" s="209">
        <v>1.1</v>
      </c>
      <c r="M36" s="161">
        <f t="shared" si="5"/>
        <v>12.07243461</v>
      </c>
      <c r="N36" s="189">
        <f t="shared" si="6"/>
        <v>41.75084175</v>
      </c>
      <c r="O36" s="161">
        <f t="shared" ref="O36:S36" si="40">((F36-O$1)/(O$2-O$1))*100</f>
        <v>25.5</v>
      </c>
      <c r="P36" s="161">
        <f t="shared" si="40"/>
        <v>23.64729459</v>
      </c>
      <c r="Q36" s="161">
        <f t="shared" si="40"/>
        <v>10.28277635</v>
      </c>
      <c r="R36" s="161">
        <f t="shared" si="40"/>
        <v>10.59063136</v>
      </c>
      <c r="S36" s="161">
        <f t="shared" si="40"/>
        <v>2.376237624</v>
      </c>
      <c r="T36" s="189">
        <f t="shared" si="8"/>
        <v>17.71428571</v>
      </c>
      <c r="U36" s="210">
        <f t="shared" si="9"/>
        <v>5.188679245</v>
      </c>
      <c r="V36" s="161">
        <f t="shared" ref="V36:AD36" si="41">M36*V$2</f>
        <v>2.414486922</v>
      </c>
      <c r="W36" s="161">
        <f t="shared" si="41"/>
        <v>8.35016835</v>
      </c>
      <c r="X36" s="161">
        <f t="shared" si="41"/>
        <v>1.275</v>
      </c>
      <c r="Y36" s="161">
        <f t="shared" si="41"/>
        <v>1.182364729</v>
      </c>
      <c r="Z36" s="161">
        <f t="shared" si="41"/>
        <v>0.5141388175</v>
      </c>
      <c r="AA36" s="161">
        <f t="shared" si="41"/>
        <v>1.059063136</v>
      </c>
      <c r="AB36" s="161">
        <f t="shared" si="41"/>
        <v>0.3564356436</v>
      </c>
      <c r="AC36" s="161">
        <f t="shared" si="41"/>
        <v>2.657142857</v>
      </c>
      <c r="AD36" s="161">
        <f t="shared" si="41"/>
        <v>0.2594339623</v>
      </c>
      <c r="AE36" s="161">
        <f t="shared" si="11"/>
        <v>2.007581602</v>
      </c>
    </row>
    <row r="37">
      <c r="A37" s="207">
        <v>77377.0</v>
      </c>
      <c r="B37" s="208">
        <v>39154.0</v>
      </c>
      <c r="C37" s="208">
        <v>5.0</v>
      </c>
      <c r="D37" s="208">
        <v>123015.0</v>
      </c>
      <c r="E37" s="208">
        <v>1.68</v>
      </c>
      <c r="F37" s="208">
        <v>4.5</v>
      </c>
      <c r="G37" s="208">
        <v>7.4</v>
      </c>
      <c r="H37" s="208">
        <v>2.8</v>
      </c>
      <c r="I37" s="208">
        <v>7.0</v>
      </c>
      <c r="J37" s="208">
        <v>5.8</v>
      </c>
      <c r="K37" s="208">
        <v>82.6</v>
      </c>
      <c r="L37" s="209">
        <v>1.1</v>
      </c>
      <c r="M37" s="161">
        <f t="shared" si="5"/>
        <v>4.828973843</v>
      </c>
      <c r="N37" s="189">
        <f t="shared" si="6"/>
        <v>52.18855219</v>
      </c>
      <c r="O37" s="161">
        <f t="shared" ref="O37:S37" si="42">((F37-O$1)/(O$2-O$1))*100</f>
        <v>22.5</v>
      </c>
      <c r="P37" s="161">
        <f t="shared" si="42"/>
        <v>13.42685371</v>
      </c>
      <c r="Q37" s="161">
        <f t="shared" si="42"/>
        <v>6.426735219</v>
      </c>
      <c r="R37" s="161">
        <f t="shared" si="42"/>
        <v>14.25661914</v>
      </c>
      <c r="S37" s="161">
        <f t="shared" si="42"/>
        <v>6.930693069</v>
      </c>
      <c r="T37" s="189">
        <f t="shared" si="8"/>
        <v>13.02857143</v>
      </c>
      <c r="U37" s="210">
        <f t="shared" si="9"/>
        <v>5.188679245</v>
      </c>
      <c r="V37" s="161">
        <f t="shared" ref="V37:AD37" si="43">M37*V$2</f>
        <v>0.9657947686</v>
      </c>
      <c r="W37" s="161">
        <f t="shared" si="43"/>
        <v>10.43771044</v>
      </c>
      <c r="X37" s="161">
        <f t="shared" si="43"/>
        <v>1.125</v>
      </c>
      <c r="Y37" s="161">
        <f t="shared" si="43"/>
        <v>0.6713426854</v>
      </c>
      <c r="Z37" s="161">
        <f t="shared" si="43"/>
        <v>0.3213367609</v>
      </c>
      <c r="AA37" s="161">
        <f t="shared" si="43"/>
        <v>1.425661914</v>
      </c>
      <c r="AB37" s="161">
        <f t="shared" si="43"/>
        <v>1.03960396</v>
      </c>
      <c r="AC37" s="161">
        <f t="shared" si="43"/>
        <v>1.954285714</v>
      </c>
      <c r="AD37" s="161">
        <f t="shared" si="43"/>
        <v>0.2594339623</v>
      </c>
      <c r="AE37" s="161">
        <f t="shared" si="11"/>
        <v>2.022241134</v>
      </c>
    </row>
    <row r="38">
      <c r="A38" s="207">
        <v>77494.0</v>
      </c>
      <c r="B38" s="208">
        <v>137213.0</v>
      </c>
      <c r="C38" s="208">
        <v>6.0</v>
      </c>
      <c r="D38" s="208">
        <v>146105.0</v>
      </c>
      <c r="E38" s="208">
        <v>2.0</v>
      </c>
      <c r="F38" s="208">
        <v>5.1</v>
      </c>
      <c r="G38" s="208">
        <v>7.1</v>
      </c>
      <c r="H38" s="208">
        <v>4.3</v>
      </c>
      <c r="I38" s="208">
        <v>4.0</v>
      </c>
      <c r="J38" s="208">
        <v>4.3</v>
      </c>
      <c r="K38" s="208">
        <v>71.0</v>
      </c>
      <c r="L38" s="209">
        <v>3.3</v>
      </c>
      <c r="M38" s="161">
        <f t="shared" si="5"/>
        <v>6.841046278</v>
      </c>
      <c r="N38" s="189">
        <f t="shared" si="6"/>
        <v>41.41414141</v>
      </c>
      <c r="O38" s="161">
        <f t="shared" ref="O38:S38" si="44">((F38-O$1)/(O$2-O$1))*100</f>
        <v>25.5</v>
      </c>
      <c r="P38" s="161">
        <f t="shared" si="44"/>
        <v>12.8256513</v>
      </c>
      <c r="Q38" s="161">
        <f t="shared" si="44"/>
        <v>10.28277635</v>
      </c>
      <c r="R38" s="161">
        <f t="shared" si="44"/>
        <v>8.146639511</v>
      </c>
      <c r="S38" s="161">
        <f t="shared" si="44"/>
        <v>3.96039604</v>
      </c>
      <c r="T38" s="189">
        <f t="shared" si="8"/>
        <v>26.28571429</v>
      </c>
      <c r="U38" s="210">
        <f t="shared" si="9"/>
        <v>15.56603774</v>
      </c>
      <c r="V38" s="161">
        <f t="shared" ref="V38:AD38" si="45">M38*V$2</f>
        <v>1.368209256</v>
      </c>
      <c r="W38" s="161">
        <f t="shared" si="45"/>
        <v>8.282828283</v>
      </c>
      <c r="X38" s="161">
        <f t="shared" si="45"/>
        <v>1.275</v>
      </c>
      <c r="Y38" s="161">
        <f t="shared" si="45"/>
        <v>0.6412825651</v>
      </c>
      <c r="Z38" s="161">
        <f t="shared" si="45"/>
        <v>0.5141388175</v>
      </c>
      <c r="AA38" s="161">
        <f t="shared" si="45"/>
        <v>0.8146639511</v>
      </c>
      <c r="AB38" s="161">
        <f t="shared" si="45"/>
        <v>0.5940594059</v>
      </c>
      <c r="AC38" s="161">
        <f t="shared" si="45"/>
        <v>3.942857143</v>
      </c>
      <c r="AD38" s="161">
        <f t="shared" si="45"/>
        <v>0.7783018868</v>
      </c>
      <c r="AE38" s="161">
        <f t="shared" si="11"/>
        <v>2.023482368</v>
      </c>
    </row>
    <row r="39">
      <c r="A39" s="207">
        <v>77578.0</v>
      </c>
      <c r="B39" s="208">
        <v>27195.0</v>
      </c>
      <c r="C39" s="208">
        <v>3.5</v>
      </c>
      <c r="D39" s="208">
        <v>132571.0</v>
      </c>
      <c r="E39" s="208">
        <v>1.82</v>
      </c>
      <c r="F39" s="208">
        <v>5.2</v>
      </c>
      <c r="G39" s="208">
        <v>9.1</v>
      </c>
      <c r="H39" s="208">
        <v>4.6</v>
      </c>
      <c r="I39" s="208">
        <v>9.3</v>
      </c>
      <c r="J39" s="208">
        <v>6.9</v>
      </c>
      <c r="K39" s="208">
        <v>80.3</v>
      </c>
      <c r="L39" s="209">
        <v>2.3</v>
      </c>
      <c r="M39" s="161">
        <f t="shared" si="5"/>
        <v>1.810865191</v>
      </c>
      <c r="N39" s="189">
        <f t="shared" si="6"/>
        <v>47.47474747</v>
      </c>
      <c r="O39" s="161">
        <f t="shared" ref="O39:S39" si="46">((F39-O$1)/(O$2-O$1))*100</f>
        <v>26</v>
      </c>
      <c r="P39" s="161">
        <f t="shared" si="46"/>
        <v>16.83366733</v>
      </c>
      <c r="Q39" s="161">
        <f t="shared" si="46"/>
        <v>11.05398458</v>
      </c>
      <c r="R39" s="161">
        <f t="shared" si="46"/>
        <v>18.94093686</v>
      </c>
      <c r="S39" s="161">
        <f t="shared" si="46"/>
        <v>9.108910891</v>
      </c>
      <c r="T39" s="189">
        <f t="shared" si="8"/>
        <v>15.65714286</v>
      </c>
      <c r="U39" s="210">
        <f t="shared" si="9"/>
        <v>10.8490566</v>
      </c>
      <c r="V39" s="161">
        <f t="shared" ref="V39:AD39" si="47">M39*V$2</f>
        <v>0.3621730382</v>
      </c>
      <c r="W39" s="161">
        <f t="shared" si="47"/>
        <v>9.494949495</v>
      </c>
      <c r="X39" s="161">
        <f t="shared" si="47"/>
        <v>1.3</v>
      </c>
      <c r="Y39" s="161">
        <f t="shared" si="47"/>
        <v>0.8416833667</v>
      </c>
      <c r="Z39" s="161">
        <f t="shared" si="47"/>
        <v>0.5526992288</v>
      </c>
      <c r="AA39" s="161">
        <f t="shared" si="47"/>
        <v>1.894093686</v>
      </c>
      <c r="AB39" s="161">
        <f t="shared" si="47"/>
        <v>1.366336634</v>
      </c>
      <c r="AC39" s="161">
        <f t="shared" si="47"/>
        <v>2.348571429</v>
      </c>
      <c r="AD39" s="161">
        <f t="shared" si="47"/>
        <v>0.5424528302</v>
      </c>
      <c r="AE39" s="161">
        <f t="shared" si="11"/>
        <v>2.078106634</v>
      </c>
    </row>
    <row r="40">
      <c r="A40" s="207">
        <v>77581.0</v>
      </c>
      <c r="B40" s="208">
        <v>50240.0</v>
      </c>
      <c r="C40" s="208">
        <v>3.2</v>
      </c>
      <c r="D40" s="208">
        <v>106556.0</v>
      </c>
      <c r="E40" s="208">
        <v>1.46</v>
      </c>
      <c r="F40" s="208">
        <v>3.4</v>
      </c>
      <c r="G40" s="208">
        <v>8.0</v>
      </c>
      <c r="H40" s="208">
        <v>3.6</v>
      </c>
      <c r="I40" s="208">
        <v>6.2</v>
      </c>
      <c r="J40" s="208">
        <v>3.0</v>
      </c>
      <c r="K40" s="208">
        <v>76.7</v>
      </c>
      <c r="L40" s="209">
        <v>1.7</v>
      </c>
      <c r="M40" s="161">
        <f t="shared" si="5"/>
        <v>1.207243461</v>
      </c>
      <c r="N40" s="189">
        <f t="shared" si="6"/>
        <v>59.5959596</v>
      </c>
      <c r="O40" s="161">
        <f t="shared" ref="O40:S40" si="48">((F40-O$1)/(O$2-O$1))*100</f>
        <v>17</v>
      </c>
      <c r="P40" s="161">
        <f t="shared" si="48"/>
        <v>14.62925852</v>
      </c>
      <c r="Q40" s="161">
        <f t="shared" si="48"/>
        <v>8.483290488</v>
      </c>
      <c r="R40" s="161">
        <f t="shared" si="48"/>
        <v>12.62729124</v>
      </c>
      <c r="S40" s="161">
        <f t="shared" si="48"/>
        <v>1.386138614</v>
      </c>
      <c r="T40" s="189">
        <f t="shared" si="8"/>
        <v>19.77142857</v>
      </c>
      <c r="U40" s="210">
        <f t="shared" si="9"/>
        <v>8.018867925</v>
      </c>
      <c r="V40" s="161">
        <f t="shared" ref="V40:AD40" si="49">M40*V$2</f>
        <v>0.2414486922</v>
      </c>
      <c r="W40" s="161">
        <f t="shared" si="49"/>
        <v>11.91919192</v>
      </c>
      <c r="X40" s="161">
        <f t="shared" si="49"/>
        <v>0.85</v>
      </c>
      <c r="Y40" s="161">
        <f t="shared" si="49"/>
        <v>0.7314629259</v>
      </c>
      <c r="Z40" s="161">
        <f t="shared" si="49"/>
        <v>0.4241645244</v>
      </c>
      <c r="AA40" s="161">
        <f t="shared" si="49"/>
        <v>1.262729124</v>
      </c>
      <c r="AB40" s="161">
        <f t="shared" si="49"/>
        <v>0.2079207921</v>
      </c>
      <c r="AC40" s="161">
        <f t="shared" si="49"/>
        <v>2.965714286</v>
      </c>
      <c r="AD40" s="161">
        <f t="shared" si="49"/>
        <v>0.4009433962</v>
      </c>
      <c r="AE40" s="161">
        <f t="shared" si="11"/>
        <v>2.111508407</v>
      </c>
    </row>
    <row r="41">
      <c r="A41" s="207">
        <v>77546.0</v>
      </c>
      <c r="B41" s="208">
        <v>54082.0</v>
      </c>
      <c r="C41" s="208">
        <v>3.1</v>
      </c>
      <c r="D41" s="208">
        <v>121914.0</v>
      </c>
      <c r="E41" s="208">
        <v>1.67</v>
      </c>
      <c r="F41" s="208">
        <v>4.4</v>
      </c>
      <c r="G41" s="208">
        <v>8.7</v>
      </c>
      <c r="H41" s="208">
        <v>5.8</v>
      </c>
      <c r="I41" s="208">
        <v>5.8</v>
      </c>
      <c r="J41" s="208">
        <v>4.3</v>
      </c>
      <c r="K41" s="208">
        <v>76.0</v>
      </c>
      <c r="L41" s="209">
        <v>4.9</v>
      </c>
      <c r="M41" s="161">
        <f t="shared" si="5"/>
        <v>1.006036217</v>
      </c>
      <c r="N41" s="189">
        <f t="shared" si="6"/>
        <v>52.52525253</v>
      </c>
      <c r="O41" s="161">
        <f t="shared" ref="O41:S41" si="50">((F41-O$1)/(O$2-O$1))*100</f>
        <v>22</v>
      </c>
      <c r="P41" s="161">
        <f t="shared" si="50"/>
        <v>16.03206413</v>
      </c>
      <c r="Q41" s="161">
        <f t="shared" si="50"/>
        <v>14.13881748</v>
      </c>
      <c r="R41" s="161">
        <f t="shared" si="50"/>
        <v>11.81262729</v>
      </c>
      <c r="S41" s="161">
        <f t="shared" si="50"/>
        <v>3.96039604</v>
      </c>
      <c r="T41" s="189">
        <f t="shared" si="8"/>
        <v>20.57142857</v>
      </c>
      <c r="U41" s="210">
        <f t="shared" si="9"/>
        <v>23.11320755</v>
      </c>
      <c r="V41" s="161">
        <f t="shared" ref="V41:AD41" si="51">M41*V$2</f>
        <v>0.2012072435</v>
      </c>
      <c r="W41" s="161">
        <f t="shared" si="51"/>
        <v>10.50505051</v>
      </c>
      <c r="X41" s="161">
        <f t="shared" si="51"/>
        <v>1.1</v>
      </c>
      <c r="Y41" s="161">
        <f t="shared" si="51"/>
        <v>0.8016032064</v>
      </c>
      <c r="Z41" s="161">
        <f t="shared" si="51"/>
        <v>0.706940874</v>
      </c>
      <c r="AA41" s="161">
        <f t="shared" si="51"/>
        <v>1.181262729</v>
      </c>
      <c r="AB41" s="161">
        <f t="shared" si="51"/>
        <v>0.5940594059</v>
      </c>
      <c r="AC41" s="161">
        <f t="shared" si="51"/>
        <v>3.085714286</v>
      </c>
      <c r="AD41" s="161">
        <f t="shared" si="51"/>
        <v>1.155660377</v>
      </c>
      <c r="AE41" s="161">
        <f t="shared" si="11"/>
        <v>2.147944292</v>
      </c>
    </row>
    <row r="42">
      <c r="A42" s="207">
        <v>77346.0</v>
      </c>
      <c r="B42" s="208">
        <v>75577.0</v>
      </c>
      <c r="C42" s="208">
        <v>7.1</v>
      </c>
      <c r="D42" s="208">
        <v>116658.0</v>
      </c>
      <c r="E42" s="208">
        <v>1.6</v>
      </c>
      <c r="F42" s="208">
        <v>5.4</v>
      </c>
      <c r="G42" s="208">
        <v>7.7</v>
      </c>
      <c r="H42" s="208">
        <v>5.2</v>
      </c>
      <c r="I42" s="208">
        <v>6.2</v>
      </c>
      <c r="J42" s="208">
        <v>3.4</v>
      </c>
      <c r="K42" s="208">
        <v>82.7</v>
      </c>
      <c r="L42" s="209">
        <v>1.7</v>
      </c>
      <c r="M42" s="161">
        <f t="shared" si="5"/>
        <v>9.054325956</v>
      </c>
      <c r="N42" s="189">
        <f t="shared" si="6"/>
        <v>54.88215488</v>
      </c>
      <c r="O42" s="161">
        <f t="shared" ref="O42:S42" si="52">((F42-O$1)/(O$2-O$1))*100</f>
        <v>27</v>
      </c>
      <c r="P42" s="161">
        <f t="shared" si="52"/>
        <v>14.02805611</v>
      </c>
      <c r="Q42" s="161">
        <f t="shared" si="52"/>
        <v>12.59640103</v>
      </c>
      <c r="R42" s="161">
        <f t="shared" si="52"/>
        <v>12.62729124</v>
      </c>
      <c r="S42" s="161">
        <f t="shared" si="52"/>
        <v>2.178217822</v>
      </c>
      <c r="T42" s="189">
        <f t="shared" si="8"/>
        <v>12.91428571</v>
      </c>
      <c r="U42" s="210">
        <f t="shared" si="9"/>
        <v>8.018867925</v>
      </c>
      <c r="V42" s="161">
        <f t="shared" ref="V42:AD42" si="53">M42*V$2</f>
        <v>1.810865191</v>
      </c>
      <c r="W42" s="161">
        <f t="shared" si="53"/>
        <v>10.97643098</v>
      </c>
      <c r="X42" s="161">
        <f t="shared" si="53"/>
        <v>1.35</v>
      </c>
      <c r="Y42" s="161">
        <f t="shared" si="53"/>
        <v>0.7014028056</v>
      </c>
      <c r="Z42" s="161">
        <f t="shared" si="53"/>
        <v>0.6298200514</v>
      </c>
      <c r="AA42" s="161">
        <f t="shared" si="53"/>
        <v>1.262729124</v>
      </c>
      <c r="AB42" s="161">
        <f t="shared" si="53"/>
        <v>0.3267326733</v>
      </c>
      <c r="AC42" s="161">
        <f t="shared" si="53"/>
        <v>1.937142857</v>
      </c>
      <c r="AD42" s="161">
        <f t="shared" si="53"/>
        <v>0.4009433962</v>
      </c>
      <c r="AE42" s="161">
        <f t="shared" si="11"/>
        <v>2.155118564</v>
      </c>
    </row>
    <row r="43">
      <c r="A43" s="207">
        <v>77478.0</v>
      </c>
      <c r="B43" s="208">
        <v>22699.0</v>
      </c>
      <c r="C43" s="208">
        <v>6.6</v>
      </c>
      <c r="D43" s="208">
        <v>116205.0</v>
      </c>
      <c r="E43" s="208">
        <v>1.59</v>
      </c>
      <c r="F43" s="208">
        <v>4.2</v>
      </c>
      <c r="G43" s="208">
        <v>6.3</v>
      </c>
      <c r="H43" s="208">
        <v>5.2</v>
      </c>
      <c r="I43" s="208">
        <v>5.8</v>
      </c>
      <c r="J43" s="208">
        <v>3.1</v>
      </c>
      <c r="K43" s="208">
        <v>76.1</v>
      </c>
      <c r="L43" s="209">
        <v>3.6</v>
      </c>
      <c r="M43" s="161">
        <f t="shared" si="5"/>
        <v>8.048289738</v>
      </c>
      <c r="N43" s="189">
        <f t="shared" si="6"/>
        <v>55.21885522</v>
      </c>
      <c r="O43" s="161">
        <f t="shared" ref="O43:S43" si="54">((F43-O$1)/(O$2-O$1))*100</f>
        <v>21</v>
      </c>
      <c r="P43" s="161">
        <f t="shared" si="54"/>
        <v>11.22244489</v>
      </c>
      <c r="Q43" s="161">
        <f t="shared" si="54"/>
        <v>12.59640103</v>
      </c>
      <c r="R43" s="161">
        <f t="shared" si="54"/>
        <v>11.81262729</v>
      </c>
      <c r="S43" s="161">
        <f t="shared" si="54"/>
        <v>1.584158416</v>
      </c>
      <c r="T43" s="189">
        <f t="shared" si="8"/>
        <v>20.45714286</v>
      </c>
      <c r="U43" s="210">
        <f t="shared" si="9"/>
        <v>16.98113208</v>
      </c>
      <c r="V43" s="161">
        <f t="shared" ref="V43:AD43" si="55">M43*V$2</f>
        <v>1.609657948</v>
      </c>
      <c r="W43" s="161">
        <f t="shared" si="55"/>
        <v>11.04377104</v>
      </c>
      <c r="X43" s="161">
        <f t="shared" si="55"/>
        <v>1.05</v>
      </c>
      <c r="Y43" s="161">
        <f t="shared" si="55"/>
        <v>0.5611222445</v>
      </c>
      <c r="Z43" s="161">
        <f t="shared" si="55"/>
        <v>0.6298200514</v>
      </c>
      <c r="AA43" s="161">
        <f t="shared" si="55"/>
        <v>1.181262729</v>
      </c>
      <c r="AB43" s="161">
        <f t="shared" si="55"/>
        <v>0.2376237624</v>
      </c>
      <c r="AC43" s="161">
        <f t="shared" si="55"/>
        <v>3.068571429</v>
      </c>
      <c r="AD43" s="161">
        <f t="shared" si="55"/>
        <v>0.8490566038</v>
      </c>
      <c r="AE43" s="161">
        <f t="shared" si="11"/>
        <v>2.247876201</v>
      </c>
    </row>
    <row r="44">
      <c r="A44" s="207">
        <v>77584.0</v>
      </c>
      <c r="B44" s="208">
        <v>90979.0</v>
      </c>
      <c r="C44" s="208">
        <v>5.1</v>
      </c>
      <c r="D44" s="208">
        <v>116373.0</v>
      </c>
      <c r="E44" s="208">
        <v>1.59</v>
      </c>
      <c r="F44" s="208">
        <v>3.3</v>
      </c>
      <c r="G44" s="208">
        <v>7.1</v>
      </c>
      <c r="H44" s="208">
        <v>6.8</v>
      </c>
      <c r="I44" s="208">
        <v>6.4</v>
      </c>
      <c r="J44" s="208">
        <v>6.2</v>
      </c>
      <c r="K44" s="208">
        <v>75.1</v>
      </c>
      <c r="L44" s="209">
        <v>2.8</v>
      </c>
      <c r="M44" s="161">
        <f t="shared" si="5"/>
        <v>5.030181087</v>
      </c>
      <c r="N44" s="189">
        <f t="shared" si="6"/>
        <v>55.21885522</v>
      </c>
      <c r="O44" s="161">
        <f t="shared" ref="O44:S44" si="56">((F44-O$1)/(O$2-O$1))*100</f>
        <v>16.5</v>
      </c>
      <c r="P44" s="161">
        <f t="shared" si="56"/>
        <v>12.8256513</v>
      </c>
      <c r="Q44" s="161">
        <f t="shared" si="56"/>
        <v>16.70951157</v>
      </c>
      <c r="R44" s="161">
        <f t="shared" si="56"/>
        <v>13.03462322</v>
      </c>
      <c r="S44" s="161">
        <f t="shared" si="56"/>
        <v>7.722772277</v>
      </c>
      <c r="T44" s="189">
        <f t="shared" si="8"/>
        <v>21.6</v>
      </c>
      <c r="U44" s="210">
        <f t="shared" si="9"/>
        <v>13.20754717</v>
      </c>
      <c r="V44" s="161">
        <f t="shared" ref="V44:AD44" si="57">M44*V$2</f>
        <v>1.006036217</v>
      </c>
      <c r="W44" s="161">
        <f t="shared" si="57"/>
        <v>11.04377104</v>
      </c>
      <c r="X44" s="161">
        <f t="shared" si="57"/>
        <v>0.825</v>
      </c>
      <c r="Y44" s="161">
        <f t="shared" si="57"/>
        <v>0.6412825651</v>
      </c>
      <c r="Z44" s="161">
        <f t="shared" si="57"/>
        <v>0.8354755784</v>
      </c>
      <c r="AA44" s="161">
        <f t="shared" si="57"/>
        <v>1.303462322</v>
      </c>
      <c r="AB44" s="161">
        <f t="shared" si="57"/>
        <v>1.158415842</v>
      </c>
      <c r="AC44" s="161">
        <f t="shared" si="57"/>
        <v>3.24</v>
      </c>
      <c r="AD44" s="161">
        <f t="shared" si="57"/>
        <v>0.6603773585</v>
      </c>
      <c r="AE44" s="161">
        <f t="shared" si="11"/>
        <v>2.301535658</v>
      </c>
    </row>
    <row r="45">
      <c r="A45" s="207">
        <v>77586.0</v>
      </c>
      <c r="B45" s="208">
        <v>24019.0</v>
      </c>
      <c r="C45" s="208">
        <v>5.5</v>
      </c>
      <c r="D45" s="208">
        <v>115301.0</v>
      </c>
      <c r="E45" s="208">
        <v>1.58</v>
      </c>
      <c r="F45" s="208">
        <v>4.2</v>
      </c>
      <c r="G45" s="208">
        <v>10.7</v>
      </c>
      <c r="H45" s="208">
        <v>2.5</v>
      </c>
      <c r="I45" s="208">
        <v>7.6</v>
      </c>
      <c r="J45" s="208">
        <v>7.4</v>
      </c>
      <c r="K45" s="208">
        <v>74.0</v>
      </c>
      <c r="L45" s="209">
        <v>1.8</v>
      </c>
      <c r="M45" s="161">
        <f t="shared" si="5"/>
        <v>5.83501006</v>
      </c>
      <c r="N45" s="189">
        <f t="shared" si="6"/>
        <v>55.55555556</v>
      </c>
      <c r="O45" s="161">
        <f t="shared" ref="O45:S45" si="58">((F45-O$1)/(O$2-O$1))*100</f>
        <v>21</v>
      </c>
      <c r="P45" s="161">
        <f t="shared" si="58"/>
        <v>20.04008016</v>
      </c>
      <c r="Q45" s="161">
        <f t="shared" si="58"/>
        <v>5.655526992</v>
      </c>
      <c r="R45" s="161">
        <f t="shared" si="58"/>
        <v>15.47861507</v>
      </c>
      <c r="S45" s="161">
        <f t="shared" si="58"/>
        <v>10.0990099</v>
      </c>
      <c r="T45" s="189">
        <f t="shared" si="8"/>
        <v>22.85714286</v>
      </c>
      <c r="U45" s="210">
        <f t="shared" si="9"/>
        <v>8.490566038</v>
      </c>
      <c r="V45" s="161">
        <f t="shared" ref="V45:AD45" si="59">M45*V$2</f>
        <v>1.167002012</v>
      </c>
      <c r="W45" s="161">
        <f t="shared" si="59"/>
        <v>11.11111111</v>
      </c>
      <c r="X45" s="161">
        <f t="shared" si="59"/>
        <v>1.05</v>
      </c>
      <c r="Y45" s="161">
        <f t="shared" si="59"/>
        <v>1.002004008</v>
      </c>
      <c r="Z45" s="161">
        <f t="shared" si="59"/>
        <v>0.2827763496</v>
      </c>
      <c r="AA45" s="161">
        <f t="shared" si="59"/>
        <v>1.547861507</v>
      </c>
      <c r="AB45" s="161">
        <f t="shared" si="59"/>
        <v>1.514851485</v>
      </c>
      <c r="AC45" s="161">
        <f t="shared" si="59"/>
        <v>3.428571429</v>
      </c>
      <c r="AD45" s="161">
        <f t="shared" si="59"/>
        <v>0.4245283019</v>
      </c>
      <c r="AE45" s="161">
        <f t="shared" si="11"/>
        <v>2.392078467</v>
      </c>
    </row>
    <row r="46">
      <c r="A46" s="207">
        <v>77008.0</v>
      </c>
      <c r="B46" s="208">
        <v>40155.0</v>
      </c>
      <c r="C46" s="208">
        <v>8.3</v>
      </c>
      <c r="D46" s="208">
        <v>142414.0</v>
      </c>
      <c r="E46" s="208">
        <v>1.95</v>
      </c>
      <c r="F46" s="208">
        <v>2.6</v>
      </c>
      <c r="G46" s="208">
        <v>6.4</v>
      </c>
      <c r="H46" s="208">
        <v>3.4</v>
      </c>
      <c r="I46" s="208">
        <v>4.5</v>
      </c>
      <c r="J46" s="208">
        <v>5.8</v>
      </c>
      <c r="K46" s="208">
        <v>59.0</v>
      </c>
      <c r="L46" s="209">
        <v>4.6</v>
      </c>
      <c r="M46" s="161">
        <f t="shared" si="5"/>
        <v>11.46881288</v>
      </c>
      <c r="N46" s="189">
        <f t="shared" si="6"/>
        <v>43.0976431</v>
      </c>
      <c r="O46" s="161">
        <f t="shared" ref="O46:S46" si="60">((F46-O$1)/(O$2-O$1))*100</f>
        <v>13</v>
      </c>
      <c r="P46" s="161">
        <f t="shared" si="60"/>
        <v>11.42284569</v>
      </c>
      <c r="Q46" s="161">
        <f t="shared" si="60"/>
        <v>7.969151671</v>
      </c>
      <c r="R46" s="161">
        <f t="shared" si="60"/>
        <v>9.16496945</v>
      </c>
      <c r="S46" s="161">
        <f t="shared" si="60"/>
        <v>6.930693069</v>
      </c>
      <c r="T46" s="189">
        <f t="shared" si="8"/>
        <v>40</v>
      </c>
      <c r="U46" s="210">
        <f t="shared" si="9"/>
        <v>21.69811321</v>
      </c>
      <c r="V46" s="161">
        <f t="shared" ref="V46:AD46" si="61">M46*V$2</f>
        <v>2.293762575</v>
      </c>
      <c r="W46" s="161">
        <f t="shared" si="61"/>
        <v>8.61952862</v>
      </c>
      <c r="X46" s="161">
        <f t="shared" si="61"/>
        <v>0.65</v>
      </c>
      <c r="Y46" s="161">
        <f t="shared" si="61"/>
        <v>0.5711422846</v>
      </c>
      <c r="Z46" s="161">
        <f t="shared" si="61"/>
        <v>0.3984575835</v>
      </c>
      <c r="AA46" s="161">
        <f t="shared" si="61"/>
        <v>0.916496945</v>
      </c>
      <c r="AB46" s="161">
        <f t="shared" si="61"/>
        <v>1.03960396</v>
      </c>
      <c r="AC46" s="161">
        <f t="shared" si="61"/>
        <v>6</v>
      </c>
      <c r="AD46" s="161">
        <f t="shared" si="61"/>
        <v>1.08490566</v>
      </c>
      <c r="AE46" s="161">
        <f t="shared" si="11"/>
        <v>2.397099737</v>
      </c>
    </row>
    <row r="47">
      <c r="A47" s="207">
        <v>77385.0</v>
      </c>
      <c r="B47" s="208">
        <v>26889.0</v>
      </c>
      <c r="C47" s="208">
        <v>6.5</v>
      </c>
      <c r="D47" s="208">
        <v>112798.0</v>
      </c>
      <c r="E47" s="208">
        <v>1.54</v>
      </c>
      <c r="F47" s="208">
        <v>5.2</v>
      </c>
      <c r="G47" s="208">
        <v>8.8</v>
      </c>
      <c r="H47" s="208">
        <v>5.4</v>
      </c>
      <c r="I47" s="208">
        <v>7.8</v>
      </c>
      <c r="J47" s="208">
        <v>6.6</v>
      </c>
      <c r="K47" s="208">
        <v>76.6</v>
      </c>
      <c r="L47" s="209">
        <v>0.9</v>
      </c>
      <c r="M47" s="161">
        <f t="shared" si="5"/>
        <v>7.847082495</v>
      </c>
      <c r="N47" s="189">
        <f t="shared" si="6"/>
        <v>56.9023569</v>
      </c>
      <c r="O47" s="161">
        <f t="shared" ref="O47:S47" si="62">((F47-O$1)/(O$2-O$1))*100</f>
        <v>26</v>
      </c>
      <c r="P47" s="161">
        <f t="shared" si="62"/>
        <v>16.23246493</v>
      </c>
      <c r="Q47" s="161">
        <f t="shared" si="62"/>
        <v>13.11053985</v>
      </c>
      <c r="R47" s="161">
        <f t="shared" si="62"/>
        <v>15.88594705</v>
      </c>
      <c r="S47" s="161">
        <f t="shared" si="62"/>
        <v>8.514851485</v>
      </c>
      <c r="T47" s="189">
        <f t="shared" si="8"/>
        <v>19.88571429</v>
      </c>
      <c r="U47" s="210">
        <f t="shared" si="9"/>
        <v>4.245283019</v>
      </c>
      <c r="V47" s="161">
        <f t="shared" ref="V47:AD47" si="63">M47*V$2</f>
        <v>1.569416499</v>
      </c>
      <c r="W47" s="161">
        <f t="shared" si="63"/>
        <v>11.38047138</v>
      </c>
      <c r="X47" s="161">
        <f t="shared" si="63"/>
        <v>1.3</v>
      </c>
      <c r="Y47" s="161">
        <f t="shared" si="63"/>
        <v>0.8116232465</v>
      </c>
      <c r="Z47" s="161">
        <f t="shared" si="63"/>
        <v>0.6555269923</v>
      </c>
      <c r="AA47" s="161">
        <f t="shared" si="63"/>
        <v>1.588594705</v>
      </c>
      <c r="AB47" s="161">
        <f t="shared" si="63"/>
        <v>1.277227723</v>
      </c>
      <c r="AC47" s="161">
        <f t="shared" si="63"/>
        <v>2.982857143</v>
      </c>
      <c r="AD47" s="161">
        <f t="shared" si="63"/>
        <v>0.2122641509</v>
      </c>
      <c r="AE47" s="161">
        <f t="shared" si="11"/>
        <v>2.41977576</v>
      </c>
    </row>
    <row r="48">
      <c r="A48" s="207">
        <v>77024.0</v>
      </c>
      <c r="B48" s="208">
        <v>37647.0</v>
      </c>
      <c r="C48" s="208">
        <v>5.7</v>
      </c>
      <c r="D48" s="208">
        <v>142039.0</v>
      </c>
      <c r="E48" s="208">
        <v>1.94</v>
      </c>
      <c r="F48" s="208">
        <v>3.7</v>
      </c>
      <c r="G48" s="208">
        <v>4.6</v>
      </c>
      <c r="H48" s="208">
        <v>1.9</v>
      </c>
      <c r="I48" s="208">
        <v>2.4</v>
      </c>
      <c r="J48" s="208">
        <v>13.3</v>
      </c>
      <c r="K48" s="208">
        <v>62.1</v>
      </c>
      <c r="L48" s="209">
        <v>4.9</v>
      </c>
      <c r="M48" s="161">
        <f t="shared" si="5"/>
        <v>6.237424547</v>
      </c>
      <c r="N48" s="189">
        <f t="shared" si="6"/>
        <v>43.43434343</v>
      </c>
      <c r="O48" s="161">
        <f t="shared" ref="O48:S48" si="64">((F48-O$1)/(O$2-O$1))*100</f>
        <v>18.5</v>
      </c>
      <c r="P48" s="161">
        <f t="shared" si="64"/>
        <v>7.815631263</v>
      </c>
      <c r="Q48" s="161">
        <f t="shared" si="64"/>
        <v>4.11311054</v>
      </c>
      <c r="R48" s="161">
        <f t="shared" si="64"/>
        <v>4.887983707</v>
      </c>
      <c r="S48" s="161">
        <f t="shared" si="64"/>
        <v>21.78217822</v>
      </c>
      <c r="T48" s="189">
        <f t="shared" si="8"/>
        <v>36.45714286</v>
      </c>
      <c r="U48" s="210">
        <f t="shared" si="9"/>
        <v>23.11320755</v>
      </c>
      <c r="V48" s="161">
        <f t="shared" ref="V48:AD48" si="65">M48*V$2</f>
        <v>1.247484909</v>
      </c>
      <c r="W48" s="161">
        <f t="shared" si="65"/>
        <v>8.686868687</v>
      </c>
      <c r="X48" s="161">
        <f t="shared" si="65"/>
        <v>0.925</v>
      </c>
      <c r="Y48" s="161">
        <f t="shared" si="65"/>
        <v>0.3907815631</v>
      </c>
      <c r="Z48" s="161">
        <f t="shared" si="65"/>
        <v>0.205655527</v>
      </c>
      <c r="AA48" s="161">
        <f t="shared" si="65"/>
        <v>0.4887983707</v>
      </c>
      <c r="AB48" s="161">
        <f t="shared" si="65"/>
        <v>3.267326733</v>
      </c>
      <c r="AC48" s="161">
        <f t="shared" si="65"/>
        <v>5.468571429</v>
      </c>
      <c r="AD48" s="161">
        <f t="shared" si="65"/>
        <v>1.155660377</v>
      </c>
      <c r="AE48" s="161">
        <f t="shared" si="11"/>
        <v>2.426238622</v>
      </c>
    </row>
    <row r="49">
      <c r="A49" s="207">
        <v>77007.0</v>
      </c>
      <c r="B49" s="208">
        <v>45337.0</v>
      </c>
      <c r="C49" s="208">
        <v>5.5</v>
      </c>
      <c r="D49" s="208">
        <v>140878.0</v>
      </c>
      <c r="E49" s="208">
        <v>1.93</v>
      </c>
      <c r="F49" s="208">
        <v>2.6</v>
      </c>
      <c r="G49" s="208">
        <v>6.1</v>
      </c>
      <c r="H49" s="208">
        <v>1.8</v>
      </c>
      <c r="I49" s="208">
        <v>1.5</v>
      </c>
      <c r="J49" s="208">
        <v>8.4</v>
      </c>
      <c r="K49" s="208">
        <v>46.0</v>
      </c>
      <c r="L49" s="209">
        <v>2.2</v>
      </c>
      <c r="M49" s="161">
        <f t="shared" si="5"/>
        <v>5.83501006</v>
      </c>
      <c r="N49" s="189">
        <f t="shared" si="6"/>
        <v>43.77104377</v>
      </c>
      <c r="O49" s="161">
        <f t="shared" ref="O49:S49" si="66">((F49-O$1)/(O$2-O$1))*100</f>
        <v>13</v>
      </c>
      <c r="P49" s="161">
        <f t="shared" si="66"/>
        <v>10.82164329</v>
      </c>
      <c r="Q49" s="161">
        <f t="shared" si="66"/>
        <v>3.856041131</v>
      </c>
      <c r="R49" s="161">
        <f t="shared" si="66"/>
        <v>3.054989817</v>
      </c>
      <c r="S49" s="161">
        <f t="shared" si="66"/>
        <v>12.07920792</v>
      </c>
      <c r="T49" s="189">
        <f t="shared" si="8"/>
        <v>54.85714286</v>
      </c>
      <c r="U49" s="210">
        <f t="shared" si="9"/>
        <v>10.37735849</v>
      </c>
      <c r="V49" s="161">
        <f t="shared" ref="V49:AD49" si="67">M49*V$2</f>
        <v>1.167002012</v>
      </c>
      <c r="W49" s="161">
        <f t="shared" si="67"/>
        <v>8.754208754</v>
      </c>
      <c r="X49" s="161">
        <f t="shared" si="67"/>
        <v>0.65</v>
      </c>
      <c r="Y49" s="161">
        <f t="shared" si="67"/>
        <v>0.5410821643</v>
      </c>
      <c r="Z49" s="161">
        <f t="shared" si="67"/>
        <v>0.1928020566</v>
      </c>
      <c r="AA49" s="161">
        <f t="shared" si="67"/>
        <v>0.3054989817</v>
      </c>
      <c r="AB49" s="161">
        <f t="shared" si="67"/>
        <v>1.811881188</v>
      </c>
      <c r="AC49" s="161">
        <f t="shared" si="67"/>
        <v>8.228571429</v>
      </c>
      <c r="AD49" s="161">
        <f t="shared" si="67"/>
        <v>0.5188679245</v>
      </c>
      <c r="AE49" s="161">
        <f t="shared" si="11"/>
        <v>2.463323834</v>
      </c>
    </row>
    <row r="50">
      <c r="A50" s="207">
        <v>77356.0</v>
      </c>
      <c r="B50" s="208">
        <v>31069.0</v>
      </c>
      <c r="C50" s="208">
        <v>7.1</v>
      </c>
      <c r="D50" s="208">
        <v>113750.0</v>
      </c>
      <c r="E50" s="208">
        <v>1.56</v>
      </c>
      <c r="F50" s="208">
        <v>1.3</v>
      </c>
      <c r="G50" s="208">
        <v>8.2</v>
      </c>
      <c r="H50" s="208">
        <v>4.5</v>
      </c>
      <c r="I50" s="208">
        <v>4.6</v>
      </c>
      <c r="J50" s="208">
        <v>14.0</v>
      </c>
      <c r="K50" s="208">
        <v>82.4</v>
      </c>
      <c r="L50" s="209">
        <v>4.8</v>
      </c>
      <c r="M50" s="161">
        <f t="shared" si="5"/>
        <v>9.054325956</v>
      </c>
      <c r="N50" s="189">
        <f t="shared" si="6"/>
        <v>56.22895623</v>
      </c>
      <c r="O50" s="161">
        <f t="shared" ref="O50:S50" si="68">((F50-O$1)/(O$2-O$1))*100</f>
        <v>6.5</v>
      </c>
      <c r="P50" s="161">
        <f t="shared" si="68"/>
        <v>15.03006012</v>
      </c>
      <c r="Q50" s="161">
        <f t="shared" si="68"/>
        <v>10.79691517</v>
      </c>
      <c r="R50" s="161">
        <f t="shared" si="68"/>
        <v>9.368635438</v>
      </c>
      <c r="S50" s="161">
        <f t="shared" si="68"/>
        <v>23.16831683</v>
      </c>
      <c r="T50" s="189">
        <f t="shared" si="8"/>
        <v>13.25714286</v>
      </c>
      <c r="U50" s="210">
        <f t="shared" si="9"/>
        <v>22.64150943</v>
      </c>
      <c r="V50" s="161">
        <f t="shared" ref="V50:AD50" si="69">M50*V$2</f>
        <v>1.810865191</v>
      </c>
      <c r="W50" s="161">
        <f t="shared" si="69"/>
        <v>11.24579125</v>
      </c>
      <c r="X50" s="161">
        <f t="shared" si="69"/>
        <v>0.325</v>
      </c>
      <c r="Y50" s="161">
        <f t="shared" si="69"/>
        <v>0.751503006</v>
      </c>
      <c r="Z50" s="161">
        <f t="shared" si="69"/>
        <v>0.5398457584</v>
      </c>
      <c r="AA50" s="161">
        <f t="shared" si="69"/>
        <v>0.9368635438</v>
      </c>
      <c r="AB50" s="161">
        <f t="shared" si="69"/>
        <v>3.475247525</v>
      </c>
      <c r="AC50" s="161">
        <f t="shared" si="69"/>
        <v>1.988571429</v>
      </c>
      <c r="AD50" s="161">
        <f t="shared" si="69"/>
        <v>1.132075472</v>
      </c>
      <c r="AE50" s="161">
        <f t="shared" si="11"/>
        <v>2.467307019</v>
      </c>
    </row>
    <row r="51">
      <c r="A51" s="207">
        <v>77379.0</v>
      </c>
      <c r="B51" s="208">
        <v>83163.0</v>
      </c>
      <c r="C51" s="208">
        <v>8.1</v>
      </c>
      <c r="D51" s="208">
        <v>110712.0</v>
      </c>
      <c r="E51" s="208">
        <v>1.52</v>
      </c>
      <c r="F51" s="208">
        <v>6.0</v>
      </c>
      <c r="G51" s="208">
        <v>9.0</v>
      </c>
      <c r="H51" s="208">
        <v>6.1</v>
      </c>
      <c r="I51" s="208">
        <v>4.8</v>
      </c>
      <c r="J51" s="208">
        <v>4.3</v>
      </c>
      <c r="K51" s="208">
        <v>75.4</v>
      </c>
      <c r="L51" s="209">
        <v>3.2</v>
      </c>
      <c r="M51" s="161">
        <f t="shared" si="5"/>
        <v>11.06639839</v>
      </c>
      <c r="N51" s="189">
        <f t="shared" si="6"/>
        <v>57.57575758</v>
      </c>
      <c r="O51" s="161">
        <f t="shared" ref="O51:S51" si="70">((F51-O$1)/(O$2-O$1))*100</f>
        <v>30</v>
      </c>
      <c r="P51" s="161">
        <f t="shared" si="70"/>
        <v>16.63326653</v>
      </c>
      <c r="Q51" s="161">
        <f t="shared" si="70"/>
        <v>14.91002571</v>
      </c>
      <c r="R51" s="161">
        <f t="shared" si="70"/>
        <v>9.775967413</v>
      </c>
      <c r="S51" s="161">
        <f t="shared" si="70"/>
        <v>3.96039604</v>
      </c>
      <c r="T51" s="189">
        <f t="shared" si="8"/>
        <v>21.25714286</v>
      </c>
      <c r="U51" s="210">
        <f t="shared" si="9"/>
        <v>15.09433962</v>
      </c>
      <c r="V51" s="161">
        <f t="shared" ref="V51:AD51" si="71">M51*V$2</f>
        <v>2.213279678</v>
      </c>
      <c r="W51" s="161">
        <f t="shared" si="71"/>
        <v>11.51515152</v>
      </c>
      <c r="X51" s="161">
        <f t="shared" si="71"/>
        <v>1.5</v>
      </c>
      <c r="Y51" s="161">
        <f t="shared" si="71"/>
        <v>0.8316633267</v>
      </c>
      <c r="Z51" s="161">
        <f t="shared" si="71"/>
        <v>0.7455012853</v>
      </c>
      <c r="AA51" s="161">
        <f t="shared" si="71"/>
        <v>0.9775967413</v>
      </c>
      <c r="AB51" s="161">
        <f t="shared" si="71"/>
        <v>0.5940594059</v>
      </c>
      <c r="AC51" s="161">
        <f t="shared" si="71"/>
        <v>3.188571429</v>
      </c>
      <c r="AD51" s="161">
        <f t="shared" si="71"/>
        <v>0.7547169811</v>
      </c>
      <c r="AE51" s="161">
        <f t="shared" si="11"/>
        <v>2.48006004</v>
      </c>
    </row>
    <row r="52">
      <c r="A52" s="207">
        <v>77534.0</v>
      </c>
      <c r="B52" s="208">
        <v>3406.0</v>
      </c>
      <c r="C52" s="208">
        <v>4.3</v>
      </c>
      <c r="D52" s="208">
        <v>105500.0</v>
      </c>
      <c r="E52" s="208">
        <v>1.44</v>
      </c>
      <c r="F52" s="208">
        <v>3.7</v>
      </c>
      <c r="G52" s="208">
        <v>8.6</v>
      </c>
      <c r="H52" s="208">
        <v>1.7</v>
      </c>
      <c r="I52" s="208">
        <v>12.1</v>
      </c>
      <c r="J52" s="208">
        <v>15.6</v>
      </c>
      <c r="K52" s="208">
        <v>86.6</v>
      </c>
      <c r="L52" s="209">
        <v>0.6</v>
      </c>
      <c r="M52" s="161">
        <f t="shared" si="5"/>
        <v>3.420523139</v>
      </c>
      <c r="N52" s="189">
        <f t="shared" si="6"/>
        <v>60.26936027</v>
      </c>
      <c r="O52" s="161">
        <f t="shared" ref="O52:S52" si="72">((F52-O$1)/(O$2-O$1))*100</f>
        <v>18.5</v>
      </c>
      <c r="P52" s="161">
        <f t="shared" si="72"/>
        <v>15.83166333</v>
      </c>
      <c r="Q52" s="161">
        <f t="shared" si="72"/>
        <v>3.598971722</v>
      </c>
      <c r="R52" s="161">
        <f t="shared" si="72"/>
        <v>24.64358452</v>
      </c>
      <c r="S52" s="161">
        <f t="shared" si="72"/>
        <v>26.33663366</v>
      </c>
      <c r="T52" s="189">
        <f t="shared" si="8"/>
        <v>8.457142857</v>
      </c>
      <c r="U52" s="210">
        <f t="shared" si="9"/>
        <v>2.830188679</v>
      </c>
      <c r="V52" s="161">
        <f t="shared" ref="V52:AD52" si="73">M52*V$2</f>
        <v>0.6841046278</v>
      </c>
      <c r="W52" s="161">
        <f t="shared" si="73"/>
        <v>12.05387205</v>
      </c>
      <c r="X52" s="161">
        <f t="shared" si="73"/>
        <v>0.925</v>
      </c>
      <c r="Y52" s="161">
        <f t="shared" si="73"/>
        <v>0.7915831663</v>
      </c>
      <c r="Z52" s="161">
        <f t="shared" si="73"/>
        <v>0.1799485861</v>
      </c>
      <c r="AA52" s="161">
        <f t="shared" si="73"/>
        <v>2.464358452</v>
      </c>
      <c r="AB52" s="161">
        <f t="shared" si="73"/>
        <v>3.95049505</v>
      </c>
      <c r="AC52" s="161">
        <f t="shared" si="73"/>
        <v>1.268571429</v>
      </c>
      <c r="AD52" s="161">
        <f t="shared" si="73"/>
        <v>0.141509434</v>
      </c>
      <c r="AE52" s="161">
        <f t="shared" si="11"/>
        <v>2.495493644</v>
      </c>
    </row>
    <row r="53">
      <c r="A53" s="207">
        <v>77469.0</v>
      </c>
      <c r="B53" s="208">
        <v>65159.0</v>
      </c>
      <c r="C53" s="208">
        <v>6.3</v>
      </c>
      <c r="D53" s="208">
        <v>101546.0</v>
      </c>
      <c r="E53" s="208">
        <v>1.39</v>
      </c>
      <c r="F53" s="208">
        <v>5.4</v>
      </c>
      <c r="G53" s="208">
        <v>15.7</v>
      </c>
      <c r="H53" s="208">
        <v>7.6</v>
      </c>
      <c r="I53" s="208">
        <v>9.1</v>
      </c>
      <c r="J53" s="208">
        <v>3.2</v>
      </c>
      <c r="K53" s="208">
        <v>81.2</v>
      </c>
      <c r="L53" s="209">
        <v>2.4</v>
      </c>
      <c r="M53" s="161">
        <f t="shared" si="5"/>
        <v>7.444668008</v>
      </c>
      <c r="N53" s="189">
        <f t="shared" si="6"/>
        <v>61.95286195</v>
      </c>
      <c r="O53" s="161">
        <f t="shared" ref="O53:S53" si="74">((F53-O$1)/(O$2-O$1))*100</f>
        <v>27</v>
      </c>
      <c r="P53" s="161">
        <f t="shared" si="74"/>
        <v>30.06012024</v>
      </c>
      <c r="Q53" s="161">
        <f t="shared" si="74"/>
        <v>18.76606684</v>
      </c>
      <c r="R53" s="161">
        <f t="shared" si="74"/>
        <v>18.53360489</v>
      </c>
      <c r="S53" s="161">
        <f t="shared" si="74"/>
        <v>1.782178218</v>
      </c>
      <c r="T53" s="189">
        <f t="shared" si="8"/>
        <v>14.62857143</v>
      </c>
      <c r="U53" s="210">
        <f t="shared" si="9"/>
        <v>11.32075472</v>
      </c>
      <c r="V53" s="161">
        <f t="shared" ref="V53:AD53" si="75">M53*V$2</f>
        <v>1.488933602</v>
      </c>
      <c r="W53" s="161">
        <f t="shared" si="75"/>
        <v>12.39057239</v>
      </c>
      <c r="X53" s="161">
        <f t="shared" si="75"/>
        <v>1.35</v>
      </c>
      <c r="Y53" s="161">
        <f t="shared" si="75"/>
        <v>1.503006012</v>
      </c>
      <c r="Z53" s="161">
        <f t="shared" si="75"/>
        <v>0.9383033419</v>
      </c>
      <c r="AA53" s="161">
        <f t="shared" si="75"/>
        <v>1.853360489</v>
      </c>
      <c r="AB53" s="161">
        <f t="shared" si="75"/>
        <v>0.2673267327</v>
      </c>
      <c r="AC53" s="161">
        <f t="shared" si="75"/>
        <v>2.194285714</v>
      </c>
      <c r="AD53" s="161">
        <f t="shared" si="75"/>
        <v>0.5660377358</v>
      </c>
      <c r="AE53" s="161">
        <f t="shared" si="11"/>
        <v>2.505758446</v>
      </c>
    </row>
    <row r="54">
      <c r="A54" s="207">
        <v>77450.0</v>
      </c>
      <c r="B54" s="208">
        <v>73226.0</v>
      </c>
      <c r="C54" s="208">
        <v>7.4</v>
      </c>
      <c r="D54" s="208">
        <v>105607.0</v>
      </c>
      <c r="E54" s="208">
        <v>1.45</v>
      </c>
      <c r="F54" s="208">
        <v>4.5</v>
      </c>
      <c r="G54" s="208">
        <v>12.7</v>
      </c>
      <c r="H54" s="208">
        <v>3.6</v>
      </c>
      <c r="I54" s="208">
        <v>5.2</v>
      </c>
      <c r="J54" s="208">
        <v>3.6</v>
      </c>
      <c r="K54" s="208">
        <v>69.6</v>
      </c>
      <c r="L54" s="209">
        <v>1.6</v>
      </c>
      <c r="M54" s="161">
        <f t="shared" si="5"/>
        <v>9.657947686</v>
      </c>
      <c r="N54" s="189">
        <f t="shared" si="6"/>
        <v>59.93265993</v>
      </c>
      <c r="O54" s="161">
        <f t="shared" ref="O54:S54" si="76">((F54-O$1)/(O$2-O$1))*100</f>
        <v>22.5</v>
      </c>
      <c r="P54" s="161">
        <f t="shared" si="76"/>
        <v>24.04809619</v>
      </c>
      <c r="Q54" s="161">
        <f t="shared" si="76"/>
        <v>8.483290488</v>
      </c>
      <c r="R54" s="161">
        <f t="shared" si="76"/>
        <v>10.59063136</v>
      </c>
      <c r="S54" s="161">
        <f t="shared" si="76"/>
        <v>2.574257426</v>
      </c>
      <c r="T54" s="189">
        <f t="shared" si="8"/>
        <v>27.88571429</v>
      </c>
      <c r="U54" s="210">
        <f t="shared" si="9"/>
        <v>7.547169811</v>
      </c>
      <c r="V54" s="161">
        <f t="shared" ref="V54:AD54" si="77">M54*V$2</f>
        <v>1.931589537</v>
      </c>
      <c r="W54" s="161">
        <f t="shared" si="77"/>
        <v>11.98653199</v>
      </c>
      <c r="X54" s="161">
        <f t="shared" si="77"/>
        <v>1.125</v>
      </c>
      <c r="Y54" s="161">
        <f t="shared" si="77"/>
        <v>1.20240481</v>
      </c>
      <c r="Z54" s="161">
        <f t="shared" si="77"/>
        <v>0.4241645244</v>
      </c>
      <c r="AA54" s="161">
        <f t="shared" si="77"/>
        <v>1.059063136</v>
      </c>
      <c r="AB54" s="161">
        <f t="shared" si="77"/>
        <v>0.3861386139</v>
      </c>
      <c r="AC54" s="161">
        <f t="shared" si="77"/>
        <v>4.182857143</v>
      </c>
      <c r="AD54" s="161">
        <f t="shared" si="77"/>
        <v>0.3773584906</v>
      </c>
      <c r="AE54" s="161">
        <f t="shared" si="11"/>
        <v>2.519456471</v>
      </c>
    </row>
    <row r="55">
      <c r="A55" s="207">
        <v>77354.0</v>
      </c>
      <c r="B55" s="208">
        <v>40501.0</v>
      </c>
      <c r="C55" s="208">
        <v>7.5</v>
      </c>
      <c r="D55" s="208">
        <v>112093.0</v>
      </c>
      <c r="E55" s="208">
        <v>1.53</v>
      </c>
      <c r="F55" s="208">
        <v>3.6</v>
      </c>
      <c r="G55" s="208">
        <v>11.5</v>
      </c>
      <c r="H55" s="208">
        <v>3.4</v>
      </c>
      <c r="I55" s="208">
        <v>7.0</v>
      </c>
      <c r="J55" s="208">
        <v>11.3</v>
      </c>
      <c r="K55" s="208">
        <v>79.5</v>
      </c>
      <c r="L55" s="209">
        <v>1.6</v>
      </c>
      <c r="M55" s="161">
        <f t="shared" si="5"/>
        <v>9.85915493</v>
      </c>
      <c r="N55" s="189">
        <f t="shared" si="6"/>
        <v>57.23905724</v>
      </c>
      <c r="O55" s="161">
        <f t="shared" ref="O55:S55" si="78">((F55-O$1)/(O$2-O$1))*100</f>
        <v>18</v>
      </c>
      <c r="P55" s="161">
        <f t="shared" si="78"/>
        <v>21.64328657</v>
      </c>
      <c r="Q55" s="161">
        <f t="shared" si="78"/>
        <v>7.969151671</v>
      </c>
      <c r="R55" s="161">
        <f t="shared" si="78"/>
        <v>14.25661914</v>
      </c>
      <c r="S55" s="161">
        <f t="shared" si="78"/>
        <v>17.82178218</v>
      </c>
      <c r="T55" s="189">
        <f t="shared" si="8"/>
        <v>16.57142857</v>
      </c>
      <c r="U55" s="210">
        <f t="shared" si="9"/>
        <v>7.547169811</v>
      </c>
      <c r="V55" s="161">
        <f t="shared" ref="V55:AD55" si="79">M55*V$2</f>
        <v>1.971830986</v>
      </c>
      <c r="W55" s="161">
        <f t="shared" si="79"/>
        <v>11.44781145</v>
      </c>
      <c r="X55" s="161">
        <f t="shared" si="79"/>
        <v>0.9</v>
      </c>
      <c r="Y55" s="161">
        <f t="shared" si="79"/>
        <v>1.082164329</v>
      </c>
      <c r="Z55" s="161">
        <f t="shared" si="79"/>
        <v>0.3984575835</v>
      </c>
      <c r="AA55" s="161">
        <f t="shared" si="79"/>
        <v>1.425661914</v>
      </c>
      <c r="AB55" s="161">
        <f t="shared" si="79"/>
        <v>2.673267327</v>
      </c>
      <c r="AC55" s="161">
        <f t="shared" si="79"/>
        <v>2.485714286</v>
      </c>
      <c r="AD55" s="161">
        <f t="shared" si="79"/>
        <v>0.3773584906</v>
      </c>
      <c r="AE55" s="161">
        <f t="shared" si="11"/>
        <v>2.529140707</v>
      </c>
    </row>
    <row r="56">
      <c r="A56" s="207">
        <v>77355.0</v>
      </c>
      <c r="B56" s="208">
        <v>31727.0</v>
      </c>
      <c r="C56" s="208">
        <v>7.6</v>
      </c>
      <c r="D56" s="208">
        <v>101270.0</v>
      </c>
      <c r="E56" s="208">
        <v>1.39</v>
      </c>
      <c r="F56" s="208">
        <v>5.8</v>
      </c>
      <c r="G56" s="208">
        <v>13.3</v>
      </c>
      <c r="H56" s="208">
        <v>5.7</v>
      </c>
      <c r="I56" s="208">
        <v>11.1</v>
      </c>
      <c r="J56" s="208">
        <v>3.9</v>
      </c>
      <c r="K56" s="208">
        <v>82.5</v>
      </c>
      <c r="L56" s="209">
        <v>1.9</v>
      </c>
      <c r="M56" s="161">
        <f t="shared" si="5"/>
        <v>10.06036217</v>
      </c>
      <c r="N56" s="189">
        <f t="shared" si="6"/>
        <v>61.95286195</v>
      </c>
      <c r="O56" s="161">
        <f t="shared" ref="O56:S56" si="80">((F56-O$1)/(O$2-O$1))*100</f>
        <v>29</v>
      </c>
      <c r="P56" s="161">
        <f t="shared" si="80"/>
        <v>25.250501</v>
      </c>
      <c r="Q56" s="161">
        <f t="shared" si="80"/>
        <v>13.88174807</v>
      </c>
      <c r="R56" s="161">
        <f t="shared" si="80"/>
        <v>22.60692464</v>
      </c>
      <c r="S56" s="161">
        <f t="shared" si="80"/>
        <v>3.168316832</v>
      </c>
      <c r="T56" s="189">
        <f t="shared" si="8"/>
        <v>13.14285714</v>
      </c>
      <c r="U56" s="210">
        <f t="shared" si="9"/>
        <v>8.962264151</v>
      </c>
      <c r="V56" s="161">
        <f t="shared" ref="V56:AD56" si="81">M56*V$2</f>
        <v>2.012072435</v>
      </c>
      <c r="W56" s="161">
        <f t="shared" si="81"/>
        <v>12.39057239</v>
      </c>
      <c r="X56" s="161">
        <f t="shared" si="81"/>
        <v>1.45</v>
      </c>
      <c r="Y56" s="161">
        <f t="shared" si="81"/>
        <v>1.26252505</v>
      </c>
      <c r="Z56" s="161">
        <f t="shared" si="81"/>
        <v>0.6940874036</v>
      </c>
      <c r="AA56" s="161">
        <f t="shared" si="81"/>
        <v>2.260692464</v>
      </c>
      <c r="AB56" s="161">
        <f t="shared" si="81"/>
        <v>0.4752475248</v>
      </c>
      <c r="AC56" s="161">
        <f t="shared" si="81"/>
        <v>1.971428571</v>
      </c>
      <c r="AD56" s="161">
        <f t="shared" si="81"/>
        <v>0.4481132075</v>
      </c>
      <c r="AE56" s="161">
        <f t="shared" si="11"/>
        <v>2.551637672</v>
      </c>
    </row>
    <row r="57">
      <c r="A57" s="207">
        <v>77407.0</v>
      </c>
      <c r="B57" s="208">
        <v>81459.0</v>
      </c>
      <c r="C57" s="208">
        <v>6.8</v>
      </c>
      <c r="D57" s="208">
        <v>101595.0</v>
      </c>
      <c r="E57" s="208">
        <v>1.39</v>
      </c>
      <c r="F57" s="208">
        <v>5.1</v>
      </c>
      <c r="G57" s="208">
        <v>13.2</v>
      </c>
      <c r="H57" s="208">
        <v>7.1</v>
      </c>
      <c r="I57" s="208">
        <v>8.8</v>
      </c>
      <c r="J57" s="208">
        <v>2.3</v>
      </c>
      <c r="K57" s="208">
        <v>77.8</v>
      </c>
      <c r="L57" s="209">
        <v>4.8</v>
      </c>
      <c r="M57" s="161">
        <f t="shared" si="5"/>
        <v>8.450704225</v>
      </c>
      <c r="N57" s="189">
        <f t="shared" si="6"/>
        <v>61.95286195</v>
      </c>
      <c r="O57" s="161">
        <f t="shared" ref="O57:S57" si="82">((F57-O$1)/(O$2-O$1))*100</f>
        <v>25.5</v>
      </c>
      <c r="P57" s="161">
        <f t="shared" si="82"/>
        <v>25.0501002</v>
      </c>
      <c r="Q57" s="161">
        <f t="shared" si="82"/>
        <v>17.48071979</v>
      </c>
      <c r="R57" s="161">
        <f t="shared" si="82"/>
        <v>17.92260692</v>
      </c>
      <c r="S57" s="161">
        <f t="shared" si="82"/>
        <v>0</v>
      </c>
      <c r="T57" s="189">
        <f t="shared" si="8"/>
        <v>18.51428571</v>
      </c>
      <c r="U57" s="210">
        <f t="shared" si="9"/>
        <v>22.64150943</v>
      </c>
      <c r="V57" s="161">
        <f t="shared" ref="V57:AD57" si="83">M57*V$2</f>
        <v>1.690140845</v>
      </c>
      <c r="W57" s="161">
        <f t="shared" si="83"/>
        <v>12.39057239</v>
      </c>
      <c r="X57" s="161">
        <f t="shared" si="83"/>
        <v>1.275</v>
      </c>
      <c r="Y57" s="161">
        <f t="shared" si="83"/>
        <v>1.25250501</v>
      </c>
      <c r="Z57" s="161">
        <f t="shared" si="83"/>
        <v>0.8740359897</v>
      </c>
      <c r="AA57" s="161">
        <f t="shared" si="83"/>
        <v>1.792260692</v>
      </c>
      <c r="AB57" s="161">
        <f t="shared" si="83"/>
        <v>0</v>
      </c>
      <c r="AC57" s="161">
        <f t="shared" si="83"/>
        <v>2.777142857</v>
      </c>
      <c r="AD57" s="161">
        <f t="shared" si="83"/>
        <v>1.132075472</v>
      </c>
      <c r="AE57" s="161">
        <f t="shared" si="11"/>
        <v>2.575970362</v>
      </c>
    </row>
    <row r="58">
      <c r="A58" s="207">
        <v>77430.0</v>
      </c>
      <c r="B58" s="208">
        <v>1916.0</v>
      </c>
      <c r="C58" s="208">
        <v>6.1</v>
      </c>
      <c r="D58" s="208">
        <v>94583.0</v>
      </c>
      <c r="E58" s="208">
        <v>1.3</v>
      </c>
      <c r="F58" s="208">
        <v>8.6</v>
      </c>
      <c r="G58" s="208">
        <v>7.7</v>
      </c>
      <c r="H58" s="208">
        <v>2.5</v>
      </c>
      <c r="I58" s="208">
        <v>18.8</v>
      </c>
      <c r="J58" s="208">
        <v>6.9</v>
      </c>
      <c r="K58" s="208">
        <v>90.9</v>
      </c>
      <c r="L58" s="209">
        <v>1.2</v>
      </c>
      <c r="M58" s="161">
        <f t="shared" si="5"/>
        <v>7.042253521</v>
      </c>
      <c r="N58" s="189">
        <f t="shared" si="6"/>
        <v>64.98316498</v>
      </c>
      <c r="O58" s="161">
        <f t="shared" ref="O58:S58" si="84">((F58-O$1)/(O$2-O$1))*100</f>
        <v>43</v>
      </c>
      <c r="P58" s="161">
        <f t="shared" si="84"/>
        <v>14.02805611</v>
      </c>
      <c r="Q58" s="161">
        <f t="shared" si="84"/>
        <v>5.655526992</v>
      </c>
      <c r="R58" s="161">
        <f t="shared" si="84"/>
        <v>38.2892057</v>
      </c>
      <c r="S58" s="161">
        <f t="shared" si="84"/>
        <v>9.108910891</v>
      </c>
      <c r="T58" s="189">
        <f t="shared" si="8"/>
        <v>3.542857143</v>
      </c>
      <c r="U58" s="210">
        <f t="shared" si="9"/>
        <v>5.660377358</v>
      </c>
      <c r="V58" s="161">
        <f t="shared" ref="V58:AD58" si="85">M58*V$2</f>
        <v>1.408450704</v>
      </c>
      <c r="W58" s="161">
        <f t="shared" si="85"/>
        <v>12.996633</v>
      </c>
      <c r="X58" s="161">
        <f t="shared" si="85"/>
        <v>2.15</v>
      </c>
      <c r="Y58" s="161">
        <f t="shared" si="85"/>
        <v>0.7014028056</v>
      </c>
      <c r="Z58" s="161">
        <f t="shared" si="85"/>
        <v>0.2827763496</v>
      </c>
      <c r="AA58" s="161">
        <f t="shared" si="85"/>
        <v>3.82892057</v>
      </c>
      <c r="AB58" s="161">
        <f t="shared" si="85"/>
        <v>1.366336634</v>
      </c>
      <c r="AC58" s="161">
        <f t="shared" si="85"/>
        <v>0.5314285714</v>
      </c>
      <c r="AD58" s="161">
        <f t="shared" si="85"/>
        <v>0.2830188679</v>
      </c>
      <c r="AE58" s="161">
        <f t="shared" si="11"/>
        <v>2.616551944</v>
      </c>
    </row>
    <row r="59">
      <c r="A59" s="207">
        <v>77583.0</v>
      </c>
      <c r="B59" s="208">
        <v>47646.0</v>
      </c>
      <c r="C59" s="208">
        <v>6.9</v>
      </c>
      <c r="D59" s="208">
        <v>107510.0</v>
      </c>
      <c r="E59" s="208">
        <v>1.47</v>
      </c>
      <c r="F59" s="208">
        <v>4.5</v>
      </c>
      <c r="G59" s="208">
        <v>15.6</v>
      </c>
      <c r="H59" s="208">
        <v>9.9</v>
      </c>
      <c r="I59" s="208">
        <v>15.3</v>
      </c>
      <c r="J59" s="208">
        <v>10.0</v>
      </c>
      <c r="K59" s="208">
        <v>92.1</v>
      </c>
      <c r="L59" s="209">
        <v>1.7</v>
      </c>
      <c r="M59" s="161">
        <f t="shared" si="5"/>
        <v>8.651911469</v>
      </c>
      <c r="N59" s="189">
        <f t="shared" si="6"/>
        <v>59.25925926</v>
      </c>
      <c r="O59" s="161">
        <f t="shared" ref="O59:S59" si="86">((F59-O$1)/(O$2-O$1))*100</f>
        <v>22.5</v>
      </c>
      <c r="P59" s="161">
        <f t="shared" si="86"/>
        <v>29.85971944</v>
      </c>
      <c r="Q59" s="161">
        <f t="shared" si="86"/>
        <v>24.67866324</v>
      </c>
      <c r="R59" s="161">
        <f t="shared" si="86"/>
        <v>31.16089613</v>
      </c>
      <c r="S59" s="161">
        <f t="shared" si="86"/>
        <v>15.24752475</v>
      </c>
      <c r="T59" s="189">
        <f t="shared" si="8"/>
        <v>2.171428571</v>
      </c>
      <c r="U59" s="210">
        <f t="shared" si="9"/>
        <v>8.018867925</v>
      </c>
      <c r="V59" s="161">
        <f t="shared" ref="V59:AD59" si="87">M59*V$2</f>
        <v>1.730382294</v>
      </c>
      <c r="W59" s="161">
        <f t="shared" si="87"/>
        <v>11.85185185</v>
      </c>
      <c r="X59" s="161">
        <f t="shared" si="87"/>
        <v>1.125</v>
      </c>
      <c r="Y59" s="161">
        <f t="shared" si="87"/>
        <v>1.492985972</v>
      </c>
      <c r="Z59" s="161">
        <f t="shared" si="87"/>
        <v>1.233933162</v>
      </c>
      <c r="AA59" s="161">
        <f t="shared" si="87"/>
        <v>3.116089613</v>
      </c>
      <c r="AB59" s="161">
        <f t="shared" si="87"/>
        <v>2.287128713</v>
      </c>
      <c r="AC59" s="161">
        <f t="shared" si="87"/>
        <v>0.3257142857</v>
      </c>
      <c r="AD59" s="161">
        <f t="shared" si="87"/>
        <v>0.4009433962</v>
      </c>
      <c r="AE59" s="161">
        <f t="shared" si="11"/>
        <v>2.618225476</v>
      </c>
    </row>
    <row r="60">
      <c r="A60" s="207">
        <v>77447.0</v>
      </c>
      <c r="B60" s="208">
        <v>22766.0</v>
      </c>
      <c r="C60" s="208">
        <v>8.2</v>
      </c>
      <c r="D60" s="208">
        <v>111932.0</v>
      </c>
      <c r="E60" s="208">
        <v>1.53</v>
      </c>
      <c r="F60" s="208">
        <v>5.8</v>
      </c>
      <c r="G60" s="208">
        <v>20.9</v>
      </c>
      <c r="H60" s="208">
        <v>5.3</v>
      </c>
      <c r="I60" s="208">
        <v>11.3</v>
      </c>
      <c r="J60" s="208">
        <v>7.3</v>
      </c>
      <c r="K60" s="208">
        <v>85.6</v>
      </c>
      <c r="L60" s="209">
        <v>3.1</v>
      </c>
      <c r="M60" s="161">
        <f t="shared" si="5"/>
        <v>11.26760563</v>
      </c>
      <c r="N60" s="189">
        <f t="shared" si="6"/>
        <v>57.23905724</v>
      </c>
      <c r="O60" s="161">
        <f t="shared" ref="O60:S60" si="88">((F60-O$1)/(O$2-O$1))*100</f>
        <v>29</v>
      </c>
      <c r="P60" s="161">
        <f t="shared" si="88"/>
        <v>40.48096192</v>
      </c>
      <c r="Q60" s="161">
        <f t="shared" si="88"/>
        <v>12.85347044</v>
      </c>
      <c r="R60" s="161">
        <f t="shared" si="88"/>
        <v>23.01425662</v>
      </c>
      <c r="S60" s="161">
        <f t="shared" si="88"/>
        <v>9.900990099</v>
      </c>
      <c r="T60" s="189">
        <f t="shared" si="8"/>
        <v>9.6</v>
      </c>
      <c r="U60" s="210">
        <f t="shared" si="9"/>
        <v>14.62264151</v>
      </c>
      <c r="V60" s="161">
        <f t="shared" ref="V60:AD60" si="89">M60*V$2</f>
        <v>2.253521127</v>
      </c>
      <c r="W60" s="161">
        <f t="shared" si="89"/>
        <v>11.44781145</v>
      </c>
      <c r="X60" s="161">
        <f t="shared" si="89"/>
        <v>1.45</v>
      </c>
      <c r="Y60" s="161">
        <f t="shared" si="89"/>
        <v>2.024048096</v>
      </c>
      <c r="Z60" s="161">
        <f t="shared" si="89"/>
        <v>0.6426735219</v>
      </c>
      <c r="AA60" s="161">
        <f t="shared" si="89"/>
        <v>2.301425662</v>
      </c>
      <c r="AB60" s="161">
        <f t="shared" si="89"/>
        <v>1.485148515</v>
      </c>
      <c r="AC60" s="161">
        <f t="shared" si="89"/>
        <v>1.44</v>
      </c>
      <c r="AD60" s="161">
        <f t="shared" si="89"/>
        <v>0.7311320755</v>
      </c>
      <c r="AE60" s="161">
        <f t="shared" si="11"/>
        <v>2.641751161</v>
      </c>
    </row>
    <row r="61">
      <c r="A61" s="207">
        <v>77536.0</v>
      </c>
      <c r="B61" s="208">
        <v>32421.0</v>
      </c>
      <c r="C61" s="208">
        <v>6.9</v>
      </c>
      <c r="D61" s="208">
        <v>96297.0</v>
      </c>
      <c r="E61" s="208">
        <v>1.32</v>
      </c>
      <c r="F61" s="208">
        <v>4.9</v>
      </c>
      <c r="G61" s="208">
        <v>14.3</v>
      </c>
      <c r="H61" s="208">
        <v>7.5</v>
      </c>
      <c r="I61" s="208">
        <v>9.1</v>
      </c>
      <c r="J61" s="208">
        <v>5.3</v>
      </c>
      <c r="K61" s="208">
        <v>80.7</v>
      </c>
      <c r="L61" s="209">
        <v>3.4</v>
      </c>
      <c r="M61" s="161">
        <f t="shared" si="5"/>
        <v>8.651911469</v>
      </c>
      <c r="N61" s="189">
        <f t="shared" si="6"/>
        <v>64.30976431</v>
      </c>
      <c r="O61" s="161">
        <f t="shared" ref="O61:S61" si="90">((F61-O$1)/(O$2-O$1))*100</f>
        <v>24.5</v>
      </c>
      <c r="P61" s="161">
        <f t="shared" si="90"/>
        <v>27.25450902</v>
      </c>
      <c r="Q61" s="161">
        <f t="shared" si="90"/>
        <v>18.50899743</v>
      </c>
      <c r="R61" s="161">
        <f t="shared" si="90"/>
        <v>18.53360489</v>
      </c>
      <c r="S61" s="161">
        <f t="shared" si="90"/>
        <v>5.940594059</v>
      </c>
      <c r="T61" s="189">
        <f t="shared" si="8"/>
        <v>15.2</v>
      </c>
      <c r="U61" s="210">
        <f t="shared" si="9"/>
        <v>16.03773585</v>
      </c>
      <c r="V61" s="161">
        <f t="shared" ref="V61:AD61" si="91">M61*V$2</f>
        <v>1.730382294</v>
      </c>
      <c r="W61" s="161">
        <f t="shared" si="91"/>
        <v>12.86195286</v>
      </c>
      <c r="X61" s="161">
        <f t="shared" si="91"/>
        <v>1.225</v>
      </c>
      <c r="Y61" s="161">
        <f t="shared" si="91"/>
        <v>1.362725451</v>
      </c>
      <c r="Z61" s="161">
        <f t="shared" si="91"/>
        <v>0.9254498715</v>
      </c>
      <c r="AA61" s="161">
        <f t="shared" si="91"/>
        <v>1.853360489</v>
      </c>
      <c r="AB61" s="161">
        <f t="shared" si="91"/>
        <v>0.8910891089</v>
      </c>
      <c r="AC61" s="161">
        <f t="shared" si="91"/>
        <v>2.28</v>
      </c>
      <c r="AD61" s="161">
        <f t="shared" si="91"/>
        <v>0.8018867925</v>
      </c>
      <c r="AE61" s="161">
        <f t="shared" si="11"/>
        <v>2.659094096</v>
      </c>
    </row>
    <row r="62">
      <c r="A62" s="207">
        <v>77062.0</v>
      </c>
      <c r="B62" s="208">
        <v>24892.0</v>
      </c>
      <c r="C62" s="208">
        <v>9.0</v>
      </c>
      <c r="D62" s="208">
        <v>105824.0</v>
      </c>
      <c r="E62" s="208">
        <v>1.45</v>
      </c>
      <c r="F62" s="208">
        <v>6.0</v>
      </c>
      <c r="G62" s="208">
        <v>9.6</v>
      </c>
      <c r="H62" s="208">
        <v>7.6</v>
      </c>
      <c r="I62" s="208">
        <v>6.7</v>
      </c>
      <c r="J62" s="208">
        <v>4.7</v>
      </c>
      <c r="K62" s="208">
        <v>75.0</v>
      </c>
      <c r="L62" s="209">
        <v>3.7</v>
      </c>
      <c r="M62" s="161">
        <f t="shared" si="5"/>
        <v>12.87726358</v>
      </c>
      <c r="N62" s="189">
        <f t="shared" si="6"/>
        <v>59.93265993</v>
      </c>
      <c r="O62" s="161">
        <f t="shared" ref="O62:S62" si="92">((F62-O$1)/(O$2-O$1))*100</f>
        <v>30</v>
      </c>
      <c r="P62" s="161">
        <f t="shared" si="92"/>
        <v>17.83567134</v>
      </c>
      <c r="Q62" s="161">
        <f t="shared" si="92"/>
        <v>18.76606684</v>
      </c>
      <c r="R62" s="161">
        <f t="shared" si="92"/>
        <v>13.64562118</v>
      </c>
      <c r="S62" s="161">
        <f t="shared" si="92"/>
        <v>4.752475248</v>
      </c>
      <c r="T62" s="189">
        <f t="shared" si="8"/>
        <v>21.71428571</v>
      </c>
      <c r="U62" s="210">
        <f t="shared" si="9"/>
        <v>17.45283019</v>
      </c>
      <c r="V62" s="161">
        <f t="shared" ref="V62:AD62" si="93">M62*V$2</f>
        <v>2.575452716</v>
      </c>
      <c r="W62" s="161">
        <f t="shared" si="93"/>
        <v>11.98653199</v>
      </c>
      <c r="X62" s="161">
        <f t="shared" si="93"/>
        <v>1.5</v>
      </c>
      <c r="Y62" s="161">
        <f t="shared" si="93"/>
        <v>0.8917835671</v>
      </c>
      <c r="Z62" s="161">
        <f t="shared" si="93"/>
        <v>0.9383033419</v>
      </c>
      <c r="AA62" s="161">
        <f t="shared" si="93"/>
        <v>1.364562118</v>
      </c>
      <c r="AB62" s="161">
        <f t="shared" si="93"/>
        <v>0.7128712871</v>
      </c>
      <c r="AC62" s="161">
        <f t="shared" si="93"/>
        <v>3.257142857</v>
      </c>
      <c r="AD62" s="161">
        <f t="shared" si="93"/>
        <v>0.8726415094</v>
      </c>
      <c r="AE62" s="161">
        <f t="shared" si="11"/>
        <v>2.67769882</v>
      </c>
    </row>
    <row r="63">
      <c r="A63" s="207">
        <v>77095.0</v>
      </c>
      <c r="B63" s="208">
        <v>69912.0</v>
      </c>
      <c r="C63" s="208">
        <v>5.8</v>
      </c>
      <c r="D63" s="208">
        <v>95657.0</v>
      </c>
      <c r="E63" s="208">
        <v>1.31</v>
      </c>
      <c r="F63" s="208">
        <v>6.9</v>
      </c>
      <c r="G63" s="208">
        <v>10.9</v>
      </c>
      <c r="H63" s="208">
        <v>8.0</v>
      </c>
      <c r="I63" s="208">
        <v>7.5</v>
      </c>
      <c r="J63" s="208">
        <v>3.7</v>
      </c>
      <c r="K63" s="208">
        <v>70.7</v>
      </c>
      <c r="L63" s="209">
        <v>1.2</v>
      </c>
      <c r="M63" s="161">
        <f t="shared" si="5"/>
        <v>6.438631791</v>
      </c>
      <c r="N63" s="189">
        <f t="shared" si="6"/>
        <v>64.64646465</v>
      </c>
      <c r="O63" s="161">
        <f t="shared" ref="O63:S63" si="94">((F63-O$1)/(O$2-O$1))*100</f>
        <v>34.5</v>
      </c>
      <c r="P63" s="161">
        <f t="shared" si="94"/>
        <v>20.44088176</v>
      </c>
      <c r="Q63" s="161">
        <f t="shared" si="94"/>
        <v>19.79434447</v>
      </c>
      <c r="R63" s="161">
        <f t="shared" si="94"/>
        <v>15.27494908</v>
      </c>
      <c r="S63" s="161">
        <f t="shared" si="94"/>
        <v>2.772277228</v>
      </c>
      <c r="T63" s="189">
        <f t="shared" si="8"/>
        <v>26.62857143</v>
      </c>
      <c r="U63" s="210">
        <f t="shared" si="9"/>
        <v>5.660377358</v>
      </c>
      <c r="V63" s="161">
        <f t="shared" ref="V63:AD63" si="95">M63*V$2</f>
        <v>1.287726358</v>
      </c>
      <c r="W63" s="161">
        <f t="shared" si="95"/>
        <v>12.92929293</v>
      </c>
      <c r="X63" s="161">
        <f t="shared" si="95"/>
        <v>1.725</v>
      </c>
      <c r="Y63" s="161">
        <f t="shared" si="95"/>
        <v>1.022044088</v>
      </c>
      <c r="Z63" s="161">
        <f t="shared" si="95"/>
        <v>0.9897172237</v>
      </c>
      <c r="AA63" s="161">
        <f t="shared" si="95"/>
        <v>1.527494908</v>
      </c>
      <c r="AB63" s="161">
        <f t="shared" si="95"/>
        <v>0.4158415842</v>
      </c>
      <c r="AC63" s="161">
        <f t="shared" si="95"/>
        <v>3.994285714</v>
      </c>
      <c r="AD63" s="161">
        <f t="shared" si="95"/>
        <v>0.2830188679</v>
      </c>
      <c r="AE63" s="161">
        <f t="shared" si="11"/>
        <v>2.686046853</v>
      </c>
    </row>
    <row r="64">
      <c r="A64" s="207">
        <v>77384.0</v>
      </c>
      <c r="B64" s="208">
        <v>24148.0</v>
      </c>
      <c r="C64" s="208">
        <v>3.0</v>
      </c>
      <c r="D64" s="208">
        <v>103745.0</v>
      </c>
      <c r="E64" s="208">
        <v>1.42</v>
      </c>
      <c r="F64" s="208">
        <v>3.9</v>
      </c>
      <c r="G64" s="208">
        <v>8.2</v>
      </c>
      <c r="H64" s="208">
        <v>2.3</v>
      </c>
      <c r="I64" s="208">
        <v>1.8</v>
      </c>
      <c r="J64" s="208">
        <v>9.7</v>
      </c>
      <c r="K64" s="208">
        <v>53.3</v>
      </c>
      <c r="L64" s="209">
        <v>3.1</v>
      </c>
      <c r="M64" s="161">
        <f t="shared" si="5"/>
        <v>0.8048289738</v>
      </c>
      <c r="N64" s="189">
        <f t="shared" si="6"/>
        <v>60.94276094</v>
      </c>
      <c r="O64" s="161">
        <f t="shared" ref="O64:S64" si="96">((F64-O$1)/(O$2-O$1))*100</f>
        <v>19.5</v>
      </c>
      <c r="P64" s="161">
        <f t="shared" si="96"/>
        <v>15.03006012</v>
      </c>
      <c r="Q64" s="161">
        <f t="shared" si="96"/>
        <v>5.141388175</v>
      </c>
      <c r="R64" s="161">
        <f t="shared" si="96"/>
        <v>3.66598778</v>
      </c>
      <c r="S64" s="161">
        <f t="shared" si="96"/>
        <v>14.65346535</v>
      </c>
      <c r="T64" s="189">
        <f t="shared" si="8"/>
        <v>46.51428571</v>
      </c>
      <c r="U64" s="210">
        <f t="shared" si="9"/>
        <v>14.62264151</v>
      </c>
      <c r="V64" s="161">
        <f t="shared" ref="V64:AD64" si="97">M64*V$2</f>
        <v>0.1609657948</v>
      </c>
      <c r="W64" s="161">
        <f t="shared" si="97"/>
        <v>12.18855219</v>
      </c>
      <c r="X64" s="161">
        <f t="shared" si="97"/>
        <v>0.975</v>
      </c>
      <c r="Y64" s="161">
        <f t="shared" si="97"/>
        <v>0.751503006</v>
      </c>
      <c r="Z64" s="161">
        <f t="shared" si="97"/>
        <v>0.2570694087</v>
      </c>
      <c r="AA64" s="161">
        <f t="shared" si="97"/>
        <v>0.366598778</v>
      </c>
      <c r="AB64" s="161">
        <f t="shared" si="97"/>
        <v>2.198019802</v>
      </c>
      <c r="AC64" s="161">
        <f t="shared" si="97"/>
        <v>6.977142857</v>
      </c>
      <c r="AD64" s="161">
        <f t="shared" si="97"/>
        <v>0.7311320755</v>
      </c>
      <c r="AE64" s="161">
        <f t="shared" si="11"/>
        <v>2.733998212</v>
      </c>
    </row>
    <row r="65">
      <c r="A65" s="207">
        <v>77493.0</v>
      </c>
      <c r="B65" s="208">
        <v>62264.0</v>
      </c>
      <c r="C65" s="208">
        <v>11.4</v>
      </c>
      <c r="D65" s="208">
        <v>113388.0</v>
      </c>
      <c r="E65" s="208">
        <v>1.55</v>
      </c>
      <c r="F65" s="208">
        <v>5.6</v>
      </c>
      <c r="G65" s="208">
        <v>12.7</v>
      </c>
      <c r="H65" s="208">
        <v>6.3</v>
      </c>
      <c r="I65" s="208">
        <v>7.9</v>
      </c>
      <c r="J65" s="208">
        <v>7.2</v>
      </c>
      <c r="K65" s="208">
        <v>78.2</v>
      </c>
      <c r="L65" s="209">
        <v>2.7</v>
      </c>
      <c r="M65" s="161">
        <f t="shared" si="5"/>
        <v>17.70623742</v>
      </c>
      <c r="N65" s="189">
        <f t="shared" si="6"/>
        <v>56.56565657</v>
      </c>
      <c r="O65" s="161">
        <f t="shared" ref="O65:S65" si="98">((F65-O$1)/(O$2-O$1))*100</f>
        <v>28</v>
      </c>
      <c r="P65" s="161">
        <f t="shared" si="98"/>
        <v>24.04809619</v>
      </c>
      <c r="Q65" s="161">
        <f t="shared" si="98"/>
        <v>15.42416452</v>
      </c>
      <c r="R65" s="161">
        <f t="shared" si="98"/>
        <v>16.08961303</v>
      </c>
      <c r="S65" s="161">
        <f t="shared" si="98"/>
        <v>9.702970297</v>
      </c>
      <c r="T65" s="189">
        <f t="shared" si="8"/>
        <v>18.05714286</v>
      </c>
      <c r="U65" s="210">
        <f t="shared" si="9"/>
        <v>12.73584906</v>
      </c>
      <c r="V65" s="161">
        <f t="shared" ref="V65:AD65" si="99">M65*V$2</f>
        <v>3.541247485</v>
      </c>
      <c r="W65" s="161">
        <f t="shared" si="99"/>
        <v>11.31313131</v>
      </c>
      <c r="X65" s="161">
        <f t="shared" si="99"/>
        <v>1.4</v>
      </c>
      <c r="Y65" s="161">
        <f t="shared" si="99"/>
        <v>1.20240481</v>
      </c>
      <c r="Z65" s="161">
        <f t="shared" si="99"/>
        <v>0.7712082262</v>
      </c>
      <c r="AA65" s="161">
        <f t="shared" si="99"/>
        <v>1.608961303</v>
      </c>
      <c r="AB65" s="161">
        <f t="shared" si="99"/>
        <v>1.455445545</v>
      </c>
      <c r="AC65" s="161">
        <f t="shared" si="99"/>
        <v>2.708571429</v>
      </c>
      <c r="AD65" s="161">
        <f t="shared" si="99"/>
        <v>0.6367924528</v>
      </c>
      <c r="AE65" s="161">
        <f t="shared" si="11"/>
        <v>2.737529174</v>
      </c>
    </row>
    <row r="66">
      <c r="A66" s="207">
        <v>77018.0</v>
      </c>
      <c r="B66" s="208">
        <v>29595.0</v>
      </c>
      <c r="C66" s="208">
        <v>8.9</v>
      </c>
      <c r="D66" s="208">
        <v>121658.0</v>
      </c>
      <c r="E66" s="208">
        <v>1.67</v>
      </c>
      <c r="F66" s="208">
        <v>4.5</v>
      </c>
      <c r="G66" s="208">
        <v>11.6</v>
      </c>
      <c r="H66" s="208">
        <v>8.6</v>
      </c>
      <c r="I66" s="208">
        <v>8.0</v>
      </c>
      <c r="J66" s="208">
        <v>9.1</v>
      </c>
      <c r="K66" s="208">
        <v>71.1</v>
      </c>
      <c r="L66" s="209">
        <v>4.4</v>
      </c>
      <c r="M66" s="161">
        <f t="shared" si="5"/>
        <v>12.67605634</v>
      </c>
      <c r="N66" s="189">
        <f t="shared" si="6"/>
        <v>52.52525253</v>
      </c>
      <c r="O66" s="161">
        <f t="shared" ref="O66:S66" si="100">((F66-O$1)/(O$2-O$1))*100</f>
        <v>22.5</v>
      </c>
      <c r="P66" s="161">
        <f t="shared" si="100"/>
        <v>21.84368737</v>
      </c>
      <c r="Q66" s="161">
        <f t="shared" si="100"/>
        <v>21.33676093</v>
      </c>
      <c r="R66" s="161">
        <f t="shared" si="100"/>
        <v>16.29327902</v>
      </c>
      <c r="S66" s="161">
        <f t="shared" si="100"/>
        <v>13.46534653</v>
      </c>
      <c r="T66" s="189">
        <f t="shared" si="8"/>
        <v>26.17142857</v>
      </c>
      <c r="U66" s="210">
        <f t="shared" si="9"/>
        <v>20.75471698</v>
      </c>
      <c r="V66" s="161">
        <f t="shared" ref="V66:AD66" si="101">M66*V$2</f>
        <v>2.535211268</v>
      </c>
      <c r="W66" s="161">
        <f t="shared" si="101"/>
        <v>10.50505051</v>
      </c>
      <c r="X66" s="161">
        <f t="shared" si="101"/>
        <v>1.125</v>
      </c>
      <c r="Y66" s="161">
        <f t="shared" si="101"/>
        <v>1.092184369</v>
      </c>
      <c r="Z66" s="161">
        <f t="shared" si="101"/>
        <v>1.066838046</v>
      </c>
      <c r="AA66" s="161">
        <f t="shared" si="101"/>
        <v>1.629327902</v>
      </c>
      <c r="AB66" s="161">
        <f t="shared" si="101"/>
        <v>2.01980198</v>
      </c>
      <c r="AC66" s="161">
        <f t="shared" si="101"/>
        <v>3.925714286</v>
      </c>
      <c r="AD66" s="161">
        <f t="shared" si="101"/>
        <v>1.037735849</v>
      </c>
      <c r="AE66" s="161">
        <f t="shared" si="11"/>
        <v>2.770762689</v>
      </c>
    </row>
    <row r="67">
      <c r="A67" s="207">
        <v>77510.0</v>
      </c>
      <c r="B67" s="208">
        <v>13938.0</v>
      </c>
      <c r="C67" s="208">
        <v>8.3</v>
      </c>
      <c r="D67" s="208">
        <v>96284.0</v>
      </c>
      <c r="E67" s="208">
        <v>1.32</v>
      </c>
      <c r="F67" s="208">
        <v>6.3</v>
      </c>
      <c r="G67" s="208">
        <v>12.9</v>
      </c>
      <c r="H67" s="208">
        <v>7.5</v>
      </c>
      <c r="I67" s="208">
        <v>11.0</v>
      </c>
      <c r="J67" s="208">
        <v>8.2</v>
      </c>
      <c r="K67" s="208">
        <v>85.2</v>
      </c>
      <c r="L67" s="209">
        <v>2.9</v>
      </c>
      <c r="M67" s="161">
        <f t="shared" si="5"/>
        <v>11.46881288</v>
      </c>
      <c r="N67" s="189">
        <f t="shared" si="6"/>
        <v>64.30976431</v>
      </c>
      <c r="O67" s="161">
        <f t="shared" ref="O67:S67" si="102">((F67-O$1)/(O$2-O$1))*100</f>
        <v>31.5</v>
      </c>
      <c r="P67" s="161">
        <f t="shared" si="102"/>
        <v>24.4488978</v>
      </c>
      <c r="Q67" s="161">
        <f t="shared" si="102"/>
        <v>18.50899743</v>
      </c>
      <c r="R67" s="161">
        <f t="shared" si="102"/>
        <v>22.40325866</v>
      </c>
      <c r="S67" s="161">
        <f t="shared" si="102"/>
        <v>11.68316832</v>
      </c>
      <c r="T67" s="189">
        <f t="shared" si="8"/>
        <v>10.05714286</v>
      </c>
      <c r="U67" s="210">
        <f t="shared" si="9"/>
        <v>13.67924528</v>
      </c>
      <c r="V67" s="161">
        <f t="shared" ref="V67:AD67" si="103">M67*V$2</f>
        <v>2.293762575</v>
      </c>
      <c r="W67" s="161">
        <f t="shared" si="103"/>
        <v>12.86195286</v>
      </c>
      <c r="X67" s="161">
        <f t="shared" si="103"/>
        <v>1.575</v>
      </c>
      <c r="Y67" s="161">
        <f t="shared" si="103"/>
        <v>1.22244489</v>
      </c>
      <c r="Z67" s="161">
        <f t="shared" si="103"/>
        <v>0.9254498715</v>
      </c>
      <c r="AA67" s="161">
        <f t="shared" si="103"/>
        <v>2.240325866</v>
      </c>
      <c r="AB67" s="161">
        <f t="shared" si="103"/>
        <v>1.752475248</v>
      </c>
      <c r="AC67" s="161">
        <f t="shared" si="103"/>
        <v>1.508571429</v>
      </c>
      <c r="AD67" s="161">
        <f t="shared" si="103"/>
        <v>0.6839622642</v>
      </c>
      <c r="AE67" s="161">
        <f t="shared" si="11"/>
        <v>2.784882778</v>
      </c>
    </row>
    <row r="68">
      <c r="A68" s="207">
        <v>77545.0</v>
      </c>
      <c r="B68" s="208">
        <v>25863.0</v>
      </c>
      <c r="C68" s="208">
        <v>6.3</v>
      </c>
      <c r="D68" s="208">
        <v>91101.0</v>
      </c>
      <c r="E68" s="208">
        <v>1.25</v>
      </c>
      <c r="F68" s="208">
        <v>4.2</v>
      </c>
      <c r="G68" s="208">
        <v>19.7</v>
      </c>
      <c r="H68" s="208">
        <v>8.6</v>
      </c>
      <c r="I68" s="208">
        <v>15.0</v>
      </c>
      <c r="J68" s="208">
        <v>7.2</v>
      </c>
      <c r="K68" s="208">
        <v>84.8</v>
      </c>
      <c r="L68" s="209">
        <v>1.1</v>
      </c>
      <c r="M68" s="161">
        <f t="shared" si="5"/>
        <v>7.444668008</v>
      </c>
      <c r="N68" s="189">
        <f t="shared" si="6"/>
        <v>66.66666667</v>
      </c>
      <c r="O68" s="161">
        <f t="shared" ref="O68:S68" si="104">((F68-O$1)/(O$2-O$1))*100</f>
        <v>21</v>
      </c>
      <c r="P68" s="161">
        <f t="shared" si="104"/>
        <v>38.0761523</v>
      </c>
      <c r="Q68" s="161">
        <f t="shared" si="104"/>
        <v>21.33676093</v>
      </c>
      <c r="R68" s="161">
        <f t="shared" si="104"/>
        <v>30.54989817</v>
      </c>
      <c r="S68" s="161">
        <f t="shared" si="104"/>
        <v>9.702970297</v>
      </c>
      <c r="T68" s="189">
        <f t="shared" si="8"/>
        <v>10.51428571</v>
      </c>
      <c r="U68" s="210">
        <f t="shared" si="9"/>
        <v>5.188679245</v>
      </c>
      <c r="V68" s="161">
        <f t="shared" ref="V68:AD68" si="105">M68*V$2</f>
        <v>1.488933602</v>
      </c>
      <c r="W68" s="161">
        <f t="shared" si="105"/>
        <v>13.33333333</v>
      </c>
      <c r="X68" s="161">
        <f t="shared" si="105"/>
        <v>1.05</v>
      </c>
      <c r="Y68" s="161">
        <f t="shared" si="105"/>
        <v>1.903807615</v>
      </c>
      <c r="Z68" s="161">
        <f t="shared" si="105"/>
        <v>1.066838046</v>
      </c>
      <c r="AA68" s="161">
        <f t="shared" si="105"/>
        <v>3.054989817</v>
      </c>
      <c r="AB68" s="161">
        <f t="shared" si="105"/>
        <v>1.455445545</v>
      </c>
      <c r="AC68" s="161">
        <f t="shared" si="105"/>
        <v>1.577142857</v>
      </c>
      <c r="AD68" s="161">
        <f t="shared" si="105"/>
        <v>0.2594339623</v>
      </c>
      <c r="AE68" s="161">
        <f t="shared" si="11"/>
        <v>2.798880531</v>
      </c>
    </row>
    <row r="69">
      <c r="A69" s="207">
        <v>77388.0</v>
      </c>
      <c r="B69" s="208">
        <v>52910.0</v>
      </c>
      <c r="C69" s="208">
        <v>7.6</v>
      </c>
      <c r="D69" s="208">
        <v>101588.0</v>
      </c>
      <c r="E69" s="208">
        <v>1.39</v>
      </c>
      <c r="F69" s="208">
        <v>6.4</v>
      </c>
      <c r="G69" s="208">
        <v>16.3</v>
      </c>
      <c r="H69" s="208">
        <v>7.0</v>
      </c>
      <c r="I69" s="208">
        <v>8.3</v>
      </c>
      <c r="J69" s="208">
        <v>4.3</v>
      </c>
      <c r="K69" s="208">
        <v>68.3</v>
      </c>
      <c r="L69" s="209">
        <v>2.0</v>
      </c>
      <c r="M69" s="161">
        <f t="shared" si="5"/>
        <v>10.06036217</v>
      </c>
      <c r="N69" s="189">
        <f t="shared" si="6"/>
        <v>61.95286195</v>
      </c>
      <c r="O69" s="161">
        <f t="shared" ref="O69:S69" si="106">((F69-O$1)/(O$2-O$1))*100</f>
        <v>32</v>
      </c>
      <c r="P69" s="161">
        <f t="shared" si="106"/>
        <v>31.26252505</v>
      </c>
      <c r="Q69" s="161">
        <f t="shared" si="106"/>
        <v>17.22365039</v>
      </c>
      <c r="R69" s="161">
        <f t="shared" si="106"/>
        <v>16.90427699</v>
      </c>
      <c r="S69" s="161">
        <f t="shared" si="106"/>
        <v>3.96039604</v>
      </c>
      <c r="T69" s="189">
        <f t="shared" si="8"/>
        <v>29.37142857</v>
      </c>
      <c r="U69" s="210">
        <f t="shared" si="9"/>
        <v>9.433962264</v>
      </c>
      <c r="V69" s="161">
        <f t="shared" ref="V69:AD69" si="107">M69*V$2</f>
        <v>2.012072435</v>
      </c>
      <c r="W69" s="161">
        <f t="shared" si="107"/>
        <v>12.39057239</v>
      </c>
      <c r="X69" s="161">
        <f t="shared" si="107"/>
        <v>1.6</v>
      </c>
      <c r="Y69" s="161">
        <f t="shared" si="107"/>
        <v>1.563126253</v>
      </c>
      <c r="Z69" s="161">
        <f t="shared" si="107"/>
        <v>0.8611825193</v>
      </c>
      <c r="AA69" s="161">
        <f t="shared" si="107"/>
        <v>1.690427699</v>
      </c>
      <c r="AB69" s="161">
        <f t="shared" si="107"/>
        <v>0.5940594059</v>
      </c>
      <c r="AC69" s="161">
        <f t="shared" si="107"/>
        <v>4.405714286</v>
      </c>
      <c r="AD69" s="161">
        <f t="shared" si="107"/>
        <v>0.4716981132</v>
      </c>
      <c r="AE69" s="161">
        <f t="shared" si="11"/>
        <v>2.8432059</v>
      </c>
    </row>
    <row r="70">
      <c r="A70" s="207">
        <v>77318.0</v>
      </c>
      <c r="B70" s="208">
        <v>19820.0</v>
      </c>
      <c r="C70" s="208">
        <v>7.5</v>
      </c>
      <c r="D70" s="208">
        <v>90246.0</v>
      </c>
      <c r="E70" s="208">
        <v>1.24</v>
      </c>
      <c r="F70" s="208">
        <v>3.7</v>
      </c>
      <c r="G70" s="208">
        <v>7.5</v>
      </c>
      <c r="H70" s="208">
        <v>8.2</v>
      </c>
      <c r="I70" s="208">
        <v>9.4</v>
      </c>
      <c r="J70" s="208">
        <v>12.7</v>
      </c>
      <c r="K70" s="208">
        <v>81.7</v>
      </c>
      <c r="L70" s="209">
        <v>2.1</v>
      </c>
      <c r="M70" s="161">
        <f t="shared" si="5"/>
        <v>9.85915493</v>
      </c>
      <c r="N70" s="189">
        <f t="shared" si="6"/>
        <v>67.003367</v>
      </c>
      <c r="O70" s="161">
        <f t="shared" ref="O70:S70" si="108">((F70-O$1)/(O$2-O$1))*100</f>
        <v>18.5</v>
      </c>
      <c r="P70" s="161">
        <f t="shared" si="108"/>
        <v>13.62725451</v>
      </c>
      <c r="Q70" s="161">
        <f t="shared" si="108"/>
        <v>20.30848329</v>
      </c>
      <c r="R70" s="161">
        <f t="shared" si="108"/>
        <v>19.14460285</v>
      </c>
      <c r="S70" s="161">
        <f t="shared" si="108"/>
        <v>20.59405941</v>
      </c>
      <c r="T70" s="189">
        <f t="shared" si="8"/>
        <v>14.05714286</v>
      </c>
      <c r="U70" s="210">
        <f t="shared" si="9"/>
        <v>9.905660377</v>
      </c>
      <c r="V70" s="161">
        <f t="shared" ref="V70:AD70" si="109">M70*V$2</f>
        <v>1.971830986</v>
      </c>
      <c r="W70" s="161">
        <f t="shared" si="109"/>
        <v>13.4006734</v>
      </c>
      <c r="X70" s="161">
        <f t="shared" si="109"/>
        <v>0.925</v>
      </c>
      <c r="Y70" s="161">
        <f t="shared" si="109"/>
        <v>0.6813627255</v>
      </c>
      <c r="Z70" s="161">
        <f t="shared" si="109"/>
        <v>1.015424165</v>
      </c>
      <c r="AA70" s="161">
        <f t="shared" si="109"/>
        <v>1.914460285</v>
      </c>
      <c r="AB70" s="161">
        <f t="shared" si="109"/>
        <v>3.089108911</v>
      </c>
      <c r="AC70" s="161">
        <f t="shared" si="109"/>
        <v>2.108571429</v>
      </c>
      <c r="AD70" s="161">
        <f t="shared" si="109"/>
        <v>0.4952830189</v>
      </c>
      <c r="AE70" s="161">
        <f t="shared" si="11"/>
        <v>2.844634991</v>
      </c>
    </row>
    <row r="71">
      <c r="A71" s="207">
        <v>77375.0</v>
      </c>
      <c r="B71" s="208">
        <v>71198.0</v>
      </c>
      <c r="C71" s="208">
        <v>11.0</v>
      </c>
      <c r="D71" s="208">
        <v>95813.0</v>
      </c>
      <c r="E71" s="208">
        <v>1.31</v>
      </c>
      <c r="F71" s="208">
        <v>2.8</v>
      </c>
      <c r="G71" s="208">
        <v>9.1</v>
      </c>
      <c r="H71" s="208">
        <v>7.6</v>
      </c>
      <c r="I71" s="208">
        <v>7.6</v>
      </c>
      <c r="J71" s="208">
        <v>4.1</v>
      </c>
      <c r="K71" s="208">
        <v>70.6</v>
      </c>
      <c r="L71" s="209">
        <v>3.3</v>
      </c>
      <c r="M71" s="161">
        <f t="shared" si="5"/>
        <v>16.90140845</v>
      </c>
      <c r="N71" s="189">
        <f t="shared" si="6"/>
        <v>64.64646465</v>
      </c>
      <c r="O71" s="161">
        <f t="shared" ref="O71:S71" si="110">((F71-O$1)/(O$2-O$1))*100</f>
        <v>14</v>
      </c>
      <c r="P71" s="161">
        <f t="shared" si="110"/>
        <v>16.83366733</v>
      </c>
      <c r="Q71" s="161">
        <f t="shared" si="110"/>
        <v>18.76606684</v>
      </c>
      <c r="R71" s="161">
        <f t="shared" si="110"/>
        <v>15.47861507</v>
      </c>
      <c r="S71" s="161">
        <f t="shared" si="110"/>
        <v>3.564356436</v>
      </c>
      <c r="T71" s="189">
        <f t="shared" si="8"/>
        <v>26.74285714</v>
      </c>
      <c r="U71" s="210">
        <f t="shared" si="9"/>
        <v>15.56603774</v>
      </c>
      <c r="V71" s="161">
        <f t="shared" ref="V71:AD71" si="111">M71*V$2</f>
        <v>3.38028169</v>
      </c>
      <c r="W71" s="161">
        <f t="shared" si="111"/>
        <v>12.92929293</v>
      </c>
      <c r="X71" s="161">
        <f t="shared" si="111"/>
        <v>0.7</v>
      </c>
      <c r="Y71" s="161">
        <f t="shared" si="111"/>
        <v>0.8416833667</v>
      </c>
      <c r="Z71" s="161">
        <f t="shared" si="111"/>
        <v>0.9383033419</v>
      </c>
      <c r="AA71" s="161">
        <f t="shared" si="111"/>
        <v>1.547861507</v>
      </c>
      <c r="AB71" s="161">
        <f t="shared" si="111"/>
        <v>0.5346534653</v>
      </c>
      <c r="AC71" s="161">
        <f t="shared" si="111"/>
        <v>4.011428571</v>
      </c>
      <c r="AD71" s="161">
        <f t="shared" si="111"/>
        <v>0.7783018868</v>
      </c>
      <c r="AE71" s="161">
        <f t="shared" si="11"/>
        <v>2.851311862</v>
      </c>
    </row>
    <row r="72">
      <c r="A72" s="207">
        <v>77517.0</v>
      </c>
      <c r="B72" s="208">
        <v>5665.0</v>
      </c>
      <c r="C72" s="208">
        <v>3.4</v>
      </c>
      <c r="D72" s="208">
        <v>83484.0</v>
      </c>
      <c r="E72" s="208">
        <v>1.14</v>
      </c>
      <c r="F72" s="208">
        <v>13.9</v>
      </c>
      <c r="G72" s="208">
        <v>13.9</v>
      </c>
      <c r="H72" s="208">
        <v>12.8</v>
      </c>
      <c r="I72" s="208">
        <v>11.3</v>
      </c>
      <c r="J72" s="208">
        <v>4.9</v>
      </c>
      <c r="K72" s="208">
        <v>86.9</v>
      </c>
      <c r="L72" s="209">
        <v>2.6</v>
      </c>
      <c r="M72" s="161">
        <f t="shared" si="5"/>
        <v>1.609657948</v>
      </c>
      <c r="N72" s="189">
        <f t="shared" si="6"/>
        <v>70.37037037</v>
      </c>
      <c r="O72" s="161">
        <f t="shared" ref="O72:S72" si="112">((F72-O$1)/(O$2-O$1))*100</f>
        <v>69.5</v>
      </c>
      <c r="P72" s="161">
        <f t="shared" si="112"/>
        <v>26.45290581</v>
      </c>
      <c r="Q72" s="161">
        <f t="shared" si="112"/>
        <v>32.13367609</v>
      </c>
      <c r="R72" s="161">
        <f t="shared" si="112"/>
        <v>23.01425662</v>
      </c>
      <c r="S72" s="161">
        <f t="shared" si="112"/>
        <v>5.148514851</v>
      </c>
      <c r="T72" s="189">
        <f t="shared" si="8"/>
        <v>8.114285714</v>
      </c>
      <c r="U72" s="210">
        <f t="shared" si="9"/>
        <v>12.26415094</v>
      </c>
      <c r="V72" s="161">
        <f t="shared" ref="V72:AD72" si="113">M72*V$2</f>
        <v>0.3219315895</v>
      </c>
      <c r="W72" s="161">
        <f t="shared" si="113"/>
        <v>14.07407407</v>
      </c>
      <c r="X72" s="161">
        <f t="shared" si="113"/>
        <v>3.475</v>
      </c>
      <c r="Y72" s="161">
        <f t="shared" si="113"/>
        <v>1.322645291</v>
      </c>
      <c r="Z72" s="161">
        <f t="shared" si="113"/>
        <v>1.606683805</v>
      </c>
      <c r="AA72" s="161">
        <f t="shared" si="113"/>
        <v>2.301425662</v>
      </c>
      <c r="AB72" s="161">
        <f t="shared" si="113"/>
        <v>0.7722772277</v>
      </c>
      <c r="AC72" s="161">
        <f t="shared" si="113"/>
        <v>1.217142857</v>
      </c>
      <c r="AD72" s="161">
        <f t="shared" si="113"/>
        <v>0.6132075472</v>
      </c>
      <c r="AE72" s="161">
        <f t="shared" si="11"/>
        <v>2.856043117</v>
      </c>
    </row>
    <row r="73">
      <c r="A73" s="207">
        <v>77498.0</v>
      </c>
      <c r="B73" s="208">
        <v>53092.0</v>
      </c>
      <c r="C73" s="208">
        <v>7.1</v>
      </c>
      <c r="D73" s="208">
        <v>98394.0</v>
      </c>
      <c r="E73" s="208">
        <v>1.35</v>
      </c>
      <c r="F73" s="208">
        <v>5.4</v>
      </c>
      <c r="G73" s="208">
        <v>17.3</v>
      </c>
      <c r="H73" s="208">
        <v>6.5</v>
      </c>
      <c r="I73" s="208">
        <v>11.4</v>
      </c>
      <c r="J73" s="208">
        <v>6.7</v>
      </c>
      <c r="K73" s="208">
        <v>70.6</v>
      </c>
      <c r="L73" s="209">
        <v>2.7</v>
      </c>
      <c r="M73" s="161">
        <f t="shared" si="5"/>
        <v>9.054325956</v>
      </c>
      <c r="N73" s="189">
        <f t="shared" si="6"/>
        <v>63.2996633</v>
      </c>
      <c r="O73" s="161">
        <f t="shared" ref="O73:S73" si="114">((F73-O$1)/(O$2-O$1))*100</f>
        <v>27</v>
      </c>
      <c r="P73" s="161">
        <f t="shared" si="114"/>
        <v>33.26653307</v>
      </c>
      <c r="Q73" s="161">
        <f t="shared" si="114"/>
        <v>15.93830334</v>
      </c>
      <c r="R73" s="161">
        <f t="shared" si="114"/>
        <v>23.21792261</v>
      </c>
      <c r="S73" s="161">
        <f t="shared" si="114"/>
        <v>8.712871287</v>
      </c>
      <c r="T73" s="189">
        <f t="shared" si="8"/>
        <v>26.74285714</v>
      </c>
      <c r="U73" s="210">
        <f t="shared" si="9"/>
        <v>12.73584906</v>
      </c>
      <c r="V73" s="161">
        <f t="shared" ref="V73:AD73" si="115">M73*V$2</f>
        <v>1.810865191</v>
      </c>
      <c r="W73" s="161">
        <f t="shared" si="115"/>
        <v>12.65993266</v>
      </c>
      <c r="X73" s="161">
        <f t="shared" si="115"/>
        <v>1.35</v>
      </c>
      <c r="Y73" s="161">
        <f t="shared" si="115"/>
        <v>1.663326653</v>
      </c>
      <c r="Z73" s="161">
        <f t="shared" si="115"/>
        <v>0.7969151671</v>
      </c>
      <c r="AA73" s="161">
        <f t="shared" si="115"/>
        <v>2.321792261</v>
      </c>
      <c r="AB73" s="161">
        <f t="shared" si="115"/>
        <v>1.306930693</v>
      </c>
      <c r="AC73" s="161">
        <f t="shared" si="115"/>
        <v>4.011428571</v>
      </c>
      <c r="AD73" s="161">
        <f t="shared" si="115"/>
        <v>0.6367924528</v>
      </c>
      <c r="AE73" s="161">
        <f t="shared" si="11"/>
        <v>2.950887072</v>
      </c>
    </row>
    <row r="74">
      <c r="A74" s="207">
        <v>77486.0</v>
      </c>
      <c r="B74" s="208">
        <v>7330.0</v>
      </c>
      <c r="C74" s="208">
        <v>6.9</v>
      </c>
      <c r="D74" s="208">
        <v>85182.0</v>
      </c>
      <c r="E74" s="208">
        <v>1.17</v>
      </c>
      <c r="F74" s="208">
        <v>4.2</v>
      </c>
      <c r="G74" s="208">
        <v>17.8</v>
      </c>
      <c r="H74" s="208">
        <v>5.3</v>
      </c>
      <c r="I74" s="208">
        <v>9.0</v>
      </c>
      <c r="J74" s="208">
        <v>11.7</v>
      </c>
      <c r="K74" s="208">
        <v>79.1</v>
      </c>
      <c r="L74" s="209">
        <v>2.3</v>
      </c>
      <c r="M74" s="161">
        <f t="shared" si="5"/>
        <v>8.651911469</v>
      </c>
      <c r="N74" s="189">
        <f t="shared" si="6"/>
        <v>69.36026936</v>
      </c>
      <c r="O74" s="161">
        <f t="shared" ref="O74:S74" si="116">((F74-O$1)/(O$2-O$1))*100</f>
        <v>21</v>
      </c>
      <c r="P74" s="161">
        <f t="shared" si="116"/>
        <v>34.26853707</v>
      </c>
      <c r="Q74" s="161">
        <f t="shared" si="116"/>
        <v>12.85347044</v>
      </c>
      <c r="R74" s="161">
        <f t="shared" si="116"/>
        <v>18.3299389</v>
      </c>
      <c r="S74" s="161">
        <f t="shared" si="116"/>
        <v>18.61386139</v>
      </c>
      <c r="T74" s="189">
        <f t="shared" si="8"/>
        <v>17.02857143</v>
      </c>
      <c r="U74" s="210">
        <f t="shared" si="9"/>
        <v>10.8490566</v>
      </c>
      <c r="V74" s="161">
        <f t="shared" ref="V74:AD74" si="117">M74*V$2</f>
        <v>1.730382294</v>
      </c>
      <c r="W74" s="161">
        <f t="shared" si="117"/>
        <v>13.87205387</v>
      </c>
      <c r="X74" s="161">
        <f t="shared" si="117"/>
        <v>1.05</v>
      </c>
      <c r="Y74" s="161">
        <f t="shared" si="117"/>
        <v>1.713426854</v>
      </c>
      <c r="Z74" s="161">
        <f t="shared" si="117"/>
        <v>0.6426735219</v>
      </c>
      <c r="AA74" s="161">
        <f t="shared" si="117"/>
        <v>1.83299389</v>
      </c>
      <c r="AB74" s="161">
        <f t="shared" si="117"/>
        <v>2.792079208</v>
      </c>
      <c r="AC74" s="161">
        <f t="shared" si="117"/>
        <v>2.554285714</v>
      </c>
      <c r="AD74" s="161">
        <f t="shared" si="117"/>
        <v>0.5424528302</v>
      </c>
      <c r="AE74" s="161">
        <f t="shared" si="11"/>
        <v>2.970038687</v>
      </c>
    </row>
    <row r="75">
      <c r="A75" s="207">
        <v>77373.0</v>
      </c>
      <c r="B75" s="208">
        <v>68273.0</v>
      </c>
      <c r="C75" s="208">
        <v>8.3</v>
      </c>
      <c r="D75" s="208">
        <v>86693.0</v>
      </c>
      <c r="E75" s="208">
        <v>1.19</v>
      </c>
      <c r="F75" s="208">
        <v>5.8</v>
      </c>
      <c r="G75" s="208">
        <v>16.6</v>
      </c>
      <c r="H75" s="208">
        <v>11.6</v>
      </c>
      <c r="I75" s="208">
        <v>11.8</v>
      </c>
      <c r="J75" s="208">
        <v>4.2</v>
      </c>
      <c r="K75" s="208">
        <v>73.1</v>
      </c>
      <c r="L75" s="209">
        <v>1.3</v>
      </c>
      <c r="M75" s="161">
        <f t="shared" si="5"/>
        <v>11.46881288</v>
      </c>
      <c r="N75" s="189">
        <f t="shared" si="6"/>
        <v>68.68686869</v>
      </c>
      <c r="O75" s="161">
        <f t="shared" ref="O75:S75" si="118">((F75-O$1)/(O$2-O$1))*100</f>
        <v>29</v>
      </c>
      <c r="P75" s="161">
        <f t="shared" si="118"/>
        <v>31.86372745</v>
      </c>
      <c r="Q75" s="161">
        <f t="shared" si="118"/>
        <v>29.04884319</v>
      </c>
      <c r="R75" s="161">
        <f t="shared" si="118"/>
        <v>24.03258656</v>
      </c>
      <c r="S75" s="161">
        <f t="shared" si="118"/>
        <v>3.762376238</v>
      </c>
      <c r="T75" s="189">
        <f t="shared" si="8"/>
        <v>23.88571429</v>
      </c>
      <c r="U75" s="210">
        <f t="shared" si="9"/>
        <v>6.132075472</v>
      </c>
      <c r="V75" s="161">
        <f t="shared" ref="V75:AD75" si="119">M75*V$2</f>
        <v>2.293762575</v>
      </c>
      <c r="W75" s="161">
        <f t="shared" si="119"/>
        <v>13.73737374</v>
      </c>
      <c r="X75" s="161">
        <f t="shared" si="119"/>
        <v>1.45</v>
      </c>
      <c r="Y75" s="161">
        <f t="shared" si="119"/>
        <v>1.593186373</v>
      </c>
      <c r="Z75" s="161">
        <f t="shared" si="119"/>
        <v>1.452442159</v>
      </c>
      <c r="AA75" s="161">
        <f t="shared" si="119"/>
        <v>2.403258656</v>
      </c>
      <c r="AB75" s="161">
        <f t="shared" si="119"/>
        <v>0.5643564356</v>
      </c>
      <c r="AC75" s="161">
        <f t="shared" si="119"/>
        <v>3.582857143</v>
      </c>
      <c r="AD75" s="161">
        <f t="shared" si="119"/>
        <v>0.3066037736</v>
      </c>
      <c r="AE75" s="161">
        <f t="shared" si="11"/>
        <v>3.042648984</v>
      </c>
    </row>
    <row r="76">
      <c r="A76" s="207">
        <v>77079.0</v>
      </c>
      <c r="B76" s="208">
        <v>35540.0</v>
      </c>
      <c r="C76" s="208">
        <v>6.5</v>
      </c>
      <c r="D76" s="208">
        <v>103089.0</v>
      </c>
      <c r="E76" s="208">
        <v>1.41</v>
      </c>
      <c r="F76" s="208">
        <v>3.7</v>
      </c>
      <c r="G76" s="208">
        <v>12.4</v>
      </c>
      <c r="H76" s="208">
        <v>6.5</v>
      </c>
      <c r="I76" s="208">
        <v>4.3</v>
      </c>
      <c r="J76" s="208">
        <v>9.4</v>
      </c>
      <c r="K76" s="208">
        <v>50.8</v>
      </c>
      <c r="L76" s="209">
        <v>1.9</v>
      </c>
      <c r="M76" s="161">
        <f t="shared" si="5"/>
        <v>7.847082495</v>
      </c>
      <c r="N76" s="189">
        <f t="shared" si="6"/>
        <v>61.27946128</v>
      </c>
      <c r="O76" s="161">
        <f t="shared" ref="O76:S76" si="120">((F76-O$1)/(O$2-O$1))*100</f>
        <v>18.5</v>
      </c>
      <c r="P76" s="161">
        <f t="shared" si="120"/>
        <v>23.44689379</v>
      </c>
      <c r="Q76" s="161">
        <f t="shared" si="120"/>
        <v>15.93830334</v>
      </c>
      <c r="R76" s="161">
        <f t="shared" si="120"/>
        <v>8.757637475</v>
      </c>
      <c r="S76" s="161">
        <f t="shared" si="120"/>
        <v>14.05940594</v>
      </c>
      <c r="T76" s="189">
        <f t="shared" si="8"/>
        <v>49.37142857</v>
      </c>
      <c r="U76" s="210">
        <f t="shared" si="9"/>
        <v>8.962264151</v>
      </c>
      <c r="V76" s="161">
        <f t="shared" ref="V76:AD76" si="121">M76*V$2</f>
        <v>1.569416499</v>
      </c>
      <c r="W76" s="161">
        <f t="shared" si="121"/>
        <v>12.25589226</v>
      </c>
      <c r="X76" s="161">
        <f t="shared" si="121"/>
        <v>0.925</v>
      </c>
      <c r="Y76" s="161">
        <f t="shared" si="121"/>
        <v>1.172344689</v>
      </c>
      <c r="Z76" s="161">
        <f t="shared" si="121"/>
        <v>0.7969151671</v>
      </c>
      <c r="AA76" s="161">
        <f t="shared" si="121"/>
        <v>0.8757637475</v>
      </c>
      <c r="AB76" s="161">
        <f t="shared" si="121"/>
        <v>2.108910891</v>
      </c>
      <c r="AC76" s="161">
        <f t="shared" si="121"/>
        <v>7.405714286</v>
      </c>
      <c r="AD76" s="161">
        <f t="shared" si="121"/>
        <v>0.4481132075</v>
      </c>
      <c r="AE76" s="161">
        <f t="shared" si="11"/>
        <v>3.06200786</v>
      </c>
    </row>
    <row r="77">
      <c r="A77" s="207">
        <v>77302.0</v>
      </c>
      <c r="B77" s="208">
        <v>19787.0</v>
      </c>
      <c r="C77" s="208">
        <v>13.4</v>
      </c>
      <c r="D77" s="208">
        <v>81886.0</v>
      </c>
      <c r="E77" s="208">
        <v>1.12</v>
      </c>
      <c r="F77" s="208">
        <v>3.2</v>
      </c>
      <c r="G77" s="208">
        <v>20.0</v>
      </c>
      <c r="H77" s="208">
        <v>13.3</v>
      </c>
      <c r="I77" s="208">
        <v>8.4</v>
      </c>
      <c r="J77" s="208">
        <v>4.3</v>
      </c>
      <c r="K77" s="208">
        <v>83.4</v>
      </c>
      <c r="L77" s="209">
        <v>3.0</v>
      </c>
      <c r="M77" s="161">
        <f t="shared" si="5"/>
        <v>21.73038229</v>
      </c>
      <c r="N77" s="189">
        <f t="shared" si="6"/>
        <v>71.04377104</v>
      </c>
      <c r="O77" s="161">
        <f t="shared" ref="O77:S77" si="122">((F77-O$1)/(O$2-O$1))*100</f>
        <v>16</v>
      </c>
      <c r="P77" s="161">
        <f t="shared" si="122"/>
        <v>38.67735471</v>
      </c>
      <c r="Q77" s="161">
        <f t="shared" si="122"/>
        <v>33.41902314</v>
      </c>
      <c r="R77" s="161">
        <f t="shared" si="122"/>
        <v>17.10794297</v>
      </c>
      <c r="S77" s="161">
        <f t="shared" si="122"/>
        <v>3.96039604</v>
      </c>
      <c r="T77" s="189">
        <f t="shared" si="8"/>
        <v>12.11428571</v>
      </c>
      <c r="U77" s="210">
        <f t="shared" si="9"/>
        <v>14.1509434</v>
      </c>
      <c r="V77" s="161">
        <f t="shared" ref="V77:AD77" si="123">M77*V$2</f>
        <v>4.346076459</v>
      </c>
      <c r="W77" s="161">
        <f t="shared" si="123"/>
        <v>14.20875421</v>
      </c>
      <c r="X77" s="161">
        <f t="shared" si="123"/>
        <v>0.8</v>
      </c>
      <c r="Y77" s="161">
        <f t="shared" si="123"/>
        <v>1.933867735</v>
      </c>
      <c r="Z77" s="161">
        <f t="shared" si="123"/>
        <v>1.670951157</v>
      </c>
      <c r="AA77" s="161">
        <f t="shared" si="123"/>
        <v>1.710794297</v>
      </c>
      <c r="AB77" s="161">
        <f t="shared" si="123"/>
        <v>0.5940594059</v>
      </c>
      <c r="AC77" s="161">
        <f t="shared" si="123"/>
        <v>1.817142857</v>
      </c>
      <c r="AD77" s="161">
        <f t="shared" si="123"/>
        <v>0.7075471698</v>
      </c>
      <c r="AE77" s="161">
        <f t="shared" si="11"/>
        <v>3.087688143</v>
      </c>
    </row>
    <row r="78">
      <c r="A78" s="207">
        <v>77046.0</v>
      </c>
      <c r="B78" s="208">
        <v>1873.0</v>
      </c>
      <c r="C78" s="208">
        <v>11.2</v>
      </c>
      <c r="D78" s="208">
        <v>115516.0</v>
      </c>
      <c r="E78" s="208">
        <v>1.58</v>
      </c>
      <c r="F78" s="208">
        <v>0.0</v>
      </c>
      <c r="G78" s="208">
        <v>0.7</v>
      </c>
      <c r="H78" s="208">
        <v>1.4</v>
      </c>
      <c r="I78" s="208">
        <v>0.0</v>
      </c>
      <c r="J78" s="208">
        <v>13.5</v>
      </c>
      <c r="K78" s="208">
        <v>50.7</v>
      </c>
      <c r="L78" s="209">
        <v>10.1</v>
      </c>
      <c r="M78" s="161">
        <f t="shared" si="5"/>
        <v>17.30382294</v>
      </c>
      <c r="N78" s="189">
        <f t="shared" si="6"/>
        <v>55.55555556</v>
      </c>
      <c r="O78" s="161">
        <f t="shared" ref="O78:S78" si="124">((F78-O$1)/(O$2-O$1))*100</f>
        <v>0</v>
      </c>
      <c r="P78" s="161">
        <f t="shared" si="124"/>
        <v>0</v>
      </c>
      <c r="Q78" s="161">
        <f t="shared" si="124"/>
        <v>2.827763496</v>
      </c>
      <c r="R78" s="161">
        <f t="shared" si="124"/>
        <v>0</v>
      </c>
      <c r="S78" s="161">
        <f t="shared" si="124"/>
        <v>22.17821782</v>
      </c>
      <c r="T78" s="189">
        <f t="shared" si="8"/>
        <v>49.48571429</v>
      </c>
      <c r="U78" s="210">
        <f t="shared" si="9"/>
        <v>47.64150943</v>
      </c>
      <c r="V78" s="161">
        <f t="shared" ref="V78:AD78" si="125">M78*V$2</f>
        <v>3.460764588</v>
      </c>
      <c r="W78" s="161">
        <f t="shared" si="125"/>
        <v>11.11111111</v>
      </c>
      <c r="X78" s="161">
        <f t="shared" si="125"/>
        <v>0</v>
      </c>
      <c r="Y78" s="161">
        <f t="shared" si="125"/>
        <v>0</v>
      </c>
      <c r="Z78" s="161">
        <f t="shared" si="125"/>
        <v>0.1413881748</v>
      </c>
      <c r="AA78" s="161">
        <f t="shared" si="125"/>
        <v>0</v>
      </c>
      <c r="AB78" s="161">
        <f t="shared" si="125"/>
        <v>3.326732673</v>
      </c>
      <c r="AC78" s="161">
        <f t="shared" si="125"/>
        <v>7.422857143</v>
      </c>
      <c r="AD78" s="161">
        <f t="shared" si="125"/>
        <v>2.382075472</v>
      </c>
      <c r="AE78" s="161">
        <f t="shared" si="11"/>
        <v>3.093881018</v>
      </c>
    </row>
    <row r="79">
      <c r="A79" s="207">
        <v>77365.0</v>
      </c>
      <c r="B79" s="208">
        <v>43025.0</v>
      </c>
      <c r="C79" s="208">
        <v>10.6</v>
      </c>
      <c r="D79" s="208">
        <v>96093.0</v>
      </c>
      <c r="E79" s="208">
        <v>1.32</v>
      </c>
      <c r="F79" s="208">
        <v>5.9</v>
      </c>
      <c r="G79" s="208">
        <v>20.0</v>
      </c>
      <c r="H79" s="208">
        <v>10.8</v>
      </c>
      <c r="I79" s="208">
        <v>17.9</v>
      </c>
      <c r="J79" s="208">
        <v>5.9</v>
      </c>
      <c r="K79" s="208">
        <v>80.9</v>
      </c>
      <c r="L79" s="209">
        <v>1.0</v>
      </c>
      <c r="M79" s="161">
        <f t="shared" si="5"/>
        <v>16.09657948</v>
      </c>
      <c r="N79" s="189">
        <f t="shared" si="6"/>
        <v>64.30976431</v>
      </c>
      <c r="O79" s="161">
        <f t="shared" ref="O79:S79" si="126">((F79-O$1)/(O$2-O$1))*100</f>
        <v>29.5</v>
      </c>
      <c r="P79" s="161">
        <f t="shared" si="126"/>
        <v>38.67735471</v>
      </c>
      <c r="Q79" s="161">
        <f t="shared" si="126"/>
        <v>26.99228792</v>
      </c>
      <c r="R79" s="161">
        <f t="shared" si="126"/>
        <v>36.45621181</v>
      </c>
      <c r="S79" s="161">
        <f t="shared" si="126"/>
        <v>7.128712871</v>
      </c>
      <c r="T79" s="189">
        <f t="shared" si="8"/>
        <v>14.97142857</v>
      </c>
      <c r="U79" s="210">
        <f t="shared" si="9"/>
        <v>4.716981132</v>
      </c>
      <c r="V79" s="161">
        <f t="shared" ref="V79:AD79" si="127">M79*V$2</f>
        <v>3.219315895</v>
      </c>
      <c r="W79" s="161">
        <f t="shared" si="127"/>
        <v>12.86195286</v>
      </c>
      <c r="X79" s="161">
        <f t="shared" si="127"/>
        <v>1.475</v>
      </c>
      <c r="Y79" s="161">
        <f t="shared" si="127"/>
        <v>1.933867735</v>
      </c>
      <c r="Z79" s="161">
        <f t="shared" si="127"/>
        <v>1.349614396</v>
      </c>
      <c r="AA79" s="161">
        <f t="shared" si="127"/>
        <v>3.645621181</v>
      </c>
      <c r="AB79" s="161">
        <f t="shared" si="127"/>
        <v>1.069306931</v>
      </c>
      <c r="AC79" s="161">
        <f t="shared" si="127"/>
        <v>2.245714286</v>
      </c>
      <c r="AD79" s="161">
        <f t="shared" si="127"/>
        <v>0.2358490566</v>
      </c>
      <c r="AE79" s="161">
        <f t="shared" si="11"/>
        <v>3.115138038</v>
      </c>
    </row>
    <row r="80">
      <c r="A80" s="207">
        <v>77532.0</v>
      </c>
      <c r="B80" s="208">
        <v>31778.0</v>
      </c>
      <c r="C80" s="208">
        <v>9.6</v>
      </c>
      <c r="D80" s="208">
        <v>89740.0</v>
      </c>
      <c r="E80" s="208">
        <v>1.23</v>
      </c>
      <c r="F80" s="208">
        <v>8.2</v>
      </c>
      <c r="G80" s="208">
        <v>16.7</v>
      </c>
      <c r="H80" s="208">
        <v>6.8</v>
      </c>
      <c r="I80" s="208">
        <v>9.1</v>
      </c>
      <c r="J80" s="208">
        <v>12.2</v>
      </c>
      <c r="K80" s="208">
        <v>84.4</v>
      </c>
      <c r="L80" s="209">
        <v>4.3</v>
      </c>
      <c r="M80" s="161">
        <f t="shared" si="5"/>
        <v>14.08450704</v>
      </c>
      <c r="N80" s="189">
        <f t="shared" si="6"/>
        <v>67.34006734</v>
      </c>
      <c r="O80" s="161">
        <f t="shared" ref="O80:S80" si="128">((F80-O$1)/(O$2-O$1))*100</f>
        <v>41</v>
      </c>
      <c r="P80" s="161">
        <f t="shared" si="128"/>
        <v>32.06412826</v>
      </c>
      <c r="Q80" s="161">
        <f t="shared" si="128"/>
        <v>16.70951157</v>
      </c>
      <c r="R80" s="161">
        <f t="shared" si="128"/>
        <v>18.53360489</v>
      </c>
      <c r="S80" s="161">
        <f t="shared" si="128"/>
        <v>19.6039604</v>
      </c>
      <c r="T80" s="189">
        <f t="shared" si="8"/>
        <v>10.97142857</v>
      </c>
      <c r="U80" s="210">
        <f t="shared" si="9"/>
        <v>20.28301887</v>
      </c>
      <c r="V80" s="161">
        <f t="shared" ref="V80:AD80" si="129">M80*V$2</f>
        <v>2.816901408</v>
      </c>
      <c r="W80" s="161">
        <f t="shared" si="129"/>
        <v>13.46801347</v>
      </c>
      <c r="X80" s="161">
        <f t="shared" si="129"/>
        <v>2.05</v>
      </c>
      <c r="Y80" s="161">
        <f t="shared" si="129"/>
        <v>1.603206413</v>
      </c>
      <c r="Z80" s="161">
        <f t="shared" si="129"/>
        <v>0.8354755784</v>
      </c>
      <c r="AA80" s="161">
        <f t="shared" si="129"/>
        <v>1.853360489</v>
      </c>
      <c r="AB80" s="161">
        <f t="shared" si="129"/>
        <v>2.940594059</v>
      </c>
      <c r="AC80" s="161">
        <f t="shared" si="129"/>
        <v>1.645714286</v>
      </c>
      <c r="AD80" s="161">
        <f t="shared" si="129"/>
        <v>1.014150943</v>
      </c>
      <c r="AE80" s="161">
        <f t="shared" si="11"/>
        <v>3.136379627</v>
      </c>
    </row>
    <row r="81">
      <c r="A81" s="207">
        <v>77435.0</v>
      </c>
      <c r="B81" s="208">
        <v>4376.0</v>
      </c>
      <c r="C81" s="208">
        <v>5.4</v>
      </c>
      <c r="D81" s="208">
        <v>63702.0</v>
      </c>
      <c r="E81" s="208">
        <v>0.87</v>
      </c>
      <c r="F81" s="208">
        <v>5.4</v>
      </c>
      <c r="G81" s="208">
        <v>20.1</v>
      </c>
      <c r="H81" s="208">
        <v>9.5</v>
      </c>
      <c r="I81" s="208">
        <v>15.2</v>
      </c>
      <c r="J81" s="208">
        <v>7.1</v>
      </c>
      <c r="K81" s="208">
        <v>85.3</v>
      </c>
      <c r="L81" s="209">
        <v>3.1</v>
      </c>
      <c r="M81" s="161">
        <f t="shared" si="5"/>
        <v>5.633802817</v>
      </c>
      <c r="N81" s="189">
        <f t="shared" si="6"/>
        <v>79.46127946</v>
      </c>
      <c r="O81" s="161">
        <f t="shared" ref="O81:S81" si="130">((F81-O$1)/(O$2-O$1))*100</f>
        <v>27</v>
      </c>
      <c r="P81" s="161">
        <f t="shared" si="130"/>
        <v>38.87775551</v>
      </c>
      <c r="Q81" s="161">
        <f t="shared" si="130"/>
        <v>23.6503856</v>
      </c>
      <c r="R81" s="161">
        <f t="shared" si="130"/>
        <v>30.95723014</v>
      </c>
      <c r="S81" s="161">
        <f t="shared" si="130"/>
        <v>9.504950495</v>
      </c>
      <c r="T81" s="189">
        <f t="shared" si="8"/>
        <v>9.942857143</v>
      </c>
      <c r="U81" s="210">
        <f t="shared" si="9"/>
        <v>14.62264151</v>
      </c>
      <c r="V81" s="161">
        <f t="shared" ref="V81:AD81" si="131">M81*V$2</f>
        <v>1.126760563</v>
      </c>
      <c r="W81" s="161">
        <f t="shared" si="131"/>
        <v>15.89225589</v>
      </c>
      <c r="X81" s="161">
        <f t="shared" si="131"/>
        <v>1.35</v>
      </c>
      <c r="Y81" s="161">
        <f t="shared" si="131"/>
        <v>1.943887776</v>
      </c>
      <c r="Z81" s="161">
        <f t="shared" si="131"/>
        <v>1.18251928</v>
      </c>
      <c r="AA81" s="161">
        <f t="shared" si="131"/>
        <v>3.095723014</v>
      </c>
      <c r="AB81" s="161">
        <f t="shared" si="131"/>
        <v>1.425742574</v>
      </c>
      <c r="AC81" s="161">
        <f t="shared" si="131"/>
        <v>1.491428571</v>
      </c>
      <c r="AD81" s="161">
        <f t="shared" si="131"/>
        <v>0.7311320755</v>
      </c>
      <c r="AE81" s="161">
        <f t="shared" si="11"/>
        <v>3.137716639</v>
      </c>
    </row>
    <row r="82">
      <c r="A82" s="207">
        <v>77489.0</v>
      </c>
      <c r="B82" s="208">
        <v>39054.0</v>
      </c>
      <c r="C82" s="208">
        <v>9.9</v>
      </c>
      <c r="D82" s="208">
        <v>74097.0</v>
      </c>
      <c r="E82" s="208">
        <v>1.01</v>
      </c>
      <c r="F82" s="208">
        <v>6.2</v>
      </c>
      <c r="G82" s="208">
        <v>16.0</v>
      </c>
      <c r="H82" s="208">
        <v>10.4</v>
      </c>
      <c r="I82" s="208">
        <v>11.6</v>
      </c>
      <c r="J82" s="208">
        <v>3.7</v>
      </c>
      <c r="K82" s="208">
        <v>77.6</v>
      </c>
      <c r="L82" s="209">
        <v>2.2</v>
      </c>
      <c r="M82" s="161">
        <f t="shared" si="5"/>
        <v>14.68812877</v>
      </c>
      <c r="N82" s="189">
        <f t="shared" si="6"/>
        <v>74.74747475</v>
      </c>
      <c r="O82" s="161">
        <f t="shared" ref="O82:S82" si="132">((F82-O$1)/(O$2-O$1))*100</f>
        <v>31</v>
      </c>
      <c r="P82" s="161">
        <f t="shared" si="132"/>
        <v>30.66132265</v>
      </c>
      <c r="Q82" s="161">
        <f t="shared" si="132"/>
        <v>25.96401028</v>
      </c>
      <c r="R82" s="161">
        <f t="shared" si="132"/>
        <v>23.62525458</v>
      </c>
      <c r="S82" s="161">
        <f t="shared" si="132"/>
        <v>2.772277228</v>
      </c>
      <c r="T82" s="189">
        <f t="shared" si="8"/>
        <v>18.74285714</v>
      </c>
      <c r="U82" s="210">
        <f t="shared" si="9"/>
        <v>10.37735849</v>
      </c>
      <c r="V82" s="161">
        <f t="shared" ref="V82:AD82" si="133">M82*V$2</f>
        <v>2.937625755</v>
      </c>
      <c r="W82" s="161">
        <f t="shared" si="133"/>
        <v>14.94949495</v>
      </c>
      <c r="X82" s="161">
        <f t="shared" si="133"/>
        <v>1.55</v>
      </c>
      <c r="Y82" s="161">
        <f t="shared" si="133"/>
        <v>1.533066132</v>
      </c>
      <c r="Z82" s="161">
        <f t="shared" si="133"/>
        <v>1.298200514</v>
      </c>
      <c r="AA82" s="161">
        <f t="shared" si="133"/>
        <v>2.362525458</v>
      </c>
      <c r="AB82" s="161">
        <f t="shared" si="133"/>
        <v>0.4158415842</v>
      </c>
      <c r="AC82" s="161">
        <f t="shared" si="133"/>
        <v>2.811428571</v>
      </c>
      <c r="AD82" s="161">
        <f t="shared" si="133"/>
        <v>0.5188679245</v>
      </c>
      <c r="AE82" s="161">
        <f t="shared" si="11"/>
        <v>3.153005654</v>
      </c>
    </row>
    <row r="83">
      <c r="A83" s="207">
        <v>77304.0</v>
      </c>
      <c r="B83" s="208">
        <v>42277.0</v>
      </c>
      <c r="C83" s="208">
        <v>8.1</v>
      </c>
      <c r="D83" s="208">
        <v>78574.0</v>
      </c>
      <c r="E83" s="208">
        <v>1.08</v>
      </c>
      <c r="F83" s="208">
        <v>2.7</v>
      </c>
      <c r="G83" s="208">
        <v>15.6</v>
      </c>
      <c r="H83" s="208">
        <v>5.1</v>
      </c>
      <c r="I83" s="208">
        <v>6.9</v>
      </c>
      <c r="J83" s="208">
        <v>4.0</v>
      </c>
      <c r="K83" s="208">
        <v>57.7</v>
      </c>
      <c r="L83" s="209">
        <v>4.3</v>
      </c>
      <c r="M83" s="161">
        <f t="shared" si="5"/>
        <v>11.06639839</v>
      </c>
      <c r="N83" s="189">
        <f t="shared" si="6"/>
        <v>72.39057239</v>
      </c>
      <c r="O83" s="161">
        <f t="shared" ref="O83:S83" si="134">((F83-O$1)/(O$2-O$1))*100</f>
        <v>13.5</v>
      </c>
      <c r="P83" s="161">
        <f t="shared" si="134"/>
        <v>29.85971944</v>
      </c>
      <c r="Q83" s="161">
        <f t="shared" si="134"/>
        <v>12.33933162</v>
      </c>
      <c r="R83" s="161">
        <f t="shared" si="134"/>
        <v>14.05295316</v>
      </c>
      <c r="S83" s="161">
        <f t="shared" si="134"/>
        <v>3.366336634</v>
      </c>
      <c r="T83" s="189">
        <f t="shared" si="8"/>
        <v>41.48571429</v>
      </c>
      <c r="U83" s="210">
        <f t="shared" si="9"/>
        <v>20.28301887</v>
      </c>
      <c r="V83" s="161">
        <f t="shared" ref="V83:AD83" si="135">M83*V$2</f>
        <v>2.213279678</v>
      </c>
      <c r="W83" s="161">
        <f t="shared" si="135"/>
        <v>14.47811448</v>
      </c>
      <c r="X83" s="161">
        <f t="shared" si="135"/>
        <v>0.675</v>
      </c>
      <c r="Y83" s="161">
        <f t="shared" si="135"/>
        <v>1.492985972</v>
      </c>
      <c r="Z83" s="161">
        <f t="shared" si="135"/>
        <v>0.616966581</v>
      </c>
      <c r="AA83" s="161">
        <f t="shared" si="135"/>
        <v>1.405295316</v>
      </c>
      <c r="AB83" s="161">
        <f t="shared" si="135"/>
        <v>0.504950495</v>
      </c>
      <c r="AC83" s="161">
        <f t="shared" si="135"/>
        <v>6.222857143</v>
      </c>
      <c r="AD83" s="161">
        <f t="shared" si="135"/>
        <v>1.014150943</v>
      </c>
      <c r="AE83" s="161">
        <f t="shared" si="11"/>
        <v>3.180400067</v>
      </c>
    </row>
    <row r="84">
      <c r="A84" s="207">
        <v>77566.0</v>
      </c>
      <c r="B84" s="208">
        <v>30057.0</v>
      </c>
      <c r="C84" s="208">
        <v>11.0</v>
      </c>
      <c r="D84" s="208">
        <v>91406.0</v>
      </c>
      <c r="E84" s="208">
        <v>1.25</v>
      </c>
      <c r="F84" s="208">
        <v>6.6</v>
      </c>
      <c r="G84" s="208">
        <v>15.1</v>
      </c>
      <c r="H84" s="208">
        <v>7.1</v>
      </c>
      <c r="I84" s="208">
        <v>6.3</v>
      </c>
      <c r="J84" s="208">
        <v>6.8</v>
      </c>
      <c r="K84" s="208">
        <v>64.7</v>
      </c>
      <c r="L84" s="209">
        <v>2.8</v>
      </c>
      <c r="M84" s="161">
        <f t="shared" si="5"/>
        <v>16.90140845</v>
      </c>
      <c r="N84" s="189">
        <f t="shared" si="6"/>
        <v>66.66666667</v>
      </c>
      <c r="O84" s="161">
        <f t="shared" ref="O84:S84" si="136">((F84-O$1)/(O$2-O$1))*100</f>
        <v>33</v>
      </c>
      <c r="P84" s="161">
        <f t="shared" si="136"/>
        <v>28.85771543</v>
      </c>
      <c r="Q84" s="161">
        <f t="shared" si="136"/>
        <v>17.48071979</v>
      </c>
      <c r="R84" s="161">
        <f t="shared" si="136"/>
        <v>12.83095723</v>
      </c>
      <c r="S84" s="161">
        <f t="shared" si="136"/>
        <v>8.910891089</v>
      </c>
      <c r="T84" s="189">
        <f t="shared" si="8"/>
        <v>33.48571429</v>
      </c>
      <c r="U84" s="210">
        <f t="shared" si="9"/>
        <v>13.20754717</v>
      </c>
      <c r="V84" s="161">
        <f t="shared" ref="V84:AD84" si="137">M84*V$2</f>
        <v>3.38028169</v>
      </c>
      <c r="W84" s="161">
        <f t="shared" si="137"/>
        <v>13.33333333</v>
      </c>
      <c r="X84" s="161">
        <f t="shared" si="137"/>
        <v>1.65</v>
      </c>
      <c r="Y84" s="161">
        <f t="shared" si="137"/>
        <v>1.442885772</v>
      </c>
      <c r="Z84" s="161">
        <f t="shared" si="137"/>
        <v>0.8740359897</v>
      </c>
      <c r="AA84" s="161">
        <f t="shared" si="137"/>
        <v>1.283095723</v>
      </c>
      <c r="AB84" s="161">
        <f t="shared" si="137"/>
        <v>1.336633663</v>
      </c>
      <c r="AC84" s="161">
        <f t="shared" si="137"/>
        <v>5.022857143</v>
      </c>
      <c r="AD84" s="161">
        <f t="shared" si="137"/>
        <v>0.6603773585</v>
      </c>
      <c r="AE84" s="161">
        <f t="shared" si="11"/>
        <v>3.220388964</v>
      </c>
    </row>
    <row r="85">
      <c r="A85" s="207">
        <v>77505.0</v>
      </c>
      <c r="B85" s="208">
        <v>23686.0</v>
      </c>
      <c r="C85" s="208">
        <v>12.9</v>
      </c>
      <c r="D85" s="208">
        <v>94643.0</v>
      </c>
      <c r="E85" s="208">
        <v>1.3</v>
      </c>
      <c r="F85" s="208">
        <v>6.1</v>
      </c>
      <c r="G85" s="208">
        <v>13.7</v>
      </c>
      <c r="H85" s="208">
        <v>9.4</v>
      </c>
      <c r="I85" s="208">
        <v>9.8</v>
      </c>
      <c r="J85" s="208">
        <v>5.4</v>
      </c>
      <c r="K85" s="208">
        <v>68.6</v>
      </c>
      <c r="L85" s="209">
        <v>2.6</v>
      </c>
      <c r="M85" s="161">
        <f t="shared" si="5"/>
        <v>20.72434608</v>
      </c>
      <c r="N85" s="189">
        <f t="shared" si="6"/>
        <v>64.98316498</v>
      </c>
      <c r="O85" s="161">
        <f t="shared" ref="O85:S85" si="138">((F85-O$1)/(O$2-O$1))*100</f>
        <v>30.5</v>
      </c>
      <c r="P85" s="161">
        <f t="shared" si="138"/>
        <v>26.05210421</v>
      </c>
      <c r="Q85" s="161">
        <f t="shared" si="138"/>
        <v>23.3933162</v>
      </c>
      <c r="R85" s="161">
        <f t="shared" si="138"/>
        <v>19.9592668</v>
      </c>
      <c r="S85" s="161">
        <f t="shared" si="138"/>
        <v>6.138613861</v>
      </c>
      <c r="T85" s="189">
        <f t="shared" si="8"/>
        <v>29.02857143</v>
      </c>
      <c r="U85" s="210">
        <f t="shared" si="9"/>
        <v>12.26415094</v>
      </c>
      <c r="V85" s="161">
        <f t="shared" ref="V85:AD85" si="139">M85*V$2</f>
        <v>4.144869215</v>
      </c>
      <c r="W85" s="161">
        <f t="shared" si="139"/>
        <v>12.996633</v>
      </c>
      <c r="X85" s="161">
        <f t="shared" si="139"/>
        <v>1.525</v>
      </c>
      <c r="Y85" s="161">
        <f t="shared" si="139"/>
        <v>1.30260521</v>
      </c>
      <c r="Z85" s="161">
        <f t="shared" si="139"/>
        <v>1.16966581</v>
      </c>
      <c r="AA85" s="161">
        <f t="shared" si="139"/>
        <v>1.99592668</v>
      </c>
      <c r="AB85" s="161">
        <f t="shared" si="139"/>
        <v>0.9207920792</v>
      </c>
      <c r="AC85" s="161">
        <f t="shared" si="139"/>
        <v>4.354285714</v>
      </c>
      <c r="AD85" s="161">
        <f t="shared" si="139"/>
        <v>0.6132075472</v>
      </c>
      <c r="AE85" s="161">
        <f t="shared" si="11"/>
        <v>3.224776139</v>
      </c>
    </row>
    <row r="86">
      <c r="A86" s="207">
        <v>77565.0</v>
      </c>
      <c r="B86" s="208">
        <v>6583.0</v>
      </c>
      <c r="C86" s="208">
        <v>9.6</v>
      </c>
      <c r="D86" s="208">
        <v>85726.0</v>
      </c>
      <c r="E86" s="208">
        <v>1.17</v>
      </c>
      <c r="F86" s="208">
        <v>2.5</v>
      </c>
      <c r="G86" s="208">
        <v>12.1</v>
      </c>
      <c r="H86" s="208">
        <v>6.0</v>
      </c>
      <c r="I86" s="208">
        <v>5.2</v>
      </c>
      <c r="J86" s="208">
        <v>8.9</v>
      </c>
      <c r="K86" s="208">
        <v>57.3</v>
      </c>
      <c r="L86" s="209">
        <v>2.3</v>
      </c>
      <c r="M86" s="161">
        <f t="shared" si="5"/>
        <v>14.08450704</v>
      </c>
      <c r="N86" s="189">
        <f t="shared" si="6"/>
        <v>69.36026936</v>
      </c>
      <c r="O86" s="161">
        <f t="shared" ref="O86:S86" si="140">((F86-O$1)/(O$2-O$1))*100</f>
        <v>12.5</v>
      </c>
      <c r="P86" s="161">
        <f t="shared" si="140"/>
        <v>22.84569138</v>
      </c>
      <c r="Q86" s="161">
        <f t="shared" si="140"/>
        <v>14.6529563</v>
      </c>
      <c r="R86" s="161">
        <f t="shared" si="140"/>
        <v>10.59063136</v>
      </c>
      <c r="S86" s="161">
        <f t="shared" si="140"/>
        <v>13.06930693</v>
      </c>
      <c r="T86" s="189">
        <f t="shared" si="8"/>
        <v>41.94285714</v>
      </c>
      <c r="U86" s="210">
        <f t="shared" si="9"/>
        <v>10.8490566</v>
      </c>
      <c r="V86" s="161">
        <f t="shared" ref="V86:AD86" si="141">M86*V$2</f>
        <v>2.816901408</v>
      </c>
      <c r="W86" s="161">
        <f t="shared" si="141"/>
        <v>13.87205387</v>
      </c>
      <c r="X86" s="161">
        <f t="shared" si="141"/>
        <v>0.625</v>
      </c>
      <c r="Y86" s="161">
        <f t="shared" si="141"/>
        <v>1.142284569</v>
      </c>
      <c r="Z86" s="161">
        <f t="shared" si="141"/>
        <v>0.7326478149</v>
      </c>
      <c r="AA86" s="161">
        <f t="shared" si="141"/>
        <v>1.059063136</v>
      </c>
      <c r="AB86" s="161">
        <f t="shared" si="141"/>
        <v>1.96039604</v>
      </c>
      <c r="AC86" s="161">
        <f t="shared" si="141"/>
        <v>6.291428571</v>
      </c>
      <c r="AD86" s="161">
        <f t="shared" si="141"/>
        <v>0.5424528302</v>
      </c>
      <c r="AE86" s="161">
        <f t="shared" si="11"/>
        <v>3.226914249</v>
      </c>
    </row>
    <row r="87">
      <c r="A87" s="207">
        <v>77571.0</v>
      </c>
      <c r="B87" s="208">
        <v>37659.0</v>
      </c>
      <c r="C87" s="208">
        <v>12.0</v>
      </c>
      <c r="D87" s="208">
        <v>83795.0</v>
      </c>
      <c r="E87" s="208">
        <v>1.15</v>
      </c>
      <c r="F87" s="208">
        <v>4.7</v>
      </c>
      <c r="G87" s="208">
        <v>15.5</v>
      </c>
      <c r="H87" s="208">
        <v>9.6</v>
      </c>
      <c r="I87" s="208">
        <v>11.0</v>
      </c>
      <c r="J87" s="208">
        <v>4.2</v>
      </c>
      <c r="K87" s="208">
        <v>73.1</v>
      </c>
      <c r="L87" s="209">
        <v>5.4</v>
      </c>
      <c r="M87" s="161">
        <f t="shared" si="5"/>
        <v>18.91348089</v>
      </c>
      <c r="N87" s="189">
        <f t="shared" si="6"/>
        <v>70.03367003</v>
      </c>
      <c r="O87" s="161">
        <f t="shared" ref="O87:S87" si="142">((F87-O$1)/(O$2-O$1))*100</f>
        <v>23.5</v>
      </c>
      <c r="P87" s="161">
        <f t="shared" si="142"/>
        <v>29.65931864</v>
      </c>
      <c r="Q87" s="161">
        <f t="shared" si="142"/>
        <v>23.90745501</v>
      </c>
      <c r="R87" s="161">
        <f t="shared" si="142"/>
        <v>22.40325866</v>
      </c>
      <c r="S87" s="161">
        <f t="shared" si="142"/>
        <v>3.762376238</v>
      </c>
      <c r="T87" s="189">
        <f t="shared" si="8"/>
        <v>23.88571429</v>
      </c>
      <c r="U87" s="210">
        <f t="shared" si="9"/>
        <v>25.47169811</v>
      </c>
      <c r="V87" s="161">
        <f t="shared" ref="V87:AD87" si="143">M87*V$2</f>
        <v>3.782696177</v>
      </c>
      <c r="W87" s="161">
        <f t="shared" si="143"/>
        <v>14.00673401</v>
      </c>
      <c r="X87" s="161">
        <f t="shared" si="143"/>
        <v>1.175</v>
      </c>
      <c r="Y87" s="161">
        <f t="shared" si="143"/>
        <v>1.482965932</v>
      </c>
      <c r="Z87" s="161">
        <f t="shared" si="143"/>
        <v>1.195372751</v>
      </c>
      <c r="AA87" s="161">
        <f t="shared" si="143"/>
        <v>2.240325866</v>
      </c>
      <c r="AB87" s="161">
        <f t="shared" si="143"/>
        <v>0.5643564356</v>
      </c>
      <c r="AC87" s="161">
        <f t="shared" si="143"/>
        <v>3.582857143</v>
      </c>
      <c r="AD87" s="161">
        <f t="shared" si="143"/>
        <v>1.273584906</v>
      </c>
      <c r="AE87" s="161">
        <f t="shared" si="11"/>
        <v>3.255988135</v>
      </c>
    </row>
    <row r="88">
      <c r="A88" s="207">
        <v>77362.0</v>
      </c>
      <c r="B88" s="208">
        <v>7474.0</v>
      </c>
      <c r="C88" s="208">
        <v>13.3</v>
      </c>
      <c r="D88" s="208">
        <v>80982.0</v>
      </c>
      <c r="E88" s="208">
        <v>1.11</v>
      </c>
      <c r="F88" s="208">
        <v>4.3</v>
      </c>
      <c r="G88" s="208">
        <v>22.2</v>
      </c>
      <c r="H88" s="208">
        <v>13.0</v>
      </c>
      <c r="I88" s="208">
        <v>6.8</v>
      </c>
      <c r="J88" s="208">
        <v>4.8</v>
      </c>
      <c r="K88" s="208">
        <v>87.9</v>
      </c>
      <c r="L88" s="209">
        <v>11.4</v>
      </c>
      <c r="M88" s="161">
        <f t="shared" si="5"/>
        <v>21.52917505</v>
      </c>
      <c r="N88" s="189">
        <f t="shared" si="6"/>
        <v>71.38047138</v>
      </c>
      <c r="O88" s="161">
        <f t="shared" ref="O88:S88" si="144">((F88-O$1)/(O$2-O$1))*100</f>
        <v>21.5</v>
      </c>
      <c r="P88" s="161">
        <f t="shared" si="144"/>
        <v>43.08617234</v>
      </c>
      <c r="Q88" s="161">
        <f t="shared" si="144"/>
        <v>32.64781491</v>
      </c>
      <c r="R88" s="161">
        <f t="shared" si="144"/>
        <v>13.84928717</v>
      </c>
      <c r="S88" s="161">
        <f t="shared" si="144"/>
        <v>4.95049505</v>
      </c>
      <c r="T88" s="189">
        <f t="shared" si="8"/>
        <v>6.971428571</v>
      </c>
      <c r="U88" s="210">
        <f t="shared" si="9"/>
        <v>53.77358491</v>
      </c>
      <c r="V88" s="161">
        <f t="shared" ref="V88:AD88" si="145">M88*V$2</f>
        <v>4.30583501</v>
      </c>
      <c r="W88" s="161">
        <f t="shared" si="145"/>
        <v>14.27609428</v>
      </c>
      <c r="X88" s="161">
        <f t="shared" si="145"/>
        <v>1.075</v>
      </c>
      <c r="Y88" s="161">
        <f t="shared" si="145"/>
        <v>2.154308617</v>
      </c>
      <c r="Z88" s="161">
        <f t="shared" si="145"/>
        <v>1.632390746</v>
      </c>
      <c r="AA88" s="161">
        <f t="shared" si="145"/>
        <v>1.384928717</v>
      </c>
      <c r="AB88" s="161">
        <f t="shared" si="145"/>
        <v>0.7425742574</v>
      </c>
      <c r="AC88" s="161">
        <f t="shared" si="145"/>
        <v>1.045714286</v>
      </c>
      <c r="AD88" s="161">
        <f t="shared" si="145"/>
        <v>2.688679245</v>
      </c>
      <c r="AE88" s="161">
        <f t="shared" si="11"/>
        <v>3.256169462</v>
      </c>
    </row>
    <row r="89">
      <c r="A89" s="207">
        <v>77515.0</v>
      </c>
      <c r="B89" s="208">
        <v>33092.0</v>
      </c>
      <c r="C89" s="208">
        <v>11.2</v>
      </c>
      <c r="D89" s="208">
        <v>89029.0</v>
      </c>
      <c r="E89" s="208">
        <v>1.22</v>
      </c>
      <c r="F89" s="208">
        <v>3.7</v>
      </c>
      <c r="G89" s="208">
        <v>14.8</v>
      </c>
      <c r="H89" s="208">
        <v>9.5</v>
      </c>
      <c r="I89" s="208">
        <v>11.4</v>
      </c>
      <c r="J89" s="208">
        <v>9.5</v>
      </c>
      <c r="K89" s="208">
        <v>73.4</v>
      </c>
      <c r="L89" s="209">
        <v>3.4</v>
      </c>
      <c r="M89" s="161">
        <f t="shared" si="5"/>
        <v>17.30382294</v>
      </c>
      <c r="N89" s="189">
        <f t="shared" si="6"/>
        <v>67.67676768</v>
      </c>
      <c r="O89" s="161">
        <f t="shared" ref="O89:S89" si="146">((F89-O$1)/(O$2-O$1))*100</f>
        <v>18.5</v>
      </c>
      <c r="P89" s="161">
        <f t="shared" si="146"/>
        <v>28.25651303</v>
      </c>
      <c r="Q89" s="161">
        <f t="shared" si="146"/>
        <v>23.6503856</v>
      </c>
      <c r="R89" s="161">
        <f t="shared" si="146"/>
        <v>23.21792261</v>
      </c>
      <c r="S89" s="161">
        <f t="shared" si="146"/>
        <v>14.25742574</v>
      </c>
      <c r="T89" s="189">
        <f t="shared" si="8"/>
        <v>23.54285714</v>
      </c>
      <c r="U89" s="210">
        <f t="shared" si="9"/>
        <v>16.03773585</v>
      </c>
      <c r="V89" s="161">
        <f t="shared" ref="V89:AD89" si="147">M89*V$2</f>
        <v>3.460764588</v>
      </c>
      <c r="W89" s="161">
        <f t="shared" si="147"/>
        <v>13.53535354</v>
      </c>
      <c r="X89" s="161">
        <f t="shared" si="147"/>
        <v>0.925</v>
      </c>
      <c r="Y89" s="161">
        <f t="shared" si="147"/>
        <v>1.412825651</v>
      </c>
      <c r="Z89" s="161">
        <f t="shared" si="147"/>
        <v>1.18251928</v>
      </c>
      <c r="AA89" s="161">
        <f t="shared" si="147"/>
        <v>2.321792261</v>
      </c>
      <c r="AB89" s="161">
        <f t="shared" si="147"/>
        <v>2.138613861</v>
      </c>
      <c r="AC89" s="161">
        <f t="shared" si="147"/>
        <v>3.531428571</v>
      </c>
      <c r="AD89" s="161">
        <f t="shared" si="147"/>
        <v>0.8018867925</v>
      </c>
      <c r="AE89" s="161">
        <f t="shared" si="11"/>
        <v>3.256687171</v>
      </c>
    </row>
    <row r="90">
      <c r="A90" s="207">
        <v>77068.0</v>
      </c>
      <c r="B90" s="208">
        <v>12289.0</v>
      </c>
      <c r="C90" s="208">
        <v>9.5</v>
      </c>
      <c r="D90" s="208">
        <v>85873.0</v>
      </c>
      <c r="E90" s="208">
        <v>1.18</v>
      </c>
      <c r="F90" s="208">
        <v>7.2</v>
      </c>
      <c r="G90" s="208">
        <v>17.9</v>
      </c>
      <c r="H90" s="208">
        <v>5.8</v>
      </c>
      <c r="I90" s="208">
        <v>10.7</v>
      </c>
      <c r="J90" s="208">
        <v>9.3</v>
      </c>
      <c r="K90" s="208">
        <v>70.2</v>
      </c>
      <c r="L90" s="209">
        <v>1.8</v>
      </c>
      <c r="M90" s="161">
        <f t="shared" si="5"/>
        <v>13.8832998</v>
      </c>
      <c r="N90" s="189">
        <f t="shared" si="6"/>
        <v>69.02356902</v>
      </c>
      <c r="O90" s="161">
        <f t="shared" ref="O90:S90" si="148">((F90-O$1)/(O$2-O$1))*100</f>
        <v>36</v>
      </c>
      <c r="P90" s="161">
        <f t="shared" si="148"/>
        <v>34.46893788</v>
      </c>
      <c r="Q90" s="161">
        <f t="shared" si="148"/>
        <v>14.13881748</v>
      </c>
      <c r="R90" s="161">
        <f t="shared" si="148"/>
        <v>21.79226069</v>
      </c>
      <c r="S90" s="161">
        <f t="shared" si="148"/>
        <v>13.86138614</v>
      </c>
      <c r="T90" s="189">
        <f t="shared" si="8"/>
        <v>27.2</v>
      </c>
      <c r="U90" s="210">
        <f t="shared" si="9"/>
        <v>8.490566038</v>
      </c>
      <c r="V90" s="161">
        <f t="shared" ref="V90:AD90" si="149">M90*V$2</f>
        <v>2.77665996</v>
      </c>
      <c r="W90" s="161">
        <f t="shared" si="149"/>
        <v>13.8047138</v>
      </c>
      <c r="X90" s="161">
        <f t="shared" si="149"/>
        <v>1.8</v>
      </c>
      <c r="Y90" s="161">
        <f t="shared" si="149"/>
        <v>1.723446894</v>
      </c>
      <c r="Z90" s="161">
        <f t="shared" si="149"/>
        <v>0.706940874</v>
      </c>
      <c r="AA90" s="161">
        <f t="shared" si="149"/>
        <v>2.179226069</v>
      </c>
      <c r="AB90" s="161">
        <f t="shared" si="149"/>
        <v>2.079207921</v>
      </c>
      <c r="AC90" s="161">
        <f t="shared" si="149"/>
        <v>4.08</v>
      </c>
      <c r="AD90" s="161">
        <f t="shared" si="149"/>
        <v>0.4245283019</v>
      </c>
      <c r="AE90" s="161">
        <f t="shared" si="11"/>
        <v>3.286080425</v>
      </c>
    </row>
    <row r="91">
      <c r="A91" s="207">
        <v>77418.0</v>
      </c>
      <c r="B91" s="208">
        <v>10467.0</v>
      </c>
      <c r="C91" s="208">
        <v>13.7</v>
      </c>
      <c r="D91" s="208">
        <v>80000.0</v>
      </c>
      <c r="E91" s="208">
        <v>1.1</v>
      </c>
      <c r="F91" s="208">
        <v>2.1</v>
      </c>
      <c r="G91" s="208">
        <v>14.8</v>
      </c>
      <c r="H91" s="208">
        <v>8.4</v>
      </c>
      <c r="I91" s="208">
        <v>11.1</v>
      </c>
      <c r="J91" s="208">
        <v>9.1</v>
      </c>
      <c r="K91" s="208">
        <v>73.6</v>
      </c>
      <c r="L91" s="209">
        <v>2.6</v>
      </c>
      <c r="M91" s="161">
        <f t="shared" si="5"/>
        <v>22.33400402</v>
      </c>
      <c r="N91" s="189">
        <f t="shared" si="6"/>
        <v>71.71717172</v>
      </c>
      <c r="O91" s="161">
        <f t="shared" ref="O91:S91" si="150">((F91-O$1)/(O$2-O$1))*100</f>
        <v>10.5</v>
      </c>
      <c r="P91" s="161">
        <f t="shared" si="150"/>
        <v>28.25651303</v>
      </c>
      <c r="Q91" s="161">
        <f t="shared" si="150"/>
        <v>20.82262211</v>
      </c>
      <c r="R91" s="161">
        <f t="shared" si="150"/>
        <v>22.60692464</v>
      </c>
      <c r="S91" s="161">
        <f t="shared" si="150"/>
        <v>13.46534653</v>
      </c>
      <c r="T91" s="189">
        <f t="shared" si="8"/>
        <v>23.31428571</v>
      </c>
      <c r="U91" s="210">
        <f t="shared" si="9"/>
        <v>12.26415094</v>
      </c>
      <c r="V91" s="161">
        <f t="shared" ref="V91:AD91" si="151">M91*V$2</f>
        <v>4.466800805</v>
      </c>
      <c r="W91" s="161">
        <f t="shared" si="151"/>
        <v>14.34343434</v>
      </c>
      <c r="X91" s="161">
        <f t="shared" si="151"/>
        <v>0.525</v>
      </c>
      <c r="Y91" s="161">
        <f t="shared" si="151"/>
        <v>1.412825651</v>
      </c>
      <c r="Z91" s="161">
        <f t="shared" si="151"/>
        <v>1.041131105</v>
      </c>
      <c r="AA91" s="161">
        <f t="shared" si="151"/>
        <v>2.260692464</v>
      </c>
      <c r="AB91" s="161">
        <f t="shared" si="151"/>
        <v>2.01980198</v>
      </c>
      <c r="AC91" s="161">
        <f t="shared" si="151"/>
        <v>3.497142857</v>
      </c>
      <c r="AD91" s="161">
        <f t="shared" si="151"/>
        <v>0.6132075472</v>
      </c>
      <c r="AE91" s="161">
        <f t="shared" si="11"/>
        <v>3.353337417</v>
      </c>
    </row>
    <row r="92">
      <c r="A92" s="207">
        <v>77339.0</v>
      </c>
      <c r="B92" s="208">
        <v>43364.0</v>
      </c>
      <c r="C92" s="208">
        <v>8.8</v>
      </c>
      <c r="D92" s="208">
        <v>84015.0</v>
      </c>
      <c r="E92" s="208">
        <v>1.15</v>
      </c>
      <c r="F92" s="208">
        <v>6.2</v>
      </c>
      <c r="G92" s="208">
        <v>9.3</v>
      </c>
      <c r="H92" s="208">
        <v>7.1</v>
      </c>
      <c r="I92" s="208">
        <v>4.5</v>
      </c>
      <c r="J92" s="208">
        <v>7.8</v>
      </c>
      <c r="K92" s="208">
        <v>57.9</v>
      </c>
      <c r="L92" s="209">
        <v>7.3</v>
      </c>
      <c r="M92" s="161">
        <f t="shared" si="5"/>
        <v>12.47484909</v>
      </c>
      <c r="N92" s="189">
        <f t="shared" si="6"/>
        <v>70.03367003</v>
      </c>
      <c r="O92" s="161">
        <f t="shared" ref="O92:S92" si="152">((F92-O$1)/(O$2-O$1))*100</f>
        <v>31</v>
      </c>
      <c r="P92" s="161">
        <f t="shared" si="152"/>
        <v>17.23446894</v>
      </c>
      <c r="Q92" s="161">
        <f t="shared" si="152"/>
        <v>17.48071979</v>
      </c>
      <c r="R92" s="161">
        <f t="shared" si="152"/>
        <v>9.16496945</v>
      </c>
      <c r="S92" s="161">
        <f t="shared" si="152"/>
        <v>10.89108911</v>
      </c>
      <c r="T92" s="189">
        <f t="shared" si="8"/>
        <v>41.25714286</v>
      </c>
      <c r="U92" s="210">
        <f t="shared" si="9"/>
        <v>34.43396226</v>
      </c>
      <c r="V92" s="161">
        <f t="shared" ref="V92:AD92" si="153">M92*V$2</f>
        <v>2.494969819</v>
      </c>
      <c r="W92" s="161">
        <f t="shared" si="153"/>
        <v>14.00673401</v>
      </c>
      <c r="X92" s="161">
        <f t="shared" si="153"/>
        <v>1.55</v>
      </c>
      <c r="Y92" s="161">
        <f t="shared" si="153"/>
        <v>0.8617234469</v>
      </c>
      <c r="Z92" s="161">
        <f t="shared" si="153"/>
        <v>0.8740359897</v>
      </c>
      <c r="AA92" s="161">
        <f t="shared" si="153"/>
        <v>0.916496945</v>
      </c>
      <c r="AB92" s="161">
        <f t="shared" si="153"/>
        <v>1.633663366</v>
      </c>
      <c r="AC92" s="161">
        <f t="shared" si="153"/>
        <v>6.188571429</v>
      </c>
      <c r="AD92" s="161">
        <f t="shared" si="153"/>
        <v>1.721698113</v>
      </c>
      <c r="AE92" s="161">
        <f t="shared" si="11"/>
        <v>3.360877013</v>
      </c>
    </row>
    <row r="93">
      <c r="A93" s="207">
        <v>77480.0</v>
      </c>
      <c r="B93" s="208">
        <v>8252.0</v>
      </c>
      <c r="C93" s="208">
        <v>11.4</v>
      </c>
      <c r="D93" s="208">
        <v>63981.0</v>
      </c>
      <c r="E93" s="208">
        <v>0.88</v>
      </c>
      <c r="F93" s="208">
        <v>2.8</v>
      </c>
      <c r="G93" s="208">
        <v>10.0</v>
      </c>
      <c r="H93" s="208">
        <v>6.2</v>
      </c>
      <c r="I93" s="208">
        <v>8.5</v>
      </c>
      <c r="J93" s="208">
        <v>12.7</v>
      </c>
      <c r="K93" s="208">
        <v>75.5</v>
      </c>
      <c r="L93" s="209">
        <v>2.5</v>
      </c>
      <c r="M93" s="161">
        <f t="shared" si="5"/>
        <v>17.70623742</v>
      </c>
      <c r="N93" s="189">
        <f t="shared" si="6"/>
        <v>79.12457912</v>
      </c>
      <c r="O93" s="161">
        <f t="shared" ref="O93:S93" si="154">((F93-O$1)/(O$2-O$1))*100</f>
        <v>14</v>
      </c>
      <c r="P93" s="161">
        <f t="shared" si="154"/>
        <v>18.63727455</v>
      </c>
      <c r="Q93" s="161">
        <f t="shared" si="154"/>
        <v>15.16709512</v>
      </c>
      <c r="R93" s="161">
        <f t="shared" si="154"/>
        <v>17.31160896</v>
      </c>
      <c r="S93" s="161">
        <f t="shared" si="154"/>
        <v>20.59405941</v>
      </c>
      <c r="T93" s="189">
        <f t="shared" si="8"/>
        <v>21.14285714</v>
      </c>
      <c r="U93" s="210">
        <f t="shared" si="9"/>
        <v>11.79245283</v>
      </c>
      <c r="V93" s="161">
        <f t="shared" ref="V93:AD93" si="155">M93*V$2</f>
        <v>3.541247485</v>
      </c>
      <c r="W93" s="161">
        <f t="shared" si="155"/>
        <v>15.82491582</v>
      </c>
      <c r="X93" s="161">
        <f t="shared" si="155"/>
        <v>0.7</v>
      </c>
      <c r="Y93" s="161">
        <f t="shared" si="155"/>
        <v>0.9318637275</v>
      </c>
      <c r="Z93" s="161">
        <f t="shared" si="155"/>
        <v>0.7583547558</v>
      </c>
      <c r="AA93" s="161">
        <f t="shared" si="155"/>
        <v>1.731160896</v>
      </c>
      <c r="AB93" s="161">
        <f t="shared" si="155"/>
        <v>3.089108911</v>
      </c>
      <c r="AC93" s="161">
        <f t="shared" si="155"/>
        <v>3.171428571</v>
      </c>
      <c r="AD93" s="161">
        <f t="shared" si="155"/>
        <v>0.5896226415</v>
      </c>
      <c r="AE93" s="161">
        <f t="shared" si="11"/>
        <v>3.370855868</v>
      </c>
    </row>
    <row r="94">
      <c r="A94" s="200">
        <v>77019.0</v>
      </c>
      <c r="B94" s="201">
        <v>23662.0</v>
      </c>
      <c r="C94" s="201">
        <v>10.1</v>
      </c>
      <c r="D94" s="201">
        <v>108353.0</v>
      </c>
      <c r="E94" s="201">
        <v>1.48</v>
      </c>
      <c r="F94" s="201">
        <v>6.0</v>
      </c>
      <c r="G94" s="201">
        <v>6.4</v>
      </c>
      <c r="H94" s="201">
        <v>4.5</v>
      </c>
      <c r="I94" s="201">
        <v>1.6</v>
      </c>
      <c r="J94" s="201">
        <v>10.8</v>
      </c>
      <c r="K94" s="201">
        <v>41.2</v>
      </c>
      <c r="L94" s="202">
        <v>5.1</v>
      </c>
      <c r="M94" s="203">
        <f t="shared" si="5"/>
        <v>15.09054326</v>
      </c>
      <c r="N94" s="211">
        <f t="shared" si="6"/>
        <v>58.92255892</v>
      </c>
      <c r="O94" s="203">
        <f t="shared" ref="O94:S94" si="156">((F94-O$1)/(O$2-O$1))*100</f>
        <v>30</v>
      </c>
      <c r="P94" s="203">
        <f t="shared" si="156"/>
        <v>11.42284569</v>
      </c>
      <c r="Q94" s="203">
        <f t="shared" si="156"/>
        <v>10.79691517</v>
      </c>
      <c r="R94" s="203">
        <f t="shared" si="156"/>
        <v>3.258655804</v>
      </c>
      <c r="S94" s="203">
        <f t="shared" si="156"/>
        <v>16.83168317</v>
      </c>
      <c r="T94" s="211">
        <f t="shared" si="8"/>
        <v>60.34285714</v>
      </c>
      <c r="U94" s="205">
        <f t="shared" si="9"/>
        <v>24.05660377</v>
      </c>
      <c r="V94" s="203">
        <f t="shared" ref="V94:AD94" si="157">M94*V$2</f>
        <v>3.018108652</v>
      </c>
      <c r="W94" s="203">
        <f t="shared" si="157"/>
        <v>11.78451178</v>
      </c>
      <c r="X94" s="203">
        <f t="shared" si="157"/>
        <v>1.5</v>
      </c>
      <c r="Y94" s="203">
        <f t="shared" si="157"/>
        <v>0.5711422846</v>
      </c>
      <c r="Z94" s="203">
        <f t="shared" si="157"/>
        <v>0.5398457584</v>
      </c>
      <c r="AA94" s="203">
        <f t="shared" si="157"/>
        <v>0.3258655804</v>
      </c>
      <c r="AB94" s="203">
        <f t="shared" si="157"/>
        <v>2.524752475</v>
      </c>
      <c r="AC94" s="203">
        <f t="shared" si="157"/>
        <v>9.051428571</v>
      </c>
      <c r="AD94" s="203">
        <f t="shared" si="157"/>
        <v>1.202830189</v>
      </c>
      <c r="AE94" s="203">
        <f t="shared" si="11"/>
        <v>3.390942811</v>
      </c>
    </row>
    <row r="95">
      <c r="A95" s="207">
        <v>77449.0</v>
      </c>
      <c r="B95" s="208">
        <v>123042.0</v>
      </c>
      <c r="C95" s="208">
        <v>11.0</v>
      </c>
      <c r="D95" s="208">
        <v>85934.0</v>
      </c>
      <c r="E95" s="208">
        <v>1.18</v>
      </c>
      <c r="F95" s="208">
        <v>6.1</v>
      </c>
      <c r="G95" s="208">
        <v>20.6</v>
      </c>
      <c r="H95" s="208">
        <v>13.6</v>
      </c>
      <c r="I95" s="208">
        <v>14.4</v>
      </c>
      <c r="J95" s="208">
        <v>3.5</v>
      </c>
      <c r="K95" s="208">
        <v>70.5</v>
      </c>
      <c r="L95" s="209">
        <v>3.9</v>
      </c>
      <c r="M95" s="161">
        <f t="shared" si="5"/>
        <v>16.90140845</v>
      </c>
      <c r="N95" s="189">
        <f t="shared" si="6"/>
        <v>69.02356902</v>
      </c>
      <c r="O95" s="161">
        <f t="shared" ref="O95:S95" si="158">((F95-O$1)/(O$2-O$1))*100</f>
        <v>30.5</v>
      </c>
      <c r="P95" s="161">
        <f t="shared" si="158"/>
        <v>39.87975952</v>
      </c>
      <c r="Q95" s="161">
        <f t="shared" si="158"/>
        <v>34.19023136</v>
      </c>
      <c r="R95" s="161">
        <f t="shared" si="158"/>
        <v>29.32790224</v>
      </c>
      <c r="S95" s="161">
        <f t="shared" si="158"/>
        <v>2.376237624</v>
      </c>
      <c r="T95" s="189">
        <f t="shared" si="8"/>
        <v>26.85714286</v>
      </c>
      <c r="U95" s="210">
        <f t="shared" si="9"/>
        <v>18.39622642</v>
      </c>
      <c r="V95" s="161">
        <f t="shared" ref="V95:AD95" si="159">M95*V$2</f>
        <v>3.38028169</v>
      </c>
      <c r="W95" s="161">
        <f t="shared" si="159"/>
        <v>13.8047138</v>
      </c>
      <c r="X95" s="161">
        <f t="shared" si="159"/>
        <v>1.525</v>
      </c>
      <c r="Y95" s="161">
        <f t="shared" si="159"/>
        <v>1.993987976</v>
      </c>
      <c r="Z95" s="161">
        <f t="shared" si="159"/>
        <v>1.709511568</v>
      </c>
      <c r="AA95" s="161">
        <f t="shared" si="159"/>
        <v>2.932790224</v>
      </c>
      <c r="AB95" s="161">
        <f t="shared" si="159"/>
        <v>0.3564356436</v>
      </c>
      <c r="AC95" s="161">
        <f t="shared" si="159"/>
        <v>4.028571429</v>
      </c>
      <c r="AD95" s="161">
        <f t="shared" si="159"/>
        <v>0.9198113208</v>
      </c>
      <c r="AE95" s="161">
        <f t="shared" si="11"/>
        <v>3.405678184</v>
      </c>
    </row>
    <row r="96">
      <c r="A96" s="207">
        <v>77474.0</v>
      </c>
      <c r="B96" s="208">
        <v>14846.0</v>
      </c>
      <c r="C96" s="208">
        <v>15.4</v>
      </c>
      <c r="D96" s="208">
        <v>76210.0</v>
      </c>
      <c r="E96" s="208">
        <v>1.04</v>
      </c>
      <c r="F96" s="208">
        <v>3.9</v>
      </c>
      <c r="G96" s="208">
        <v>15.2</v>
      </c>
      <c r="H96" s="208">
        <v>6.4</v>
      </c>
      <c r="I96" s="208">
        <v>10.6</v>
      </c>
      <c r="J96" s="208">
        <v>9.0</v>
      </c>
      <c r="K96" s="208">
        <v>79.4</v>
      </c>
      <c r="L96" s="209">
        <v>3.8</v>
      </c>
      <c r="M96" s="161">
        <f t="shared" si="5"/>
        <v>25.75452716</v>
      </c>
      <c r="N96" s="189">
        <f t="shared" si="6"/>
        <v>73.73737374</v>
      </c>
      <c r="O96" s="161">
        <f t="shared" ref="O96:S96" si="160">((F96-O$1)/(O$2-O$1))*100</f>
        <v>19.5</v>
      </c>
      <c r="P96" s="161">
        <f t="shared" si="160"/>
        <v>29.05811623</v>
      </c>
      <c r="Q96" s="161">
        <f t="shared" si="160"/>
        <v>15.68123393</v>
      </c>
      <c r="R96" s="161">
        <f t="shared" si="160"/>
        <v>21.5885947</v>
      </c>
      <c r="S96" s="161">
        <f t="shared" si="160"/>
        <v>13.26732673</v>
      </c>
      <c r="T96" s="189">
        <f t="shared" si="8"/>
        <v>16.68571429</v>
      </c>
      <c r="U96" s="210">
        <f t="shared" si="9"/>
        <v>17.9245283</v>
      </c>
      <c r="V96" s="161">
        <f t="shared" ref="V96:AD96" si="161">M96*V$2</f>
        <v>5.150905433</v>
      </c>
      <c r="W96" s="161">
        <f t="shared" si="161"/>
        <v>14.74747475</v>
      </c>
      <c r="X96" s="161">
        <f t="shared" si="161"/>
        <v>0.975</v>
      </c>
      <c r="Y96" s="161">
        <f t="shared" si="161"/>
        <v>1.452905812</v>
      </c>
      <c r="Z96" s="161">
        <f t="shared" si="161"/>
        <v>0.7840616967</v>
      </c>
      <c r="AA96" s="161">
        <f t="shared" si="161"/>
        <v>2.15885947</v>
      </c>
      <c r="AB96" s="161">
        <f t="shared" si="161"/>
        <v>1.99009901</v>
      </c>
      <c r="AC96" s="161">
        <f t="shared" si="161"/>
        <v>2.502857143</v>
      </c>
      <c r="AD96" s="161">
        <f t="shared" si="161"/>
        <v>0.8962264151</v>
      </c>
      <c r="AE96" s="161">
        <f t="shared" si="11"/>
        <v>3.406487747</v>
      </c>
    </row>
    <row r="97">
      <c r="A97" s="207">
        <v>77098.0</v>
      </c>
      <c r="B97" s="208">
        <v>16318.0</v>
      </c>
      <c r="C97" s="208">
        <v>9.3</v>
      </c>
      <c r="D97" s="208">
        <v>115867.0</v>
      </c>
      <c r="E97" s="208">
        <v>1.59</v>
      </c>
      <c r="F97" s="208">
        <v>4.4</v>
      </c>
      <c r="G97" s="208">
        <v>8.8</v>
      </c>
      <c r="H97" s="208">
        <v>1.8</v>
      </c>
      <c r="I97" s="208">
        <v>1.3</v>
      </c>
      <c r="J97" s="208">
        <v>11.0</v>
      </c>
      <c r="K97" s="208">
        <v>33.4</v>
      </c>
      <c r="L97" s="209">
        <v>7.3</v>
      </c>
      <c r="M97" s="161">
        <f t="shared" si="5"/>
        <v>13.48088531</v>
      </c>
      <c r="N97" s="189">
        <f t="shared" si="6"/>
        <v>55.21885522</v>
      </c>
      <c r="O97" s="161">
        <f t="shared" ref="O97:S97" si="162">((F97-O$1)/(O$2-O$1))*100</f>
        <v>22</v>
      </c>
      <c r="P97" s="161">
        <f t="shared" si="162"/>
        <v>16.23246493</v>
      </c>
      <c r="Q97" s="161">
        <f t="shared" si="162"/>
        <v>3.856041131</v>
      </c>
      <c r="R97" s="161">
        <f t="shared" si="162"/>
        <v>2.647657841</v>
      </c>
      <c r="S97" s="161">
        <f t="shared" si="162"/>
        <v>17.22772277</v>
      </c>
      <c r="T97" s="189">
        <f t="shared" si="8"/>
        <v>69.25714286</v>
      </c>
      <c r="U97" s="210">
        <f t="shared" si="9"/>
        <v>34.43396226</v>
      </c>
      <c r="V97" s="161">
        <f t="shared" ref="V97:AD97" si="163">M97*V$2</f>
        <v>2.696177062</v>
      </c>
      <c r="W97" s="161">
        <f t="shared" si="163"/>
        <v>11.04377104</v>
      </c>
      <c r="X97" s="161">
        <f t="shared" si="163"/>
        <v>1.1</v>
      </c>
      <c r="Y97" s="161">
        <f t="shared" si="163"/>
        <v>0.8116232465</v>
      </c>
      <c r="Z97" s="161">
        <f t="shared" si="163"/>
        <v>0.1928020566</v>
      </c>
      <c r="AA97" s="161">
        <f t="shared" si="163"/>
        <v>0.2647657841</v>
      </c>
      <c r="AB97" s="161">
        <f t="shared" si="163"/>
        <v>2.584158416</v>
      </c>
      <c r="AC97" s="161">
        <f t="shared" si="163"/>
        <v>10.38857143</v>
      </c>
      <c r="AD97" s="161">
        <f t="shared" si="163"/>
        <v>1.721698113</v>
      </c>
      <c r="AE97" s="161">
        <f t="shared" si="11"/>
        <v>3.422618572</v>
      </c>
    </row>
    <row r="98">
      <c r="A98" s="207">
        <v>77423.0</v>
      </c>
      <c r="B98" s="208">
        <v>16689.0</v>
      </c>
      <c r="C98" s="208">
        <v>11.9</v>
      </c>
      <c r="D98" s="208">
        <v>82280.0</v>
      </c>
      <c r="E98" s="208">
        <v>1.13</v>
      </c>
      <c r="F98" s="208">
        <v>4.4</v>
      </c>
      <c r="G98" s="208">
        <v>21.4</v>
      </c>
      <c r="H98" s="208">
        <v>10.0</v>
      </c>
      <c r="I98" s="208">
        <v>18.3</v>
      </c>
      <c r="J98" s="208">
        <v>9.6</v>
      </c>
      <c r="K98" s="208">
        <v>79.8</v>
      </c>
      <c r="L98" s="209">
        <v>1.1</v>
      </c>
      <c r="M98" s="161">
        <f t="shared" si="5"/>
        <v>18.71227364</v>
      </c>
      <c r="N98" s="189">
        <f t="shared" si="6"/>
        <v>70.70707071</v>
      </c>
      <c r="O98" s="161">
        <f t="shared" ref="O98:S98" si="164">((F98-O$1)/(O$2-O$1))*100</f>
        <v>22</v>
      </c>
      <c r="P98" s="161">
        <f t="shared" si="164"/>
        <v>41.48296593</v>
      </c>
      <c r="Q98" s="161">
        <f t="shared" si="164"/>
        <v>24.93573265</v>
      </c>
      <c r="R98" s="161">
        <f t="shared" si="164"/>
        <v>37.27087576</v>
      </c>
      <c r="S98" s="161">
        <f t="shared" si="164"/>
        <v>14.45544554</v>
      </c>
      <c r="T98" s="189">
        <f t="shared" si="8"/>
        <v>16.22857143</v>
      </c>
      <c r="U98" s="210">
        <f t="shared" si="9"/>
        <v>5.188679245</v>
      </c>
      <c r="V98" s="161">
        <f t="shared" ref="V98:AD98" si="165">M98*V$2</f>
        <v>3.742454728</v>
      </c>
      <c r="W98" s="161">
        <f t="shared" si="165"/>
        <v>14.14141414</v>
      </c>
      <c r="X98" s="161">
        <f t="shared" si="165"/>
        <v>1.1</v>
      </c>
      <c r="Y98" s="161">
        <f t="shared" si="165"/>
        <v>2.074148297</v>
      </c>
      <c r="Z98" s="161">
        <f t="shared" si="165"/>
        <v>1.246786632</v>
      </c>
      <c r="AA98" s="161">
        <f t="shared" si="165"/>
        <v>3.727087576</v>
      </c>
      <c r="AB98" s="161">
        <f t="shared" si="165"/>
        <v>2.168316832</v>
      </c>
      <c r="AC98" s="161">
        <f t="shared" si="165"/>
        <v>2.434285714</v>
      </c>
      <c r="AD98" s="161">
        <f t="shared" si="165"/>
        <v>0.2594339623</v>
      </c>
      <c r="AE98" s="161">
        <f t="shared" si="11"/>
        <v>3.432658654</v>
      </c>
    </row>
    <row r="99">
      <c r="A99" s="207">
        <v>77372.0</v>
      </c>
      <c r="B99" s="208">
        <v>14088.0</v>
      </c>
      <c r="C99" s="208">
        <v>11.5</v>
      </c>
      <c r="D99" s="208">
        <v>78601.0</v>
      </c>
      <c r="E99" s="208">
        <v>1.08</v>
      </c>
      <c r="F99" s="208">
        <v>6.2</v>
      </c>
      <c r="G99" s="208">
        <v>23.3</v>
      </c>
      <c r="H99" s="208">
        <v>11.0</v>
      </c>
      <c r="I99" s="208">
        <v>20.0</v>
      </c>
      <c r="J99" s="208">
        <v>8.6</v>
      </c>
      <c r="K99" s="208">
        <v>83.8</v>
      </c>
      <c r="L99" s="209">
        <v>0.6</v>
      </c>
      <c r="M99" s="161">
        <f t="shared" si="5"/>
        <v>17.90744467</v>
      </c>
      <c r="N99" s="189">
        <f t="shared" si="6"/>
        <v>72.39057239</v>
      </c>
      <c r="O99" s="161">
        <f t="shared" ref="O99:S99" si="166">((F99-O$1)/(O$2-O$1))*100</f>
        <v>31</v>
      </c>
      <c r="P99" s="161">
        <f t="shared" si="166"/>
        <v>45.29058116</v>
      </c>
      <c r="Q99" s="161">
        <f t="shared" si="166"/>
        <v>27.50642674</v>
      </c>
      <c r="R99" s="161">
        <f t="shared" si="166"/>
        <v>40.73319756</v>
      </c>
      <c r="S99" s="161">
        <f t="shared" si="166"/>
        <v>12.47524752</v>
      </c>
      <c r="T99" s="189">
        <f t="shared" si="8"/>
        <v>11.65714286</v>
      </c>
      <c r="U99" s="210">
        <f t="shared" si="9"/>
        <v>2.830188679</v>
      </c>
      <c r="V99" s="161">
        <f t="shared" ref="V99:AD99" si="167">M99*V$2</f>
        <v>3.581488934</v>
      </c>
      <c r="W99" s="161">
        <f t="shared" si="167"/>
        <v>14.47811448</v>
      </c>
      <c r="X99" s="161">
        <f t="shared" si="167"/>
        <v>1.55</v>
      </c>
      <c r="Y99" s="161">
        <f t="shared" si="167"/>
        <v>2.264529058</v>
      </c>
      <c r="Z99" s="161">
        <f t="shared" si="167"/>
        <v>1.375321337</v>
      </c>
      <c r="AA99" s="161">
        <f t="shared" si="167"/>
        <v>4.073319756</v>
      </c>
      <c r="AB99" s="161">
        <f t="shared" si="167"/>
        <v>1.871287129</v>
      </c>
      <c r="AC99" s="161">
        <f t="shared" si="167"/>
        <v>1.748571429</v>
      </c>
      <c r="AD99" s="161">
        <f t="shared" si="167"/>
        <v>0.141509434</v>
      </c>
      <c r="AE99" s="161">
        <f t="shared" si="11"/>
        <v>3.453793506</v>
      </c>
    </row>
    <row r="100">
      <c r="A100" s="207">
        <v>77089.0</v>
      </c>
      <c r="B100" s="208">
        <v>56607.0</v>
      </c>
      <c r="C100" s="208">
        <v>11.1</v>
      </c>
      <c r="D100" s="208">
        <v>87262.0</v>
      </c>
      <c r="E100" s="208">
        <v>1.19</v>
      </c>
      <c r="F100" s="208">
        <v>5.2</v>
      </c>
      <c r="G100" s="208">
        <v>15.3</v>
      </c>
      <c r="H100" s="208">
        <v>12.3</v>
      </c>
      <c r="I100" s="208">
        <v>15.0</v>
      </c>
      <c r="J100" s="208">
        <v>6.1</v>
      </c>
      <c r="K100" s="208">
        <v>66.1</v>
      </c>
      <c r="L100" s="209">
        <v>3.2</v>
      </c>
      <c r="M100" s="161">
        <f t="shared" si="5"/>
        <v>17.10261569</v>
      </c>
      <c r="N100" s="189">
        <f t="shared" si="6"/>
        <v>68.68686869</v>
      </c>
      <c r="O100" s="161">
        <f t="shared" ref="O100:S100" si="168">((F100-O$1)/(O$2-O$1))*100</f>
        <v>26</v>
      </c>
      <c r="P100" s="161">
        <f t="shared" si="168"/>
        <v>29.25851703</v>
      </c>
      <c r="Q100" s="161">
        <f t="shared" si="168"/>
        <v>30.84832905</v>
      </c>
      <c r="R100" s="161">
        <f t="shared" si="168"/>
        <v>30.54989817</v>
      </c>
      <c r="S100" s="161">
        <f t="shared" si="168"/>
        <v>7.524752475</v>
      </c>
      <c r="T100" s="189">
        <f t="shared" si="8"/>
        <v>31.88571429</v>
      </c>
      <c r="U100" s="210">
        <f t="shared" si="9"/>
        <v>15.09433962</v>
      </c>
      <c r="V100" s="161">
        <f t="shared" ref="V100:AD100" si="169">M100*V$2</f>
        <v>3.420523139</v>
      </c>
      <c r="W100" s="161">
        <f t="shared" si="169"/>
        <v>13.73737374</v>
      </c>
      <c r="X100" s="161">
        <f t="shared" si="169"/>
        <v>1.3</v>
      </c>
      <c r="Y100" s="161">
        <f t="shared" si="169"/>
        <v>1.462925852</v>
      </c>
      <c r="Z100" s="161">
        <f t="shared" si="169"/>
        <v>1.542416452</v>
      </c>
      <c r="AA100" s="161">
        <f t="shared" si="169"/>
        <v>3.054989817</v>
      </c>
      <c r="AB100" s="161">
        <f t="shared" si="169"/>
        <v>1.128712871</v>
      </c>
      <c r="AC100" s="161">
        <f t="shared" si="169"/>
        <v>4.782857143</v>
      </c>
      <c r="AD100" s="161">
        <f t="shared" si="169"/>
        <v>0.7547169811</v>
      </c>
      <c r="AE100" s="161">
        <f t="shared" si="11"/>
        <v>3.464946221</v>
      </c>
    </row>
    <row r="101">
      <c r="A101" s="207">
        <v>77044.0</v>
      </c>
      <c r="B101" s="208">
        <v>55746.0</v>
      </c>
      <c r="C101" s="208">
        <v>12.7</v>
      </c>
      <c r="D101" s="208">
        <v>92416.0</v>
      </c>
      <c r="E101" s="208">
        <v>1.27</v>
      </c>
      <c r="F101" s="208">
        <v>7.6</v>
      </c>
      <c r="G101" s="208">
        <v>19.3</v>
      </c>
      <c r="H101" s="208">
        <v>13.5</v>
      </c>
      <c r="I101" s="208">
        <v>15.8</v>
      </c>
      <c r="J101" s="208">
        <v>5.5</v>
      </c>
      <c r="K101" s="208">
        <v>75.1</v>
      </c>
      <c r="L101" s="209">
        <v>4.9</v>
      </c>
      <c r="M101" s="161">
        <f t="shared" si="5"/>
        <v>20.32193159</v>
      </c>
      <c r="N101" s="189">
        <f t="shared" si="6"/>
        <v>65.99326599</v>
      </c>
      <c r="O101" s="161">
        <f t="shared" ref="O101:S101" si="170">((F101-O$1)/(O$2-O$1))*100</f>
        <v>38</v>
      </c>
      <c r="P101" s="161">
        <f t="shared" si="170"/>
        <v>37.2745491</v>
      </c>
      <c r="Q101" s="161">
        <f t="shared" si="170"/>
        <v>33.93316195</v>
      </c>
      <c r="R101" s="161">
        <f t="shared" si="170"/>
        <v>32.17922607</v>
      </c>
      <c r="S101" s="161">
        <f t="shared" si="170"/>
        <v>6.336633663</v>
      </c>
      <c r="T101" s="189">
        <f t="shared" si="8"/>
        <v>21.6</v>
      </c>
      <c r="U101" s="210">
        <f t="shared" si="9"/>
        <v>23.11320755</v>
      </c>
      <c r="V101" s="161">
        <f t="shared" ref="V101:AD101" si="171">M101*V$2</f>
        <v>4.064386318</v>
      </c>
      <c r="W101" s="161">
        <f t="shared" si="171"/>
        <v>13.1986532</v>
      </c>
      <c r="X101" s="161">
        <f t="shared" si="171"/>
        <v>1.9</v>
      </c>
      <c r="Y101" s="161">
        <f t="shared" si="171"/>
        <v>1.863727455</v>
      </c>
      <c r="Z101" s="161">
        <f t="shared" si="171"/>
        <v>1.696658098</v>
      </c>
      <c r="AA101" s="161">
        <f t="shared" si="171"/>
        <v>3.217922607</v>
      </c>
      <c r="AB101" s="161">
        <f t="shared" si="171"/>
        <v>0.9504950495</v>
      </c>
      <c r="AC101" s="161">
        <f t="shared" si="171"/>
        <v>3.24</v>
      </c>
      <c r="AD101" s="161">
        <f t="shared" si="171"/>
        <v>1.155660377</v>
      </c>
      <c r="AE101" s="161">
        <f t="shared" si="11"/>
        <v>3.476389234</v>
      </c>
    </row>
    <row r="102">
      <c r="A102" s="207">
        <v>77539.0</v>
      </c>
      <c r="B102" s="208">
        <v>47164.0</v>
      </c>
      <c r="C102" s="208">
        <v>12.2</v>
      </c>
      <c r="D102" s="208">
        <v>85263.0</v>
      </c>
      <c r="E102" s="208">
        <v>1.17</v>
      </c>
      <c r="F102" s="208">
        <v>4.4</v>
      </c>
      <c r="G102" s="208">
        <v>18.9</v>
      </c>
      <c r="H102" s="208">
        <v>11.5</v>
      </c>
      <c r="I102" s="208">
        <v>16.1</v>
      </c>
      <c r="J102" s="208">
        <v>7.4</v>
      </c>
      <c r="K102" s="208">
        <v>74.8</v>
      </c>
      <c r="L102" s="209">
        <v>4.7</v>
      </c>
      <c r="M102" s="161">
        <f t="shared" si="5"/>
        <v>19.31589537</v>
      </c>
      <c r="N102" s="189">
        <f t="shared" si="6"/>
        <v>69.36026936</v>
      </c>
      <c r="O102" s="161">
        <f t="shared" ref="O102:S102" si="172">((F102-O$1)/(O$2-O$1))*100</f>
        <v>22</v>
      </c>
      <c r="P102" s="161">
        <f t="shared" si="172"/>
        <v>36.47294589</v>
      </c>
      <c r="Q102" s="161">
        <f t="shared" si="172"/>
        <v>28.79177378</v>
      </c>
      <c r="R102" s="161">
        <f t="shared" si="172"/>
        <v>32.79022403</v>
      </c>
      <c r="S102" s="161">
        <f t="shared" si="172"/>
        <v>10.0990099</v>
      </c>
      <c r="T102" s="189">
        <f t="shared" si="8"/>
        <v>21.94285714</v>
      </c>
      <c r="U102" s="210">
        <f t="shared" si="9"/>
        <v>22.16981132</v>
      </c>
      <c r="V102" s="161">
        <f t="shared" ref="V102:AD102" si="173">M102*V$2</f>
        <v>3.863179074</v>
      </c>
      <c r="W102" s="161">
        <f t="shared" si="173"/>
        <v>13.87205387</v>
      </c>
      <c r="X102" s="161">
        <f t="shared" si="173"/>
        <v>1.1</v>
      </c>
      <c r="Y102" s="161">
        <f t="shared" si="173"/>
        <v>1.823647295</v>
      </c>
      <c r="Z102" s="161">
        <f t="shared" si="173"/>
        <v>1.439588689</v>
      </c>
      <c r="AA102" s="161">
        <f t="shared" si="173"/>
        <v>3.279022403</v>
      </c>
      <c r="AB102" s="161">
        <f t="shared" si="173"/>
        <v>1.514851485</v>
      </c>
      <c r="AC102" s="161">
        <f t="shared" si="173"/>
        <v>3.291428571</v>
      </c>
      <c r="AD102" s="161">
        <f t="shared" si="173"/>
        <v>1.108490566</v>
      </c>
      <c r="AE102" s="161">
        <f t="shared" si="11"/>
        <v>3.476917995</v>
      </c>
    </row>
    <row r="103">
      <c r="A103" s="207">
        <v>77041.0</v>
      </c>
      <c r="B103" s="208">
        <v>33180.0</v>
      </c>
      <c r="C103" s="208">
        <v>13.5</v>
      </c>
      <c r="D103" s="208">
        <v>79164.0</v>
      </c>
      <c r="E103" s="208">
        <v>1.08</v>
      </c>
      <c r="F103" s="208">
        <v>5.1</v>
      </c>
      <c r="G103" s="208">
        <v>21.3</v>
      </c>
      <c r="H103" s="208">
        <v>9.0</v>
      </c>
      <c r="I103" s="208">
        <v>16.0</v>
      </c>
      <c r="J103" s="208">
        <v>5.8</v>
      </c>
      <c r="K103" s="208">
        <v>72.8</v>
      </c>
      <c r="L103" s="209">
        <v>1.2</v>
      </c>
      <c r="M103" s="161">
        <f t="shared" si="5"/>
        <v>21.93158954</v>
      </c>
      <c r="N103" s="189">
        <f t="shared" si="6"/>
        <v>72.39057239</v>
      </c>
      <c r="O103" s="161">
        <f t="shared" ref="O103:S103" si="174">((F103-O$1)/(O$2-O$1))*100</f>
        <v>25.5</v>
      </c>
      <c r="P103" s="161">
        <f t="shared" si="174"/>
        <v>41.28256513</v>
      </c>
      <c r="Q103" s="161">
        <f t="shared" si="174"/>
        <v>22.36503856</v>
      </c>
      <c r="R103" s="161">
        <f t="shared" si="174"/>
        <v>32.58655804</v>
      </c>
      <c r="S103" s="161">
        <f t="shared" si="174"/>
        <v>6.930693069</v>
      </c>
      <c r="T103" s="189">
        <f t="shared" si="8"/>
        <v>24.22857143</v>
      </c>
      <c r="U103" s="210">
        <f t="shared" si="9"/>
        <v>5.660377358</v>
      </c>
      <c r="V103" s="161">
        <f t="shared" ref="V103:AD103" si="175">M103*V$2</f>
        <v>4.386317907</v>
      </c>
      <c r="W103" s="161">
        <f t="shared" si="175"/>
        <v>14.47811448</v>
      </c>
      <c r="X103" s="161">
        <f t="shared" si="175"/>
        <v>1.275</v>
      </c>
      <c r="Y103" s="161">
        <f t="shared" si="175"/>
        <v>2.064128257</v>
      </c>
      <c r="Z103" s="161">
        <f t="shared" si="175"/>
        <v>1.118251928</v>
      </c>
      <c r="AA103" s="161">
        <f t="shared" si="175"/>
        <v>3.258655804</v>
      </c>
      <c r="AB103" s="161">
        <f t="shared" si="175"/>
        <v>1.03960396</v>
      </c>
      <c r="AC103" s="161">
        <f t="shared" si="175"/>
        <v>3.634285714</v>
      </c>
      <c r="AD103" s="161">
        <f t="shared" si="175"/>
        <v>0.2830188679</v>
      </c>
      <c r="AE103" s="161">
        <f t="shared" si="11"/>
        <v>3.504152991</v>
      </c>
    </row>
    <row r="104">
      <c r="A104" s="207">
        <v>77535.0</v>
      </c>
      <c r="B104" s="208">
        <v>38037.0</v>
      </c>
      <c r="C104" s="208">
        <v>13.6</v>
      </c>
      <c r="D104" s="208">
        <v>81407.0</v>
      </c>
      <c r="E104" s="208">
        <v>1.11</v>
      </c>
      <c r="F104" s="208">
        <v>6.7</v>
      </c>
      <c r="G104" s="208">
        <v>15.8</v>
      </c>
      <c r="H104" s="208">
        <v>10.0</v>
      </c>
      <c r="I104" s="208">
        <v>18.4</v>
      </c>
      <c r="J104" s="208">
        <v>10.0</v>
      </c>
      <c r="K104" s="208">
        <v>84.8</v>
      </c>
      <c r="L104" s="209">
        <v>3.4</v>
      </c>
      <c r="M104" s="161">
        <f t="shared" si="5"/>
        <v>22.13279678</v>
      </c>
      <c r="N104" s="189">
        <f t="shared" si="6"/>
        <v>71.38047138</v>
      </c>
      <c r="O104" s="161">
        <f t="shared" ref="O104:S104" si="176">((F104-O$1)/(O$2-O$1))*100</f>
        <v>33.5</v>
      </c>
      <c r="P104" s="161">
        <f t="shared" si="176"/>
        <v>30.26052104</v>
      </c>
      <c r="Q104" s="161">
        <f t="shared" si="176"/>
        <v>24.93573265</v>
      </c>
      <c r="R104" s="161">
        <f t="shared" si="176"/>
        <v>37.47454175</v>
      </c>
      <c r="S104" s="161">
        <f t="shared" si="176"/>
        <v>15.24752475</v>
      </c>
      <c r="T104" s="189">
        <f t="shared" si="8"/>
        <v>10.51428571</v>
      </c>
      <c r="U104" s="210">
        <f t="shared" si="9"/>
        <v>16.03773585</v>
      </c>
      <c r="V104" s="161">
        <f t="shared" ref="V104:AD104" si="177">M104*V$2</f>
        <v>4.426559356</v>
      </c>
      <c r="W104" s="161">
        <f t="shared" si="177"/>
        <v>14.27609428</v>
      </c>
      <c r="X104" s="161">
        <f t="shared" si="177"/>
        <v>1.675</v>
      </c>
      <c r="Y104" s="161">
        <f t="shared" si="177"/>
        <v>1.513026052</v>
      </c>
      <c r="Z104" s="161">
        <f t="shared" si="177"/>
        <v>1.246786632</v>
      </c>
      <c r="AA104" s="161">
        <f t="shared" si="177"/>
        <v>3.747454175</v>
      </c>
      <c r="AB104" s="161">
        <f t="shared" si="177"/>
        <v>2.287128713</v>
      </c>
      <c r="AC104" s="161">
        <f t="shared" si="177"/>
        <v>1.577142857</v>
      </c>
      <c r="AD104" s="161">
        <f t="shared" si="177"/>
        <v>0.8018867925</v>
      </c>
      <c r="AE104" s="161">
        <f t="shared" si="11"/>
        <v>3.505675428</v>
      </c>
    </row>
    <row r="105">
      <c r="A105" s="207">
        <v>77380.0</v>
      </c>
      <c r="B105" s="208">
        <v>31151.0</v>
      </c>
      <c r="C105" s="208">
        <v>6.4</v>
      </c>
      <c r="D105" s="208">
        <v>84468.0</v>
      </c>
      <c r="E105" s="208">
        <v>1.16</v>
      </c>
      <c r="F105" s="208">
        <v>4.6</v>
      </c>
      <c r="G105" s="208">
        <v>10.6</v>
      </c>
      <c r="H105" s="208">
        <v>3.8</v>
      </c>
      <c r="I105" s="208">
        <v>3.3</v>
      </c>
      <c r="J105" s="208">
        <v>7.8</v>
      </c>
      <c r="K105" s="208">
        <v>33.5</v>
      </c>
      <c r="L105" s="209">
        <v>3.8</v>
      </c>
      <c r="M105" s="161">
        <f t="shared" si="5"/>
        <v>7.645875252</v>
      </c>
      <c r="N105" s="189">
        <f t="shared" si="6"/>
        <v>69.6969697</v>
      </c>
      <c r="O105" s="161">
        <f t="shared" ref="O105:S105" si="178">((F105-O$1)/(O$2-O$1))*100</f>
        <v>23</v>
      </c>
      <c r="P105" s="161">
        <f t="shared" si="178"/>
        <v>19.83967936</v>
      </c>
      <c r="Q105" s="161">
        <f t="shared" si="178"/>
        <v>8.997429306</v>
      </c>
      <c r="R105" s="161">
        <f t="shared" si="178"/>
        <v>6.720977597</v>
      </c>
      <c r="S105" s="161">
        <f t="shared" si="178"/>
        <v>10.89108911</v>
      </c>
      <c r="T105" s="189">
        <f t="shared" si="8"/>
        <v>69.14285714</v>
      </c>
      <c r="U105" s="210">
        <f t="shared" si="9"/>
        <v>17.9245283</v>
      </c>
      <c r="V105" s="161">
        <f t="shared" ref="V105:AD105" si="179">M105*V$2</f>
        <v>1.52917505</v>
      </c>
      <c r="W105" s="161">
        <f t="shared" si="179"/>
        <v>13.93939394</v>
      </c>
      <c r="X105" s="161">
        <f t="shared" si="179"/>
        <v>1.15</v>
      </c>
      <c r="Y105" s="161">
        <f t="shared" si="179"/>
        <v>0.9919839679</v>
      </c>
      <c r="Z105" s="161">
        <f t="shared" si="179"/>
        <v>0.4498714653</v>
      </c>
      <c r="AA105" s="161">
        <f t="shared" si="179"/>
        <v>0.6720977597</v>
      </c>
      <c r="AB105" s="161">
        <f t="shared" si="179"/>
        <v>1.633663366</v>
      </c>
      <c r="AC105" s="161">
        <f t="shared" si="179"/>
        <v>10.37142857</v>
      </c>
      <c r="AD105" s="161">
        <f t="shared" si="179"/>
        <v>0.8962264151</v>
      </c>
      <c r="AE105" s="161">
        <f t="shared" si="11"/>
        <v>3.514871171</v>
      </c>
    </row>
    <row r="106">
      <c r="A106" s="207">
        <v>77426.0</v>
      </c>
      <c r="B106" s="208">
        <v>2193.0</v>
      </c>
      <c r="C106" s="208">
        <v>8.7</v>
      </c>
      <c r="D106" s="208">
        <v>78229.0</v>
      </c>
      <c r="E106" s="208">
        <v>1.07</v>
      </c>
      <c r="F106" s="208">
        <v>4.7</v>
      </c>
      <c r="G106" s="208">
        <v>15.0</v>
      </c>
      <c r="H106" s="208">
        <v>5.7</v>
      </c>
      <c r="I106" s="208">
        <v>22.8</v>
      </c>
      <c r="J106" s="208">
        <v>9.2</v>
      </c>
      <c r="K106" s="208">
        <v>71.6</v>
      </c>
      <c r="L106" s="209">
        <v>3.8</v>
      </c>
      <c r="M106" s="161">
        <f t="shared" si="5"/>
        <v>12.27364185</v>
      </c>
      <c r="N106" s="189">
        <f t="shared" si="6"/>
        <v>72.72727273</v>
      </c>
      <c r="O106" s="161">
        <f t="shared" ref="O106:S106" si="180">((F106-O$1)/(O$2-O$1))*100</f>
        <v>23.5</v>
      </c>
      <c r="P106" s="161">
        <f t="shared" si="180"/>
        <v>28.65731463</v>
      </c>
      <c r="Q106" s="161">
        <f t="shared" si="180"/>
        <v>13.88174807</v>
      </c>
      <c r="R106" s="161">
        <f t="shared" si="180"/>
        <v>46.43584521</v>
      </c>
      <c r="S106" s="161">
        <f t="shared" si="180"/>
        <v>13.66336634</v>
      </c>
      <c r="T106" s="189">
        <f t="shared" si="8"/>
        <v>25.6</v>
      </c>
      <c r="U106" s="210">
        <f t="shared" si="9"/>
        <v>17.9245283</v>
      </c>
      <c r="V106" s="161">
        <f t="shared" ref="V106:AD106" si="181">M106*V$2</f>
        <v>2.45472837</v>
      </c>
      <c r="W106" s="161">
        <f t="shared" si="181"/>
        <v>14.54545455</v>
      </c>
      <c r="X106" s="161">
        <f t="shared" si="181"/>
        <v>1.175</v>
      </c>
      <c r="Y106" s="161">
        <f t="shared" si="181"/>
        <v>1.432865731</v>
      </c>
      <c r="Z106" s="161">
        <f t="shared" si="181"/>
        <v>0.6940874036</v>
      </c>
      <c r="AA106" s="161">
        <f t="shared" si="181"/>
        <v>4.643584521</v>
      </c>
      <c r="AB106" s="161">
        <f t="shared" si="181"/>
        <v>2.04950495</v>
      </c>
      <c r="AC106" s="161">
        <f t="shared" si="181"/>
        <v>3.84</v>
      </c>
      <c r="AD106" s="161">
        <f t="shared" si="181"/>
        <v>0.8962264151</v>
      </c>
      <c r="AE106" s="161">
        <f t="shared" si="11"/>
        <v>3.525716882</v>
      </c>
    </row>
    <row r="107">
      <c r="A107" s="207">
        <v>77047.0</v>
      </c>
      <c r="B107" s="208">
        <v>35248.0</v>
      </c>
      <c r="C107" s="208">
        <v>11.3</v>
      </c>
      <c r="D107" s="208">
        <v>73947.0</v>
      </c>
      <c r="E107" s="208">
        <v>1.01</v>
      </c>
      <c r="F107" s="208">
        <v>8.1</v>
      </c>
      <c r="G107" s="208">
        <v>16.3</v>
      </c>
      <c r="H107" s="208">
        <v>16.3</v>
      </c>
      <c r="I107" s="208">
        <v>10.6</v>
      </c>
      <c r="J107" s="208">
        <v>3.7</v>
      </c>
      <c r="K107" s="208">
        <v>70.6</v>
      </c>
      <c r="L107" s="209">
        <v>4.6</v>
      </c>
      <c r="M107" s="161">
        <f t="shared" si="5"/>
        <v>17.50503018</v>
      </c>
      <c r="N107" s="189">
        <f t="shared" si="6"/>
        <v>74.74747475</v>
      </c>
      <c r="O107" s="161">
        <f t="shared" ref="O107:S107" si="182">((F107-O$1)/(O$2-O$1))*100</f>
        <v>40.5</v>
      </c>
      <c r="P107" s="161">
        <f t="shared" si="182"/>
        <v>31.26252505</v>
      </c>
      <c r="Q107" s="161">
        <f t="shared" si="182"/>
        <v>41.1311054</v>
      </c>
      <c r="R107" s="161">
        <f t="shared" si="182"/>
        <v>21.5885947</v>
      </c>
      <c r="S107" s="161">
        <f t="shared" si="182"/>
        <v>2.772277228</v>
      </c>
      <c r="T107" s="189">
        <f t="shared" si="8"/>
        <v>26.74285714</v>
      </c>
      <c r="U107" s="210">
        <f t="shared" si="9"/>
        <v>21.69811321</v>
      </c>
      <c r="V107" s="161">
        <f t="shared" ref="V107:AD107" si="183">M107*V$2</f>
        <v>3.501006036</v>
      </c>
      <c r="W107" s="161">
        <f t="shared" si="183"/>
        <v>14.94949495</v>
      </c>
      <c r="X107" s="161">
        <f t="shared" si="183"/>
        <v>2.025</v>
      </c>
      <c r="Y107" s="161">
        <f t="shared" si="183"/>
        <v>1.563126253</v>
      </c>
      <c r="Z107" s="161">
        <f t="shared" si="183"/>
        <v>2.05655527</v>
      </c>
      <c r="AA107" s="161">
        <f t="shared" si="183"/>
        <v>2.15885947</v>
      </c>
      <c r="AB107" s="161">
        <f t="shared" si="183"/>
        <v>0.4158415842</v>
      </c>
      <c r="AC107" s="161">
        <f t="shared" si="183"/>
        <v>4.011428571</v>
      </c>
      <c r="AD107" s="161">
        <f t="shared" si="183"/>
        <v>1.08490566</v>
      </c>
      <c r="AE107" s="161">
        <f t="shared" si="11"/>
        <v>3.529579755</v>
      </c>
    </row>
    <row r="108">
      <c r="A108" s="207">
        <v>77027.0</v>
      </c>
      <c r="B108" s="208">
        <v>19269.0</v>
      </c>
      <c r="C108" s="208">
        <v>7.8</v>
      </c>
      <c r="D108" s="208">
        <v>102861.0</v>
      </c>
      <c r="E108" s="208">
        <v>1.41</v>
      </c>
      <c r="F108" s="208">
        <v>3.0</v>
      </c>
      <c r="G108" s="208">
        <v>9.0</v>
      </c>
      <c r="H108" s="208">
        <v>3.1</v>
      </c>
      <c r="I108" s="208">
        <v>1.7</v>
      </c>
      <c r="J108" s="208">
        <v>14.4</v>
      </c>
      <c r="K108" s="208">
        <v>29.2</v>
      </c>
      <c r="L108" s="209">
        <v>3.0</v>
      </c>
      <c r="M108" s="161">
        <f t="shared" si="5"/>
        <v>10.46277666</v>
      </c>
      <c r="N108" s="189">
        <f t="shared" si="6"/>
        <v>61.27946128</v>
      </c>
      <c r="O108" s="161">
        <f t="shared" ref="O108:S108" si="184">((F108-O$1)/(O$2-O$1))*100</f>
        <v>15</v>
      </c>
      <c r="P108" s="161">
        <f t="shared" si="184"/>
        <v>16.63326653</v>
      </c>
      <c r="Q108" s="161">
        <f t="shared" si="184"/>
        <v>7.197943445</v>
      </c>
      <c r="R108" s="161">
        <f t="shared" si="184"/>
        <v>3.462321792</v>
      </c>
      <c r="S108" s="161">
        <f t="shared" si="184"/>
        <v>23.96039604</v>
      </c>
      <c r="T108" s="189">
        <f t="shared" si="8"/>
        <v>74.05714286</v>
      </c>
      <c r="U108" s="210">
        <f t="shared" si="9"/>
        <v>14.1509434</v>
      </c>
      <c r="V108" s="161">
        <f t="shared" ref="V108:AD108" si="185">M108*V$2</f>
        <v>2.092555332</v>
      </c>
      <c r="W108" s="161">
        <f t="shared" si="185"/>
        <v>12.25589226</v>
      </c>
      <c r="X108" s="161">
        <f t="shared" si="185"/>
        <v>0.75</v>
      </c>
      <c r="Y108" s="161">
        <f t="shared" si="185"/>
        <v>0.8316633267</v>
      </c>
      <c r="Z108" s="161">
        <f t="shared" si="185"/>
        <v>0.3598971722</v>
      </c>
      <c r="AA108" s="161">
        <f t="shared" si="185"/>
        <v>0.3462321792</v>
      </c>
      <c r="AB108" s="161">
        <f t="shared" si="185"/>
        <v>3.594059406</v>
      </c>
      <c r="AC108" s="161">
        <f t="shared" si="185"/>
        <v>11.10857143</v>
      </c>
      <c r="AD108" s="161">
        <f t="shared" si="185"/>
        <v>0.7075471698</v>
      </c>
      <c r="AE108" s="161">
        <f t="shared" si="11"/>
        <v>3.560713141</v>
      </c>
    </row>
    <row r="109">
      <c r="A109" s="207">
        <v>77006.0</v>
      </c>
      <c r="B109" s="208">
        <v>23927.0</v>
      </c>
      <c r="C109" s="208">
        <v>9.5</v>
      </c>
      <c r="D109" s="208">
        <v>102003.0</v>
      </c>
      <c r="E109" s="208">
        <v>1.4</v>
      </c>
      <c r="F109" s="208">
        <v>3.9</v>
      </c>
      <c r="G109" s="208">
        <v>6.2</v>
      </c>
      <c r="H109" s="208">
        <v>2.2</v>
      </c>
      <c r="I109" s="208">
        <v>1.6</v>
      </c>
      <c r="J109" s="208">
        <v>14.0</v>
      </c>
      <c r="K109" s="208">
        <v>34.9</v>
      </c>
      <c r="L109" s="209">
        <v>6.2</v>
      </c>
      <c r="M109" s="161">
        <f t="shared" si="5"/>
        <v>13.8832998</v>
      </c>
      <c r="N109" s="189">
        <f t="shared" si="6"/>
        <v>61.61616162</v>
      </c>
      <c r="O109" s="161">
        <f t="shared" ref="O109:S109" si="186">((F109-O$1)/(O$2-O$1))*100</f>
        <v>19.5</v>
      </c>
      <c r="P109" s="161">
        <f t="shared" si="186"/>
        <v>11.02204409</v>
      </c>
      <c r="Q109" s="161">
        <f t="shared" si="186"/>
        <v>4.884318766</v>
      </c>
      <c r="R109" s="161">
        <f t="shared" si="186"/>
        <v>3.258655804</v>
      </c>
      <c r="S109" s="161">
        <f t="shared" si="186"/>
        <v>23.16831683</v>
      </c>
      <c r="T109" s="189">
        <f t="shared" si="8"/>
        <v>67.54285714</v>
      </c>
      <c r="U109" s="210">
        <f t="shared" si="9"/>
        <v>29.24528302</v>
      </c>
      <c r="V109" s="161">
        <f t="shared" ref="V109:AD109" si="187">M109*V$2</f>
        <v>2.77665996</v>
      </c>
      <c r="W109" s="161">
        <f t="shared" si="187"/>
        <v>12.32323232</v>
      </c>
      <c r="X109" s="161">
        <f t="shared" si="187"/>
        <v>0.975</v>
      </c>
      <c r="Y109" s="161">
        <f t="shared" si="187"/>
        <v>0.5511022044</v>
      </c>
      <c r="Z109" s="161">
        <f t="shared" si="187"/>
        <v>0.2442159383</v>
      </c>
      <c r="AA109" s="161">
        <f t="shared" si="187"/>
        <v>0.3258655804</v>
      </c>
      <c r="AB109" s="161">
        <f t="shared" si="187"/>
        <v>3.475247525</v>
      </c>
      <c r="AC109" s="161">
        <f t="shared" si="187"/>
        <v>10.13142857</v>
      </c>
      <c r="AD109" s="161">
        <f t="shared" si="187"/>
        <v>1.462264151</v>
      </c>
      <c r="AE109" s="161">
        <f t="shared" si="11"/>
        <v>3.585001806</v>
      </c>
    </row>
    <row r="110">
      <c r="A110" s="207">
        <v>77363.0</v>
      </c>
      <c r="B110" s="208">
        <v>3246.0</v>
      </c>
      <c r="C110" s="208">
        <v>10.0</v>
      </c>
      <c r="D110" s="208">
        <v>78667.0</v>
      </c>
      <c r="E110" s="208">
        <v>1.08</v>
      </c>
      <c r="F110" s="208">
        <v>10.4</v>
      </c>
      <c r="G110" s="208">
        <v>13.4</v>
      </c>
      <c r="H110" s="208">
        <v>15.6</v>
      </c>
      <c r="I110" s="208">
        <v>22.3</v>
      </c>
      <c r="J110" s="208">
        <v>12.9</v>
      </c>
      <c r="K110" s="208">
        <v>86.5</v>
      </c>
      <c r="L110" s="209">
        <v>1.1</v>
      </c>
      <c r="M110" s="161">
        <f t="shared" si="5"/>
        <v>14.88933602</v>
      </c>
      <c r="N110" s="189">
        <f t="shared" si="6"/>
        <v>72.39057239</v>
      </c>
      <c r="O110" s="161">
        <f t="shared" ref="O110:S110" si="188">((F110-O$1)/(O$2-O$1))*100</f>
        <v>52</v>
      </c>
      <c r="P110" s="161">
        <f t="shared" si="188"/>
        <v>25.4509018</v>
      </c>
      <c r="Q110" s="161">
        <f t="shared" si="188"/>
        <v>39.33161954</v>
      </c>
      <c r="R110" s="161">
        <f t="shared" si="188"/>
        <v>45.41751527</v>
      </c>
      <c r="S110" s="161">
        <f t="shared" si="188"/>
        <v>20.99009901</v>
      </c>
      <c r="T110" s="189">
        <f t="shared" si="8"/>
        <v>8.571428571</v>
      </c>
      <c r="U110" s="210">
        <f t="shared" si="9"/>
        <v>5.188679245</v>
      </c>
      <c r="V110" s="161">
        <f t="shared" ref="V110:AD110" si="189">M110*V$2</f>
        <v>2.977867203</v>
      </c>
      <c r="W110" s="161">
        <f t="shared" si="189"/>
        <v>14.47811448</v>
      </c>
      <c r="X110" s="161">
        <f t="shared" si="189"/>
        <v>2.6</v>
      </c>
      <c r="Y110" s="161">
        <f t="shared" si="189"/>
        <v>1.27254509</v>
      </c>
      <c r="Z110" s="161">
        <f t="shared" si="189"/>
        <v>1.966580977</v>
      </c>
      <c r="AA110" s="161">
        <f t="shared" si="189"/>
        <v>4.541751527</v>
      </c>
      <c r="AB110" s="161">
        <f t="shared" si="189"/>
        <v>3.148514851</v>
      </c>
      <c r="AC110" s="161">
        <f t="shared" si="189"/>
        <v>1.285714286</v>
      </c>
      <c r="AD110" s="161">
        <f t="shared" si="189"/>
        <v>0.2594339623</v>
      </c>
      <c r="AE110" s="161">
        <f t="shared" si="11"/>
        <v>3.614502486</v>
      </c>
    </row>
    <row r="111">
      <c r="A111" s="207">
        <v>77461.0</v>
      </c>
      <c r="B111" s="208">
        <v>12397.0</v>
      </c>
      <c r="C111" s="208">
        <v>16.4</v>
      </c>
      <c r="D111" s="208">
        <v>89360.0</v>
      </c>
      <c r="E111" s="208">
        <v>1.22</v>
      </c>
      <c r="F111" s="208">
        <v>4.9</v>
      </c>
      <c r="G111" s="208">
        <v>24.1</v>
      </c>
      <c r="H111" s="208">
        <v>9.7</v>
      </c>
      <c r="I111" s="208">
        <v>17.9</v>
      </c>
      <c r="J111" s="208">
        <v>6.3</v>
      </c>
      <c r="K111" s="208">
        <v>76.6</v>
      </c>
      <c r="L111" s="209">
        <v>4.3</v>
      </c>
      <c r="M111" s="161">
        <f t="shared" si="5"/>
        <v>27.7665996</v>
      </c>
      <c r="N111" s="189">
        <f t="shared" si="6"/>
        <v>67.67676768</v>
      </c>
      <c r="O111" s="161">
        <f t="shared" ref="O111:S111" si="190">((F111-O$1)/(O$2-O$1))*100</f>
        <v>24.5</v>
      </c>
      <c r="P111" s="161">
        <f t="shared" si="190"/>
        <v>46.89378758</v>
      </c>
      <c r="Q111" s="161">
        <f t="shared" si="190"/>
        <v>24.16452442</v>
      </c>
      <c r="R111" s="161">
        <f t="shared" si="190"/>
        <v>36.45621181</v>
      </c>
      <c r="S111" s="161">
        <f t="shared" si="190"/>
        <v>7.920792079</v>
      </c>
      <c r="T111" s="189">
        <f t="shared" si="8"/>
        <v>19.88571429</v>
      </c>
      <c r="U111" s="210">
        <f t="shared" si="9"/>
        <v>20.28301887</v>
      </c>
      <c r="V111" s="161">
        <f t="shared" ref="V111:AD111" si="191">M111*V$2</f>
        <v>5.55331992</v>
      </c>
      <c r="W111" s="161">
        <f t="shared" si="191"/>
        <v>13.53535354</v>
      </c>
      <c r="X111" s="161">
        <f t="shared" si="191"/>
        <v>1.225</v>
      </c>
      <c r="Y111" s="161">
        <f t="shared" si="191"/>
        <v>2.344689379</v>
      </c>
      <c r="Z111" s="161">
        <f t="shared" si="191"/>
        <v>1.208226221</v>
      </c>
      <c r="AA111" s="161">
        <f t="shared" si="191"/>
        <v>3.645621181</v>
      </c>
      <c r="AB111" s="161">
        <f t="shared" si="191"/>
        <v>1.188118812</v>
      </c>
      <c r="AC111" s="161">
        <f t="shared" si="191"/>
        <v>2.982857143</v>
      </c>
      <c r="AD111" s="161">
        <f t="shared" si="191"/>
        <v>1.014150943</v>
      </c>
      <c r="AE111" s="161">
        <f t="shared" si="11"/>
        <v>3.633037459</v>
      </c>
    </row>
    <row r="112">
      <c r="A112" s="207">
        <v>77056.0</v>
      </c>
      <c r="B112" s="208">
        <v>23314.0</v>
      </c>
      <c r="C112" s="208">
        <v>8.2</v>
      </c>
      <c r="D112" s="208">
        <v>101932.0</v>
      </c>
      <c r="E112" s="208">
        <v>1.4</v>
      </c>
      <c r="F112" s="208">
        <v>4.8</v>
      </c>
      <c r="G112" s="208">
        <v>9.5</v>
      </c>
      <c r="H112" s="208">
        <v>2.4</v>
      </c>
      <c r="I112" s="208">
        <v>1.8</v>
      </c>
      <c r="J112" s="208">
        <v>16.6</v>
      </c>
      <c r="K112" s="208">
        <v>35.4</v>
      </c>
      <c r="L112" s="209">
        <v>5.4</v>
      </c>
      <c r="M112" s="161">
        <f t="shared" si="5"/>
        <v>11.26760563</v>
      </c>
      <c r="N112" s="189">
        <f t="shared" si="6"/>
        <v>61.61616162</v>
      </c>
      <c r="O112" s="161">
        <f t="shared" ref="O112:S112" si="192">((F112-O$1)/(O$2-O$1))*100</f>
        <v>24</v>
      </c>
      <c r="P112" s="161">
        <f t="shared" si="192"/>
        <v>17.63527054</v>
      </c>
      <c r="Q112" s="161">
        <f t="shared" si="192"/>
        <v>5.398457584</v>
      </c>
      <c r="R112" s="161">
        <f t="shared" si="192"/>
        <v>3.66598778</v>
      </c>
      <c r="S112" s="161">
        <f t="shared" si="192"/>
        <v>28.31683168</v>
      </c>
      <c r="T112" s="189">
        <f t="shared" si="8"/>
        <v>66.97142857</v>
      </c>
      <c r="U112" s="210">
        <f t="shared" si="9"/>
        <v>25.47169811</v>
      </c>
      <c r="V112" s="161">
        <f t="shared" ref="V112:AD112" si="193">M112*V$2</f>
        <v>2.253521127</v>
      </c>
      <c r="W112" s="161">
        <f t="shared" si="193"/>
        <v>12.32323232</v>
      </c>
      <c r="X112" s="161">
        <f t="shared" si="193"/>
        <v>1.2</v>
      </c>
      <c r="Y112" s="161">
        <f t="shared" si="193"/>
        <v>0.8817635271</v>
      </c>
      <c r="Z112" s="161">
        <f t="shared" si="193"/>
        <v>0.2699228792</v>
      </c>
      <c r="AA112" s="161">
        <f t="shared" si="193"/>
        <v>0.366598778</v>
      </c>
      <c r="AB112" s="161">
        <f t="shared" si="193"/>
        <v>4.247524752</v>
      </c>
      <c r="AC112" s="161">
        <f t="shared" si="193"/>
        <v>10.04571429</v>
      </c>
      <c r="AD112" s="161">
        <f t="shared" si="193"/>
        <v>1.273584906</v>
      </c>
      <c r="AE112" s="161">
        <f t="shared" si="11"/>
        <v>3.651318064</v>
      </c>
    </row>
    <row r="113">
      <c r="A113" s="207">
        <v>77066.0</v>
      </c>
      <c r="B113" s="208">
        <v>38315.0</v>
      </c>
      <c r="C113" s="208">
        <v>12.5</v>
      </c>
      <c r="D113" s="208">
        <v>83545.0</v>
      </c>
      <c r="E113" s="208">
        <v>1.14</v>
      </c>
      <c r="F113" s="208">
        <v>5.2</v>
      </c>
      <c r="G113" s="208">
        <v>21.6</v>
      </c>
      <c r="H113" s="208">
        <v>15.9</v>
      </c>
      <c r="I113" s="208">
        <v>23.4</v>
      </c>
      <c r="J113" s="208">
        <v>3.6</v>
      </c>
      <c r="K113" s="208">
        <v>74.3</v>
      </c>
      <c r="L113" s="209">
        <v>4.1</v>
      </c>
      <c r="M113" s="161">
        <f t="shared" si="5"/>
        <v>19.9195171</v>
      </c>
      <c r="N113" s="189">
        <f t="shared" si="6"/>
        <v>70.37037037</v>
      </c>
      <c r="O113" s="161">
        <f t="shared" ref="O113:S113" si="194">((F113-O$1)/(O$2-O$1))*100</f>
        <v>26</v>
      </c>
      <c r="P113" s="161">
        <f t="shared" si="194"/>
        <v>41.88376754</v>
      </c>
      <c r="Q113" s="161">
        <f t="shared" si="194"/>
        <v>40.10282776</v>
      </c>
      <c r="R113" s="161">
        <f t="shared" si="194"/>
        <v>47.65784114</v>
      </c>
      <c r="S113" s="161">
        <f t="shared" si="194"/>
        <v>2.574257426</v>
      </c>
      <c r="T113" s="189">
        <f t="shared" si="8"/>
        <v>22.51428571</v>
      </c>
      <c r="U113" s="210">
        <f t="shared" si="9"/>
        <v>19.33962264</v>
      </c>
      <c r="V113" s="161">
        <f t="shared" ref="V113:AD113" si="195">M113*V$2</f>
        <v>3.983903421</v>
      </c>
      <c r="W113" s="161">
        <f t="shared" si="195"/>
        <v>14.07407407</v>
      </c>
      <c r="X113" s="161">
        <f t="shared" si="195"/>
        <v>1.3</v>
      </c>
      <c r="Y113" s="161">
        <f t="shared" si="195"/>
        <v>2.094188377</v>
      </c>
      <c r="Z113" s="161">
        <f t="shared" si="195"/>
        <v>2.005141388</v>
      </c>
      <c r="AA113" s="161">
        <f t="shared" si="195"/>
        <v>4.765784114</v>
      </c>
      <c r="AB113" s="161">
        <f t="shared" si="195"/>
        <v>0.3861386139</v>
      </c>
      <c r="AC113" s="161">
        <f t="shared" si="195"/>
        <v>3.377142857</v>
      </c>
      <c r="AD113" s="161">
        <f t="shared" si="195"/>
        <v>0.9669811321</v>
      </c>
      <c r="AE113" s="161">
        <f t="shared" si="11"/>
        <v>3.661483775</v>
      </c>
    </row>
    <row r="114">
      <c r="A114" s="207">
        <v>77069.0</v>
      </c>
      <c r="B114" s="208">
        <v>20935.0</v>
      </c>
      <c r="C114" s="208">
        <v>18.6</v>
      </c>
      <c r="D114" s="208">
        <v>73599.0</v>
      </c>
      <c r="E114" s="208">
        <v>1.01</v>
      </c>
      <c r="F114" s="208">
        <v>6.5</v>
      </c>
      <c r="G114" s="208">
        <v>11.4</v>
      </c>
      <c r="H114" s="208">
        <v>7.7</v>
      </c>
      <c r="I114" s="208">
        <v>3.9</v>
      </c>
      <c r="J114" s="208">
        <v>5.9</v>
      </c>
      <c r="K114" s="208">
        <v>62.7</v>
      </c>
      <c r="L114" s="209">
        <v>3.6</v>
      </c>
      <c r="M114" s="161">
        <f t="shared" si="5"/>
        <v>32.19315895</v>
      </c>
      <c r="N114" s="189">
        <f t="shared" si="6"/>
        <v>74.74747475</v>
      </c>
      <c r="O114" s="161">
        <f t="shared" ref="O114:S114" si="196">((F114-O$1)/(O$2-O$1))*100</f>
        <v>32.5</v>
      </c>
      <c r="P114" s="161">
        <f t="shared" si="196"/>
        <v>21.44288577</v>
      </c>
      <c r="Q114" s="161">
        <f t="shared" si="196"/>
        <v>19.02313625</v>
      </c>
      <c r="R114" s="161">
        <f t="shared" si="196"/>
        <v>7.942973523</v>
      </c>
      <c r="S114" s="161">
        <f t="shared" si="196"/>
        <v>7.128712871</v>
      </c>
      <c r="T114" s="189">
        <f t="shared" si="8"/>
        <v>35.77142857</v>
      </c>
      <c r="U114" s="210">
        <f t="shared" si="9"/>
        <v>16.98113208</v>
      </c>
      <c r="V114" s="161">
        <f t="shared" ref="V114:AD114" si="197">M114*V$2</f>
        <v>6.438631791</v>
      </c>
      <c r="W114" s="161">
        <f t="shared" si="197"/>
        <v>14.94949495</v>
      </c>
      <c r="X114" s="161">
        <f t="shared" si="197"/>
        <v>1.625</v>
      </c>
      <c r="Y114" s="161">
        <f t="shared" si="197"/>
        <v>1.072144289</v>
      </c>
      <c r="Z114" s="161">
        <f t="shared" si="197"/>
        <v>0.9511568123</v>
      </c>
      <c r="AA114" s="161">
        <f t="shared" si="197"/>
        <v>0.7942973523</v>
      </c>
      <c r="AB114" s="161">
        <f t="shared" si="197"/>
        <v>1.069306931</v>
      </c>
      <c r="AC114" s="161">
        <f t="shared" si="197"/>
        <v>5.365714286</v>
      </c>
      <c r="AD114" s="161">
        <f t="shared" si="197"/>
        <v>0.8490566038</v>
      </c>
      <c r="AE114" s="161">
        <f t="shared" si="11"/>
        <v>3.679422557</v>
      </c>
    </row>
    <row r="115">
      <c r="A115" s="207">
        <v>77511.0</v>
      </c>
      <c r="B115" s="208">
        <v>51984.0</v>
      </c>
      <c r="C115" s="208">
        <v>8.9</v>
      </c>
      <c r="D115" s="208">
        <v>77015.0</v>
      </c>
      <c r="E115" s="208">
        <v>1.05</v>
      </c>
      <c r="F115" s="208">
        <v>4.7</v>
      </c>
      <c r="G115" s="208">
        <v>17.7</v>
      </c>
      <c r="H115" s="208">
        <v>11.9</v>
      </c>
      <c r="I115" s="208">
        <v>17.2</v>
      </c>
      <c r="J115" s="208">
        <v>12.3</v>
      </c>
      <c r="K115" s="208">
        <v>69.6</v>
      </c>
      <c r="L115" s="209">
        <v>3.8</v>
      </c>
      <c r="M115" s="161">
        <f t="shared" si="5"/>
        <v>12.67605634</v>
      </c>
      <c r="N115" s="189">
        <f t="shared" si="6"/>
        <v>73.4006734</v>
      </c>
      <c r="O115" s="161">
        <f t="shared" ref="O115:S115" si="198">((F115-O$1)/(O$2-O$1))*100</f>
        <v>23.5</v>
      </c>
      <c r="P115" s="161">
        <f t="shared" si="198"/>
        <v>34.06813627</v>
      </c>
      <c r="Q115" s="161">
        <f t="shared" si="198"/>
        <v>29.82005141</v>
      </c>
      <c r="R115" s="161">
        <f t="shared" si="198"/>
        <v>35.0305499</v>
      </c>
      <c r="S115" s="161">
        <f t="shared" si="198"/>
        <v>19.8019802</v>
      </c>
      <c r="T115" s="189">
        <f t="shared" si="8"/>
        <v>27.88571429</v>
      </c>
      <c r="U115" s="210">
        <f t="shared" si="9"/>
        <v>17.9245283</v>
      </c>
      <c r="V115" s="161">
        <f t="shared" ref="V115:AD115" si="199">M115*V$2</f>
        <v>2.535211268</v>
      </c>
      <c r="W115" s="161">
        <f t="shared" si="199"/>
        <v>14.68013468</v>
      </c>
      <c r="X115" s="161">
        <f t="shared" si="199"/>
        <v>1.175</v>
      </c>
      <c r="Y115" s="161">
        <f t="shared" si="199"/>
        <v>1.703406814</v>
      </c>
      <c r="Z115" s="161">
        <f t="shared" si="199"/>
        <v>1.491002571</v>
      </c>
      <c r="AA115" s="161">
        <f t="shared" si="199"/>
        <v>3.50305499</v>
      </c>
      <c r="AB115" s="161">
        <f t="shared" si="199"/>
        <v>2.97029703</v>
      </c>
      <c r="AC115" s="161">
        <f t="shared" si="199"/>
        <v>4.182857143</v>
      </c>
      <c r="AD115" s="161">
        <f t="shared" si="199"/>
        <v>0.8962264151</v>
      </c>
      <c r="AE115" s="161">
        <f t="shared" si="11"/>
        <v>3.681910101</v>
      </c>
    </row>
    <row r="116">
      <c r="A116" s="207">
        <v>77422.0</v>
      </c>
      <c r="B116" s="208">
        <v>14548.0</v>
      </c>
      <c r="C116" s="208">
        <v>10.3</v>
      </c>
      <c r="D116" s="208">
        <v>75223.0</v>
      </c>
      <c r="E116" s="208">
        <v>1.03</v>
      </c>
      <c r="F116" s="208">
        <v>5.7</v>
      </c>
      <c r="G116" s="208">
        <v>15.3</v>
      </c>
      <c r="H116" s="208">
        <v>9.2</v>
      </c>
      <c r="I116" s="208">
        <v>15.5</v>
      </c>
      <c r="J116" s="208">
        <v>18.9</v>
      </c>
      <c r="K116" s="208">
        <v>83.2</v>
      </c>
      <c r="L116" s="209">
        <v>5.6</v>
      </c>
      <c r="M116" s="161">
        <f t="shared" si="5"/>
        <v>15.49295775</v>
      </c>
      <c r="N116" s="189">
        <f t="shared" si="6"/>
        <v>74.07407407</v>
      </c>
      <c r="O116" s="161">
        <f t="shared" ref="O116:S116" si="200">((F116-O$1)/(O$2-O$1))*100</f>
        <v>28.5</v>
      </c>
      <c r="P116" s="161">
        <f t="shared" si="200"/>
        <v>29.25851703</v>
      </c>
      <c r="Q116" s="161">
        <f t="shared" si="200"/>
        <v>22.87917738</v>
      </c>
      <c r="R116" s="161">
        <f t="shared" si="200"/>
        <v>31.56822811</v>
      </c>
      <c r="S116" s="161">
        <f t="shared" si="200"/>
        <v>32.87128713</v>
      </c>
      <c r="T116" s="189">
        <f t="shared" si="8"/>
        <v>12.34285714</v>
      </c>
      <c r="U116" s="210">
        <f t="shared" si="9"/>
        <v>26.41509434</v>
      </c>
      <c r="V116" s="161">
        <f t="shared" ref="V116:AD116" si="201">M116*V$2</f>
        <v>3.098591549</v>
      </c>
      <c r="W116" s="161">
        <f t="shared" si="201"/>
        <v>14.81481481</v>
      </c>
      <c r="X116" s="161">
        <f t="shared" si="201"/>
        <v>1.425</v>
      </c>
      <c r="Y116" s="161">
        <f t="shared" si="201"/>
        <v>1.462925852</v>
      </c>
      <c r="Z116" s="161">
        <f t="shared" si="201"/>
        <v>1.143958869</v>
      </c>
      <c r="AA116" s="161">
        <f t="shared" si="201"/>
        <v>3.156822811</v>
      </c>
      <c r="AB116" s="161">
        <f t="shared" si="201"/>
        <v>4.930693069</v>
      </c>
      <c r="AC116" s="161">
        <f t="shared" si="201"/>
        <v>1.851428571</v>
      </c>
      <c r="AD116" s="161">
        <f t="shared" si="201"/>
        <v>1.320754717</v>
      </c>
      <c r="AE116" s="161">
        <f t="shared" si="11"/>
        <v>3.689443361</v>
      </c>
    </row>
    <row r="117">
      <c r="A117" s="207">
        <v>77358.0</v>
      </c>
      <c r="B117" s="208">
        <v>5565.0</v>
      </c>
      <c r="C117" s="208">
        <v>10.6</v>
      </c>
      <c r="D117" s="208">
        <v>79018.0</v>
      </c>
      <c r="E117" s="208">
        <v>1.08</v>
      </c>
      <c r="F117" s="208">
        <v>3.6</v>
      </c>
      <c r="G117" s="208">
        <v>11.3</v>
      </c>
      <c r="H117" s="208">
        <v>9.2</v>
      </c>
      <c r="I117" s="208">
        <v>9.4</v>
      </c>
      <c r="J117" s="208">
        <v>18.1</v>
      </c>
      <c r="K117" s="208">
        <v>75.8</v>
      </c>
      <c r="L117" s="209">
        <v>12.9</v>
      </c>
      <c r="M117" s="161">
        <f t="shared" si="5"/>
        <v>16.09657948</v>
      </c>
      <c r="N117" s="189">
        <f t="shared" si="6"/>
        <v>72.39057239</v>
      </c>
      <c r="O117" s="161">
        <f t="shared" ref="O117:S117" si="202">((F117-O$1)/(O$2-O$1))*100</f>
        <v>18</v>
      </c>
      <c r="P117" s="161">
        <f t="shared" si="202"/>
        <v>21.24248497</v>
      </c>
      <c r="Q117" s="161">
        <f t="shared" si="202"/>
        <v>22.87917738</v>
      </c>
      <c r="R117" s="161">
        <f t="shared" si="202"/>
        <v>19.14460285</v>
      </c>
      <c r="S117" s="161">
        <f t="shared" si="202"/>
        <v>31.28712871</v>
      </c>
      <c r="T117" s="189">
        <f t="shared" si="8"/>
        <v>20.8</v>
      </c>
      <c r="U117" s="210">
        <f t="shared" si="9"/>
        <v>60.8490566</v>
      </c>
      <c r="V117" s="161">
        <f t="shared" ref="V117:AD117" si="203">M117*V$2</f>
        <v>3.219315895</v>
      </c>
      <c r="W117" s="161">
        <f t="shared" si="203"/>
        <v>14.47811448</v>
      </c>
      <c r="X117" s="161">
        <f t="shared" si="203"/>
        <v>0.9</v>
      </c>
      <c r="Y117" s="161">
        <f t="shared" si="203"/>
        <v>1.062124248</v>
      </c>
      <c r="Z117" s="161">
        <f t="shared" si="203"/>
        <v>1.143958869</v>
      </c>
      <c r="AA117" s="161">
        <f t="shared" si="203"/>
        <v>1.914460285</v>
      </c>
      <c r="AB117" s="161">
        <f t="shared" si="203"/>
        <v>4.693069307</v>
      </c>
      <c r="AC117" s="161">
        <f t="shared" si="203"/>
        <v>3.12</v>
      </c>
      <c r="AD117" s="161">
        <f t="shared" si="203"/>
        <v>3.04245283</v>
      </c>
      <c r="AE117" s="161">
        <f t="shared" si="11"/>
        <v>3.730388435</v>
      </c>
    </row>
    <row r="118">
      <c r="A118" s="207">
        <v>77336.0</v>
      </c>
      <c r="B118" s="208">
        <v>12510.0</v>
      </c>
      <c r="C118" s="208">
        <v>16.3</v>
      </c>
      <c r="D118" s="208">
        <v>83267.0</v>
      </c>
      <c r="E118" s="208">
        <v>1.14</v>
      </c>
      <c r="F118" s="208">
        <v>6.1</v>
      </c>
      <c r="G118" s="208">
        <v>13.6</v>
      </c>
      <c r="H118" s="208">
        <v>10.0</v>
      </c>
      <c r="I118" s="208">
        <v>12.8</v>
      </c>
      <c r="J118" s="208">
        <v>15.4</v>
      </c>
      <c r="K118" s="208">
        <v>78.5</v>
      </c>
      <c r="L118" s="209">
        <v>3.6</v>
      </c>
      <c r="M118" s="161">
        <f t="shared" si="5"/>
        <v>27.56539235</v>
      </c>
      <c r="N118" s="189">
        <f t="shared" si="6"/>
        <v>70.37037037</v>
      </c>
      <c r="O118" s="161">
        <f t="shared" ref="O118:S118" si="204">((F118-O$1)/(O$2-O$1))*100</f>
        <v>30.5</v>
      </c>
      <c r="P118" s="161">
        <f t="shared" si="204"/>
        <v>25.85170341</v>
      </c>
      <c r="Q118" s="161">
        <f t="shared" si="204"/>
        <v>24.93573265</v>
      </c>
      <c r="R118" s="161">
        <f t="shared" si="204"/>
        <v>26.06924644</v>
      </c>
      <c r="S118" s="161">
        <f t="shared" si="204"/>
        <v>25.94059406</v>
      </c>
      <c r="T118" s="189">
        <f t="shared" si="8"/>
        <v>17.71428571</v>
      </c>
      <c r="U118" s="210">
        <f t="shared" si="9"/>
        <v>16.98113208</v>
      </c>
      <c r="V118" s="161">
        <f t="shared" ref="V118:AD118" si="205">M118*V$2</f>
        <v>5.513078471</v>
      </c>
      <c r="W118" s="161">
        <f t="shared" si="205"/>
        <v>14.07407407</v>
      </c>
      <c r="X118" s="161">
        <f t="shared" si="205"/>
        <v>1.525</v>
      </c>
      <c r="Y118" s="161">
        <f t="shared" si="205"/>
        <v>1.29258517</v>
      </c>
      <c r="Z118" s="161">
        <f t="shared" si="205"/>
        <v>1.246786632</v>
      </c>
      <c r="AA118" s="161">
        <f t="shared" si="205"/>
        <v>2.606924644</v>
      </c>
      <c r="AB118" s="161">
        <f t="shared" si="205"/>
        <v>3.891089109</v>
      </c>
      <c r="AC118" s="161">
        <f t="shared" si="205"/>
        <v>2.657142857</v>
      </c>
      <c r="AD118" s="161">
        <f t="shared" si="205"/>
        <v>0.8490566038</v>
      </c>
      <c r="AE118" s="161">
        <f t="shared" si="11"/>
        <v>3.739526396</v>
      </c>
    </row>
    <row r="119">
      <c r="A119" s="207">
        <v>77568.0</v>
      </c>
      <c r="B119" s="208">
        <v>21118.0</v>
      </c>
      <c r="C119" s="208">
        <v>13.8</v>
      </c>
      <c r="D119" s="208">
        <v>72912.0</v>
      </c>
      <c r="E119" s="208">
        <v>1.0</v>
      </c>
      <c r="F119" s="208">
        <v>5.8</v>
      </c>
      <c r="G119" s="208">
        <v>16.4</v>
      </c>
      <c r="H119" s="208">
        <v>15.8</v>
      </c>
      <c r="I119" s="208">
        <v>12.2</v>
      </c>
      <c r="J119" s="208">
        <v>10.0</v>
      </c>
      <c r="K119" s="208">
        <v>73.7</v>
      </c>
      <c r="L119" s="209">
        <v>4.0</v>
      </c>
      <c r="M119" s="161">
        <f t="shared" si="5"/>
        <v>22.53521127</v>
      </c>
      <c r="N119" s="189">
        <f t="shared" si="6"/>
        <v>75.08417508</v>
      </c>
      <c r="O119" s="161">
        <f t="shared" ref="O119:S119" si="206">((F119-O$1)/(O$2-O$1))*100</f>
        <v>29</v>
      </c>
      <c r="P119" s="161">
        <f t="shared" si="206"/>
        <v>31.46292585</v>
      </c>
      <c r="Q119" s="161">
        <f t="shared" si="206"/>
        <v>39.84575835</v>
      </c>
      <c r="R119" s="161">
        <f t="shared" si="206"/>
        <v>24.84725051</v>
      </c>
      <c r="S119" s="161">
        <f t="shared" si="206"/>
        <v>15.24752475</v>
      </c>
      <c r="T119" s="189">
        <f t="shared" si="8"/>
        <v>23.2</v>
      </c>
      <c r="U119" s="210">
        <f t="shared" si="9"/>
        <v>18.86792453</v>
      </c>
      <c r="V119" s="161">
        <f t="shared" ref="V119:AD119" si="207">M119*V$2</f>
        <v>4.507042254</v>
      </c>
      <c r="W119" s="161">
        <f t="shared" si="207"/>
        <v>15.01683502</v>
      </c>
      <c r="X119" s="161">
        <f t="shared" si="207"/>
        <v>1.45</v>
      </c>
      <c r="Y119" s="161">
        <f t="shared" si="207"/>
        <v>1.573146293</v>
      </c>
      <c r="Z119" s="161">
        <f t="shared" si="207"/>
        <v>1.992287918</v>
      </c>
      <c r="AA119" s="161">
        <f t="shared" si="207"/>
        <v>2.484725051</v>
      </c>
      <c r="AB119" s="161">
        <f t="shared" si="207"/>
        <v>2.287128713</v>
      </c>
      <c r="AC119" s="161">
        <f t="shared" si="207"/>
        <v>3.48</v>
      </c>
      <c r="AD119" s="161">
        <f t="shared" si="207"/>
        <v>0.9433962264</v>
      </c>
      <c r="AE119" s="161">
        <f t="shared" si="11"/>
        <v>3.748284608</v>
      </c>
    </row>
    <row r="120">
      <c r="A120" s="207">
        <v>77064.0</v>
      </c>
      <c r="B120" s="208">
        <v>48924.0</v>
      </c>
      <c r="C120" s="208">
        <v>12.2</v>
      </c>
      <c r="D120" s="208">
        <v>85318.0</v>
      </c>
      <c r="E120" s="208">
        <v>1.17</v>
      </c>
      <c r="F120" s="208">
        <v>5.8</v>
      </c>
      <c r="G120" s="208">
        <v>18.9</v>
      </c>
      <c r="H120" s="208">
        <v>12.9</v>
      </c>
      <c r="I120" s="208">
        <v>17.9</v>
      </c>
      <c r="J120" s="208">
        <v>7.9</v>
      </c>
      <c r="K120" s="208">
        <v>63.2</v>
      </c>
      <c r="L120" s="209">
        <v>2.7</v>
      </c>
      <c r="M120" s="161">
        <f t="shared" si="5"/>
        <v>19.31589537</v>
      </c>
      <c r="N120" s="189">
        <f t="shared" si="6"/>
        <v>69.36026936</v>
      </c>
      <c r="O120" s="161">
        <f t="shared" ref="O120:S120" si="208">((F120-O$1)/(O$2-O$1))*100</f>
        <v>29</v>
      </c>
      <c r="P120" s="161">
        <f t="shared" si="208"/>
        <v>36.47294589</v>
      </c>
      <c r="Q120" s="161">
        <f t="shared" si="208"/>
        <v>32.3907455</v>
      </c>
      <c r="R120" s="161">
        <f t="shared" si="208"/>
        <v>36.45621181</v>
      </c>
      <c r="S120" s="161">
        <f t="shared" si="208"/>
        <v>11.08910891</v>
      </c>
      <c r="T120" s="189">
        <f t="shared" si="8"/>
        <v>35.2</v>
      </c>
      <c r="U120" s="210">
        <f t="shared" si="9"/>
        <v>12.73584906</v>
      </c>
      <c r="V120" s="161">
        <f t="shared" ref="V120:AD120" si="209">M120*V$2</f>
        <v>3.863179074</v>
      </c>
      <c r="W120" s="161">
        <f t="shared" si="209"/>
        <v>13.87205387</v>
      </c>
      <c r="X120" s="161">
        <f t="shared" si="209"/>
        <v>1.45</v>
      </c>
      <c r="Y120" s="161">
        <f t="shared" si="209"/>
        <v>1.823647295</v>
      </c>
      <c r="Z120" s="161">
        <f t="shared" si="209"/>
        <v>1.619537275</v>
      </c>
      <c r="AA120" s="161">
        <f t="shared" si="209"/>
        <v>3.645621181</v>
      </c>
      <c r="AB120" s="161">
        <f t="shared" si="209"/>
        <v>1.663366337</v>
      </c>
      <c r="AC120" s="161">
        <f t="shared" si="209"/>
        <v>5.28</v>
      </c>
      <c r="AD120" s="161">
        <f t="shared" si="209"/>
        <v>0.6367924528</v>
      </c>
      <c r="AE120" s="161">
        <f t="shared" si="11"/>
        <v>3.761577499</v>
      </c>
    </row>
    <row r="121">
      <c r="A121" s="207">
        <v>77396.0</v>
      </c>
      <c r="B121" s="208">
        <v>58893.0</v>
      </c>
      <c r="C121" s="208">
        <v>13.3</v>
      </c>
      <c r="D121" s="208">
        <v>76506.0</v>
      </c>
      <c r="E121" s="208">
        <v>1.05</v>
      </c>
      <c r="F121" s="208">
        <v>7.0</v>
      </c>
      <c r="G121" s="208">
        <v>23.7</v>
      </c>
      <c r="H121" s="208">
        <v>12.2</v>
      </c>
      <c r="I121" s="208">
        <v>16.8</v>
      </c>
      <c r="J121" s="208">
        <v>4.9</v>
      </c>
      <c r="K121" s="208">
        <v>67.2</v>
      </c>
      <c r="L121" s="209">
        <v>2.4</v>
      </c>
      <c r="M121" s="161">
        <f t="shared" si="5"/>
        <v>21.52917505</v>
      </c>
      <c r="N121" s="189">
        <f t="shared" si="6"/>
        <v>73.4006734</v>
      </c>
      <c r="O121" s="161">
        <f t="shared" ref="O121:S121" si="210">((F121-O$1)/(O$2-O$1))*100</f>
        <v>35</v>
      </c>
      <c r="P121" s="161">
        <f t="shared" si="210"/>
        <v>46.09218437</v>
      </c>
      <c r="Q121" s="161">
        <f t="shared" si="210"/>
        <v>30.59125964</v>
      </c>
      <c r="R121" s="161">
        <f t="shared" si="210"/>
        <v>34.21588595</v>
      </c>
      <c r="S121" s="161">
        <f t="shared" si="210"/>
        <v>5.148514851</v>
      </c>
      <c r="T121" s="189">
        <f t="shared" si="8"/>
        <v>30.62857143</v>
      </c>
      <c r="U121" s="210">
        <f t="shared" si="9"/>
        <v>11.32075472</v>
      </c>
      <c r="V121" s="161">
        <f t="shared" ref="V121:AD121" si="211">M121*V$2</f>
        <v>4.30583501</v>
      </c>
      <c r="W121" s="161">
        <f t="shared" si="211"/>
        <v>14.68013468</v>
      </c>
      <c r="X121" s="161">
        <f t="shared" si="211"/>
        <v>1.75</v>
      </c>
      <c r="Y121" s="161">
        <f t="shared" si="211"/>
        <v>2.304609218</v>
      </c>
      <c r="Z121" s="161">
        <f t="shared" si="211"/>
        <v>1.529562982</v>
      </c>
      <c r="AA121" s="161">
        <f t="shared" si="211"/>
        <v>3.421588595</v>
      </c>
      <c r="AB121" s="161">
        <f t="shared" si="211"/>
        <v>0.7722772277</v>
      </c>
      <c r="AC121" s="161">
        <f t="shared" si="211"/>
        <v>4.594285714</v>
      </c>
      <c r="AD121" s="161">
        <f t="shared" si="211"/>
        <v>0.5660377358</v>
      </c>
      <c r="AE121" s="161">
        <f t="shared" si="11"/>
        <v>3.769370129</v>
      </c>
    </row>
    <row r="122">
      <c r="A122" s="207">
        <v>77378.0</v>
      </c>
      <c r="B122" s="208">
        <v>17576.0</v>
      </c>
      <c r="C122" s="208">
        <v>14.4</v>
      </c>
      <c r="D122" s="208">
        <v>68595.0</v>
      </c>
      <c r="E122" s="208">
        <v>0.94</v>
      </c>
      <c r="F122" s="208">
        <v>6.9</v>
      </c>
      <c r="G122" s="208">
        <v>23.9</v>
      </c>
      <c r="H122" s="208">
        <v>11.9</v>
      </c>
      <c r="I122" s="208">
        <v>19.0</v>
      </c>
      <c r="J122" s="208">
        <v>3.9</v>
      </c>
      <c r="K122" s="208">
        <v>71.5</v>
      </c>
      <c r="L122" s="209">
        <v>2.5</v>
      </c>
      <c r="M122" s="161">
        <f t="shared" si="5"/>
        <v>23.74245473</v>
      </c>
      <c r="N122" s="189">
        <f t="shared" si="6"/>
        <v>77.1043771</v>
      </c>
      <c r="O122" s="161">
        <f t="shared" ref="O122:S122" si="212">((F122-O$1)/(O$2-O$1))*100</f>
        <v>34.5</v>
      </c>
      <c r="P122" s="161">
        <f t="shared" si="212"/>
        <v>46.49298597</v>
      </c>
      <c r="Q122" s="161">
        <f t="shared" si="212"/>
        <v>29.82005141</v>
      </c>
      <c r="R122" s="161">
        <f t="shared" si="212"/>
        <v>38.69653768</v>
      </c>
      <c r="S122" s="161">
        <f t="shared" si="212"/>
        <v>3.168316832</v>
      </c>
      <c r="T122" s="189">
        <f t="shared" si="8"/>
        <v>25.71428571</v>
      </c>
      <c r="U122" s="210">
        <f t="shared" si="9"/>
        <v>11.79245283</v>
      </c>
      <c r="V122" s="161">
        <f t="shared" ref="V122:AD122" si="213">M122*V$2</f>
        <v>4.748490946</v>
      </c>
      <c r="W122" s="161">
        <f t="shared" si="213"/>
        <v>15.42087542</v>
      </c>
      <c r="X122" s="161">
        <f t="shared" si="213"/>
        <v>1.725</v>
      </c>
      <c r="Y122" s="161">
        <f t="shared" si="213"/>
        <v>2.324649299</v>
      </c>
      <c r="Z122" s="161">
        <f t="shared" si="213"/>
        <v>1.491002571</v>
      </c>
      <c r="AA122" s="161">
        <f t="shared" si="213"/>
        <v>3.869653768</v>
      </c>
      <c r="AB122" s="161">
        <f t="shared" si="213"/>
        <v>0.4752475248</v>
      </c>
      <c r="AC122" s="161">
        <f t="shared" si="213"/>
        <v>3.857142857</v>
      </c>
      <c r="AD122" s="161">
        <f t="shared" si="213"/>
        <v>0.5896226415</v>
      </c>
      <c r="AE122" s="161">
        <f t="shared" si="11"/>
        <v>3.833520559</v>
      </c>
    </row>
    <row r="123">
      <c r="A123" s="207">
        <v>77563.0</v>
      </c>
      <c r="B123" s="208">
        <v>10212.0</v>
      </c>
      <c r="C123" s="208">
        <v>15.8</v>
      </c>
      <c r="D123" s="208">
        <v>80199.0</v>
      </c>
      <c r="E123" s="208">
        <v>1.1</v>
      </c>
      <c r="F123" s="208">
        <v>9.5</v>
      </c>
      <c r="G123" s="208">
        <v>17.4</v>
      </c>
      <c r="H123" s="208">
        <v>16.1</v>
      </c>
      <c r="I123" s="208">
        <v>11.8</v>
      </c>
      <c r="J123" s="208">
        <v>11.8</v>
      </c>
      <c r="K123" s="208">
        <v>77.1</v>
      </c>
      <c r="L123" s="209">
        <v>3.8</v>
      </c>
      <c r="M123" s="161">
        <f t="shared" si="5"/>
        <v>26.55935614</v>
      </c>
      <c r="N123" s="189">
        <f t="shared" si="6"/>
        <v>71.71717172</v>
      </c>
      <c r="O123" s="161">
        <f t="shared" ref="O123:S123" si="214">((F123-O$1)/(O$2-O$1))*100</f>
        <v>47.5</v>
      </c>
      <c r="P123" s="161">
        <f t="shared" si="214"/>
        <v>33.46693387</v>
      </c>
      <c r="Q123" s="161">
        <f t="shared" si="214"/>
        <v>40.61696658</v>
      </c>
      <c r="R123" s="161">
        <f t="shared" si="214"/>
        <v>24.03258656</v>
      </c>
      <c r="S123" s="161">
        <f t="shared" si="214"/>
        <v>18.81188119</v>
      </c>
      <c r="T123" s="189">
        <f t="shared" si="8"/>
        <v>19.31428571</v>
      </c>
      <c r="U123" s="210">
        <f t="shared" si="9"/>
        <v>17.9245283</v>
      </c>
      <c r="V123" s="161">
        <f t="shared" ref="V123:AD123" si="215">M123*V$2</f>
        <v>5.311871227</v>
      </c>
      <c r="W123" s="161">
        <f t="shared" si="215"/>
        <v>14.34343434</v>
      </c>
      <c r="X123" s="161">
        <f t="shared" si="215"/>
        <v>2.375</v>
      </c>
      <c r="Y123" s="161">
        <f t="shared" si="215"/>
        <v>1.673346693</v>
      </c>
      <c r="Z123" s="161">
        <f t="shared" si="215"/>
        <v>2.030848329</v>
      </c>
      <c r="AA123" s="161">
        <f t="shared" si="215"/>
        <v>2.403258656</v>
      </c>
      <c r="AB123" s="161">
        <f t="shared" si="215"/>
        <v>2.821782178</v>
      </c>
      <c r="AC123" s="161">
        <f t="shared" si="215"/>
        <v>2.897142857</v>
      </c>
      <c r="AD123" s="161">
        <f t="shared" si="215"/>
        <v>0.8962264151</v>
      </c>
      <c r="AE123" s="161">
        <f t="shared" si="11"/>
        <v>3.861434522</v>
      </c>
    </row>
    <row r="124">
      <c r="A124" s="207">
        <v>77084.0</v>
      </c>
      <c r="B124" s="208">
        <v>109115.0</v>
      </c>
      <c r="C124" s="208">
        <v>11.8</v>
      </c>
      <c r="D124" s="208">
        <v>76327.0</v>
      </c>
      <c r="E124" s="208">
        <v>1.05</v>
      </c>
      <c r="F124" s="208">
        <v>7.2</v>
      </c>
      <c r="G124" s="208">
        <v>20.5</v>
      </c>
      <c r="H124" s="208">
        <v>13.7</v>
      </c>
      <c r="I124" s="208">
        <v>16.0</v>
      </c>
      <c r="J124" s="208">
        <v>7.3</v>
      </c>
      <c r="K124" s="208">
        <v>60.0</v>
      </c>
      <c r="L124" s="209">
        <v>4.2</v>
      </c>
      <c r="M124" s="161">
        <f t="shared" si="5"/>
        <v>18.5110664</v>
      </c>
      <c r="N124" s="189">
        <f t="shared" si="6"/>
        <v>73.4006734</v>
      </c>
      <c r="O124" s="161">
        <f t="shared" ref="O124:S124" si="216">((F124-O$1)/(O$2-O$1))*100</f>
        <v>36</v>
      </c>
      <c r="P124" s="161">
        <f t="shared" si="216"/>
        <v>39.67935872</v>
      </c>
      <c r="Q124" s="161">
        <f t="shared" si="216"/>
        <v>34.44730077</v>
      </c>
      <c r="R124" s="161">
        <f t="shared" si="216"/>
        <v>32.58655804</v>
      </c>
      <c r="S124" s="161">
        <f t="shared" si="216"/>
        <v>9.900990099</v>
      </c>
      <c r="T124" s="189">
        <f t="shared" si="8"/>
        <v>38.85714286</v>
      </c>
      <c r="U124" s="210">
        <f t="shared" si="9"/>
        <v>19.81132075</v>
      </c>
      <c r="V124" s="161">
        <f t="shared" ref="V124:AD124" si="217">M124*V$2</f>
        <v>3.70221328</v>
      </c>
      <c r="W124" s="161">
        <f t="shared" si="217"/>
        <v>14.68013468</v>
      </c>
      <c r="X124" s="161">
        <f t="shared" si="217"/>
        <v>1.8</v>
      </c>
      <c r="Y124" s="161">
        <f t="shared" si="217"/>
        <v>1.983967936</v>
      </c>
      <c r="Z124" s="161">
        <f t="shared" si="217"/>
        <v>1.722365039</v>
      </c>
      <c r="AA124" s="161">
        <f t="shared" si="217"/>
        <v>3.258655804</v>
      </c>
      <c r="AB124" s="161">
        <f t="shared" si="217"/>
        <v>1.485148515</v>
      </c>
      <c r="AC124" s="161">
        <f t="shared" si="217"/>
        <v>5.828571429</v>
      </c>
      <c r="AD124" s="161">
        <f t="shared" si="217"/>
        <v>0.9905660377</v>
      </c>
      <c r="AE124" s="161">
        <f t="shared" si="11"/>
        <v>3.939069191</v>
      </c>
    </row>
    <row r="125">
      <c r="A125" s="207">
        <v>77025.0</v>
      </c>
      <c r="B125" s="208">
        <v>29177.0</v>
      </c>
      <c r="C125" s="208">
        <v>11.6</v>
      </c>
      <c r="D125" s="208">
        <v>78076.0</v>
      </c>
      <c r="E125" s="208">
        <v>1.07</v>
      </c>
      <c r="F125" s="208">
        <v>4.2</v>
      </c>
      <c r="G125" s="208">
        <v>8.1</v>
      </c>
      <c r="H125" s="208">
        <v>2.9</v>
      </c>
      <c r="I125" s="208">
        <v>5.4</v>
      </c>
      <c r="J125" s="208">
        <v>9.0</v>
      </c>
      <c r="K125" s="208">
        <v>40.8</v>
      </c>
      <c r="L125" s="209">
        <v>13.1</v>
      </c>
      <c r="M125" s="161">
        <f t="shared" si="5"/>
        <v>18.10865191</v>
      </c>
      <c r="N125" s="189">
        <f t="shared" si="6"/>
        <v>72.72727273</v>
      </c>
      <c r="O125" s="161">
        <f t="shared" ref="O125:S125" si="218">((F125-O$1)/(O$2-O$1))*100</f>
        <v>21</v>
      </c>
      <c r="P125" s="161">
        <f t="shared" si="218"/>
        <v>14.82965932</v>
      </c>
      <c r="Q125" s="161">
        <f t="shared" si="218"/>
        <v>6.683804627</v>
      </c>
      <c r="R125" s="161">
        <f t="shared" si="218"/>
        <v>10.99796334</v>
      </c>
      <c r="S125" s="161">
        <f t="shared" si="218"/>
        <v>13.26732673</v>
      </c>
      <c r="T125" s="189">
        <f t="shared" si="8"/>
        <v>60.8</v>
      </c>
      <c r="U125" s="210">
        <f t="shared" si="9"/>
        <v>61.79245283</v>
      </c>
      <c r="V125" s="161">
        <f t="shared" ref="V125:AD125" si="219">M125*V$2</f>
        <v>3.621730382</v>
      </c>
      <c r="W125" s="161">
        <f t="shared" si="219"/>
        <v>14.54545455</v>
      </c>
      <c r="X125" s="161">
        <f t="shared" si="219"/>
        <v>1.05</v>
      </c>
      <c r="Y125" s="161">
        <f t="shared" si="219"/>
        <v>0.7414829659</v>
      </c>
      <c r="Z125" s="161">
        <f t="shared" si="219"/>
        <v>0.3341902314</v>
      </c>
      <c r="AA125" s="161">
        <f t="shared" si="219"/>
        <v>1.099796334</v>
      </c>
      <c r="AB125" s="161">
        <f t="shared" si="219"/>
        <v>1.99009901</v>
      </c>
      <c r="AC125" s="161">
        <f t="shared" si="219"/>
        <v>9.12</v>
      </c>
      <c r="AD125" s="161">
        <f t="shared" si="219"/>
        <v>3.089622642</v>
      </c>
      <c r="AE125" s="161">
        <f t="shared" si="11"/>
        <v>3.954708457</v>
      </c>
    </row>
    <row r="126">
      <c r="A126" s="207">
        <v>77065.0</v>
      </c>
      <c r="B126" s="208">
        <v>38393.0</v>
      </c>
      <c r="C126" s="208">
        <v>10.0</v>
      </c>
      <c r="D126" s="208">
        <v>75496.0</v>
      </c>
      <c r="E126" s="208">
        <v>1.03</v>
      </c>
      <c r="F126" s="208">
        <v>6.7</v>
      </c>
      <c r="G126" s="208">
        <v>17.5</v>
      </c>
      <c r="H126" s="208">
        <v>11.6</v>
      </c>
      <c r="I126" s="208">
        <v>10.5</v>
      </c>
      <c r="J126" s="208">
        <v>7.3</v>
      </c>
      <c r="K126" s="208">
        <v>45.1</v>
      </c>
      <c r="L126" s="209">
        <v>4.4</v>
      </c>
      <c r="M126" s="161">
        <f t="shared" si="5"/>
        <v>14.88933602</v>
      </c>
      <c r="N126" s="189">
        <f t="shared" si="6"/>
        <v>74.07407407</v>
      </c>
      <c r="O126" s="161">
        <f t="shared" ref="O126:S126" si="220">((F126-O$1)/(O$2-O$1))*100</f>
        <v>33.5</v>
      </c>
      <c r="P126" s="161">
        <f t="shared" si="220"/>
        <v>33.66733467</v>
      </c>
      <c r="Q126" s="161">
        <f t="shared" si="220"/>
        <v>29.04884319</v>
      </c>
      <c r="R126" s="161">
        <f t="shared" si="220"/>
        <v>21.38492872</v>
      </c>
      <c r="S126" s="161">
        <f t="shared" si="220"/>
        <v>9.900990099</v>
      </c>
      <c r="T126" s="189">
        <f t="shared" si="8"/>
        <v>55.88571429</v>
      </c>
      <c r="U126" s="210">
        <f t="shared" si="9"/>
        <v>20.75471698</v>
      </c>
      <c r="V126" s="161">
        <f t="shared" ref="V126:AD126" si="221">M126*V$2</f>
        <v>2.977867203</v>
      </c>
      <c r="W126" s="161">
        <f t="shared" si="221"/>
        <v>14.81481481</v>
      </c>
      <c r="X126" s="161">
        <f t="shared" si="221"/>
        <v>1.675</v>
      </c>
      <c r="Y126" s="161">
        <f t="shared" si="221"/>
        <v>1.683366733</v>
      </c>
      <c r="Z126" s="161">
        <f t="shared" si="221"/>
        <v>1.452442159</v>
      </c>
      <c r="AA126" s="161">
        <f t="shared" si="221"/>
        <v>2.138492872</v>
      </c>
      <c r="AB126" s="161">
        <f t="shared" si="221"/>
        <v>1.485148515</v>
      </c>
      <c r="AC126" s="161">
        <f t="shared" si="221"/>
        <v>8.382857143</v>
      </c>
      <c r="AD126" s="161">
        <f t="shared" si="221"/>
        <v>1.037735849</v>
      </c>
      <c r="AE126" s="161">
        <f t="shared" si="11"/>
        <v>3.960858365</v>
      </c>
    </row>
    <row r="127">
      <c r="A127" s="207">
        <v>77303.0</v>
      </c>
      <c r="B127" s="208">
        <v>26324.0</v>
      </c>
      <c r="C127" s="208">
        <v>17.4</v>
      </c>
      <c r="D127" s="208">
        <v>72827.0</v>
      </c>
      <c r="E127" s="208">
        <v>1.0</v>
      </c>
      <c r="F127" s="208">
        <v>8.7</v>
      </c>
      <c r="G127" s="208">
        <v>22.2</v>
      </c>
      <c r="H127" s="208">
        <v>15.8</v>
      </c>
      <c r="I127" s="208">
        <v>15.6</v>
      </c>
      <c r="J127" s="208">
        <v>7.4</v>
      </c>
      <c r="K127" s="208">
        <v>73.1</v>
      </c>
      <c r="L127" s="209">
        <v>0.9</v>
      </c>
      <c r="M127" s="161">
        <f t="shared" si="5"/>
        <v>29.77867203</v>
      </c>
      <c r="N127" s="189">
        <f t="shared" si="6"/>
        <v>75.08417508</v>
      </c>
      <c r="O127" s="161">
        <f t="shared" ref="O127:S127" si="222">((F127-O$1)/(O$2-O$1))*100</f>
        <v>43.5</v>
      </c>
      <c r="P127" s="161">
        <f t="shared" si="222"/>
        <v>43.08617234</v>
      </c>
      <c r="Q127" s="161">
        <f t="shared" si="222"/>
        <v>39.84575835</v>
      </c>
      <c r="R127" s="161">
        <f t="shared" si="222"/>
        <v>31.77189409</v>
      </c>
      <c r="S127" s="161">
        <f t="shared" si="222"/>
        <v>10.0990099</v>
      </c>
      <c r="T127" s="189">
        <f t="shared" si="8"/>
        <v>23.88571429</v>
      </c>
      <c r="U127" s="210">
        <f t="shared" si="9"/>
        <v>4.245283019</v>
      </c>
      <c r="V127" s="161">
        <f t="shared" ref="V127:AD127" si="223">M127*V$2</f>
        <v>5.955734406</v>
      </c>
      <c r="W127" s="161">
        <f t="shared" si="223"/>
        <v>15.01683502</v>
      </c>
      <c r="X127" s="161">
        <f t="shared" si="223"/>
        <v>2.175</v>
      </c>
      <c r="Y127" s="161">
        <f t="shared" si="223"/>
        <v>2.154308617</v>
      </c>
      <c r="Z127" s="161">
        <f t="shared" si="223"/>
        <v>1.992287918</v>
      </c>
      <c r="AA127" s="161">
        <f t="shared" si="223"/>
        <v>3.177189409</v>
      </c>
      <c r="AB127" s="161">
        <f t="shared" si="223"/>
        <v>1.514851485</v>
      </c>
      <c r="AC127" s="161">
        <f t="shared" si="223"/>
        <v>3.582857143</v>
      </c>
      <c r="AD127" s="161">
        <f t="shared" si="223"/>
        <v>0.2122641509</v>
      </c>
      <c r="AE127" s="161">
        <f t="shared" si="11"/>
        <v>3.975703127</v>
      </c>
    </row>
    <row r="128">
      <c r="A128" s="207">
        <v>77562.0</v>
      </c>
      <c r="B128" s="208">
        <v>9805.0</v>
      </c>
      <c r="C128" s="208">
        <v>10.2</v>
      </c>
      <c r="D128" s="208">
        <v>63636.0</v>
      </c>
      <c r="E128" s="208">
        <v>0.87</v>
      </c>
      <c r="F128" s="208">
        <v>9.0</v>
      </c>
      <c r="G128" s="208">
        <v>23.3</v>
      </c>
      <c r="H128" s="208">
        <v>13.8</v>
      </c>
      <c r="I128" s="208">
        <v>18.8</v>
      </c>
      <c r="J128" s="208">
        <v>13.9</v>
      </c>
      <c r="K128" s="208">
        <v>76.8</v>
      </c>
      <c r="L128" s="209">
        <v>1.9</v>
      </c>
      <c r="M128" s="161">
        <f t="shared" si="5"/>
        <v>15.2917505</v>
      </c>
      <c r="N128" s="189">
        <f t="shared" si="6"/>
        <v>79.46127946</v>
      </c>
      <c r="O128" s="161">
        <f t="shared" ref="O128:S128" si="224">((F128-O$1)/(O$2-O$1))*100</f>
        <v>45</v>
      </c>
      <c r="P128" s="161">
        <f t="shared" si="224"/>
        <v>45.29058116</v>
      </c>
      <c r="Q128" s="161">
        <f t="shared" si="224"/>
        <v>34.70437018</v>
      </c>
      <c r="R128" s="161">
        <f t="shared" si="224"/>
        <v>38.2892057</v>
      </c>
      <c r="S128" s="161">
        <f t="shared" si="224"/>
        <v>22.97029703</v>
      </c>
      <c r="T128" s="189">
        <f t="shared" si="8"/>
        <v>19.65714286</v>
      </c>
      <c r="U128" s="210">
        <f t="shared" si="9"/>
        <v>8.962264151</v>
      </c>
      <c r="V128" s="161">
        <f t="shared" ref="V128:AD128" si="225">M128*V$2</f>
        <v>3.058350101</v>
      </c>
      <c r="W128" s="161">
        <f t="shared" si="225"/>
        <v>15.89225589</v>
      </c>
      <c r="X128" s="161">
        <f t="shared" si="225"/>
        <v>2.25</v>
      </c>
      <c r="Y128" s="161">
        <f t="shared" si="225"/>
        <v>2.264529058</v>
      </c>
      <c r="Z128" s="161">
        <f t="shared" si="225"/>
        <v>1.735218509</v>
      </c>
      <c r="AA128" s="161">
        <f t="shared" si="225"/>
        <v>3.82892057</v>
      </c>
      <c r="AB128" s="161">
        <f t="shared" si="225"/>
        <v>3.445544554</v>
      </c>
      <c r="AC128" s="161">
        <f t="shared" si="225"/>
        <v>2.948571429</v>
      </c>
      <c r="AD128" s="161">
        <f t="shared" si="225"/>
        <v>0.4481132075</v>
      </c>
      <c r="AE128" s="161">
        <f t="shared" si="11"/>
        <v>3.985722591</v>
      </c>
    </row>
    <row r="129">
      <c r="A129" s="207">
        <v>77073.0</v>
      </c>
      <c r="B129" s="208">
        <v>43684.0</v>
      </c>
      <c r="C129" s="208">
        <v>13.2</v>
      </c>
      <c r="D129" s="208">
        <v>72271.0</v>
      </c>
      <c r="E129" s="208">
        <v>0.99</v>
      </c>
      <c r="F129" s="208">
        <v>4.1</v>
      </c>
      <c r="G129" s="208">
        <v>22.5</v>
      </c>
      <c r="H129" s="208">
        <v>14.6</v>
      </c>
      <c r="I129" s="208">
        <v>21.3</v>
      </c>
      <c r="J129" s="208">
        <v>6.3</v>
      </c>
      <c r="K129" s="208">
        <v>63.0</v>
      </c>
      <c r="L129" s="209">
        <v>3.4</v>
      </c>
      <c r="M129" s="161">
        <f t="shared" si="5"/>
        <v>21.32796781</v>
      </c>
      <c r="N129" s="189">
        <f t="shared" si="6"/>
        <v>75.42087542</v>
      </c>
      <c r="O129" s="161">
        <f t="shared" ref="O129:S129" si="226">((F129-O$1)/(O$2-O$1))*100</f>
        <v>20.5</v>
      </c>
      <c r="P129" s="161">
        <f t="shared" si="226"/>
        <v>43.68737475</v>
      </c>
      <c r="Q129" s="161">
        <f t="shared" si="226"/>
        <v>36.76092545</v>
      </c>
      <c r="R129" s="161">
        <f t="shared" si="226"/>
        <v>43.3808554</v>
      </c>
      <c r="S129" s="161">
        <f t="shared" si="226"/>
        <v>7.920792079</v>
      </c>
      <c r="T129" s="189">
        <f t="shared" si="8"/>
        <v>35.42857143</v>
      </c>
      <c r="U129" s="210">
        <f t="shared" si="9"/>
        <v>16.03773585</v>
      </c>
      <c r="V129" s="161">
        <f t="shared" ref="V129:AD129" si="227">M129*V$2</f>
        <v>4.265593561</v>
      </c>
      <c r="W129" s="161">
        <f t="shared" si="227"/>
        <v>15.08417508</v>
      </c>
      <c r="X129" s="161">
        <f t="shared" si="227"/>
        <v>1.025</v>
      </c>
      <c r="Y129" s="161">
        <f t="shared" si="227"/>
        <v>2.184368737</v>
      </c>
      <c r="Z129" s="161">
        <f t="shared" si="227"/>
        <v>1.838046272</v>
      </c>
      <c r="AA129" s="161">
        <f t="shared" si="227"/>
        <v>4.33808554</v>
      </c>
      <c r="AB129" s="161">
        <f t="shared" si="227"/>
        <v>1.188118812</v>
      </c>
      <c r="AC129" s="161">
        <f t="shared" si="227"/>
        <v>5.314285714</v>
      </c>
      <c r="AD129" s="161">
        <f t="shared" si="227"/>
        <v>0.8018867925</v>
      </c>
      <c r="AE129" s="161">
        <f t="shared" si="11"/>
        <v>4.004395613</v>
      </c>
    </row>
    <row r="130">
      <c r="A130" s="207">
        <v>77357.0</v>
      </c>
      <c r="B130" s="208">
        <v>34770.0</v>
      </c>
      <c r="C130" s="208">
        <v>15.1</v>
      </c>
      <c r="D130" s="208">
        <v>73773.0</v>
      </c>
      <c r="E130" s="208">
        <v>1.01</v>
      </c>
      <c r="F130" s="208">
        <v>4.0</v>
      </c>
      <c r="G130" s="208">
        <v>28.9</v>
      </c>
      <c r="H130" s="208">
        <v>15.4</v>
      </c>
      <c r="I130" s="208">
        <v>19.7</v>
      </c>
      <c r="J130" s="208">
        <v>12.0</v>
      </c>
      <c r="K130" s="208">
        <v>75.6</v>
      </c>
      <c r="L130" s="209">
        <v>2.4</v>
      </c>
      <c r="M130" s="161">
        <f t="shared" si="5"/>
        <v>25.15090543</v>
      </c>
      <c r="N130" s="189">
        <f t="shared" si="6"/>
        <v>74.74747475</v>
      </c>
      <c r="O130" s="161">
        <f t="shared" ref="O130:S130" si="228">((F130-O$1)/(O$2-O$1))*100</f>
        <v>20</v>
      </c>
      <c r="P130" s="161">
        <f t="shared" si="228"/>
        <v>56.51302605</v>
      </c>
      <c r="Q130" s="161">
        <f t="shared" si="228"/>
        <v>38.81748072</v>
      </c>
      <c r="R130" s="161">
        <f t="shared" si="228"/>
        <v>40.12219959</v>
      </c>
      <c r="S130" s="161">
        <f t="shared" si="228"/>
        <v>19.20792079</v>
      </c>
      <c r="T130" s="189">
        <f t="shared" si="8"/>
        <v>21.02857143</v>
      </c>
      <c r="U130" s="210">
        <f t="shared" si="9"/>
        <v>11.32075472</v>
      </c>
      <c r="V130" s="161">
        <f t="shared" ref="V130:AD130" si="229">M130*V$2</f>
        <v>5.030181087</v>
      </c>
      <c r="W130" s="161">
        <f t="shared" si="229"/>
        <v>14.94949495</v>
      </c>
      <c r="X130" s="161">
        <f t="shared" si="229"/>
        <v>1</v>
      </c>
      <c r="Y130" s="161">
        <f t="shared" si="229"/>
        <v>2.825651303</v>
      </c>
      <c r="Z130" s="161">
        <f t="shared" si="229"/>
        <v>1.940874036</v>
      </c>
      <c r="AA130" s="161">
        <f t="shared" si="229"/>
        <v>4.012219959</v>
      </c>
      <c r="AB130" s="161">
        <f t="shared" si="229"/>
        <v>2.881188119</v>
      </c>
      <c r="AC130" s="161">
        <f t="shared" si="229"/>
        <v>3.154285714</v>
      </c>
      <c r="AD130" s="161">
        <f t="shared" si="229"/>
        <v>0.5660377358</v>
      </c>
      <c r="AE130" s="161">
        <f t="shared" si="11"/>
        <v>4.039992545</v>
      </c>
    </row>
    <row r="131">
      <c r="A131" s="207">
        <v>77030.0</v>
      </c>
      <c r="B131" s="208">
        <v>12976.0</v>
      </c>
      <c r="C131" s="208">
        <v>11.7</v>
      </c>
      <c r="D131" s="208">
        <v>79415.0</v>
      </c>
      <c r="E131" s="208">
        <v>1.09</v>
      </c>
      <c r="F131" s="208">
        <v>3.6</v>
      </c>
      <c r="G131" s="208">
        <v>3.5</v>
      </c>
      <c r="H131" s="208">
        <v>2.0</v>
      </c>
      <c r="I131" s="208">
        <v>1.3</v>
      </c>
      <c r="J131" s="208">
        <v>17.3</v>
      </c>
      <c r="K131" s="208">
        <v>35.6</v>
      </c>
      <c r="L131" s="209">
        <v>10.9</v>
      </c>
      <c r="M131" s="161">
        <f t="shared" si="5"/>
        <v>18.30985915</v>
      </c>
      <c r="N131" s="189">
        <f t="shared" si="6"/>
        <v>72.05387205</v>
      </c>
      <c r="O131" s="161">
        <f t="shared" ref="O131:S131" si="230">((F131-O$1)/(O$2-O$1))*100</f>
        <v>18</v>
      </c>
      <c r="P131" s="161">
        <f t="shared" si="230"/>
        <v>5.611222445</v>
      </c>
      <c r="Q131" s="161">
        <f t="shared" si="230"/>
        <v>4.370179949</v>
      </c>
      <c r="R131" s="161">
        <f t="shared" si="230"/>
        <v>2.647657841</v>
      </c>
      <c r="S131" s="161">
        <f t="shared" si="230"/>
        <v>29.7029703</v>
      </c>
      <c r="T131" s="189">
        <f t="shared" si="8"/>
        <v>66.74285714</v>
      </c>
      <c r="U131" s="210">
        <f t="shared" si="9"/>
        <v>51.41509434</v>
      </c>
      <c r="V131" s="161">
        <f t="shared" ref="V131:AD131" si="231">M131*V$2</f>
        <v>3.661971831</v>
      </c>
      <c r="W131" s="161">
        <f t="shared" si="231"/>
        <v>14.41077441</v>
      </c>
      <c r="X131" s="161">
        <f t="shared" si="231"/>
        <v>0.9</v>
      </c>
      <c r="Y131" s="161">
        <f t="shared" si="231"/>
        <v>0.2805611222</v>
      </c>
      <c r="Z131" s="161">
        <f t="shared" si="231"/>
        <v>0.2185089974</v>
      </c>
      <c r="AA131" s="161">
        <f t="shared" si="231"/>
        <v>0.2647657841</v>
      </c>
      <c r="AB131" s="161">
        <f t="shared" si="231"/>
        <v>4.455445545</v>
      </c>
      <c r="AC131" s="161">
        <f t="shared" si="231"/>
        <v>10.01142857</v>
      </c>
      <c r="AD131" s="161">
        <f t="shared" si="231"/>
        <v>2.570754717</v>
      </c>
      <c r="AE131" s="161">
        <f t="shared" si="11"/>
        <v>4.086023442</v>
      </c>
    </row>
    <row r="132">
      <c r="A132" s="207">
        <v>77484.0</v>
      </c>
      <c r="B132" s="208">
        <v>13772.0</v>
      </c>
      <c r="C132" s="208">
        <v>17.3</v>
      </c>
      <c r="D132" s="208">
        <v>71446.0</v>
      </c>
      <c r="E132" s="208">
        <v>0.98</v>
      </c>
      <c r="F132" s="208">
        <v>7.5</v>
      </c>
      <c r="G132" s="208">
        <v>15.3</v>
      </c>
      <c r="H132" s="208">
        <v>14.5</v>
      </c>
      <c r="I132" s="208">
        <v>15.5</v>
      </c>
      <c r="J132" s="208">
        <v>9.3</v>
      </c>
      <c r="K132" s="208">
        <v>67.2</v>
      </c>
      <c r="L132" s="209">
        <v>3.1</v>
      </c>
      <c r="M132" s="161">
        <f t="shared" si="5"/>
        <v>29.57746479</v>
      </c>
      <c r="N132" s="189">
        <f t="shared" si="6"/>
        <v>75.75757576</v>
      </c>
      <c r="O132" s="161">
        <f t="shared" ref="O132:S132" si="232">((F132-O$1)/(O$2-O$1))*100</f>
        <v>37.5</v>
      </c>
      <c r="P132" s="161">
        <f t="shared" si="232"/>
        <v>29.25851703</v>
      </c>
      <c r="Q132" s="161">
        <f t="shared" si="232"/>
        <v>36.50385604</v>
      </c>
      <c r="R132" s="161">
        <f t="shared" si="232"/>
        <v>31.56822811</v>
      </c>
      <c r="S132" s="161">
        <f t="shared" si="232"/>
        <v>13.86138614</v>
      </c>
      <c r="T132" s="189">
        <f t="shared" si="8"/>
        <v>30.62857143</v>
      </c>
      <c r="U132" s="210">
        <f t="shared" si="9"/>
        <v>14.62264151</v>
      </c>
      <c r="V132" s="161">
        <f t="shared" ref="V132:AD132" si="233">M132*V$2</f>
        <v>5.915492958</v>
      </c>
      <c r="W132" s="161">
        <f t="shared" si="233"/>
        <v>15.15151515</v>
      </c>
      <c r="X132" s="161">
        <f t="shared" si="233"/>
        <v>1.875</v>
      </c>
      <c r="Y132" s="161">
        <f t="shared" si="233"/>
        <v>1.462925852</v>
      </c>
      <c r="Z132" s="161">
        <f t="shared" si="233"/>
        <v>1.825192802</v>
      </c>
      <c r="AA132" s="161">
        <f t="shared" si="233"/>
        <v>3.156822811</v>
      </c>
      <c r="AB132" s="161">
        <f t="shared" si="233"/>
        <v>2.079207921</v>
      </c>
      <c r="AC132" s="161">
        <f t="shared" si="233"/>
        <v>4.594285714</v>
      </c>
      <c r="AD132" s="161">
        <f t="shared" si="233"/>
        <v>0.7311320755</v>
      </c>
      <c r="AE132" s="161">
        <f t="shared" si="11"/>
        <v>4.087952809</v>
      </c>
    </row>
    <row r="133">
      <c r="A133" s="207">
        <v>77070.0</v>
      </c>
      <c r="B133" s="208">
        <v>57645.0</v>
      </c>
      <c r="C133" s="208">
        <v>14.6</v>
      </c>
      <c r="D133" s="208">
        <v>72440.0</v>
      </c>
      <c r="E133" s="208">
        <v>0.99</v>
      </c>
      <c r="F133" s="208">
        <v>7.2</v>
      </c>
      <c r="G133" s="208">
        <v>16.8</v>
      </c>
      <c r="H133" s="208">
        <v>10.0</v>
      </c>
      <c r="I133" s="208">
        <v>8.9</v>
      </c>
      <c r="J133" s="208">
        <v>6.9</v>
      </c>
      <c r="K133" s="208">
        <v>48.0</v>
      </c>
      <c r="L133" s="209">
        <v>5.2</v>
      </c>
      <c r="M133" s="161">
        <f t="shared" si="5"/>
        <v>24.14486922</v>
      </c>
      <c r="N133" s="189">
        <f t="shared" si="6"/>
        <v>75.42087542</v>
      </c>
      <c r="O133" s="161">
        <f t="shared" ref="O133:S133" si="234">((F133-O$1)/(O$2-O$1))*100</f>
        <v>36</v>
      </c>
      <c r="P133" s="161">
        <f t="shared" si="234"/>
        <v>32.26452906</v>
      </c>
      <c r="Q133" s="161">
        <f t="shared" si="234"/>
        <v>24.93573265</v>
      </c>
      <c r="R133" s="161">
        <f t="shared" si="234"/>
        <v>18.12627291</v>
      </c>
      <c r="S133" s="161">
        <f t="shared" si="234"/>
        <v>9.108910891</v>
      </c>
      <c r="T133" s="189">
        <f t="shared" si="8"/>
        <v>52.57142857</v>
      </c>
      <c r="U133" s="210">
        <f t="shared" si="9"/>
        <v>24.52830189</v>
      </c>
      <c r="V133" s="161">
        <f t="shared" ref="V133:AD133" si="235">M133*V$2</f>
        <v>4.828973843</v>
      </c>
      <c r="W133" s="161">
        <f t="shared" si="235"/>
        <v>15.08417508</v>
      </c>
      <c r="X133" s="161">
        <f t="shared" si="235"/>
        <v>1.8</v>
      </c>
      <c r="Y133" s="161">
        <f t="shared" si="235"/>
        <v>1.613226453</v>
      </c>
      <c r="Z133" s="161">
        <f t="shared" si="235"/>
        <v>1.246786632</v>
      </c>
      <c r="AA133" s="161">
        <f t="shared" si="235"/>
        <v>1.812627291</v>
      </c>
      <c r="AB133" s="161">
        <f t="shared" si="235"/>
        <v>1.366336634</v>
      </c>
      <c r="AC133" s="161">
        <f t="shared" si="235"/>
        <v>7.885714286</v>
      </c>
      <c r="AD133" s="161">
        <f t="shared" si="235"/>
        <v>1.226415094</v>
      </c>
      <c r="AE133" s="161">
        <f t="shared" si="11"/>
        <v>4.096028369</v>
      </c>
    </row>
    <row r="134">
      <c r="A134" s="207">
        <v>77531.0</v>
      </c>
      <c r="B134" s="208">
        <v>16260.0</v>
      </c>
      <c r="C134" s="208">
        <v>7.7</v>
      </c>
      <c r="D134" s="208">
        <v>71583.0</v>
      </c>
      <c r="E134" s="208">
        <v>0.98</v>
      </c>
      <c r="F134" s="208">
        <v>8.2</v>
      </c>
      <c r="G134" s="208">
        <v>19.4</v>
      </c>
      <c r="H134" s="208">
        <v>12.5</v>
      </c>
      <c r="I134" s="208">
        <v>17.0</v>
      </c>
      <c r="J134" s="208">
        <v>12.7</v>
      </c>
      <c r="K134" s="208">
        <v>54.9</v>
      </c>
      <c r="L134" s="209">
        <v>4.1</v>
      </c>
      <c r="M134" s="161">
        <f t="shared" si="5"/>
        <v>10.26156942</v>
      </c>
      <c r="N134" s="189">
        <f t="shared" si="6"/>
        <v>75.75757576</v>
      </c>
      <c r="O134" s="161">
        <f t="shared" ref="O134:S134" si="236">((F134-O$1)/(O$2-O$1))*100</f>
        <v>41</v>
      </c>
      <c r="P134" s="161">
        <f t="shared" si="236"/>
        <v>37.4749499</v>
      </c>
      <c r="Q134" s="161">
        <f t="shared" si="236"/>
        <v>31.36246787</v>
      </c>
      <c r="R134" s="161">
        <f t="shared" si="236"/>
        <v>34.62321792</v>
      </c>
      <c r="S134" s="161">
        <f t="shared" si="236"/>
        <v>20.59405941</v>
      </c>
      <c r="T134" s="189">
        <f t="shared" si="8"/>
        <v>44.68571429</v>
      </c>
      <c r="U134" s="210">
        <f t="shared" si="9"/>
        <v>19.33962264</v>
      </c>
      <c r="V134" s="161">
        <f t="shared" ref="V134:AD134" si="237">M134*V$2</f>
        <v>2.052313883</v>
      </c>
      <c r="W134" s="161">
        <f t="shared" si="237"/>
        <v>15.15151515</v>
      </c>
      <c r="X134" s="161">
        <f t="shared" si="237"/>
        <v>2.05</v>
      </c>
      <c r="Y134" s="161">
        <f t="shared" si="237"/>
        <v>1.873747495</v>
      </c>
      <c r="Z134" s="161">
        <f t="shared" si="237"/>
        <v>1.568123393</v>
      </c>
      <c r="AA134" s="161">
        <f t="shared" si="237"/>
        <v>3.462321792</v>
      </c>
      <c r="AB134" s="161">
        <f t="shared" si="237"/>
        <v>3.089108911</v>
      </c>
      <c r="AC134" s="161">
        <f t="shared" si="237"/>
        <v>6.702857143</v>
      </c>
      <c r="AD134" s="161">
        <f t="shared" si="237"/>
        <v>0.9669811321</v>
      </c>
      <c r="AE134" s="161">
        <f t="shared" si="11"/>
        <v>4.101885433</v>
      </c>
    </row>
    <row r="135">
      <c r="A135" s="207">
        <v>77043.0</v>
      </c>
      <c r="B135" s="208">
        <v>26343.0</v>
      </c>
      <c r="C135" s="208">
        <v>14.4</v>
      </c>
      <c r="D135" s="208">
        <v>75017.0</v>
      </c>
      <c r="E135" s="208">
        <v>1.03</v>
      </c>
      <c r="F135" s="208">
        <v>4.5</v>
      </c>
      <c r="G135" s="208">
        <v>21.0</v>
      </c>
      <c r="H135" s="208">
        <v>8.8</v>
      </c>
      <c r="I135" s="208">
        <v>15.6</v>
      </c>
      <c r="J135" s="208">
        <v>8.4</v>
      </c>
      <c r="K135" s="208">
        <v>54.9</v>
      </c>
      <c r="L135" s="209">
        <v>6.5</v>
      </c>
      <c r="M135" s="161">
        <f t="shared" si="5"/>
        <v>23.74245473</v>
      </c>
      <c r="N135" s="189">
        <f t="shared" si="6"/>
        <v>74.07407407</v>
      </c>
      <c r="O135" s="161">
        <f t="shared" ref="O135:S135" si="238">((F135-O$1)/(O$2-O$1))*100</f>
        <v>22.5</v>
      </c>
      <c r="P135" s="161">
        <f t="shared" si="238"/>
        <v>40.68136273</v>
      </c>
      <c r="Q135" s="161">
        <f t="shared" si="238"/>
        <v>21.85089974</v>
      </c>
      <c r="R135" s="161">
        <f t="shared" si="238"/>
        <v>31.77189409</v>
      </c>
      <c r="S135" s="161">
        <f t="shared" si="238"/>
        <v>12.07920792</v>
      </c>
      <c r="T135" s="189">
        <f t="shared" si="8"/>
        <v>44.68571429</v>
      </c>
      <c r="U135" s="210">
        <f t="shared" si="9"/>
        <v>30.66037736</v>
      </c>
      <c r="V135" s="161">
        <f t="shared" ref="V135:AD135" si="239">M135*V$2</f>
        <v>4.748490946</v>
      </c>
      <c r="W135" s="161">
        <f t="shared" si="239"/>
        <v>14.81481481</v>
      </c>
      <c r="X135" s="161">
        <f t="shared" si="239"/>
        <v>1.125</v>
      </c>
      <c r="Y135" s="161">
        <f t="shared" si="239"/>
        <v>2.034068136</v>
      </c>
      <c r="Z135" s="161">
        <f t="shared" si="239"/>
        <v>1.092544987</v>
      </c>
      <c r="AA135" s="161">
        <f t="shared" si="239"/>
        <v>3.177189409</v>
      </c>
      <c r="AB135" s="161">
        <f t="shared" si="239"/>
        <v>1.811881188</v>
      </c>
      <c r="AC135" s="161">
        <f t="shared" si="239"/>
        <v>6.702857143</v>
      </c>
      <c r="AD135" s="161">
        <f t="shared" si="239"/>
        <v>1.533018868</v>
      </c>
      <c r="AE135" s="161">
        <f t="shared" si="11"/>
        <v>4.11554061</v>
      </c>
    </row>
    <row r="136">
      <c r="A136" s="207">
        <v>77521.0</v>
      </c>
      <c r="B136" s="208">
        <v>65920.0</v>
      </c>
      <c r="C136" s="208">
        <v>14.2</v>
      </c>
      <c r="D136" s="208">
        <v>76012.0</v>
      </c>
      <c r="E136" s="208">
        <v>1.04</v>
      </c>
      <c r="F136" s="208">
        <v>7.8</v>
      </c>
      <c r="G136" s="208">
        <v>23.4</v>
      </c>
      <c r="H136" s="208">
        <v>12.2</v>
      </c>
      <c r="I136" s="208">
        <v>18.0</v>
      </c>
      <c r="J136" s="208">
        <v>5.3</v>
      </c>
      <c r="K136" s="208">
        <v>59.1</v>
      </c>
      <c r="L136" s="209">
        <v>5.8</v>
      </c>
      <c r="M136" s="161">
        <f t="shared" si="5"/>
        <v>23.34004024</v>
      </c>
      <c r="N136" s="189">
        <f t="shared" si="6"/>
        <v>73.73737374</v>
      </c>
      <c r="O136" s="161">
        <f t="shared" ref="O136:S136" si="240">((F136-O$1)/(O$2-O$1))*100</f>
        <v>39</v>
      </c>
      <c r="P136" s="161">
        <f t="shared" si="240"/>
        <v>45.49098196</v>
      </c>
      <c r="Q136" s="161">
        <f t="shared" si="240"/>
        <v>30.59125964</v>
      </c>
      <c r="R136" s="161">
        <f t="shared" si="240"/>
        <v>36.6598778</v>
      </c>
      <c r="S136" s="161">
        <f t="shared" si="240"/>
        <v>5.940594059</v>
      </c>
      <c r="T136" s="189">
        <f t="shared" si="8"/>
        <v>39.88571429</v>
      </c>
      <c r="U136" s="210">
        <f t="shared" si="9"/>
        <v>27.35849057</v>
      </c>
      <c r="V136" s="161">
        <f t="shared" ref="V136:AD136" si="241">M136*V$2</f>
        <v>4.668008048</v>
      </c>
      <c r="W136" s="161">
        <f t="shared" si="241"/>
        <v>14.74747475</v>
      </c>
      <c r="X136" s="161">
        <f t="shared" si="241"/>
        <v>1.95</v>
      </c>
      <c r="Y136" s="161">
        <f t="shared" si="241"/>
        <v>2.274549098</v>
      </c>
      <c r="Z136" s="161">
        <f t="shared" si="241"/>
        <v>1.529562982</v>
      </c>
      <c r="AA136" s="161">
        <f t="shared" si="241"/>
        <v>3.66598778</v>
      </c>
      <c r="AB136" s="161">
        <f t="shared" si="241"/>
        <v>0.8910891089</v>
      </c>
      <c r="AC136" s="161">
        <f t="shared" si="241"/>
        <v>5.982857143</v>
      </c>
      <c r="AD136" s="161">
        <f t="shared" si="241"/>
        <v>1.367924528</v>
      </c>
      <c r="AE136" s="161">
        <f t="shared" si="11"/>
        <v>4.119717048</v>
      </c>
    </row>
    <row r="137">
      <c r="A137" s="207">
        <v>77471.0</v>
      </c>
      <c r="B137" s="208">
        <v>45078.0</v>
      </c>
      <c r="C137" s="208">
        <v>14.9</v>
      </c>
      <c r="D137" s="208">
        <v>71018.0</v>
      </c>
      <c r="E137" s="208">
        <v>0.97</v>
      </c>
      <c r="F137" s="208">
        <v>5.4</v>
      </c>
      <c r="G137" s="208">
        <v>20.5</v>
      </c>
      <c r="H137" s="208">
        <v>15.7</v>
      </c>
      <c r="I137" s="208">
        <v>13.5</v>
      </c>
      <c r="J137" s="208">
        <v>6.7</v>
      </c>
      <c r="K137" s="208">
        <v>55.9</v>
      </c>
      <c r="L137" s="209">
        <v>5.7</v>
      </c>
      <c r="M137" s="161">
        <f t="shared" si="5"/>
        <v>24.74849095</v>
      </c>
      <c r="N137" s="189">
        <f t="shared" si="6"/>
        <v>76.09427609</v>
      </c>
      <c r="O137" s="161">
        <f t="shared" ref="O137:S137" si="242">((F137-O$1)/(O$2-O$1))*100</f>
        <v>27</v>
      </c>
      <c r="P137" s="161">
        <f t="shared" si="242"/>
        <v>39.67935872</v>
      </c>
      <c r="Q137" s="161">
        <f t="shared" si="242"/>
        <v>39.58868895</v>
      </c>
      <c r="R137" s="161">
        <f t="shared" si="242"/>
        <v>27.49490835</v>
      </c>
      <c r="S137" s="161">
        <f t="shared" si="242"/>
        <v>8.712871287</v>
      </c>
      <c r="T137" s="189">
        <f t="shared" si="8"/>
        <v>43.54285714</v>
      </c>
      <c r="U137" s="210">
        <f t="shared" si="9"/>
        <v>26.88679245</v>
      </c>
      <c r="V137" s="161">
        <f t="shared" ref="V137:AD137" si="243">M137*V$2</f>
        <v>4.949698189</v>
      </c>
      <c r="W137" s="161">
        <f t="shared" si="243"/>
        <v>15.21885522</v>
      </c>
      <c r="X137" s="161">
        <f t="shared" si="243"/>
        <v>1.35</v>
      </c>
      <c r="Y137" s="161">
        <f t="shared" si="243"/>
        <v>1.983967936</v>
      </c>
      <c r="Z137" s="161">
        <f t="shared" si="243"/>
        <v>1.979434447</v>
      </c>
      <c r="AA137" s="161">
        <f t="shared" si="243"/>
        <v>2.749490835</v>
      </c>
      <c r="AB137" s="161">
        <f t="shared" si="243"/>
        <v>1.306930693</v>
      </c>
      <c r="AC137" s="161">
        <f t="shared" si="243"/>
        <v>6.531428571</v>
      </c>
      <c r="AD137" s="161">
        <f t="shared" si="243"/>
        <v>1.344339623</v>
      </c>
      <c r="AE137" s="161">
        <f t="shared" si="11"/>
        <v>4.157127279</v>
      </c>
    </row>
    <row r="138">
      <c r="A138" s="207">
        <v>77096.0</v>
      </c>
      <c r="B138" s="208">
        <v>33991.0</v>
      </c>
      <c r="C138" s="208">
        <v>14.1</v>
      </c>
      <c r="D138" s="208">
        <v>84395.0</v>
      </c>
      <c r="E138" s="208">
        <v>1.16</v>
      </c>
      <c r="F138" s="208">
        <v>4.2</v>
      </c>
      <c r="G138" s="208">
        <v>14.9</v>
      </c>
      <c r="H138" s="208">
        <v>13.3</v>
      </c>
      <c r="I138" s="208">
        <v>9.3</v>
      </c>
      <c r="J138" s="208">
        <v>12.8</v>
      </c>
      <c r="K138" s="208">
        <v>47.4</v>
      </c>
      <c r="L138" s="209">
        <v>8.3</v>
      </c>
      <c r="M138" s="161">
        <f t="shared" si="5"/>
        <v>23.138833</v>
      </c>
      <c r="N138" s="189">
        <f t="shared" si="6"/>
        <v>69.6969697</v>
      </c>
      <c r="O138" s="161">
        <f t="shared" ref="O138:S138" si="244">((F138-O$1)/(O$2-O$1))*100</f>
        <v>21</v>
      </c>
      <c r="P138" s="161">
        <f t="shared" si="244"/>
        <v>28.45691383</v>
      </c>
      <c r="Q138" s="161">
        <f t="shared" si="244"/>
        <v>33.41902314</v>
      </c>
      <c r="R138" s="161">
        <f t="shared" si="244"/>
        <v>18.94093686</v>
      </c>
      <c r="S138" s="161">
        <f t="shared" si="244"/>
        <v>20.79207921</v>
      </c>
      <c r="T138" s="189">
        <f t="shared" si="8"/>
        <v>53.25714286</v>
      </c>
      <c r="U138" s="210">
        <f t="shared" si="9"/>
        <v>39.1509434</v>
      </c>
      <c r="V138" s="161">
        <f t="shared" ref="V138:AD138" si="245">M138*V$2</f>
        <v>4.6277666</v>
      </c>
      <c r="W138" s="161">
        <f t="shared" si="245"/>
        <v>13.93939394</v>
      </c>
      <c r="X138" s="161">
        <f t="shared" si="245"/>
        <v>1.05</v>
      </c>
      <c r="Y138" s="161">
        <f t="shared" si="245"/>
        <v>1.422845691</v>
      </c>
      <c r="Z138" s="161">
        <f t="shared" si="245"/>
        <v>1.670951157</v>
      </c>
      <c r="AA138" s="161">
        <f t="shared" si="245"/>
        <v>1.894093686</v>
      </c>
      <c r="AB138" s="161">
        <f t="shared" si="245"/>
        <v>3.118811881</v>
      </c>
      <c r="AC138" s="161">
        <f t="shared" si="245"/>
        <v>7.988571429</v>
      </c>
      <c r="AD138" s="161">
        <f t="shared" si="245"/>
        <v>1.95754717</v>
      </c>
      <c r="AE138" s="161">
        <f t="shared" si="11"/>
        <v>4.185553506</v>
      </c>
    </row>
    <row r="139">
      <c r="A139" s="207">
        <v>77009.0</v>
      </c>
      <c r="B139" s="208">
        <v>36107.0</v>
      </c>
      <c r="C139" s="208">
        <v>11.3</v>
      </c>
      <c r="D139" s="208">
        <v>81921.0</v>
      </c>
      <c r="E139" s="208">
        <v>1.12</v>
      </c>
      <c r="F139" s="208">
        <v>3.6</v>
      </c>
      <c r="G139" s="208">
        <v>17.4</v>
      </c>
      <c r="H139" s="208">
        <v>11.0</v>
      </c>
      <c r="I139" s="208">
        <v>22.1</v>
      </c>
      <c r="J139" s="208">
        <v>14.8</v>
      </c>
      <c r="K139" s="208">
        <v>58.7</v>
      </c>
      <c r="L139" s="209">
        <v>9.6</v>
      </c>
      <c r="M139" s="161">
        <f t="shared" si="5"/>
        <v>17.50503018</v>
      </c>
      <c r="N139" s="189">
        <f t="shared" si="6"/>
        <v>71.04377104</v>
      </c>
      <c r="O139" s="161">
        <f t="shared" ref="O139:S139" si="246">((F139-O$1)/(O$2-O$1))*100</f>
        <v>18</v>
      </c>
      <c r="P139" s="161">
        <f t="shared" si="246"/>
        <v>33.46693387</v>
      </c>
      <c r="Q139" s="161">
        <f t="shared" si="246"/>
        <v>27.50642674</v>
      </c>
      <c r="R139" s="161">
        <f t="shared" si="246"/>
        <v>45.0101833</v>
      </c>
      <c r="S139" s="161">
        <f t="shared" si="246"/>
        <v>24.75247525</v>
      </c>
      <c r="T139" s="189">
        <f t="shared" si="8"/>
        <v>40.34285714</v>
      </c>
      <c r="U139" s="210">
        <f t="shared" si="9"/>
        <v>45.28301887</v>
      </c>
      <c r="V139" s="161">
        <f t="shared" ref="V139:AD139" si="247">M139*V$2</f>
        <v>3.501006036</v>
      </c>
      <c r="W139" s="161">
        <f t="shared" si="247"/>
        <v>14.20875421</v>
      </c>
      <c r="X139" s="161">
        <f t="shared" si="247"/>
        <v>0.9</v>
      </c>
      <c r="Y139" s="161">
        <f t="shared" si="247"/>
        <v>1.673346693</v>
      </c>
      <c r="Z139" s="161">
        <f t="shared" si="247"/>
        <v>1.375321337</v>
      </c>
      <c r="AA139" s="161">
        <f t="shared" si="247"/>
        <v>4.50101833</v>
      </c>
      <c r="AB139" s="161">
        <f t="shared" si="247"/>
        <v>3.712871287</v>
      </c>
      <c r="AC139" s="161">
        <f t="shared" si="247"/>
        <v>6.051428571</v>
      </c>
      <c r="AD139" s="161">
        <f t="shared" si="247"/>
        <v>2.264150943</v>
      </c>
      <c r="AE139" s="161">
        <f t="shared" si="11"/>
        <v>4.243099712</v>
      </c>
    </row>
    <row r="140">
      <c r="A140" s="207">
        <v>77058.0</v>
      </c>
      <c r="B140" s="208">
        <v>18572.0</v>
      </c>
      <c r="C140" s="208">
        <v>12.0</v>
      </c>
      <c r="D140" s="208">
        <v>66471.0</v>
      </c>
      <c r="E140" s="208">
        <v>0.91</v>
      </c>
      <c r="F140" s="208">
        <v>4.1</v>
      </c>
      <c r="G140" s="208">
        <v>16.2</v>
      </c>
      <c r="H140" s="208">
        <v>7.7</v>
      </c>
      <c r="I140" s="208">
        <v>5.2</v>
      </c>
      <c r="J140" s="208">
        <v>9.6</v>
      </c>
      <c r="K140" s="208">
        <v>30.9</v>
      </c>
      <c r="L140" s="209">
        <v>5.8</v>
      </c>
      <c r="M140" s="161">
        <f t="shared" si="5"/>
        <v>18.91348089</v>
      </c>
      <c r="N140" s="189">
        <f t="shared" si="6"/>
        <v>78.11447811</v>
      </c>
      <c r="O140" s="161">
        <f t="shared" ref="O140:S140" si="248">((F140-O$1)/(O$2-O$1))*100</f>
        <v>20.5</v>
      </c>
      <c r="P140" s="161">
        <f t="shared" si="248"/>
        <v>31.06212425</v>
      </c>
      <c r="Q140" s="161">
        <f t="shared" si="248"/>
        <v>19.02313625</v>
      </c>
      <c r="R140" s="161">
        <f t="shared" si="248"/>
        <v>10.59063136</v>
      </c>
      <c r="S140" s="161">
        <f t="shared" si="248"/>
        <v>14.45544554</v>
      </c>
      <c r="T140" s="189">
        <f t="shared" si="8"/>
        <v>72.11428571</v>
      </c>
      <c r="U140" s="210">
        <f t="shared" si="9"/>
        <v>27.35849057</v>
      </c>
      <c r="V140" s="161">
        <f t="shared" ref="V140:AD140" si="249">M140*V$2</f>
        <v>3.782696177</v>
      </c>
      <c r="W140" s="161">
        <f t="shared" si="249"/>
        <v>15.62289562</v>
      </c>
      <c r="X140" s="161">
        <f t="shared" si="249"/>
        <v>1.025</v>
      </c>
      <c r="Y140" s="161">
        <f t="shared" si="249"/>
        <v>1.553106212</v>
      </c>
      <c r="Z140" s="161">
        <f t="shared" si="249"/>
        <v>0.9511568123</v>
      </c>
      <c r="AA140" s="161">
        <f t="shared" si="249"/>
        <v>1.059063136</v>
      </c>
      <c r="AB140" s="161">
        <f t="shared" si="249"/>
        <v>2.168316832</v>
      </c>
      <c r="AC140" s="161">
        <f t="shared" si="249"/>
        <v>10.81714286</v>
      </c>
      <c r="AD140" s="161">
        <f t="shared" si="249"/>
        <v>1.367924528</v>
      </c>
      <c r="AE140" s="161">
        <f t="shared" si="11"/>
        <v>4.260811353</v>
      </c>
    </row>
    <row r="141">
      <c r="A141" s="207">
        <v>77306.0</v>
      </c>
      <c r="B141" s="208">
        <v>17695.0</v>
      </c>
      <c r="C141" s="208">
        <v>16.6</v>
      </c>
      <c r="D141" s="208">
        <v>76411.0</v>
      </c>
      <c r="E141" s="208">
        <v>1.05</v>
      </c>
      <c r="F141" s="208">
        <v>2.2</v>
      </c>
      <c r="G141" s="208">
        <v>38.4</v>
      </c>
      <c r="H141" s="208">
        <v>16.4</v>
      </c>
      <c r="I141" s="208">
        <v>37.9</v>
      </c>
      <c r="J141" s="208">
        <v>7.6</v>
      </c>
      <c r="K141" s="208">
        <v>80.6</v>
      </c>
      <c r="L141" s="209">
        <v>0.2</v>
      </c>
      <c r="M141" s="161">
        <f t="shared" si="5"/>
        <v>28.16901408</v>
      </c>
      <c r="N141" s="189">
        <f t="shared" si="6"/>
        <v>73.4006734</v>
      </c>
      <c r="O141" s="161">
        <f t="shared" ref="O141:S141" si="250">((F141-O$1)/(O$2-O$1))*100</f>
        <v>11</v>
      </c>
      <c r="P141" s="161">
        <f t="shared" si="250"/>
        <v>75.5511022</v>
      </c>
      <c r="Q141" s="161">
        <f t="shared" si="250"/>
        <v>41.38817481</v>
      </c>
      <c r="R141" s="161">
        <f t="shared" si="250"/>
        <v>77.18940937</v>
      </c>
      <c r="S141" s="161">
        <f t="shared" si="250"/>
        <v>10.4950495</v>
      </c>
      <c r="T141" s="189">
        <f t="shared" si="8"/>
        <v>15.31428571</v>
      </c>
      <c r="U141" s="210">
        <f t="shared" si="9"/>
        <v>0.9433962264</v>
      </c>
      <c r="V141" s="161">
        <f t="shared" ref="V141:AD141" si="251">M141*V$2</f>
        <v>5.633802817</v>
      </c>
      <c r="W141" s="161">
        <f t="shared" si="251"/>
        <v>14.68013468</v>
      </c>
      <c r="X141" s="161">
        <f t="shared" si="251"/>
        <v>0.55</v>
      </c>
      <c r="Y141" s="161">
        <f t="shared" si="251"/>
        <v>3.77755511</v>
      </c>
      <c r="Z141" s="161">
        <f t="shared" si="251"/>
        <v>2.06940874</v>
      </c>
      <c r="AA141" s="161">
        <f t="shared" si="251"/>
        <v>7.718940937</v>
      </c>
      <c r="AB141" s="161">
        <f t="shared" si="251"/>
        <v>1.574257426</v>
      </c>
      <c r="AC141" s="161">
        <f t="shared" si="251"/>
        <v>2.297142857</v>
      </c>
      <c r="AD141" s="161">
        <f t="shared" si="251"/>
        <v>0.04716981132</v>
      </c>
      <c r="AE141" s="161">
        <f t="shared" si="11"/>
        <v>4.260934709</v>
      </c>
    </row>
    <row r="142">
      <c r="A142" s="207">
        <v>77445.0</v>
      </c>
      <c r="B142" s="208">
        <v>14943.0</v>
      </c>
      <c r="C142" s="208">
        <v>12.3</v>
      </c>
      <c r="D142" s="208">
        <v>63650.0</v>
      </c>
      <c r="E142" s="208">
        <v>0.87</v>
      </c>
      <c r="F142" s="208">
        <v>5.9</v>
      </c>
      <c r="G142" s="208">
        <v>21.1</v>
      </c>
      <c r="H142" s="208">
        <v>15.3</v>
      </c>
      <c r="I142" s="208">
        <v>16.2</v>
      </c>
      <c r="J142" s="208">
        <v>12.5</v>
      </c>
      <c r="K142" s="208">
        <v>60.5</v>
      </c>
      <c r="L142" s="209">
        <v>4.5</v>
      </c>
      <c r="M142" s="161">
        <f t="shared" si="5"/>
        <v>19.51710262</v>
      </c>
      <c r="N142" s="189">
        <f t="shared" si="6"/>
        <v>79.46127946</v>
      </c>
      <c r="O142" s="161">
        <f t="shared" ref="O142:S142" si="252">((F142-O$1)/(O$2-O$1))*100</f>
        <v>29.5</v>
      </c>
      <c r="P142" s="161">
        <f t="shared" si="252"/>
        <v>40.88176353</v>
      </c>
      <c r="Q142" s="161">
        <f t="shared" si="252"/>
        <v>38.56041131</v>
      </c>
      <c r="R142" s="161">
        <f t="shared" si="252"/>
        <v>32.99389002</v>
      </c>
      <c r="S142" s="161">
        <f t="shared" si="252"/>
        <v>20.1980198</v>
      </c>
      <c r="T142" s="189">
        <f t="shared" si="8"/>
        <v>38.28571429</v>
      </c>
      <c r="U142" s="210">
        <f t="shared" si="9"/>
        <v>21.22641509</v>
      </c>
      <c r="V142" s="161">
        <f t="shared" ref="V142:AD142" si="253">M142*V$2</f>
        <v>3.903420523</v>
      </c>
      <c r="W142" s="161">
        <f t="shared" si="253"/>
        <v>15.89225589</v>
      </c>
      <c r="X142" s="161">
        <f t="shared" si="253"/>
        <v>1.475</v>
      </c>
      <c r="Y142" s="161">
        <f t="shared" si="253"/>
        <v>2.044088176</v>
      </c>
      <c r="Z142" s="161">
        <f t="shared" si="253"/>
        <v>1.928020566</v>
      </c>
      <c r="AA142" s="161">
        <f t="shared" si="253"/>
        <v>3.299389002</v>
      </c>
      <c r="AB142" s="161">
        <f t="shared" si="253"/>
        <v>3.02970297</v>
      </c>
      <c r="AC142" s="161">
        <f t="shared" si="253"/>
        <v>5.742857143</v>
      </c>
      <c r="AD142" s="161">
        <f t="shared" si="253"/>
        <v>1.061320755</v>
      </c>
      <c r="AE142" s="161">
        <f t="shared" si="11"/>
        <v>4.264006114</v>
      </c>
    </row>
    <row r="143">
      <c r="A143" s="207">
        <v>77554.0</v>
      </c>
      <c r="B143" s="208">
        <v>9973.0</v>
      </c>
      <c r="C143" s="208">
        <v>7.7</v>
      </c>
      <c r="D143" s="208">
        <v>87093.0</v>
      </c>
      <c r="E143" s="208">
        <v>1.19</v>
      </c>
      <c r="F143" s="208">
        <v>6.7</v>
      </c>
      <c r="G143" s="208">
        <v>4.9</v>
      </c>
      <c r="H143" s="208">
        <v>1.5</v>
      </c>
      <c r="I143" s="208">
        <v>4.3</v>
      </c>
      <c r="J143" s="208">
        <v>52.8</v>
      </c>
      <c r="K143" s="208">
        <v>70.0</v>
      </c>
      <c r="L143" s="209">
        <v>2.6</v>
      </c>
      <c r="M143" s="161">
        <f t="shared" si="5"/>
        <v>10.26156942</v>
      </c>
      <c r="N143" s="189">
        <f t="shared" si="6"/>
        <v>68.68686869</v>
      </c>
      <c r="O143" s="161">
        <f t="shared" ref="O143:S143" si="254">((F143-O$1)/(O$2-O$1))*100</f>
        <v>33.5</v>
      </c>
      <c r="P143" s="161">
        <f t="shared" si="254"/>
        <v>8.416833667</v>
      </c>
      <c r="Q143" s="161">
        <f t="shared" si="254"/>
        <v>3.084832905</v>
      </c>
      <c r="R143" s="161">
        <f t="shared" si="254"/>
        <v>8.757637475</v>
      </c>
      <c r="S143" s="161">
        <f t="shared" si="254"/>
        <v>100</v>
      </c>
      <c r="T143" s="189">
        <f t="shared" si="8"/>
        <v>27.42857143</v>
      </c>
      <c r="U143" s="210">
        <f t="shared" si="9"/>
        <v>12.26415094</v>
      </c>
      <c r="V143" s="161">
        <f t="shared" ref="V143:AD143" si="255">M143*V$2</f>
        <v>2.052313883</v>
      </c>
      <c r="W143" s="161">
        <f t="shared" si="255"/>
        <v>13.73737374</v>
      </c>
      <c r="X143" s="161">
        <f t="shared" si="255"/>
        <v>1.675</v>
      </c>
      <c r="Y143" s="161">
        <f t="shared" si="255"/>
        <v>0.4208416834</v>
      </c>
      <c r="Z143" s="161">
        <f t="shared" si="255"/>
        <v>0.1542416452</v>
      </c>
      <c r="AA143" s="161">
        <f t="shared" si="255"/>
        <v>0.8757637475</v>
      </c>
      <c r="AB143" s="161">
        <f t="shared" si="255"/>
        <v>15</v>
      </c>
      <c r="AC143" s="161">
        <f t="shared" si="255"/>
        <v>4.114285714</v>
      </c>
      <c r="AD143" s="161">
        <f t="shared" si="255"/>
        <v>0.6132075472</v>
      </c>
      <c r="AE143" s="161">
        <f t="shared" si="11"/>
        <v>4.293669773</v>
      </c>
    </row>
    <row r="144">
      <c r="A144" s="207">
        <v>77077.0</v>
      </c>
      <c r="B144" s="208">
        <v>63421.0</v>
      </c>
      <c r="C144" s="208">
        <v>11.8</v>
      </c>
      <c r="D144" s="208">
        <v>71080.0</v>
      </c>
      <c r="E144" s="208">
        <v>0.97</v>
      </c>
      <c r="F144" s="208">
        <v>6.7</v>
      </c>
      <c r="G144" s="208">
        <v>14.5</v>
      </c>
      <c r="H144" s="208">
        <v>8.6</v>
      </c>
      <c r="I144" s="208">
        <v>5.1</v>
      </c>
      <c r="J144" s="208">
        <v>11.3</v>
      </c>
      <c r="K144" s="208">
        <v>35.6</v>
      </c>
      <c r="L144" s="209">
        <v>8.0</v>
      </c>
      <c r="M144" s="161">
        <f t="shared" si="5"/>
        <v>18.5110664</v>
      </c>
      <c r="N144" s="189">
        <f t="shared" si="6"/>
        <v>76.09427609</v>
      </c>
      <c r="O144" s="161">
        <f t="shared" ref="O144:S144" si="256">((F144-O$1)/(O$2-O$1))*100</f>
        <v>33.5</v>
      </c>
      <c r="P144" s="161">
        <f t="shared" si="256"/>
        <v>27.65531062</v>
      </c>
      <c r="Q144" s="161">
        <f t="shared" si="256"/>
        <v>21.33676093</v>
      </c>
      <c r="R144" s="161">
        <f t="shared" si="256"/>
        <v>10.38696538</v>
      </c>
      <c r="S144" s="161">
        <f t="shared" si="256"/>
        <v>17.82178218</v>
      </c>
      <c r="T144" s="189">
        <f t="shared" si="8"/>
        <v>66.74285714</v>
      </c>
      <c r="U144" s="210">
        <f t="shared" si="9"/>
        <v>37.73584906</v>
      </c>
      <c r="V144" s="161">
        <f t="shared" ref="V144:AD144" si="257">M144*V$2</f>
        <v>3.70221328</v>
      </c>
      <c r="W144" s="161">
        <f t="shared" si="257"/>
        <v>15.21885522</v>
      </c>
      <c r="X144" s="161">
        <f t="shared" si="257"/>
        <v>1.675</v>
      </c>
      <c r="Y144" s="161">
        <f t="shared" si="257"/>
        <v>1.382765531</v>
      </c>
      <c r="Z144" s="161">
        <f t="shared" si="257"/>
        <v>1.066838046</v>
      </c>
      <c r="AA144" s="161">
        <f t="shared" si="257"/>
        <v>1.038696538</v>
      </c>
      <c r="AB144" s="161">
        <f t="shared" si="257"/>
        <v>2.673267327</v>
      </c>
      <c r="AC144" s="161">
        <f t="shared" si="257"/>
        <v>10.01142857</v>
      </c>
      <c r="AD144" s="161">
        <f t="shared" si="257"/>
        <v>1.886792453</v>
      </c>
      <c r="AE144" s="161">
        <f t="shared" si="11"/>
        <v>4.295095218</v>
      </c>
    </row>
    <row r="145">
      <c r="A145" s="207">
        <v>77477.0</v>
      </c>
      <c r="B145" s="208">
        <v>32722.0</v>
      </c>
      <c r="C145" s="208">
        <v>12.5</v>
      </c>
      <c r="D145" s="208">
        <v>73290.0</v>
      </c>
      <c r="E145" s="208">
        <v>1.0</v>
      </c>
      <c r="F145" s="208">
        <v>5.9</v>
      </c>
      <c r="G145" s="208">
        <v>18.4</v>
      </c>
      <c r="H145" s="208">
        <v>13.7</v>
      </c>
      <c r="I145" s="208">
        <v>14.6</v>
      </c>
      <c r="J145" s="208">
        <v>7.0</v>
      </c>
      <c r="K145" s="208">
        <v>40.1</v>
      </c>
      <c r="L145" s="209">
        <v>5.3</v>
      </c>
      <c r="M145" s="161">
        <f t="shared" si="5"/>
        <v>19.9195171</v>
      </c>
      <c r="N145" s="189">
        <f t="shared" si="6"/>
        <v>75.08417508</v>
      </c>
      <c r="O145" s="161">
        <f t="shared" ref="O145:S145" si="258">((F145-O$1)/(O$2-O$1))*100</f>
        <v>29.5</v>
      </c>
      <c r="P145" s="161">
        <f t="shared" si="258"/>
        <v>35.47094188</v>
      </c>
      <c r="Q145" s="161">
        <f t="shared" si="258"/>
        <v>34.44730077</v>
      </c>
      <c r="R145" s="161">
        <f t="shared" si="258"/>
        <v>29.73523422</v>
      </c>
      <c r="S145" s="161">
        <f t="shared" si="258"/>
        <v>9.306930693</v>
      </c>
      <c r="T145" s="189">
        <f t="shared" si="8"/>
        <v>61.6</v>
      </c>
      <c r="U145" s="210">
        <f t="shared" si="9"/>
        <v>25</v>
      </c>
      <c r="V145" s="161">
        <f t="shared" ref="V145:AD145" si="259">M145*V$2</f>
        <v>3.983903421</v>
      </c>
      <c r="W145" s="161">
        <f t="shared" si="259"/>
        <v>15.01683502</v>
      </c>
      <c r="X145" s="161">
        <f t="shared" si="259"/>
        <v>1.475</v>
      </c>
      <c r="Y145" s="161">
        <f t="shared" si="259"/>
        <v>1.773547094</v>
      </c>
      <c r="Z145" s="161">
        <f t="shared" si="259"/>
        <v>1.722365039</v>
      </c>
      <c r="AA145" s="161">
        <f t="shared" si="259"/>
        <v>2.973523422</v>
      </c>
      <c r="AB145" s="161">
        <f t="shared" si="259"/>
        <v>1.396039604</v>
      </c>
      <c r="AC145" s="161">
        <f t="shared" si="259"/>
        <v>9.24</v>
      </c>
      <c r="AD145" s="161">
        <f t="shared" si="259"/>
        <v>1.25</v>
      </c>
      <c r="AE145" s="161">
        <f t="shared" si="11"/>
        <v>4.314579288</v>
      </c>
    </row>
    <row r="146">
      <c r="A146" s="207">
        <v>77338.0</v>
      </c>
      <c r="B146" s="208">
        <v>47335.0</v>
      </c>
      <c r="C146" s="208">
        <v>17.0</v>
      </c>
      <c r="D146" s="208">
        <v>68808.0</v>
      </c>
      <c r="E146" s="208">
        <v>0.94</v>
      </c>
      <c r="F146" s="208">
        <v>5.4</v>
      </c>
      <c r="G146" s="208">
        <v>22.2</v>
      </c>
      <c r="H146" s="208">
        <v>16.3</v>
      </c>
      <c r="I146" s="208">
        <v>12.7</v>
      </c>
      <c r="J146" s="208">
        <v>5.3</v>
      </c>
      <c r="K146" s="208">
        <v>51.2</v>
      </c>
      <c r="L146" s="209">
        <v>5.6</v>
      </c>
      <c r="M146" s="161">
        <f t="shared" si="5"/>
        <v>28.97384306</v>
      </c>
      <c r="N146" s="189">
        <f t="shared" si="6"/>
        <v>77.1043771</v>
      </c>
      <c r="O146" s="161">
        <f t="shared" ref="O146:S146" si="260">((F146-O$1)/(O$2-O$1))*100</f>
        <v>27</v>
      </c>
      <c r="P146" s="161">
        <f t="shared" si="260"/>
        <v>43.08617234</v>
      </c>
      <c r="Q146" s="161">
        <f t="shared" si="260"/>
        <v>41.1311054</v>
      </c>
      <c r="R146" s="161">
        <f t="shared" si="260"/>
        <v>25.86558045</v>
      </c>
      <c r="S146" s="161">
        <f t="shared" si="260"/>
        <v>5.940594059</v>
      </c>
      <c r="T146" s="189">
        <f t="shared" si="8"/>
        <v>48.91428571</v>
      </c>
      <c r="U146" s="210">
        <f t="shared" si="9"/>
        <v>26.41509434</v>
      </c>
      <c r="V146" s="161">
        <f t="shared" ref="V146:AD146" si="261">M146*V$2</f>
        <v>5.794768612</v>
      </c>
      <c r="W146" s="161">
        <f t="shared" si="261"/>
        <v>15.42087542</v>
      </c>
      <c r="X146" s="161">
        <f t="shared" si="261"/>
        <v>1.35</v>
      </c>
      <c r="Y146" s="161">
        <f t="shared" si="261"/>
        <v>2.154308617</v>
      </c>
      <c r="Z146" s="161">
        <f t="shared" si="261"/>
        <v>2.05655527</v>
      </c>
      <c r="AA146" s="161">
        <f t="shared" si="261"/>
        <v>2.586558045</v>
      </c>
      <c r="AB146" s="161">
        <f t="shared" si="261"/>
        <v>0.8910891089</v>
      </c>
      <c r="AC146" s="161">
        <f t="shared" si="261"/>
        <v>7.337142857</v>
      </c>
      <c r="AD146" s="161">
        <f t="shared" si="261"/>
        <v>1.320754717</v>
      </c>
      <c r="AE146" s="161">
        <f t="shared" si="11"/>
        <v>4.323561405</v>
      </c>
    </row>
    <row r="147">
      <c r="A147" s="207">
        <v>77591.0</v>
      </c>
      <c r="B147" s="208">
        <v>16840.0</v>
      </c>
      <c r="C147" s="208">
        <v>17.8</v>
      </c>
      <c r="D147" s="208">
        <v>66010.0</v>
      </c>
      <c r="E147" s="208">
        <v>0.9</v>
      </c>
      <c r="F147" s="208">
        <v>5.1</v>
      </c>
      <c r="G147" s="208">
        <v>14.6</v>
      </c>
      <c r="H147" s="208">
        <v>14.3</v>
      </c>
      <c r="I147" s="208">
        <v>10.0</v>
      </c>
      <c r="J147" s="208">
        <v>8.5</v>
      </c>
      <c r="K147" s="208">
        <v>53.5</v>
      </c>
      <c r="L147" s="209">
        <v>8.5</v>
      </c>
      <c r="M147" s="161">
        <f t="shared" si="5"/>
        <v>30.58350101</v>
      </c>
      <c r="N147" s="189">
        <f t="shared" si="6"/>
        <v>78.45117845</v>
      </c>
      <c r="O147" s="161">
        <f t="shared" ref="O147:S147" si="262">((F147-O$1)/(O$2-O$1))*100</f>
        <v>25.5</v>
      </c>
      <c r="P147" s="161">
        <f t="shared" si="262"/>
        <v>27.85571142</v>
      </c>
      <c r="Q147" s="161">
        <f t="shared" si="262"/>
        <v>35.98971722</v>
      </c>
      <c r="R147" s="161">
        <f t="shared" si="262"/>
        <v>20.36659878</v>
      </c>
      <c r="S147" s="161">
        <f t="shared" si="262"/>
        <v>12.27722772</v>
      </c>
      <c r="T147" s="189">
        <f t="shared" si="8"/>
        <v>46.28571429</v>
      </c>
      <c r="U147" s="210">
        <f t="shared" si="9"/>
        <v>40.09433962</v>
      </c>
      <c r="V147" s="161">
        <f t="shared" ref="V147:AD147" si="263">M147*V$2</f>
        <v>6.116700201</v>
      </c>
      <c r="W147" s="161">
        <f t="shared" si="263"/>
        <v>15.69023569</v>
      </c>
      <c r="X147" s="161">
        <f t="shared" si="263"/>
        <v>1.275</v>
      </c>
      <c r="Y147" s="161">
        <f t="shared" si="263"/>
        <v>1.392785571</v>
      </c>
      <c r="Z147" s="161">
        <f t="shared" si="263"/>
        <v>1.799485861</v>
      </c>
      <c r="AA147" s="161">
        <f t="shared" si="263"/>
        <v>2.036659878</v>
      </c>
      <c r="AB147" s="161">
        <f t="shared" si="263"/>
        <v>1.841584158</v>
      </c>
      <c r="AC147" s="161">
        <f t="shared" si="263"/>
        <v>6.942857143</v>
      </c>
      <c r="AD147" s="161">
        <f t="shared" si="263"/>
        <v>2.004716981</v>
      </c>
      <c r="AE147" s="161">
        <f t="shared" si="11"/>
        <v>4.344447276</v>
      </c>
    </row>
    <row r="148">
      <c r="A148" s="207">
        <v>77049.0</v>
      </c>
      <c r="B148" s="208">
        <v>40373.0</v>
      </c>
      <c r="C148" s="208">
        <v>18.4</v>
      </c>
      <c r="D148" s="208">
        <v>70514.0</v>
      </c>
      <c r="E148" s="208">
        <v>0.97</v>
      </c>
      <c r="F148" s="208">
        <v>8.0</v>
      </c>
      <c r="G148" s="208">
        <v>26.6</v>
      </c>
      <c r="H148" s="208">
        <v>16.7</v>
      </c>
      <c r="I148" s="208">
        <v>22.4</v>
      </c>
      <c r="J148" s="208">
        <v>5.3</v>
      </c>
      <c r="K148" s="208">
        <v>68.0</v>
      </c>
      <c r="L148" s="209">
        <v>4.7</v>
      </c>
      <c r="M148" s="161">
        <f t="shared" si="5"/>
        <v>31.79074447</v>
      </c>
      <c r="N148" s="189">
        <f t="shared" si="6"/>
        <v>76.09427609</v>
      </c>
      <c r="O148" s="161">
        <f t="shared" ref="O148:S148" si="264">((F148-O$1)/(O$2-O$1))*100</f>
        <v>40</v>
      </c>
      <c r="P148" s="161">
        <f t="shared" si="264"/>
        <v>51.90380762</v>
      </c>
      <c r="Q148" s="161">
        <f t="shared" si="264"/>
        <v>42.15938303</v>
      </c>
      <c r="R148" s="161">
        <f t="shared" si="264"/>
        <v>45.62118126</v>
      </c>
      <c r="S148" s="161">
        <f t="shared" si="264"/>
        <v>5.940594059</v>
      </c>
      <c r="T148" s="189">
        <f t="shared" si="8"/>
        <v>29.71428571</v>
      </c>
      <c r="U148" s="210">
        <f t="shared" si="9"/>
        <v>22.16981132</v>
      </c>
      <c r="V148" s="161">
        <f t="shared" ref="V148:AD148" si="265">M148*V$2</f>
        <v>6.358148893</v>
      </c>
      <c r="W148" s="161">
        <f t="shared" si="265"/>
        <v>15.21885522</v>
      </c>
      <c r="X148" s="161">
        <f t="shared" si="265"/>
        <v>2</v>
      </c>
      <c r="Y148" s="161">
        <f t="shared" si="265"/>
        <v>2.595190381</v>
      </c>
      <c r="Z148" s="161">
        <f t="shared" si="265"/>
        <v>2.107969152</v>
      </c>
      <c r="AA148" s="161">
        <f t="shared" si="265"/>
        <v>4.562118126</v>
      </c>
      <c r="AB148" s="161">
        <f t="shared" si="265"/>
        <v>0.8910891089</v>
      </c>
      <c r="AC148" s="161">
        <f t="shared" si="265"/>
        <v>4.457142857</v>
      </c>
      <c r="AD148" s="161">
        <f t="shared" si="265"/>
        <v>1.108490566</v>
      </c>
      <c r="AE148" s="161">
        <f t="shared" si="11"/>
        <v>4.366556034</v>
      </c>
    </row>
    <row r="149">
      <c r="A149" s="207">
        <v>77083.0</v>
      </c>
      <c r="B149" s="208">
        <v>74843.0</v>
      </c>
      <c r="C149" s="208">
        <v>16.4</v>
      </c>
      <c r="D149" s="208">
        <v>65349.0</v>
      </c>
      <c r="E149" s="208">
        <v>0.89</v>
      </c>
      <c r="F149" s="208">
        <v>7.8</v>
      </c>
      <c r="G149" s="208">
        <v>21.3</v>
      </c>
      <c r="H149" s="208">
        <v>19.3</v>
      </c>
      <c r="I149" s="208">
        <v>21.0</v>
      </c>
      <c r="J149" s="208">
        <v>5.2</v>
      </c>
      <c r="K149" s="208">
        <v>65.5</v>
      </c>
      <c r="L149" s="209">
        <v>6.4</v>
      </c>
      <c r="M149" s="161">
        <f t="shared" si="5"/>
        <v>27.7665996</v>
      </c>
      <c r="N149" s="189">
        <f t="shared" si="6"/>
        <v>78.78787879</v>
      </c>
      <c r="O149" s="161">
        <f t="shared" ref="O149:S149" si="266">((F149-O$1)/(O$2-O$1))*100</f>
        <v>39</v>
      </c>
      <c r="P149" s="161">
        <f t="shared" si="266"/>
        <v>41.28256513</v>
      </c>
      <c r="Q149" s="161">
        <f t="shared" si="266"/>
        <v>48.84318766</v>
      </c>
      <c r="R149" s="161">
        <f t="shared" si="266"/>
        <v>42.76985743</v>
      </c>
      <c r="S149" s="161">
        <f t="shared" si="266"/>
        <v>5.742574257</v>
      </c>
      <c r="T149" s="189">
        <f t="shared" si="8"/>
        <v>32.57142857</v>
      </c>
      <c r="U149" s="210">
        <f t="shared" si="9"/>
        <v>30.18867925</v>
      </c>
      <c r="V149" s="161">
        <f t="shared" ref="V149:AD149" si="267">M149*V$2</f>
        <v>5.55331992</v>
      </c>
      <c r="W149" s="161">
        <f t="shared" si="267"/>
        <v>15.75757576</v>
      </c>
      <c r="X149" s="161">
        <f t="shared" si="267"/>
        <v>1.95</v>
      </c>
      <c r="Y149" s="161">
        <f t="shared" si="267"/>
        <v>2.064128257</v>
      </c>
      <c r="Z149" s="161">
        <f t="shared" si="267"/>
        <v>2.442159383</v>
      </c>
      <c r="AA149" s="161">
        <f t="shared" si="267"/>
        <v>4.276985743</v>
      </c>
      <c r="AB149" s="161">
        <f t="shared" si="267"/>
        <v>0.8613861386</v>
      </c>
      <c r="AC149" s="161">
        <f t="shared" si="267"/>
        <v>4.885714286</v>
      </c>
      <c r="AD149" s="161">
        <f t="shared" si="267"/>
        <v>1.509433962</v>
      </c>
      <c r="AE149" s="161">
        <f t="shared" si="11"/>
        <v>4.366744827</v>
      </c>
    </row>
    <row r="150">
      <c r="A150" s="207">
        <v>77085.0</v>
      </c>
      <c r="B150" s="208">
        <v>16947.0</v>
      </c>
      <c r="C150" s="208">
        <v>16.4</v>
      </c>
      <c r="D150" s="208">
        <v>66651.0</v>
      </c>
      <c r="E150" s="208">
        <v>0.91</v>
      </c>
      <c r="F150" s="208">
        <v>2.9</v>
      </c>
      <c r="G150" s="208">
        <v>29.4</v>
      </c>
      <c r="H150" s="208">
        <v>12.5</v>
      </c>
      <c r="I150" s="208">
        <v>33.3</v>
      </c>
      <c r="J150" s="208">
        <v>3.2</v>
      </c>
      <c r="K150" s="208">
        <v>63.7</v>
      </c>
      <c r="L150" s="209">
        <v>4.4</v>
      </c>
      <c r="M150" s="161">
        <f t="shared" si="5"/>
        <v>27.7665996</v>
      </c>
      <c r="N150" s="189">
        <f t="shared" si="6"/>
        <v>78.11447811</v>
      </c>
      <c r="O150" s="161">
        <f t="shared" ref="O150:S150" si="268">((F150-O$1)/(O$2-O$1))*100</f>
        <v>14.5</v>
      </c>
      <c r="P150" s="161">
        <f t="shared" si="268"/>
        <v>57.51503006</v>
      </c>
      <c r="Q150" s="161">
        <f t="shared" si="268"/>
        <v>31.36246787</v>
      </c>
      <c r="R150" s="161">
        <f t="shared" si="268"/>
        <v>67.82077393</v>
      </c>
      <c r="S150" s="161">
        <f t="shared" si="268"/>
        <v>1.782178218</v>
      </c>
      <c r="T150" s="189">
        <f t="shared" si="8"/>
        <v>34.62857143</v>
      </c>
      <c r="U150" s="210">
        <f t="shared" si="9"/>
        <v>20.75471698</v>
      </c>
      <c r="V150" s="161">
        <f t="shared" ref="V150:AD150" si="269">M150*V$2</f>
        <v>5.55331992</v>
      </c>
      <c r="W150" s="161">
        <f t="shared" si="269"/>
        <v>15.62289562</v>
      </c>
      <c r="X150" s="161">
        <f t="shared" si="269"/>
        <v>0.725</v>
      </c>
      <c r="Y150" s="161">
        <f t="shared" si="269"/>
        <v>2.875751503</v>
      </c>
      <c r="Z150" s="161">
        <f t="shared" si="269"/>
        <v>1.568123393</v>
      </c>
      <c r="AA150" s="161">
        <f t="shared" si="269"/>
        <v>6.782077393</v>
      </c>
      <c r="AB150" s="161">
        <f t="shared" si="269"/>
        <v>0.2673267327</v>
      </c>
      <c r="AC150" s="161">
        <f t="shared" si="269"/>
        <v>5.194285714</v>
      </c>
      <c r="AD150" s="161">
        <f t="shared" si="269"/>
        <v>1.037735849</v>
      </c>
      <c r="AE150" s="161">
        <f t="shared" si="11"/>
        <v>4.402946236</v>
      </c>
    </row>
    <row r="151">
      <c r="A151" s="207">
        <v>77598.0</v>
      </c>
      <c r="B151" s="208">
        <v>26638.0</v>
      </c>
      <c r="C151" s="208">
        <v>11.0</v>
      </c>
      <c r="D151" s="208">
        <v>59758.0</v>
      </c>
      <c r="E151" s="208">
        <v>0.82</v>
      </c>
      <c r="F151" s="208">
        <v>4.0</v>
      </c>
      <c r="G151" s="208">
        <v>14.6</v>
      </c>
      <c r="H151" s="208">
        <v>10.8</v>
      </c>
      <c r="I151" s="208">
        <v>8.7</v>
      </c>
      <c r="J151" s="208">
        <v>6.7</v>
      </c>
      <c r="K151" s="208">
        <v>21.6</v>
      </c>
      <c r="L151" s="209">
        <v>7.0</v>
      </c>
      <c r="M151" s="161">
        <f t="shared" si="5"/>
        <v>16.90140845</v>
      </c>
      <c r="N151" s="189">
        <f t="shared" si="6"/>
        <v>81.14478114</v>
      </c>
      <c r="O151" s="161">
        <f t="shared" ref="O151:S151" si="270">((F151-O$1)/(O$2-O$1))*100</f>
        <v>20</v>
      </c>
      <c r="P151" s="161">
        <f t="shared" si="270"/>
        <v>27.85571142</v>
      </c>
      <c r="Q151" s="161">
        <f t="shared" si="270"/>
        <v>26.99228792</v>
      </c>
      <c r="R151" s="161">
        <f t="shared" si="270"/>
        <v>17.71894094</v>
      </c>
      <c r="S151" s="161">
        <f t="shared" si="270"/>
        <v>8.712871287</v>
      </c>
      <c r="T151" s="189">
        <f t="shared" si="8"/>
        <v>82.74285714</v>
      </c>
      <c r="U151" s="210">
        <f t="shared" si="9"/>
        <v>33.01886792</v>
      </c>
      <c r="V151" s="161">
        <f t="shared" ref="V151:AD151" si="271">M151*V$2</f>
        <v>3.38028169</v>
      </c>
      <c r="W151" s="161">
        <f t="shared" si="271"/>
        <v>16.22895623</v>
      </c>
      <c r="X151" s="161">
        <f t="shared" si="271"/>
        <v>1</v>
      </c>
      <c r="Y151" s="161">
        <f t="shared" si="271"/>
        <v>1.392785571</v>
      </c>
      <c r="Z151" s="161">
        <f t="shared" si="271"/>
        <v>1.349614396</v>
      </c>
      <c r="AA151" s="161">
        <f t="shared" si="271"/>
        <v>1.771894094</v>
      </c>
      <c r="AB151" s="161">
        <f t="shared" si="271"/>
        <v>1.306930693</v>
      </c>
      <c r="AC151" s="161">
        <f t="shared" si="271"/>
        <v>12.41142857</v>
      </c>
      <c r="AD151" s="161">
        <f t="shared" si="271"/>
        <v>1.650943396</v>
      </c>
      <c r="AE151" s="161">
        <f t="shared" si="11"/>
        <v>4.499203849</v>
      </c>
    </row>
    <row r="152">
      <c r="A152" s="207">
        <v>77301.0</v>
      </c>
      <c r="B152" s="208">
        <v>36835.0</v>
      </c>
      <c r="C152" s="208">
        <v>17.2</v>
      </c>
      <c r="D152" s="208">
        <v>64885.0</v>
      </c>
      <c r="E152" s="208">
        <v>0.89</v>
      </c>
      <c r="F152" s="208">
        <v>3.2</v>
      </c>
      <c r="G152" s="208">
        <v>25.5</v>
      </c>
      <c r="H152" s="208">
        <v>12.9</v>
      </c>
      <c r="I152" s="208">
        <v>24.6</v>
      </c>
      <c r="J152" s="208">
        <v>6.1</v>
      </c>
      <c r="K152" s="208">
        <v>56.3</v>
      </c>
      <c r="L152" s="209">
        <v>5.8</v>
      </c>
      <c r="M152" s="161">
        <f t="shared" si="5"/>
        <v>29.37625755</v>
      </c>
      <c r="N152" s="189">
        <f t="shared" si="6"/>
        <v>78.78787879</v>
      </c>
      <c r="O152" s="161">
        <f t="shared" ref="O152:S152" si="272">((F152-O$1)/(O$2-O$1))*100</f>
        <v>16</v>
      </c>
      <c r="P152" s="161">
        <f t="shared" si="272"/>
        <v>49.6993988</v>
      </c>
      <c r="Q152" s="161">
        <f t="shared" si="272"/>
        <v>32.3907455</v>
      </c>
      <c r="R152" s="161">
        <f t="shared" si="272"/>
        <v>50.10183299</v>
      </c>
      <c r="S152" s="161">
        <f t="shared" si="272"/>
        <v>7.524752475</v>
      </c>
      <c r="T152" s="189">
        <f t="shared" si="8"/>
        <v>43.08571429</v>
      </c>
      <c r="U152" s="210">
        <f t="shared" si="9"/>
        <v>27.35849057</v>
      </c>
      <c r="V152" s="161">
        <f t="shared" ref="V152:AD152" si="273">M152*V$2</f>
        <v>5.875251509</v>
      </c>
      <c r="W152" s="161">
        <f t="shared" si="273"/>
        <v>15.75757576</v>
      </c>
      <c r="X152" s="161">
        <f t="shared" si="273"/>
        <v>0.8</v>
      </c>
      <c r="Y152" s="161">
        <f t="shared" si="273"/>
        <v>2.48496994</v>
      </c>
      <c r="Z152" s="161">
        <f t="shared" si="273"/>
        <v>1.619537275</v>
      </c>
      <c r="AA152" s="161">
        <f t="shared" si="273"/>
        <v>5.010183299</v>
      </c>
      <c r="AB152" s="161">
        <f t="shared" si="273"/>
        <v>1.128712871</v>
      </c>
      <c r="AC152" s="161">
        <f t="shared" si="273"/>
        <v>6.462857143</v>
      </c>
      <c r="AD152" s="161">
        <f t="shared" si="273"/>
        <v>1.367924528</v>
      </c>
      <c r="AE152" s="161">
        <f t="shared" si="11"/>
        <v>4.500779147</v>
      </c>
    </row>
    <row r="153">
      <c r="A153" s="207">
        <v>77053.0</v>
      </c>
      <c r="B153" s="208">
        <v>30256.0</v>
      </c>
      <c r="C153" s="208">
        <v>18.2</v>
      </c>
      <c r="D153" s="208">
        <v>63739.0</v>
      </c>
      <c r="E153" s="208">
        <v>0.87</v>
      </c>
      <c r="F153" s="208">
        <v>7.1</v>
      </c>
      <c r="G153" s="208">
        <v>27.4</v>
      </c>
      <c r="H153" s="208">
        <v>18.9</v>
      </c>
      <c r="I153" s="208">
        <v>27.9</v>
      </c>
      <c r="J153" s="208">
        <v>2.8</v>
      </c>
      <c r="K153" s="208">
        <v>65.3</v>
      </c>
      <c r="L153" s="209">
        <v>3.6</v>
      </c>
      <c r="M153" s="161">
        <f t="shared" si="5"/>
        <v>31.38832998</v>
      </c>
      <c r="N153" s="189">
        <f t="shared" si="6"/>
        <v>79.46127946</v>
      </c>
      <c r="O153" s="161">
        <f t="shared" ref="O153:S153" si="274">((F153-O$1)/(O$2-O$1))*100</f>
        <v>35.5</v>
      </c>
      <c r="P153" s="161">
        <f t="shared" si="274"/>
        <v>53.50701403</v>
      </c>
      <c r="Q153" s="161">
        <f t="shared" si="274"/>
        <v>47.81491003</v>
      </c>
      <c r="R153" s="161">
        <f t="shared" si="274"/>
        <v>56.82281059</v>
      </c>
      <c r="S153" s="161">
        <f t="shared" si="274"/>
        <v>0.9900990099</v>
      </c>
      <c r="T153" s="189">
        <f t="shared" si="8"/>
        <v>32.8</v>
      </c>
      <c r="U153" s="210">
        <f t="shared" si="9"/>
        <v>16.98113208</v>
      </c>
      <c r="V153" s="161">
        <f t="shared" ref="V153:AD153" si="275">M153*V$2</f>
        <v>6.277665996</v>
      </c>
      <c r="W153" s="161">
        <f t="shared" si="275"/>
        <v>15.89225589</v>
      </c>
      <c r="X153" s="161">
        <f t="shared" si="275"/>
        <v>1.775</v>
      </c>
      <c r="Y153" s="161">
        <f t="shared" si="275"/>
        <v>2.675350701</v>
      </c>
      <c r="Z153" s="161">
        <f t="shared" si="275"/>
        <v>2.390745501</v>
      </c>
      <c r="AA153" s="161">
        <f t="shared" si="275"/>
        <v>5.682281059</v>
      </c>
      <c r="AB153" s="161">
        <f t="shared" si="275"/>
        <v>0.1485148515</v>
      </c>
      <c r="AC153" s="161">
        <f t="shared" si="275"/>
        <v>4.92</v>
      </c>
      <c r="AD153" s="161">
        <f t="shared" si="275"/>
        <v>0.8490566038</v>
      </c>
      <c r="AE153" s="161">
        <f t="shared" si="11"/>
        <v>4.512318956</v>
      </c>
    </row>
    <row r="154">
      <c r="A154" s="207">
        <v>77003.0</v>
      </c>
      <c r="B154" s="208">
        <v>9721.0</v>
      </c>
      <c r="C154" s="208">
        <v>18.7</v>
      </c>
      <c r="D154" s="208">
        <v>88837.0</v>
      </c>
      <c r="E154" s="208">
        <v>1.22</v>
      </c>
      <c r="F154" s="208">
        <v>6.8</v>
      </c>
      <c r="G154" s="208">
        <v>14.0</v>
      </c>
      <c r="H154" s="208">
        <v>12.4</v>
      </c>
      <c r="I154" s="208">
        <v>7.3</v>
      </c>
      <c r="J154" s="208">
        <v>13.3</v>
      </c>
      <c r="K154" s="208">
        <v>45.2</v>
      </c>
      <c r="L154" s="209">
        <v>12.6</v>
      </c>
      <c r="M154" s="161">
        <f t="shared" si="5"/>
        <v>32.3943662</v>
      </c>
      <c r="N154" s="189">
        <f t="shared" si="6"/>
        <v>67.67676768</v>
      </c>
      <c r="O154" s="161">
        <f t="shared" ref="O154:S154" si="276">((F154-O$1)/(O$2-O$1))*100</f>
        <v>34</v>
      </c>
      <c r="P154" s="161">
        <f t="shared" si="276"/>
        <v>26.65330661</v>
      </c>
      <c r="Q154" s="161">
        <f t="shared" si="276"/>
        <v>31.10539846</v>
      </c>
      <c r="R154" s="161">
        <f t="shared" si="276"/>
        <v>14.86761711</v>
      </c>
      <c r="S154" s="161">
        <f t="shared" si="276"/>
        <v>21.78217822</v>
      </c>
      <c r="T154" s="189">
        <f t="shared" si="8"/>
        <v>55.77142857</v>
      </c>
      <c r="U154" s="210">
        <f t="shared" si="9"/>
        <v>59.43396226</v>
      </c>
      <c r="V154" s="161">
        <f t="shared" ref="V154:AD154" si="277">M154*V$2</f>
        <v>6.478873239</v>
      </c>
      <c r="W154" s="161">
        <f t="shared" si="277"/>
        <v>13.53535354</v>
      </c>
      <c r="X154" s="161">
        <f t="shared" si="277"/>
        <v>1.7</v>
      </c>
      <c r="Y154" s="161">
        <f t="shared" si="277"/>
        <v>1.332665331</v>
      </c>
      <c r="Z154" s="161">
        <f t="shared" si="277"/>
        <v>1.555269923</v>
      </c>
      <c r="AA154" s="161">
        <f t="shared" si="277"/>
        <v>1.486761711</v>
      </c>
      <c r="AB154" s="161">
        <f t="shared" si="277"/>
        <v>3.267326733</v>
      </c>
      <c r="AC154" s="161">
        <f t="shared" si="277"/>
        <v>8.365714286</v>
      </c>
      <c r="AD154" s="161">
        <f t="shared" si="277"/>
        <v>2.971698113</v>
      </c>
      <c r="AE154" s="161">
        <f t="shared" si="11"/>
        <v>4.521518097</v>
      </c>
    </row>
    <row r="155">
      <c r="A155" s="207">
        <v>77040.0</v>
      </c>
      <c r="B155" s="208">
        <v>50446.0</v>
      </c>
      <c r="C155" s="208">
        <v>19.9</v>
      </c>
      <c r="D155" s="208">
        <v>67254.0</v>
      </c>
      <c r="E155" s="208">
        <v>0.92</v>
      </c>
      <c r="F155" s="208">
        <v>5.6</v>
      </c>
      <c r="G155" s="208">
        <v>20.8</v>
      </c>
      <c r="H155" s="208">
        <v>11.3</v>
      </c>
      <c r="I155" s="208">
        <v>21.2</v>
      </c>
      <c r="J155" s="208">
        <v>4.6</v>
      </c>
      <c r="K155" s="208">
        <v>51.8</v>
      </c>
      <c r="L155" s="209">
        <v>5.5</v>
      </c>
      <c r="M155" s="161">
        <f t="shared" si="5"/>
        <v>34.80885312</v>
      </c>
      <c r="N155" s="189">
        <f t="shared" si="6"/>
        <v>77.77777778</v>
      </c>
      <c r="O155" s="161">
        <f t="shared" ref="O155:S155" si="278">((F155-O$1)/(O$2-O$1))*100</f>
        <v>28</v>
      </c>
      <c r="P155" s="161">
        <f t="shared" si="278"/>
        <v>40.28056112</v>
      </c>
      <c r="Q155" s="161">
        <f t="shared" si="278"/>
        <v>28.27763496</v>
      </c>
      <c r="R155" s="161">
        <f t="shared" si="278"/>
        <v>43.17718941</v>
      </c>
      <c r="S155" s="161">
        <f t="shared" si="278"/>
        <v>4.554455446</v>
      </c>
      <c r="T155" s="189">
        <f t="shared" si="8"/>
        <v>48.22857143</v>
      </c>
      <c r="U155" s="210">
        <f t="shared" si="9"/>
        <v>25.94339623</v>
      </c>
      <c r="V155" s="161">
        <f t="shared" ref="V155:AD155" si="279">M155*V$2</f>
        <v>6.961770624</v>
      </c>
      <c r="W155" s="161">
        <f t="shared" si="279"/>
        <v>15.55555556</v>
      </c>
      <c r="X155" s="161">
        <f t="shared" si="279"/>
        <v>1.4</v>
      </c>
      <c r="Y155" s="161">
        <f t="shared" si="279"/>
        <v>2.014028056</v>
      </c>
      <c r="Z155" s="161">
        <f t="shared" si="279"/>
        <v>1.413881748</v>
      </c>
      <c r="AA155" s="161">
        <f t="shared" si="279"/>
        <v>4.317718941</v>
      </c>
      <c r="AB155" s="161">
        <f t="shared" si="279"/>
        <v>0.6831683168</v>
      </c>
      <c r="AC155" s="161">
        <f t="shared" si="279"/>
        <v>7.234285714</v>
      </c>
      <c r="AD155" s="161">
        <f t="shared" si="279"/>
        <v>1.297169811</v>
      </c>
      <c r="AE155" s="161">
        <f t="shared" si="11"/>
        <v>4.541953196</v>
      </c>
    </row>
    <row r="156">
      <c r="A156" s="207">
        <v>77320.0</v>
      </c>
      <c r="B156" s="208">
        <v>37458.0</v>
      </c>
      <c r="C156" s="208">
        <v>13.9</v>
      </c>
      <c r="D156" s="208">
        <v>51765.0</v>
      </c>
      <c r="E156" s="208">
        <v>0.71</v>
      </c>
      <c r="F156" s="208">
        <v>6.4</v>
      </c>
      <c r="G156" s="208">
        <v>15.9</v>
      </c>
      <c r="H156" s="208">
        <v>14.2</v>
      </c>
      <c r="I156" s="208">
        <v>18.7</v>
      </c>
      <c r="J156" s="208">
        <v>17.6</v>
      </c>
      <c r="K156" s="208">
        <v>66.0</v>
      </c>
      <c r="L156" s="209">
        <v>6.0</v>
      </c>
      <c r="M156" s="161">
        <f t="shared" si="5"/>
        <v>22.73641851</v>
      </c>
      <c r="N156" s="189">
        <f t="shared" si="6"/>
        <v>84.84848485</v>
      </c>
      <c r="O156" s="161">
        <f t="shared" ref="O156:S156" si="280">((F156-O$1)/(O$2-O$1))*100</f>
        <v>32</v>
      </c>
      <c r="P156" s="161">
        <f t="shared" si="280"/>
        <v>30.46092184</v>
      </c>
      <c r="Q156" s="161">
        <f t="shared" si="280"/>
        <v>35.73264781</v>
      </c>
      <c r="R156" s="161">
        <f t="shared" si="280"/>
        <v>38.08553971</v>
      </c>
      <c r="S156" s="161">
        <f t="shared" si="280"/>
        <v>30.2970297</v>
      </c>
      <c r="T156" s="189">
        <f t="shared" si="8"/>
        <v>32</v>
      </c>
      <c r="U156" s="210">
        <f t="shared" si="9"/>
        <v>28.30188679</v>
      </c>
      <c r="V156" s="161">
        <f t="shared" ref="V156:AD156" si="281">M156*V$2</f>
        <v>4.547283702</v>
      </c>
      <c r="W156" s="161">
        <f t="shared" si="281"/>
        <v>16.96969697</v>
      </c>
      <c r="X156" s="161">
        <f t="shared" si="281"/>
        <v>1.6</v>
      </c>
      <c r="Y156" s="161">
        <f t="shared" si="281"/>
        <v>1.523046092</v>
      </c>
      <c r="Z156" s="161">
        <f t="shared" si="281"/>
        <v>1.786632391</v>
      </c>
      <c r="AA156" s="161">
        <f t="shared" si="281"/>
        <v>3.808553971</v>
      </c>
      <c r="AB156" s="161">
        <f t="shared" si="281"/>
        <v>4.544554455</v>
      </c>
      <c r="AC156" s="161">
        <f t="shared" si="281"/>
        <v>4.8</v>
      </c>
      <c r="AD156" s="161">
        <f t="shared" si="281"/>
        <v>1.41509434</v>
      </c>
      <c r="AE156" s="161">
        <f t="shared" si="11"/>
        <v>4.554984658</v>
      </c>
    </row>
    <row r="157">
      <c r="A157" s="207">
        <v>77533.0</v>
      </c>
      <c r="B157" s="208">
        <v>1133.0</v>
      </c>
      <c r="C157" s="208">
        <v>18.4</v>
      </c>
      <c r="D157" s="208">
        <v>59079.0</v>
      </c>
      <c r="E157" s="208">
        <v>0.81</v>
      </c>
      <c r="F157" s="208">
        <v>10.1</v>
      </c>
      <c r="G157" s="208">
        <v>24.4</v>
      </c>
      <c r="H157" s="208">
        <v>26.5</v>
      </c>
      <c r="I157" s="208">
        <v>14.0</v>
      </c>
      <c r="J157" s="208">
        <v>14.3</v>
      </c>
      <c r="K157" s="208">
        <v>74.8</v>
      </c>
      <c r="L157" s="209">
        <v>1.7</v>
      </c>
      <c r="M157" s="161">
        <f t="shared" si="5"/>
        <v>31.79074447</v>
      </c>
      <c r="N157" s="189">
        <f t="shared" si="6"/>
        <v>81.48148148</v>
      </c>
      <c r="O157" s="161">
        <f t="shared" ref="O157:S157" si="282">((F157-O$1)/(O$2-O$1))*100</f>
        <v>50.5</v>
      </c>
      <c r="P157" s="161">
        <f t="shared" si="282"/>
        <v>47.49498998</v>
      </c>
      <c r="Q157" s="161">
        <f t="shared" si="282"/>
        <v>67.35218509</v>
      </c>
      <c r="R157" s="161">
        <f t="shared" si="282"/>
        <v>28.51323829</v>
      </c>
      <c r="S157" s="161">
        <f t="shared" si="282"/>
        <v>23.76237624</v>
      </c>
      <c r="T157" s="189">
        <f t="shared" si="8"/>
        <v>21.94285714</v>
      </c>
      <c r="U157" s="210">
        <f t="shared" si="9"/>
        <v>8.018867925</v>
      </c>
      <c r="V157" s="161">
        <f t="shared" ref="V157:AD157" si="283">M157*V$2</f>
        <v>6.358148893</v>
      </c>
      <c r="W157" s="161">
        <f t="shared" si="283"/>
        <v>16.2962963</v>
      </c>
      <c r="X157" s="161">
        <f t="shared" si="283"/>
        <v>2.525</v>
      </c>
      <c r="Y157" s="161">
        <f t="shared" si="283"/>
        <v>2.374749499</v>
      </c>
      <c r="Z157" s="161">
        <f t="shared" si="283"/>
        <v>3.367609254</v>
      </c>
      <c r="AA157" s="161">
        <f t="shared" si="283"/>
        <v>2.851323829</v>
      </c>
      <c r="AB157" s="161">
        <f t="shared" si="283"/>
        <v>3.564356436</v>
      </c>
      <c r="AC157" s="161">
        <f t="shared" si="283"/>
        <v>3.291428571</v>
      </c>
      <c r="AD157" s="161">
        <f t="shared" si="283"/>
        <v>0.4009433962</v>
      </c>
      <c r="AE157" s="161">
        <f t="shared" si="11"/>
        <v>4.558872908</v>
      </c>
    </row>
    <row r="158">
      <c r="A158" s="207">
        <v>77075.0</v>
      </c>
      <c r="B158" s="208">
        <v>41012.0</v>
      </c>
      <c r="C158" s="208">
        <v>15.1</v>
      </c>
      <c r="D158" s="208">
        <v>71509.0</v>
      </c>
      <c r="E158" s="208">
        <v>0.98</v>
      </c>
      <c r="F158" s="208">
        <v>8.7</v>
      </c>
      <c r="G158" s="208">
        <v>27.9</v>
      </c>
      <c r="H158" s="208">
        <v>18.4</v>
      </c>
      <c r="I158" s="208">
        <v>30.1</v>
      </c>
      <c r="J158" s="208">
        <v>6.6</v>
      </c>
      <c r="K158" s="208">
        <v>61.4</v>
      </c>
      <c r="L158" s="209">
        <v>3.6</v>
      </c>
      <c r="M158" s="161">
        <f t="shared" si="5"/>
        <v>25.15090543</v>
      </c>
      <c r="N158" s="189">
        <f t="shared" si="6"/>
        <v>75.75757576</v>
      </c>
      <c r="O158" s="161">
        <f t="shared" ref="O158:S158" si="284">((F158-O$1)/(O$2-O$1))*100</f>
        <v>43.5</v>
      </c>
      <c r="P158" s="161">
        <f t="shared" si="284"/>
        <v>54.50901804</v>
      </c>
      <c r="Q158" s="161">
        <f t="shared" si="284"/>
        <v>46.52956298</v>
      </c>
      <c r="R158" s="161">
        <f t="shared" si="284"/>
        <v>61.30346232</v>
      </c>
      <c r="S158" s="161">
        <f t="shared" si="284"/>
        <v>8.514851485</v>
      </c>
      <c r="T158" s="189">
        <f t="shared" si="8"/>
        <v>37.25714286</v>
      </c>
      <c r="U158" s="210">
        <f t="shared" si="9"/>
        <v>16.98113208</v>
      </c>
      <c r="V158" s="161">
        <f t="shared" ref="V158:AD158" si="285">M158*V$2</f>
        <v>5.030181087</v>
      </c>
      <c r="W158" s="161">
        <f t="shared" si="285"/>
        <v>15.15151515</v>
      </c>
      <c r="X158" s="161">
        <f t="shared" si="285"/>
        <v>2.175</v>
      </c>
      <c r="Y158" s="161">
        <f t="shared" si="285"/>
        <v>2.725450902</v>
      </c>
      <c r="Z158" s="161">
        <f t="shared" si="285"/>
        <v>2.326478149</v>
      </c>
      <c r="AA158" s="161">
        <f t="shared" si="285"/>
        <v>6.130346232</v>
      </c>
      <c r="AB158" s="161">
        <f t="shared" si="285"/>
        <v>1.277227723</v>
      </c>
      <c r="AC158" s="161">
        <f t="shared" si="285"/>
        <v>5.588571429</v>
      </c>
      <c r="AD158" s="161">
        <f t="shared" si="285"/>
        <v>0.8490566038</v>
      </c>
      <c r="AE158" s="161">
        <f t="shared" si="11"/>
        <v>4.583758586</v>
      </c>
    </row>
    <row r="159">
      <c r="A159" s="207">
        <v>77485.0</v>
      </c>
      <c r="B159" s="208">
        <v>3865.0</v>
      </c>
      <c r="C159" s="208">
        <v>17.3</v>
      </c>
      <c r="D159" s="208">
        <v>45667.0</v>
      </c>
      <c r="E159" s="208">
        <v>0.63</v>
      </c>
      <c r="F159" s="208">
        <v>11.6</v>
      </c>
      <c r="G159" s="208">
        <v>21.0</v>
      </c>
      <c r="H159" s="208">
        <v>17.3</v>
      </c>
      <c r="I159" s="208">
        <v>15.6</v>
      </c>
      <c r="J159" s="208">
        <v>15.2</v>
      </c>
      <c r="K159" s="208">
        <v>72.7</v>
      </c>
      <c r="L159" s="209">
        <v>0.9</v>
      </c>
      <c r="M159" s="161">
        <f t="shared" si="5"/>
        <v>29.57746479</v>
      </c>
      <c r="N159" s="189">
        <f t="shared" si="6"/>
        <v>87.54208754</v>
      </c>
      <c r="O159" s="161">
        <f t="shared" ref="O159:S159" si="286">((F159-O$1)/(O$2-O$1))*100</f>
        <v>58</v>
      </c>
      <c r="P159" s="161">
        <f t="shared" si="286"/>
        <v>40.68136273</v>
      </c>
      <c r="Q159" s="161">
        <f t="shared" si="286"/>
        <v>43.70179949</v>
      </c>
      <c r="R159" s="161">
        <f t="shared" si="286"/>
        <v>31.77189409</v>
      </c>
      <c r="S159" s="161">
        <f t="shared" si="286"/>
        <v>25.54455446</v>
      </c>
      <c r="T159" s="189">
        <f t="shared" si="8"/>
        <v>24.34285714</v>
      </c>
      <c r="U159" s="210">
        <f t="shared" si="9"/>
        <v>4.245283019</v>
      </c>
      <c r="V159" s="161">
        <f t="shared" ref="V159:AD159" si="287">M159*V$2</f>
        <v>5.915492958</v>
      </c>
      <c r="W159" s="161">
        <f t="shared" si="287"/>
        <v>17.50841751</v>
      </c>
      <c r="X159" s="161">
        <f t="shared" si="287"/>
        <v>2.9</v>
      </c>
      <c r="Y159" s="161">
        <f t="shared" si="287"/>
        <v>2.034068136</v>
      </c>
      <c r="Z159" s="161">
        <f t="shared" si="287"/>
        <v>2.185089974</v>
      </c>
      <c r="AA159" s="161">
        <f t="shared" si="287"/>
        <v>3.177189409</v>
      </c>
      <c r="AB159" s="161">
        <f t="shared" si="287"/>
        <v>3.831683168</v>
      </c>
      <c r="AC159" s="161">
        <f t="shared" si="287"/>
        <v>3.651428571</v>
      </c>
      <c r="AD159" s="161">
        <f t="shared" si="287"/>
        <v>0.2122641509</v>
      </c>
      <c r="AE159" s="161">
        <f t="shared" si="11"/>
        <v>4.601737097</v>
      </c>
    </row>
    <row r="160">
      <c r="A160" s="207">
        <v>77575.0</v>
      </c>
      <c r="B160" s="208">
        <v>16617.0</v>
      </c>
      <c r="C160" s="208">
        <v>17.1</v>
      </c>
      <c r="D160" s="208">
        <v>52238.0</v>
      </c>
      <c r="E160" s="208">
        <v>0.72</v>
      </c>
      <c r="F160" s="208">
        <v>6.7</v>
      </c>
      <c r="G160" s="208">
        <v>26.5</v>
      </c>
      <c r="H160" s="208">
        <v>19.1</v>
      </c>
      <c r="I160" s="208">
        <v>20.4</v>
      </c>
      <c r="J160" s="208">
        <v>14.7</v>
      </c>
      <c r="K160" s="208">
        <v>73.8</v>
      </c>
      <c r="L160" s="209">
        <v>5.1</v>
      </c>
      <c r="M160" s="161">
        <f t="shared" si="5"/>
        <v>29.1750503</v>
      </c>
      <c r="N160" s="189">
        <f t="shared" si="6"/>
        <v>84.51178451</v>
      </c>
      <c r="O160" s="161">
        <f t="shared" ref="O160:S160" si="288">((F160-O$1)/(O$2-O$1))*100</f>
        <v>33.5</v>
      </c>
      <c r="P160" s="161">
        <f t="shared" si="288"/>
        <v>51.70340681</v>
      </c>
      <c r="Q160" s="161">
        <f t="shared" si="288"/>
        <v>48.32904884</v>
      </c>
      <c r="R160" s="161">
        <f t="shared" si="288"/>
        <v>41.54786151</v>
      </c>
      <c r="S160" s="161">
        <f t="shared" si="288"/>
        <v>24.55445545</v>
      </c>
      <c r="T160" s="189">
        <f t="shared" si="8"/>
        <v>23.08571429</v>
      </c>
      <c r="U160" s="210">
        <f t="shared" si="9"/>
        <v>24.05660377</v>
      </c>
      <c r="V160" s="161">
        <f t="shared" ref="V160:AD160" si="289">M160*V$2</f>
        <v>5.83501006</v>
      </c>
      <c r="W160" s="161">
        <f t="shared" si="289"/>
        <v>16.9023569</v>
      </c>
      <c r="X160" s="161">
        <f t="shared" si="289"/>
        <v>1.675</v>
      </c>
      <c r="Y160" s="161">
        <f t="shared" si="289"/>
        <v>2.585170341</v>
      </c>
      <c r="Z160" s="161">
        <f t="shared" si="289"/>
        <v>2.416452442</v>
      </c>
      <c r="AA160" s="161">
        <f t="shared" si="289"/>
        <v>4.154786151</v>
      </c>
      <c r="AB160" s="161">
        <f t="shared" si="289"/>
        <v>3.683168317</v>
      </c>
      <c r="AC160" s="161">
        <f t="shared" si="289"/>
        <v>3.462857143</v>
      </c>
      <c r="AD160" s="161">
        <f t="shared" si="289"/>
        <v>1.202830189</v>
      </c>
      <c r="AE160" s="161">
        <f t="shared" si="11"/>
        <v>4.657514616</v>
      </c>
    </row>
    <row r="161">
      <c r="A161" s="207">
        <v>77590.0</v>
      </c>
      <c r="B161" s="208">
        <v>33145.0</v>
      </c>
      <c r="C161" s="208">
        <v>17.5</v>
      </c>
      <c r="D161" s="208">
        <v>63274.0</v>
      </c>
      <c r="E161" s="208">
        <v>0.87</v>
      </c>
      <c r="F161" s="208">
        <v>8.5</v>
      </c>
      <c r="G161" s="208">
        <v>18.8</v>
      </c>
      <c r="H161" s="208">
        <v>19.2</v>
      </c>
      <c r="I161" s="208">
        <v>16.0</v>
      </c>
      <c r="J161" s="208">
        <v>6.9</v>
      </c>
      <c r="K161" s="208">
        <v>50.2</v>
      </c>
      <c r="L161" s="209">
        <v>7.0</v>
      </c>
      <c r="M161" s="161">
        <f t="shared" si="5"/>
        <v>29.97987928</v>
      </c>
      <c r="N161" s="189">
        <f t="shared" si="6"/>
        <v>79.46127946</v>
      </c>
      <c r="O161" s="161">
        <f t="shared" ref="O161:S161" si="290">((F161-O$1)/(O$2-O$1))*100</f>
        <v>42.5</v>
      </c>
      <c r="P161" s="161">
        <f t="shared" si="290"/>
        <v>36.27254509</v>
      </c>
      <c r="Q161" s="161">
        <f t="shared" si="290"/>
        <v>48.58611825</v>
      </c>
      <c r="R161" s="161">
        <f t="shared" si="290"/>
        <v>32.58655804</v>
      </c>
      <c r="S161" s="161">
        <f t="shared" si="290"/>
        <v>9.108910891</v>
      </c>
      <c r="T161" s="189">
        <f t="shared" si="8"/>
        <v>50.05714286</v>
      </c>
      <c r="U161" s="210">
        <f t="shared" si="9"/>
        <v>33.01886792</v>
      </c>
      <c r="V161" s="161">
        <f t="shared" ref="V161:AD161" si="291">M161*V$2</f>
        <v>5.995975855</v>
      </c>
      <c r="W161" s="161">
        <f t="shared" si="291"/>
        <v>15.89225589</v>
      </c>
      <c r="X161" s="161">
        <f t="shared" si="291"/>
        <v>2.125</v>
      </c>
      <c r="Y161" s="161">
        <f t="shared" si="291"/>
        <v>1.813627255</v>
      </c>
      <c r="Z161" s="161">
        <f t="shared" si="291"/>
        <v>2.429305913</v>
      </c>
      <c r="AA161" s="161">
        <f t="shared" si="291"/>
        <v>3.258655804</v>
      </c>
      <c r="AB161" s="161">
        <f t="shared" si="291"/>
        <v>1.366336634</v>
      </c>
      <c r="AC161" s="161">
        <f t="shared" si="291"/>
        <v>7.508571429</v>
      </c>
      <c r="AD161" s="161">
        <f t="shared" si="291"/>
        <v>1.650943396</v>
      </c>
      <c r="AE161" s="161">
        <f t="shared" si="11"/>
        <v>4.671185797</v>
      </c>
    </row>
    <row r="162">
      <c r="A162" s="207">
        <v>77530.0</v>
      </c>
      <c r="B162" s="208">
        <v>32065.0</v>
      </c>
      <c r="C162" s="208">
        <v>16.9</v>
      </c>
      <c r="D162" s="208">
        <v>64151.0</v>
      </c>
      <c r="E162" s="208">
        <v>0.88</v>
      </c>
      <c r="F162" s="208">
        <v>7.7</v>
      </c>
      <c r="G162" s="208">
        <v>29.6</v>
      </c>
      <c r="H162" s="208">
        <v>19.2</v>
      </c>
      <c r="I162" s="208">
        <v>31.1</v>
      </c>
      <c r="J162" s="208">
        <v>9.9</v>
      </c>
      <c r="K162" s="208">
        <v>72.5</v>
      </c>
      <c r="L162" s="209">
        <v>4.8</v>
      </c>
      <c r="M162" s="161">
        <f t="shared" si="5"/>
        <v>28.77263581</v>
      </c>
      <c r="N162" s="189">
        <f t="shared" si="6"/>
        <v>79.12457912</v>
      </c>
      <c r="O162" s="161">
        <f t="shared" ref="O162:S162" si="292">((F162-O$1)/(O$2-O$1))*100</f>
        <v>38.5</v>
      </c>
      <c r="P162" s="161">
        <f t="shared" si="292"/>
        <v>57.91583166</v>
      </c>
      <c r="Q162" s="161">
        <f t="shared" si="292"/>
        <v>48.58611825</v>
      </c>
      <c r="R162" s="161">
        <f t="shared" si="292"/>
        <v>63.3401222</v>
      </c>
      <c r="S162" s="161">
        <f t="shared" si="292"/>
        <v>15.04950495</v>
      </c>
      <c r="T162" s="189">
        <f t="shared" si="8"/>
        <v>24.57142857</v>
      </c>
      <c r="U162" s="210">
        <f t="shared" si="9"/>
        <v>22.64150943</v>
      </c>
      <c r="V162" s="161">
        <f t="shared" ref="V162:AD162" si="293">M162*V$2</f>
        <v>5.754527163</v>
      </c>
      <c r="W162" s="161">
        <f t="shared" si="293"/>
        <v>15.82491582</v>
      </c>
      <c r="X162" s="161">
        <f t="shared" si="293"/>
        <v>1.925</v>
      </c>
      <c r="Y162" s="161">
        <f t="shared" si="293"/>
        <v>2.895791583</v>
      </c>
      <c r="Z162" s="161">
        <f t="shared" si="293"/>
        <v>2.429305913</v>
      </c>
      <c r="AA162" s="161">
        <f t="shared" si="293"/>
        <v>6.33401222</v>
      </c>
      <c r="AB162" s="161">
        <f t="shared" si="293"/>
        <v>2.257425743</v>
      </c>
      <c r="AC162" s="161">
        <f t="shared" si="293"/>
        <v>3.685714286</v>
      </c>
      <c r="AD162" s="161">
        <f t="shared" si="293"/>
        <v>1.132075472</v>
      </c>
      <c r="AE162" s="161">
        <f t="shared" si="11"/>
        <v>4.693196467</v>
      </c>
    </row>
    <row r="163">
      <c r="A163" s="207">
        <v>77327.0</v>
      </c>
      <c r="B163" s="208">
        <v>37574.0</v>
      </c>
      <c r="C163" s="208">
        <v>21.1</v>
      </c>
      <c r="D163" s="208">
        <v>57538.0</v>
      </c>
      <c r="E163" s="208">
        <v>0.79</v>
      </c>
      <c r="F163" s="208">
        <v>5.5</v>
      </c>
      <c r="G163" s="208">
        <v>32.6</v>
      </c>
      <c r="H163" s="208">
        <v>19.0</v>
      </c>
      <c r="I163" s="208">
        <v>25.0</v>
      </c>
      <c r="J163" s="208">
        <v>15.1</v>
      </c>
      <c r="K163" s="208">
        <v>81.6</v>
      </c>
      <c r="L163" s="209">
        <v>4.0</v>
      </c>
      <c r="M163" s="161">
        <f t="shared" si="5"/>
        <v>37.22334004</v>
      </c>
      <c r="N163" s="189">
        <f t="shared" si="6"/>
        <v>82.15488215</v>
      </c>
      <c r="O163" s="161">
        <f t="shared" ref="O163:S163" si="294">((F163-O$1)/(O$2-O$1))*100</f>
        <v>27.5</v>
      </c>
      <c r="P163" s="161">
        <f t="shared" si="294"/>
        <v>63.92785571</v>
      </c>
      <c r="Q163" s="161">
        <f t="shared" si="294"/>
        <v>48.07197943</v>
      </c>
      <c r="R163" s="161">
        <f t="shared" si="294"/>
        <v>50.91649695</v>
      </c>
      <c r="S163" s="161">
        <f t="shared" si="294"/>
        <v>25.34653465</v>
      </c>
      <c r="T163" s="189">
        <f t="shared" si="8"/>
        <v>14.17142857</v>
      </c>
      <c r="U163" s="210">
        <f t="shared" si="9"/>
        <v>18.86792453</v>
      </c>
      <c r="V163" s="161">
        <f t="shared" ref="V163:AD163" si="295">M163*V$2</f>
        <v>7.444668008</v>
      </c>
      <c r="W163" s="161">
        <f t="shared" si="295"/>
        <v>16.43097643</v>
      </c>
      <c r="X163" s="161">
        <f t="shared" si="295"/>
        <v>1.375</v>
      </c>
      <c r="Y163" s="161">
        <f t="shared" si="295"/>
        <v>3.196392786</v>
      </c>
      <c r="Z163" s="161">
        <f t="shared" si="295"/>
        <v>2.403598972</v>
      </c>
      <c r="AA163" s="161">
        <f t="shared" si="295"/>
        <v>5.091649695</v>
      </c>
      <c r="AB163" s="161">
        <f t="shared" si="295"/>
        <v>3.801980198</v>
      </c>
      <c r="AC163" s="161">
        <f t="shared" si="295"/>
        <v>2.125714286</v>
      </c>
      <c r="AD163" s="161">
        <f t="shared" si="295"/>
        <v>0.9433962264</v>
      </c>
      <c r="AE163" s="161">
        <f t="shared" si="11"/>
        <v>4.757041845</v>
      </c>
    </row>
    <row r="164">
      <c r="A164" s="207">
        <v>77328.0</v>
      </c>
      <c r="B164" s="208">
        <v>17816.0</v>
      </c>
      <c r="C164" s="208">
        <v>24.8</v>
      </c>
      <c r="D164" s="208">
        <v>57725.0</v>
      </c>
      <c r="E164" s="208">
        <v>0.79</v>
      </c>
      <c r="F164" s="208">
        <v>6.8</v>
      </c>
      <c r="G164" s="208">
        <v>30.3</v>
      </c>
      <c r="H164" s="208">
        <v>13.0</v>
      </c>
      <c r="I164" s="208">
        <v>24.0</v>
      </c>
      <c r="J164" s="208">
        <v>12.6</v>
      </c>
      <c r="K164" s="208">
        <v>77.8</v>
      </c>
      <c r="L164" s="209">
        <v>2.0</v>
      </c>
      <c r="M164" s="161">
        <f t="shared" si="5"/>
        <v>44.66800805</v>
      </c>
      <c r="N164" s="189">
        <f t="shared" si="6"/>
        <v>82.15488215</v>
      </c>
      <c r="O164" s="161">
        <f t="shared" ref="O164:S164" si="296">((F164-O$1)/(O$2-O$1))*100</f>
        <v>34</v>
      </c>
      <c r="P164" s="161">
        <f t="shared" si="296"/>
        <v>59.31863727</v>
      </c>
      <c r="Q164" s="161">
        <f t="shared" si="296"/>
        <v>32.64781491</v>
      </c>
      <c r="R164" s="161">
        <f t="shared" si="296"/>
        <v>48.87983707</v>
      </c>
      <c r="S164" s="161">
        <f t="shared" si="296"/>
        <v>20.3960396</v>
      </c>
      <c r="T164" s="189">
        <f t="shared" si="8"/>
        <v>18.51428571</v>
      </c>
      <c r="U164" s="210">
        <f t="shared" si="9"/>
        <v>9.433962264</v>
      </c>
      <c r="V164" s="161">
        <f t="shared" ref="V164:AD164" si="297">M164*V$2</f>
        <v>8.93360161</v>
      </c>
      <c r="W164" s="161">
        <f t="shared" si="297"/>
        <v>16.43097643</v>
      </c>
      <c r="X164" s="161">
        <f t="shared" si="297"/>
        <v>1.7</v>
      </c>
      <c r="Y164" s="161">
        <f t="shared" si="297"/>
        <v>2.965931864</v>
      </c>
      <c r="Z164" s="161">
        <f t="shared" si="297"/>
        <v>1.632390746</v>
      </c>
      <c r="AA164" s="161">
        <f t="shared" si="297"/>
        <v>4.887983707</v>
      </c>
      <c r="AB164" s="161">
        <f t="shared" si="297"/>
        <v>3.059405941</v>
      </c>
      <c r="AC164" s="161">
        <f t="shared" si="297"/>
        <v>2.777142857</v>
      </c>
      <c r="AD164" s="161">
        <f t="shared" si="297"/>
        <v>0.4716981132</v>
      </c>
      <c r="AE164" s="161">
        <f t="shared" si="11"/>
        <v>4.762125696</v>
      </c>
    </row>
    <row r="165">
      <c r="A165" s="207">
        <v>77488.0</v>
      </c>
      <c r="B165" s="208">
        <v>14129.0</v>
      </c>
      <c r="C165" s="208">
        <v>18.8</v>
      </c>
      <c r="D165" s="208">
        <v>58770.0</v>
      </c>
      <c r="E165" s="208">
        <v>0.8</v>
      </c>
      <c r="F165" s="208">
        <v>6.5</v>
      </c>
      <c r="G165" s="208">
        <v>21.7</v>
      </c>
      <c r="H165" s="208">
        <v>12.0</v>
      </c>
      <c r="I165" s="208">
        <v>15.8</v>
      </c>
      <c r="J165" s="208">
        <v>14.1</v>
      </c>
      <c r="K165" s="208">
        <v>62.3</v>
      </c>
      <c r="L165" s="209">
        <v>11.6</v>
      </c>
      <c r="M165" s="161">
        <f t="shared" si="5"/>
        <v>32.59557344</v>
      </c>
      <c r="N165" s="189">
        <f t="shared" si="6"/>
        <v>81.81818182</v>
      </c>
      <c r="O165" s="161">
        <f t="shared" ref="O165:S165" si="298">((F165-O$1)/(O$2-O$1))*100</f>
        <v>32.5</v>
      </c>
      <c r="P165" s="161">
        <f t="shared" si="298"/>
        <v>42.08416834</v>
      </c>
      <c r="Q165" s="161">
        <f t="shared" si="298"/>
        <v>30.07712082</v>
      </c>
      <c r="R165" s="161">
        <f t="shared" si="298"/>
        <v>32.17922607</v>
      </c>
      <c r="S165" s="161">
        <f t="shared" si="298"/>
        <v>23.36633663</v>
      </c>
      <c r="T165" s="189">
        <f t="shared" si="8"/>
        <v>36.22857143</v>
      </c>
      <c r="U165" s="210">
        <f t="shared" si="9"/>
        <v>54.71698113</v>
      </c>
      <c r="V165" s="161">
        <f t="shared" ref="V165:AD165" si="299">M165*V$2</f>
        <v>6.519114688</v>
      </c>
      <c r="W165" s="161">
        <f t="shared" si="299"/>
        <v>16.36363636</v>
      </c>
      <c r="X165" s="161">
        <f t="shared" si="299"/>
        <v>1.625</v>
      </c>
      <c r="Y165" s="161">
        <f t="shared" si="299"/>
        <v>2.104208417</v>
      </c>
      <c r="Z165" s="161">
        <f t="shared" si="299"/>
        <v>1.503856041</v>
      </c>
      <c r="AA165" s="161">
        <f t="shared" si="299"/>
        <v>3.217922607</v>
      </c>
      <c r="AB165" s="161">
        <f t="shared" si="299"/>
        <v>3.504950495</v>
      </c>
      <c r="AC165" s="161">
        <f t="shared" si="299"/>
        <v>5.434285714</v>
      </c>
      <c r="AD165" s="161">
        <f t="shared" si="299"/>
        <v>2.735849057</v>
      </c>
      <c r="AE165" s="161">
        <f t="shared" si="11"/>
        <v>4.778758154</v>
      </c>
    </row>
    <row r="166">
      <c r="A166" s="207">
        <v>77417.0</v>
      </c>
      <c r="B166" s="208">
        <v>3232.0</v>
      </c>
      <c r="C166" s="208">
        <v>20.9</v>
      </c>
      <c r="D166" s="208">
        <v>60809.0</v>
      </c>
      <c r="E166" s="208">
        <v>0.83</v>
      </c>
      <c r="F166" s="208">
        <v>7.1</v>
      </c>
      <c r="G166" s="208">
        <v>27.6</v>
      </c>
      <c r="H166" s="208">
        <v>25.2</v>
      </c>
      <c r="I166" s="208">
        <v>27.8</v>
      </c>
      <c r="J166" s="208">
        <v>5.8</v>
      </c>
      <c r="K166" s="208">
        <v>67.8</v>
      </c>
      <c r="L166" s="209">
        <v>3.1</v>
      </c>
      <c r="M166" s="161">
        <f t="shared" si="5"/>
        <v>36.82092555</v>
      </c>
      <c r="N166" s="189">
        <f t="shared" si="6"/>
        <v>80.80808081</v>
      </c>
      <c r="O166" s="161">
        <f t="shared" ref="O166:S166" si="300">((F166-O$1)/(O$2-O$1))*100</f>
        <v>35.5</v>
      </c>
      <c r="P166" s="161">
        <f t="shared" si="300"/>
        <v>53.90781563</v>
      </c>
      <c r="Q166" s="161">
        <f t="shared" si="300"/>
        <v>64.01028278</v>
      </c>
      <c r="R166" s="161">
        <f t="shared" si="300"/>
        <v>56.6191446</v>
      </c>
      <c r="S166" s="161">
        <f t="shared" si="300"/>
        <v>6.930693069</v>
      </c>
      <c r="T166" s="189">
        <f t="shared" si="8"/>
        <v>29.94285714</v>
      </c>
      <c r="U166" s="210">
        <f t="shared" si="9"/>
        <v>14.62264151</v>
      </c>
      <c r="V166" s="161">
        <f t="shared" ref="V166:AD166" si="301">M166*V$2</f>
        <v>7.364185111</v>
      </c>
      <c r="W166" s="161">
        <f t="shared" si="301"/>
        <v>16.16161616</v>
      </c>
      <c r="X166" s="161">
        <f t="shared" si="301"/>
        <v>1.775</v>
      </c>
      <c r="Y166" s="161">
        <f t="shared" si="301"/>
        <v>2.695390782</v>
      </c>
      <c r="Z166" s="161">
        <f t="shared" si="301"/>
        <v>3.200514139</v>
      </c>
      <c r="AA166" s="161">
        <f t="shared" si="301"/>
        <v>5.66191446</v>
      </c>
      <c r="AB166" s="161">
        <f t="shared" si="301"/>
        <v>1.03960396</v>
      </c>
      <c r="AC166" s="161">
        <f t="shared" si="301"/>
        <v>4.491428571</v>
      </c>
      <c r="AD166" s="161">
        <f t="shared" si="301"/>
        <v>0.7311320755</v>
      </c>
      <c r="AE166" s="161">
        <f t="shared" si="11"/>
        <v>4.791198362</v>
      </c>
    </row>
    <row r="167">
      <c r="A167" s="207">
        <v>77071.0</v>
      </c>
      <c r="B167" s="208">
        <v>26794.0</v>
      </c>
      <c r="C167" s="208">
        <v>13.4</v>
      </c>
      <c r="D167" s="208">
        <v>55147.0</v>
      </c>
      <c r="E167" s="208">
        <v>0.76</v>
      </c>
      <c r="F167" s="208">
        <v>10.2</v>
      </c>
      <c r="G167" s="208">
        <v>21.2</v>
      </c>
      <c r="H167" s="208">
        <v>19.2</v>
      </c>
      <c r="I167" s="208">
        <v>18.2</v>
      </c>
      <c r="J167" s="208">
        <v>8.4</v>
      </c>
      <c r="K167" s="208">
        <v>51.8</v>
      </c>
      <c r="L167" s="209">
        <v>11.1</v>
      </c>
      <c r="M167" s="161">
        <f t="shared" si="5"/>
        <v>21.73038229</v>
      </c>
      <c r="N167" s="189">
        <f t="shared" si="6"/>
        <v>83.16498316</v>
      </c>
      <c r="O167" s="161">
        <f t="shared" ref="O167:S167" si="302">((F167-O$1)/(O$2-O$1))*100</f>
        <v>51</v>
      </c>
      <c r="P167" s="161">
        <f t="shared" si="302"/>
        <v>41.08216433</v>
      </c>
      <c r="Q167" s="161">
        <f t="shared" si="302"/>
        <v>48.58611825</v>
      </c>
      <c r="R167" s="161">
        <f t="shared" si="302"/>
        <v>37.06720978</v>
      </c>
      <c r="S167" s="161">
        <f t="shared" si="302"/>
        <v>12.07920792</v>
      </c>
      <c r="T167" s="189">
        <f t="shared" si="8"/>
        <v>48.22857143</v>
      </c>
      <c r="U167" s="210">
        <f t="shared" si="9"/>
        <v>52.35849057</v>
      </c>
      <c r="V167" s="161">
        <f t="shared" ref="V167:AD167" si="303">M167*V$2</f>
        <v>4.346076459</v>
      </c>
      <c r="W167" s="161">
        <f t="shared" si="303"/>
        <v>16.63299663</v>
      </c>
      <c r="X167" s="161">
        <f t="shared" si="303"/>
        <v>2.55</v>
      </c>
      <c r="Y167" s="161">
        <f t="shared" si="303"/>
        <v>2.054108216</v>
      </c>
      <c r="Z167" s="161">
        <f t="shared" si="303"/>
        <v>2.429305913</v>
      </c>
      <c r="AA167" s="161">
        <f t="shared" si="303"/>
        <v>3.706720978</v>
      </c>
      <c r="AB167" s="161">
        <f t="shared" si="303"/>
        <v>1.811881188</v>
      </c>
      <c r="AC167" s="161">
        <f t="shared" si="303"/>
        <v>7.234285714</v>
      </c>
      <c r="AD167" s="161">
        <f t="shared" si="303"/>
        <v>2.617924528</v>
      </c>
      <c r="AE167" s="161">
        <f t="shared" si="11"/>
        <v>4.820366625</v>
      </c>
    </row>
    <row r="168">
      <c r="A168" s="207">
        <v>77045.0</v>
      </c>
      <c r="B168" s="208">
        <v>32482.0</v>
      </c>
      <c r="C168" s="208">
        <v>21.8</v>
      </c>
      <c r="D168" s="208">
        <v>61166.0</v>
      </c>
      <c r="E168" s="208">
        <v>0.84</v>
      </c>
      <c r="F168" s="208">
        <v>9.5</v>
      </c>
      <c r="G168" s="208">
        <v>25.3</v>
      </c>
      <c r="H168" s="208">
        <v>15.6</v>
      </c>
      <c r="I168" s="208">
        <v>26.5</v>
      </c>
      <c r="J168" s="208">
        <v>3.7</v>
      </c>
      <c r="K168" s="208">
        <v>59.1</v>
      </c>
      <c r="L168" s="209">
        <v>5.1</v>
      </c>
      <c r="M168" s="161">
        <f t="shared" si="5"/>
        <v>38.63179074</v>
      </c>
      <c r="N168" s="189">
        <f t="shared" si="6"/>
        <v>80.47138047</v>
      </c>
      <c r="O168" s="161">
        <f t="shared" ref="O168:S168" si="304">((F168-O$1)/(O$2-O$1))*100</f>
        <v>47.5</v>
      </c>
      <c r="P168" s="161">
        <f t="shared" si="304"/>
        <v>49.29859719</v>
      </c>
      <c r="Q168" s="161">
        <f t="shared" si="304"/>
        <v>39.33161954</v>
      </c>
      <c r="R168" s="161">
        <f t="shared" si="304"/>
        <v>53.97148676</v>
      </c>
      <c r="S168" s="161">
        <f t="shared" si="304"/>
        <v>2.772277228</v>
      </c>
      <c r="T168" s="189">
        <f t="shared" si="8"/>
        <v>39.88571429</v>
      </c>
      <c r="U168" s="210">
        <f t="shared" si="9"/>
        <v>24.05660377</v>
      </c>
      <c r="V168" s="161">
        <f t="shared" ref="V168:AD168" si="305">M168*V$2</f>
        <v>7.726358149</v>
      </c>
      <c r="W168" s="161">
        <f t="shared" si="305"/>
        <v>16.09427609</v>
      </c>
      <c r="X168" s="161">
        <f t="shared" si="305"/>
        <v>2.375</v>
      </c>
      <c r="Y168" s="161">
        <f t="shared" si="305"/>
        <v>2.46492986</v>
      </c>
      <c r="Z168" s="161">
        <f t="shared" si="305"/>
        <v>1.966580977</v>
      </c>
      <c r="AA168" s="161">
        <f t="shared" si="305"/>
        <v>5.397148676</v>
      </c>
      <c r="AB168" s="161">
        <f t="shared" si="305"/>
        <v>0.4158415842</v>
      </c>
      <c r="AC168" s="161">
        <f t="shared" si="305"/>
        <v>5.982857143</v>
      </c>
      <c r="AD168" s="161">
        <f t="shared" si="305"/>
        <v>1.202830189</v>
      </c>
      <c r="AE168" s="161">
        <f t="shared" si="11"/>
        <v>4.84731363</v>
      </c>
    </row>
    <row r="169">
      <c r="A169" s="207">
        <v>77541.0</v>
      </c>
      <c r="B169" s="208">
        <v>16574.0</v>
      </c>
      <c r="C169" s="208">
        <v>13.5</v>
      </c>
      <c r="D169" s="208">
        <v>59513.0</v>
      </c>
      <c r="E169" s="208">
        <v>0.81</v>
      </c>
      <c r="F169" s="208">
        <v>5.2</v>
      </c>
      <c r="G169" s="208">
        <v>23.6</v>
      </c>
      <c r="H169" s="208">
        <v>14.6</v>
      </c>
      <c r="I169" s="208">
        <v>18.0</v>
      </c>
      <c r="J169" s="208">
        <v>31.5</v>
      </c>
      <c r="K169" s="208">
        <v>69.9</v>
      </c>
      <c r="L169" s="209">
        <v>4.7</v>
      </c>
      <c r="M169" s="161">
        <f t="shared" si="5"/>
        <v>21.93158954</v>
      </c>
      <c r="N169" s="189">
        <f t="shared" si="6"/>
        <v>81.48148148</v>
      </c>
      <c r="O169" s="161">
        <f t="shared" ref="O169:S169" si="306">((F169-O$1)/(O$2-O$1))*100</f>
        <v>26</v>
      </c>
      <c r="P169" s="161">
        <f t="shared" si="306"/>
        <v>45.89178357</v>
      </c>
      <c r="Q169" s="161">
        <f t="shared" si="306"/>
        <v>36.76092545</v>
      </c>
      <c r="R169" s="161">
        <f t="shared" si="306"/>
        <v>36.6598778</v>
      </c>
      <c r="S169" s="161">
        <f t="shared" si="306"/>
        <v>57.82178218</v>
      </c>
      <c r="T169" s="189">
        <f t="shared" si="8"/>
        <v>27.54285714</v>
      </c>
      <c r="U169" s="210">
        <f t="shared" si="9"/>
        <v>22.16981132</v>
      </c>
      <c r="V169" s="161">
        <f t="shared" ref="V169:AD169" si="307">M169*V$2</f>
        <v>4.386317907</v>
      </c>
      <c r="W169" s="161">
        <f t="shared" si="307"/>
        <v>16.2962963</v>
      </c>
      <c r="X169" s="161">
        <f t="shared" si="307"/>
        <v>1.3</v>
      </c>
      <c r="Y169" s="161">
        <f t="shared" si="307"/>
        <v>2.294589178</v>
      </c>
      <c r="Z169" s="161">
        <f t="shared" si="307"/>
        <v>1.838046272</v>
      </c>
      <c r="AA169" s="161">
        <f t="shared" si="307"/>
        <v>3.66598778</v>
      </c>
      <c r="AB169" s="161">
        <f t="shared" si="307"/>
        <v>8.673267327</v>
      </c>
      <c r="AC169" s="161">
        <f t="shared" si="307"/>
        <v>4.131428571</v>
      </c>
      <c r="AD169" s="161">
        <f t="shared" si="307"/>
        <v>1.108490566</v>
      </c>
      <c r="AE169" s="161">
        <f t="shared" si="11"/>
        <v>4.854935989</v>
      </c>
    </row>
    <row r="170">
      <c r="A170" s="207">
        <v>77055.0</v>
      </c>
      <c r="B170" s="208">
        <v>44088.0</v>
      </c>
      <c r="C170" s="208">
        <v>20.2</v>
      </c>
      <c r="D170" s="208">
        <v>73297.0</v>
      </c>
      <c r="E170" s="208">
        <v>1.0</v>
      </c>
      <c r="F170" s="208">
        <v>5.1</v>
      </c>
      <c r="G170" s="208">
        <v>26.8</v>
      </c>
      <c r="H170" s="208">
        <v>9.4</v>
      </c>
      <c r="I170" s="208">
        <v>22.2</v>
      </c>
      <c r="J170" s="208">
        <v>9.1</v>
      </c>
      <c r="K170" s="208">
        <v>46.3</v>
      </c>
      <c r="L170" s="209">
        <v>8.3</v>
      </c>
      <c r="M170" s="161">
        <f t="shared" si="5"/>
        <v>35.41247485</v>
      </c>
      <c r="N170" s="189">
        <f t="shared" si="6"/>
        <v>75.08417508</v>
      </c>
      <c r="O170" s="161">
        <f t="shared" ref="O170:S170" si="308">((F170-O$1)/(O$2-O$1))*100</f>
        <v>25.5</v>
      </c>
      <c r="P170" s="161">
        <f t="shared" si="308"/>
        <v>52.30460922</v>
      </c>
      <c r="Q170" s="161">
        <f t="shared" si="308"/>
        <v>23.3933162</v>
      </c>
      <c r="R170" s="161">
        <f t="shared" si="308"/>
        <v>45.21384929</v>
      </c>
      <c r="S170" s="161">
        <f t="shared" si="308"/>
        <v>13.46534653</v>
      </c>
      <c r="T170" s="189">
        <f t="shared" si="8"/>
        <v>54.51428571</v>
      </c>
      <c r="U170" s="210">
        <f t="shared" si="9"/>
        <v>39.1509434</v>
      </c>
      <c r="V170" s="161">
        <f t="shared" ref="V170:AD170" si="309">M170*V$2</f>
        <v>7.08249497</v>
      </c>
      <c r="W170" s="161">
        <f t="shared" si="309"/>
        <v>15.01683502</v>
      </c>
      <c r="X170" s="161">
        <f t="shared" si="309"/>
        <v>1.275</v>
      </c>
      <c r="Y170" s="161">
        <f t="shared" si="309"/>
        <v>2.615230461</v>
      </c>
      <c r="Z170" s="161">
        <f t="shared" si="309"/>
        <v>1.16966581</v>
      </c>
      <c r="AA170" s="161">
        <f t="shared" si="309"/>
        <v>4.521384929</v>
      </c>
      <c r="AB170" s="161">
        <f t="shared" si="309"/>
        <v>2.01980198</v>
      </c>
      <c r="AC170" s="161">
        <f t="shared" si="309"/>
        <v>8.177142857</v>
      </c>
      <c r="AD170" s="161">
        <f t="shared" si="309"/>
        <v>1.95754717</v>
      </c>
      <c r="AE170" s="161">
        <f t="shared" si="11"/>
        <v>4.870567021</v>
      </c>
    </row>
    <row r="171">
      <c r="A171" s="207">
        <v>77503.0</v>
      </c>
      <c r="B171" s="208">
        <v>23899.0</v>
      </c>
      <c r="C171" s="208">
        <v>15.4</v>
      </c>
      <c r="D171" s="208">
        <v>64977.0</v>
      </c>
      <c r="E171" s="208">
        <v>0.89</v>
      </c>
      <c r="F171" s="208">
        <v>6.6</v>
      </c>
      <c r="G171" s="208">
        <v>29.9</v>
      </c>
      <c r="H171" s="208">
        <v>19.6</v>
      </c>
      <c r="I171" s="208">
        <v>29.6</v>
      </c>
      <c r="J171" s="208">
        <v>9.2</v>
      </c>
      <c r="K171" s="208">
        <v>54.3</v>
      </c>
      <c r="L171" s="209">
        <v>5.7</v>
      </c>
      <c r="M171" s="161">
        <f t="shared" si="5"/>
        <v>25.75452716</v>
      </c>
      <c r="N171" s="189">
        <f t="shared" si="6"/>
        <v>78.78787879</v>
      </c>
      <c r="O171" s="161">
        <f t="shared" ref="O171:S171" si="310">((F171-O$1)/(O$2-O$1))*100</f>
        <v>33</v>
      </c>
      <c r="P171" s="161">
        <f t="shared" si="310"/>
        <v>58.51703407</v>
      </c>
      <c r="Q171" s="161">
        <f t="shared" si="310"/>
        <v>49.61439589</v>
      </c>
      <c r="R171" s="161">
        <f t="shared" si="310"/>
        <v>60.28513238</v>
      </c>
      <c r="S171" s="161">
        <f t="shared" si="310"/>
        <v>13.66336634</v>
      </c>
      <c r="T171" s="189">
        <f t="shared" si="8"/>
        <v>45.37142857</v>
      </c>
      <c r="U171" s="210">
        <f t="shared" si="9"/>
        <v>26.88679245</v>
      </c>
      <c r="V171" s="161">
        <f t="shared" ref="V171:AD171" si="311">M171*V$2</f>
        <v>5.150905433</v>
      </c>
      <c r="W171" s="161">
        <f t="shared" si="311"/>
        <v>15.75757576</v>
      </c>
      <c r="X171" s="161">
        <f t="shared" si="311"/>
        <v>1.65</v>
      </c>
      <c r="Y171" s="161">
        <f t="shared" si="311"/>
        <v>2.925851703</v>
      </c>
      <c r="Z171" s="161">
        <f t="shared" si="311"/>
        <v>2.480719794</v>
      </c>
      <c r="AA171" s="161">
        <f t="shared" si="311"/>
        <v>6.028513238</v>
      </c>
      <c r="AB171" s="161">
        <f t="shared" si="311"/>
        <v>2.04950495</v>
      </c>
      <c r="AC171" s="161">
        <f t="shared" si="311"/>
        <v>6.805714286</v>
      </c>
      <c r="AD171" s="161">
        <f t="shared" si="311"/>
        <v>1.344339623</v>
      </c>
      <c r="AE171" s="161">
        <f t="shared" si="11"/>
        <v>4.910347198</v>
      </c>
    </row>
    <row r="172">
      <c r="A172" s="207">
        <v>77082.0</v>
      </c>
      <c r="B172" s="208">
        <v>57269.0</v>
      </c>
      <c r="C172" s="208">
        <v>18.4</v>
      </c>
      <c r="D172" s="208">
        <v>60510.0</v>
      </c>
      <c r="E172" s="208">
        <v>0.83</v>
      </c>
      <c r="F172" s="208">
        <v>6.8</v>
      </c>
      <c r="G172" s="208">
        <v>23.9</v>
      </c>
      <c r="H172" s="208">
        <v>15.9</v>
      </c>
      <c r="I172" s="208">
        <v>12.4</v>
      </c>
      <c r="J172" s="208">
        <v>7.6</v>
      </c>
      <c r="K172" s="208">
        <v>36.8</v>
      </c>
      <c r="L172" s="209">
        <v>9.5</v>
      </c>
      <c r="M172" s="161">
        <f t="shared" si="5"/>
        <v>31.79074447</v>
      </c>
      <c r="N172" s="189">
        <f t="shared" si="6"/>
        <v>80.80808081</v>
      </c>
      <c r="O172" s="161">
        <f t="shared" ref="O172:S172" si="312">((F172-O$1)/(O$2-O$1))*100</f>
        <v>34</v>
      </c>
      <c r="P172" s="161">
        <f t="shared" si="312"/>
        <v>46.49298597</v>
      </c>
      <c r="Q172" s="161">
        <f t="shared" si="312"/>
        <v>40.10282776</v>
      </c>
      <c r="R172" s="161">
        <f t="shared" si="312"/>
        <v>25.25458248</v>
      </c>
      <c r="S172" s="161">
        <f t="shared" si="312"/>
        <v>10.4950495</v>
      </c>
      <c r="T172" s="189">
        <f t="shared" si="8"/>
        <v>65.37142857</v>
      </c>
      <c r="U172" s="210">
        <f t="shared" si="9"/>
        <v>44.81132075</v>
      </c>
      <c r="V172" s="161">
        <f t="shared" ref="V172:AD172" si="313">M172*V$2</f>
        <v>6.358148893</v>
      </c>
      <c r="W172" s="161">
        <f t="shared" si="313"/>
        <v>16.16161616</v>
      </c>
      <c r="X172" s="161">
        <f t="shared" si="313"/>
        <v>1.7</v>
      </c>
      <c r="Y172" s="161">
        <f t="shared" si="313"/>
        <v>2.324649299</v>
      </c>
      <c r="Z172" s="161">
        <f t="shared" si="313"/>
        <v>2.005141388</v>
      </c>
      <c r="AA172" s="161">
        <f t="shared" si="313"/>
        <v>2.525458248</v>
      </c>
      <c r="AB172" s="161">
        <f t="shared" si="313"/>
        <v>1.574257426</v>
      </c>
      <c r="AC172" s="161">
        <f t="shared" si="313"/>
        <v>9.805714286</v>
      </c>
      <c r="AD172" s="161">
        <f t="shared" si="313"/>
        <v>2.240566038</v>
      </c>
      <c r="AE172" s="161">
        <f t="shared" si="11"/>
        <v>4.966172415</v>
      </c>
    </row>
    <row r="173">
      <c r="A173" s="207">
        <v>77057.0</v>
      </c>
      <c r="B173" s="208">
        <v>45394.0</v>
      </c>
      <c r="C173" s="208">
        <v>17.6</v>
      </c>
      <c r="D173" s="208">
        <v>66200.0</v>
      </c>
      <c r="E173" s="208">
        <v>0.91</v>
      </c>
      <c r="F173" s="208">
        <v>5.0</v>
      </c>
      <c r="G173" s="208">
        <v>24.7</v>
      </c>
      <c r="H173" s="208">
        <v>6.0</v>
      </c>
      <c r="I173" s="208">
        <v>13.1</v>
      </c>
      <c r="J173" s="208">
        <v>11.8</v>
      </c>
      <c r="K173" s="208">
        <v>31.1</v>
      </c>
      <c r="L173" s="209">
        <v>11.0</v>
      </c>
      <c r="M173" s="161">
        <f t="shared" si="5"/>
        <v>30.18108652</v>
      </c>
      <c r="N173" s="189">
        <f t="shared" si="6"/>
        <v>78.11447811</v>
      </c>
      <c r="O173" s="161">
        <f t="shared" ref="O173:S173" si="314">((F173-O$1)/(O$2-O$1))*100</f>
        <v>25</v>
      </c>
      <c r="P173" s="161">
        <f t="shared" si="314"/>
        <v>48.09619238</v>
      </c>
      <c r="Q173" s="161">
        <f t="shared" si="314"/>
        <v>14.6529563</v>
      </c>
      <c r="R173" s="161">
        <f t="shared" si="314"/>
        <v>26.6802444</v>
      </c>
      <c r="S173" s="161">
        <f t="shared" si="314"/>
        <v>18.81188119</v>
      </c>
      <c r="T173" s="189">
        <f t="shared" si="8"/>
        <v>71.88571429</v>
      </c>
      <c r="U173" s="210">
        <f t="shared" si="9"/>
        <v>51.88679245</v>
      </c>
      <c r="V173" s="161">
        <f t="shared" ref="V173:AD173" si="315">M173*V$2</f>
        <v>6.036217304</v>
      </c>
      <c r="W173" s="161">
        <f t="shared" si="315"/>
        <v>15.62289562</v>
      </c>
      <c r="X173" s="161">
        <f t="shared" si="315"/>
        <v>1.25</v>
      </c>
      <c r="Y173" s="161">
        <f t="shared" si="315"/>
        <v>2.404809619</v>
      </c>
      <c r="Z173" s="161">
        <f t="shared" si="315"/>
        <v>0.7326478149</v>
      </c>
      <c r="AA173" s="161">
        <f t="shared" si="315"/>
        <v>2.66802444</v>
      </c>
      <c r="AB173" s="161">
        <f t="shared" si="315"/>
        <v>2.821782178</v>
      </c>
      <c r="AC173" s="161">
        <f t="shared" si="315"/>
        <v>10.78285714</v>
      </c>
      <c r="AD173" s="161">
        <f t="shared" si="315"/>
        <v>2.594339623</v>
      </c>
      <c r="AE173" s="161">
        <f t="shared" si="11"/>
        <v>4.990397083</v>
      </c>
    </row>
    <row r="174">
      <c r="A174" s="207">
        <v>77088.0</v>
      </c>
      <c r="B174" s="208">
        <v>54115.0</v>
      </c>
      <c r="C174" s="208">
        <v>18.6</v>
      </c>
      <c r="D174" s="208">
        <v>52549.0</v>
      </c>
      <c r="E174" s="208">
        <v>0.72</v>
      </c>
      <c r="F174" s="208">
        <v>9.7</v>
      </c>
      <c r="G174" s="208">
        <v>25.9</v>
      </c>
      <c r="H174" s="208">
        <v>20.8</v>
      </c>
      <c r="I174" s="208">
        <v>28.3</v>
      </c>
      <c r="J174" s="208">
        <v>5.8</v>
      </c>
      <c r="K174" s="208">
        <v>65.6</v>
      </c>
      <c r="L174" s="209">
        <v>9.9</v>
      </c>
      <c r="M174" s="161">
        <f t="shared" si="5"/>
        <v>32.19315895</v>
      </c>
      <c r="N174" s="189">
        <f t="shared" si="6"/>
        <v>84.51178451</v>
      </c>
      <c r="O174" s="161">
        <f t="shared" ref="O174:S174" si="316">((F174-O$1)/(O$2-O$1))*100</f>
        <v>48.5</v>
      </c>
      <c r="P174" s="161">
        <f t="shared" si="316"/>
        <v>50.501002</v>
      </c>
      <c r="Q174" s="161">
        <f t="shared" si="316"/>
        <v>52.69922879</v>
      </c>
      <c r="R174" s="161">
        <f t="shared" si="316"/>
        <v>57.63747454</v>
      </c>
      <c r="S174" s="161">
        <f t="shared" si="316"/>
        <v>6.930693069</v>
      </c>
      <c r="T174" s="189">
        <f t="shared" si="8"/>
        <v>32.45714286</v>
      </c>
      <c r="U174" s="210">
        <f t="shared" si="9"/>
        <v>46.69811321</v>
      </c>
      <c r="V174" s="161">
        <f t="shared" ref="V174:AD174" si="317">M174*V$2</f>
        <v>6.438631791</v>
      </c>
      <c r="W174" s="161">
        <f t="shared" si="317"/>
        <v>16.9023569</v>
      </c>
      <c r="X174" s="161">
        <f t="shared" si="317"/>
        <v>2.425</v>
      </c>
      <c r="Y174" s="161">
        <f t="shared" si="317"/>
        <v>2.5250501</v>
      </c>
      <c r="Z174" s="161">
        <f t="shared" si="317"/>
        <v>2.63496144</v>
      </c>
      <c r="AA174" s="161">
        <f t="shared" si="317"/>
        <v>5.763747454</v>
      </c>
      <c r="AB174" s="161">
        <f t="shared" si="317"/>
        <v>1.03960396</v>
      </c>
      <c r="AC174" s="161">
        <f t="shared" si="317"/>
        <v>4.868571429</v>
      </c>
      <c r="AD174" s="161">
        <f t="shared" si="317"/>
        <v>2.33490566</v>
      </c>
      <c r="AE174" s="161">
        <f t="shared" si="11"/>
        <v>4.992536526</v>
      </c>
    </row>
    <row r="175">
      <c r="A175" s="207">
        <v>77551.0</v>
      </c>
      <c r="B175" s="208">
        <v>22031.0</v>
      </c>
      <c r="C175" s="208">
        <v>18.7</v>
      </c>
      <c r="D175" s="208">
        <v>59792.0</v>
      </c>
      <c r="E175" s="208">
        <v>0.82</v>
      </c>
      <c r="F175" s="208">
        <v>5.0</v>
      </c>
      <c r="G175" s="208">
        <v>19.3</v>
      </c>
      <c r="H175" s="208">
        <v>14.6</v>
      </c>
      <c r="I175" s="208">
        <v>13.9</v>
      </c>
      <c r="J175" s="208">
        <v>17.5</v>
      </c>
      <c r="K175" s="208">
        <v>48.7</v>
      </c>
      <c r="L175" s="209">
        <v>9.5</v>
      </c>
      <c r="M175" s="161">
        <f t="shared" si="5"/>
        <v>32.3943662</v>
      </c>
      <c r="N175" s="189">
        <f t="shared" si="6"/>
        <v>81.14478114</v>
      </c>
      <c r="O175" s="161">
        <f t="shared" ref="O175:S175" si="318">((F175-O$1)/(O$2-O$1))*100</f>
        <v>25</v>
      </c>
      <c r="P175" s="161">
        <f t="shared" si="318"/>
        <v>37.2745491</v>
      </c>
      <c r="Q175" s="161">
        <f t="shared" si="318"/>
        <v>36.76092545</v>
      </c>
      <c r="R175" s="161">
        <f t="shared" si="318"/>
        <v>28.3095723</v>
      </c>
      <c r="S175" s="161">
        <f t="shared" si="318"/>
        <v>30.0990099</v>
      </c>
      <c r="T175" s="189">
        <f t="shared" si="8"/>
        <v>51.77142857</v>
      </c>
      <c r="U175" s="210">
        <f t="shared" si="9"/>
        <v>44.81132075</v>
      </c>
      <c r="V175" s="161">
        <f t="shared" ref="V175:AD175" si="319">M175*V$2</f>
        <v>6.478873239</v>
      </c>
      <c r="W175" s="161">
        <f t="shared" si="319"/>
        <v>16.22895623</v>
      </c>
      <c r="X175" s="161">
        <f t="shared" si="319"/>
        <v>1.25</v>
      </c>
      <c r="Y175" s="161">
        <f t="shared" si="319"/>
        <v>1.863727455</v>
      </c>
      <c r="Z175" s="161">
        <f t="shared" si="319"/>
        <v>1.838046272</v>
      </c>
      <c r="AA175" s="161">
        <f t="shared" si="319"/>
        <v>2.83095723</v>
      </c>
      <c r="AB175" s="161">
        <f t="shared" si="319"/>
        <v>4.514851485</v>
      </c>
      <c r="AC175" s="161">
        <f t="shared" si="319"/>
        <v>7.765714286</v>
      </c>
      <c r="AD175" s="161">
        <f t="shared" si="319"/>
        <v>2.240566038</v>
      </c>
      <c r="AE175" s="161">
        <f t="shared" si="11"/>
        <v>5.001299137</v>
      </c>
    </row>
    <row r="176">
      <c r="A176" s="207">
        <v>77086.0</v>
      </c>
      <c r="B176" s="208">
        <v>28623.0</v>
      </c>
      <c r="C176" s="208">
        <v>14.9</v>
      </c>
      <c r="D176" s="208">
        <v>58184.0</v>
      </c>
      <c r="E176" s="208">
        <v>0.8</v>
      </c>
      <c r="F176" s="208">
        <v>8.2</v>
      </c>
      <c r="G176" s="208">
        <v>32.4</v>
      </c>
      <c r="H176" s="208">
        <v>25.9</v>
      </c>
      <c r="I176" s="208">
        <v>29.3</v>
      </c>
      <c r="J176" s="208">
        <v>6.4</v>
      </c>
      <c r="K176" s="208">
        <v>57.3</v>
      </c>
      <c r="L176" s="209">
        <v>7.5</v>
      </c>
      <c r="M176" s="161">
        <f t="shared" si="5"/>
        <v>24.74849095</v>
      </c>
      <c r="N176" s="189">
        <f t="shared" si="6"/>
        <v>81.81818182</v>
      </c>
      <c r="O176" s="161">
        <f t="shared" ref="O176:S176" si="320">((F176-O$1)/(O$2-O$1))*100</f>
        <v>41</v>
      </c>
      <c r="P176" s="161">
        <f t="shared" si="320"/>
        <v>63.52705411</v>
      </c>
      <c r="Q176" s="161">
        <f t="shared" si="320"/>
        <v>65.80976864</v>
      </c>
      <c r="R176" s="161">
        <f t="shared" si="320"/>
        <v>59.67413442</v>
      </c>
      <c r="S176" s="161">
        <f t="shared" si="320"/>
        <v>8.118811881</v>
      </c>
      <c r="T176" s="189">
        <f t="shared" si="8"/>
        <v>41.94285714</v>
      </c>
      <c r="U176" s="210">
        <f t="shared" si="9"/>
        <v>35.37735849</v>
      </c>
      <c r="V176" s="161">
        <f t="shared" ref="V176:AD176" si="321">M176*V$2</f>
        <v>4.949698189</v>
      </c>
      <c r="W176" s="161">
        <f t="shared" si="321"/>
        <v>16.36363636</v>
      </c>
      <c r="X176" s="161">
        <f t="shared" si="321"/>
        <v>2.05</v>
      </c>
      <c r="Y176" s="161">
        <f t="shared" si="321"/>
        <v>3.176352705</v>
      </c>
      <c r="Z176" s="161">
        <f t="shared" si="321"/>
        <v>3.290488432</v>
      </c>
      <c r="AA176" s="161">
        <f t="shared" si="321"/>
        <v>5.967413442</v>
      </c>
      <c r="AB176" s="161">
        <f t="shared" si="321"/>
        <v>1.217821782</v>
      </c>
      <c r="AC176" s="161">
        <f t="shared" si="321"/>
        <v>6.291428571</v>
      </c>
      <c r="AD176" s="161">
        <f t="shared" si="321"/>
        <v>1.768867925</v>
      </c>
      <c r="AE176" s="161">
        <f t="shared" si="11"/>
        <v>5.008411934</v>
      </c>
    </row>
    <row r="177">
      <c r="A177" s="207">
        <v>77340.0</v>
      </c>
      <c r="B177" s="208">
        <v>35439.0</v>
      </c>
      <c r="C177" s="208">
        <v>22.8</v>
      </c>
      <c r="D177" s="208">
        <v>46878.0</v>
      </c>
      <c r="E177" s="208">
        <v>0.64</v>
      </c>
      <c r="F177" s="208">
        <v>9.0</v>
      </c>
      <c r="G177" s="208">
        <v>14.1</v>
      </c>
      <c r="H177" s="208">
        <v>8.7</v>
      </c>
      <c r="I177" s="208">
        <v>11.1</v>
      </c>
      <c r="J177" s="208">
        <v>14.2</v>
      </c>
      <c r="K177" s="208">
        <v>47.5</v>
      </c>
      <c r="L177" s="209">
        <v>5.9</v>
      </c>
      <c r="M177" s="161">
        <f t="shared" si="5"/>
        <v>40.64386318</v>
      </c>
      <c r="N177" s="189">
        <f t="shared" si="6"/>
        <v>87.20538721</v>
      </c>
      <c r="O177" s="161">
        <f t="shared" ref="O177:S177" si="322">((F177-O$1)/(O$2-O$1))*100</f>
        <v>45</v>
      </c>
      <c r="P177" s="161">
        <f t="shared" si="322"/>
        <v>26.85370741</v>
      </c>
      <c r="Q177" s="161">
        <f t="shared" si="322"/>
        <v>21.59383033</v>
      </c>
      <c r="R177" s="161">
        <f t="shared" si="322"/>
        <v>22.60692464</v>
      </c>
      <c r="S177" s="161">
        <f t="shared" si="322"/>
        <v>23.56435644</v>
      </c>
      <c r="T177" s="189">
        <f t="shared" si="8"/>
        <v>53.14285714</v>
      </c>
      <c r="U177" s="210">
        <f t="shared" si="9"/>
        <v>27.83018868</v>
      </c>
      <c r="V177" s="161">
        <f t="shared" ref="V177:AD177" si="323">M177*V$2</f>
        <v>8.128772636</v>
      </c>
      <c r="W177" s="161">
        <f t="shared" si="323"/>
        <v>17.44107744</v>
      </c>
      <c r="X177" s="161">
        <f t="shared" si="323"/>
        <v>2.25</v>
      </c>
      <c r="Y177" s="161">
        <f t="shared" si="323"/>
        <v>1.342685371</v>
      </c>
      <c r="Z177" s="161">
        <f t="shared" si="323"/>
        <v>1.079691517</v>
      </c>
      <c r="AA177" s="161">
        <f t="shared" si="323"/>
        <v>2.260692464</v>
      </c>
      <c r="AB177" s="161">
        <f t="shared" si="323"/>
        <v>3.534653465</v>
      </c>
      <c r="AC177" s="161">
        <f t="shared" si="323"/>
        <v>7.971428571</v>
      </c>
      <c r="AD177" s="161">
        <f t="shared" si="323"/>
        <v>1.391509434</v>
      </c>
      <c r="AE177" s="161">
        <f t="shared" si="11"/>
        <v>5.044501211</v>
      </c>
    </row>
    <row r="178">
      <c r="A178" s="207">
        <v>77518.0</v>
      </c>
      <c r="B178" s="208">
        <v>9935.0</v>
      </c>
      <c r="C178" s="208">
        <v>28.0</v>
      </c>
      <c r="D178" s="208">
        <v>54806.0</v>
      </c>
      <c r="E178" s="208">
        <v>0.75</v>
      </c>
      <c r="F178" s="208">
        <v>6.0</v>
      </c>
      <c r="G178" s="208">
        <v>28.2</v>
      </c>
      <c r="H178" s="208">
        <v>22.2</v>
      </c>
      <c r="I178" s="208">
        <v>21.9</v>
      </c>
      <c r="J178" s="208">
        <v>6.3</v>
      </c>
      <c r="K178" s="208">
        <v>61.5</v>
      </c>
      <c r="L178" s="209">
        <v>3.6</v>
      </c>
      <c r="M178" s="161">
        <f t="shared" si="5"/>
        <v>51.10663984</v>
      </c>
      <c r="N178" s="189">
        <f t="shared" si="6"/>
        <v>83.5016835</v>
      </c>
      <c r="O178" s="161">
        <f t="shared" ref="O178:S178" si="324">((F178-O$1)/(O$2-O$1))*100</f>
        <v>30</v>
      </c>
      <c r="P178" s="161">
        <f t="shared" si="324"/>
        <v>55.11022044</v>
      </c>
      <c r="Q178" s="161">
        <f t="shared" si="324"/>
        <v>56.29820051</v>
      </c>
      <c r="R178" s="161">
        <f t="shared" si="324"/>
        <v>44.60285132</v>
      </c>
      <c r="S178" s="161">
        <f t="shared" si="324"/>
        <v>7.920792079</v>
      </c>
      <c r="T178" s="189">
        <f t="shared" si="8"/>
        <v>37.14285714</v>
      </c>
      <c r="U178" s="210">
        <f t="shared" si="9"/>
        <v>16.98113208</v>
      </c>
      <c r="V178" s="161">
        <f t="shared" ref="V178:AD178" si="325">M178*V$2</f>
        <v>10.22132797</v>
      </c>
      <c r="W178" s="161">
        <f t="shared" si="325"/>
        <v>16.7003367</v>
      </c>
      <c r="X178" s="161">
        <f t="shared" si="325"/>
        <v>1.5</v>
      </c>
      <c r="Y178" s="161">
        <f t="shared" si="325"/>
        <v>2.755511022</v>
      </c>
      <c r="Z178" s="161">
        <f t="shared" si="325"/>
        <v>2.814910026</v>
      </c>
      <c r="AA178" s="161">
        <f t="shared" si="325"/>
        <v>4.460285132</v>
      </c>
      <c r="AB178" s="161">
        <f t="shared" si="325"/>
        <v>1.188118812</v>
      </c>
      <c r="AC178" s="161">
        <f t="shared" si="325"/>
        <v>5.571428571</v>
      </c>
      <c r="AD178" s="161">
        <f t="shared" si="325"/>
        <v>0.8490566038</v>
      </c>
      <c r="AE178" s="161">
        <f t="shared" si="11"/>
        <v>5.117886093</v>
      </c>
    </row>
    <row r="179">
      <c r="A179" s="207">
        <v>77015.0</v>
      </c>
      <c r="B179" s="208">
        <v>58822.0</v>
      </c>
      <c r="C179" s="208">
        <v>16.6</v>
      </c>
      <c r="D179" s="208">
        <v>57324.0</v>
      </c>
      <c r="E179" s="208">
        <v>0.78</v>
      </c>
      <c r="F179" s="208">
        <v>7.3</v>
      </c>
      <c r="G179" s="208">
        <v>29.3</v>
      </c>
      <c r="H179" s="208">
        <v>23.9</v>
      </c>
      <c r="I179" s="208">
        <v>30.5</v>
      </c>
      <c r="J179" s="208">
        <v>8.6</v>
      </c>
      <c r="K179" s="208">
        <v>52.4</v>
      </c>
      <c r="L179" s="209">
        <v>6.0</v>
      </c>
      <c r="M179" s="161">
        <f t="shared" si="5"/>
        <v>28.16901408</v>
      </c>
      <c r="N179" s="189">
        <f t="shared" si="6"/>
        <v>82.49158249</v>
      </c>
      <c r="O179" s="161">
        <f t="shared" ref="O179:S179" si="326">((F179-O$1)/(O$2-O$1))*100</f>
        <v>36.5</v>
      </c>
      <c r="P179" s="161">
        <f t="shared" si="326"/>
        <v>57.31462926</v>
      </c>
      <c r="Q179" s="161">
        <f t="shared" si="326"/>
        <v>60.66838046</v>
      </c>
      <c r="R179" s="161">
        <f t="shared" si="326"/>
        <v>62.11812627</v>
      </c>
      <c r="S179" s="161">
        <f t="shared" si="326"/>
        <v>12.47524752</v>
      </c>
      <c r="T179" s="189">
        <f t="shared" si="8"/>
        <v>47.54285714</v>
      </c>
      <c r="U179" s="210">
        <f t="shared" si="9"/>
        <v>28.30188679</v>
      </c>
      <c r="V179" s="161">
        <f t="shared" ref="V179:AD179" si="327">M179*V$2</f>
        <v>5.633802817</v>
      </c>
      <c r="W179" s="161">
        <f t="shared" si="327"/>
        <v>16.4983165</v>
      </c>
      <c r="X179" s="161">
        <f t="shared" si="327"/>
        <v>1.825</v>
      </c>
      <c r="Y179" s="161">
        <f t="shared" si="327"/>
        <v>2.865731463</v>
      </c>
      <c r="Z179" s="161">
        <f t="shared" si="327"/>
        <v>3.033419023</v>
      </c>
      <c r="AA179" s="161">
        <f t="shared" si="327"/>
        <v>6.211812627</v>
      </c>
      <c r="AB179" s="161">
        <f t="shared" si="327"/>
        <v>1.871287129</v>
      </c>
      <c r="AC179" s="161">
        <f t="shared" si="327"/>
        <v>7.131428571</v>
      </c>
      <c r="AD179" s="161">
        <f t="shared" si="327"/>
        <v>1.41509434</v>
      </c>
      <c r="AE179" s="161">
        <f t="shared" si="11"/>
        <v>5.165099163</v>
      </c>
    </row>
    <row r="180">
      <c r="A180" s="207">
        <v>77042.0</v>
      </c>
      <c r="B180" s="208">
        <v>40725.0</v>
      </c>
      <c r="C180" s="208">
        <v>15.9</v>
      </c>
      <c r="D180" s="208">
        <v>57745.0</v>
      </c>
      <c r="E180" s="208">
        <v>0.79</v>
      </c>
      <c r="F180" s="208">
        <v>10.0</v>
      </c>
      <c r="G180" s="208">
        <v>26.6</v>
      </c>
      <c r="H180" s="208">
        <v>14.1</v>
      </c>
      <c r="I180" s="208">
        <v>11.3</v>
      </c>
      <c r="J180" s="208">
        <v>10.1</v>
      </c>
      <c r="K180" s="208">
        <v>25.7</v>
      </c>
      <c r="L180" s="209">
        <v>8.5</v>
      </c>
      <c r="M180" s="161">
        <f t="shared" si="5"/>
        <v>26.76056338</v>
      </c>
      <c r="N180" s="189">
        <f t="shared" si="6"/>
        <v>82.15488215</v>
      </c>
      <c r="O180" s="161">
        <f t="shared" ref="O180:S180" si="328">((F180-O$1)/(O$2-O$1))*100</f>
        <v>50</v>
      </c>
      <c r="P180" s="161">
        <f t="shared" si="328"/>
        <v>51.90380762</v>
      </c>
      <c r="Q180" s="161">
        <f t="shared" si="328"/>
        <v>35.47557841</v>
      </c>
      <c r="R180" s="161">
        <f t="shared" si="328"/>
        <v>23.01425662</v>
      </c>
      <c r="S180" s="161">
        <f t="shared" si="328"/>
        <v>15.44554455</v>
      </c>
      <c r="T180" s="189">
        <f t="shared" si="8"/>
        <v>78.05714286</v>
      </c>
      <c r="U180" s="210">
        <f t="shared" si="9"/>
        <v>40.09433962</v>
      </c>
      <c r="V180" s="161">
        <f t="shared" ref="V180:AD180" si="329">M180*V$2</f>
        <v>5.352112676</v>
      </c>
      <c r="W180" s="161">
        <f t="shared" si="329"/>
        <v>16.43097643</v>
      </c>
      <c r="X180" s="161">
        <f t="shared" si="329"/>
        <v>2.5</v>
      </c>
      <c r="Y180" s="161">
        <f t="shared" si="329"/>
        <v>2.595190381</v>
      </c>
      <c r="Z180" s="161">
        <f t="shared" si="329"/>
        <v>1.77377892</v>
      </c>
      <c r="AA180" s="161">
        <f t="shared" si="329"/>
        <v>2.301425662</v>
      </c>
      <c r="AB180" s="161">
        <f t="shared" si="329"/>
        <v>2.316831683</v>
      </c>
      <c r="AC180" s="161">
        <f t="shared" si="329"/>
        <v>11.70857143</v>
      </c>
      <c r="AD180" s="161">
        <f t="shared" si="329"/>
        <v>2.004716981</v>
      </c>
      <c r="AE180" s="161">
        <f t="shared" si="11"/>
        <v>5.220400463</v>
      </c>
    </row>
    <row r="181">
      <c r="A181" s="207">
        <v>77547.0</v>
      </c>
      <c r="B181" s="208">
        <v>9380.0</v>
      </c>
      <c r="C181" s="208">
        <v>23.8</v>
      </c>
      <c r="D181" s="208">
        <v>53854.0</v>
      </c>
      <c r="E181" s="208">
        <v>0.74</v>
      </c>
      <c r="F181" s="208">
        <v>14.1</v>
      </c>
      <c r="G181" s="208">
        <v>34.6</v>
      </c>
      <c r="H181" s="208">
        <v>18.1</v>
      </c>
      <c r="I181" s="208">
        <v>31.6</v>
      </c>
      <c r="J181" s="208">
        <v>6.6</v>
      </c>
      <c r="K181" s="208">
        <v>69.9</v>
      </c>
      <c r="L181" s="209">
        <v>3.7</v>
      </c>
      <c r="M181" s="161">
        <f t="shared" si="5"/>
        <v>42.65593561</v>
      </c>
      <c r="N181" s="189">
        <f t="shared" si="6"/>
        <v>83.83838384</v>
      </c>
      <c r="O181" s="161">
        <f t="shared" ref="O181:S181" si="330">((F181-O$1)/(O$2-O$1))*100</f>
        <v>70.5</v>
      </c>
      <c r="P181" s="161">
        <f t="shared" si="330"/>
        <v>67.93587174</v>
      </c>
      <c r="Q181" s="161">
        <f t="shared" si="330"/>
        <v>45.75835476</v>
      </c>
      <c r="R181" s="161">
        <f t="shared" si="330"/>
        <v>64.35845214</v>
      </c>
      <c r="S181" s="161">
        <f t="shared" si="330"/>
        <v>8.514851485</v>
      </c>
      <c r="T181" s="189">
        <f t="shared" si="8"/>
        <v>27.54285714</v>
      </c>
      <c r="U181" s="210">
        <f t="shared" si="9"/>
        <v>17.45283019</v>
      </c>
      <c r="V181" s="161">
        <f t="shared" ref="V181:AD181" si="331">M181*V$2</f>
        <v>8.531187123</v>
      </c>
      <c r="W181" s="161">
        <f t="shared" si="331"/>
        <v>16.76767677</v>
      </c>
      <c r="X181" s="161">
        <f t="shared" si="331"/>
        <v>3.525</v>
      </c>
      <c r="Y181" s="161">
        <f t="shared" si="331"/>
        <v>3.396793587</v>
      </c>
      <c r="Z181" s="161">
        <f t="shared" si="331"/>
        <v>2.287917738</v>
      </c>
      <c r="AA181" s="161">
        <f t="shared" si="331"/>
        <v>6.435845214</v>
      </c>
      <c r="AB181" s="161">
        <f t="shared" si="331"/>
        <v>1.277227723</v>
      </c>
      <c r="AC181" s="161">
        <f t="shared" si="331"/>
        <v>4.131428571</v>
      </c>
      <c r="AD181" s="161">
        <f t="shared" si="331"/>
        <v>0.8726415094</v>
      </c>
      <c r="AE181" s="161">
        <f t="shared" si="11"/>
        <v>5.247302026</v>
      </c>
    </row>
    <row r="182">
      <c r="A182" s="207">
        <v>77014.0</v>
      </c>
      <c r="B182" s="208">
        <v>36314.0</v>
      </c>
      <c r="C182" s="208">
        <v>23.4</v>
      </c>
      <c r="D182" s="208">
        <v>54456.0</v>
      </c>
      <c r="E182" s="208">
        <v>0.75</v>
      </c>
      <c r="F182" s="208">
        <v>8.9</v>
      </c>
      <c r="G182" s="208">
        <v>27.0</v>
      </c>
      <c r="H182" s="208">
        <v>21.1</v>
      </c>
      <c r="I182" s="208">
        <v>18.9</v>
      </c>
      <c r="J182" s="208">
        <v>8.4</v>
      </c>
      <c r="K182" s="208">
        <v>49.9</v>
      </c>
      <c r="L182" s="209">
        <v>7.7</v>
      </c>
      <c r="M182" s="161">
        <f t="shared" si="5"/>
        <v>41.85110664</v>
      </c>
      <c r="N182" s="189">
        <f t="shared" si="6"/>
        <v>83.5016835</v>
      </c>
      <c r="O182" s="161">
        <f t="shared" ref="O182:S182" si="332">((F182-O$1)/(O$2-O$1))*100</f>
        <v>44.5</v>
      </c>
      <c r="P182" s="161">
        <f t="shared" si="332"/>
        <v>52.70541082</v>
      </c>
      <c r="Q182" s="161">
        <f t="shared" si="332"/>
        <v>53.47043702</v>
      </c>
      <c r="R182" s="161">
        <f t="shared" si="332"/>
        <v>38.49287169</v>
      </c>
      <c r="S182" s="161">
        <f t="shared" si="332"/>
        <v>12.07920792</v>
      </c>
      <c r="T182" s="189">
        <f t="shared" si="8"/>
        <v>50.4</v>
      </c>
      <c r="U182" s="210">
        <f t="shared" si="9"/>
        <v>36.32075472</v>
      </c>
      <c r="V182" s="161">
        <f t="shared" ref="V182:AD182" si="333">M182*V$2</f>
        <v>8.370221328</v>
      </c>
      <c r="W182" s="161">
        <f t="shared" si="333"/>
        <v>16.7003367</v>
      </c>
      <c r="X182" s="161">
        <f t="shared" si="333"/>
        <v>2.225</v>
      </c>
      <c r="Y182" s="161">
        <f t="shared" si="333"/>
        <v>2.635270541</v>
      </c>
      <c r="Z182" s="161">
        <f t="shared" si="333"/>
        <v>2.673521851</v>
      </c>
      <c r="AA182" s="161">
        <f t="shared" si="333"/>
        <v>3.849287169</v>
      </c>
      <c r="AB182" s="161">
        <f t="shared" si="333"/>
        <v>1.811881188</v>
      </c>
      <c r="AC182" s="161">
        <f t="shared" si="333"/>
        <v>7.56</v>
      </c>
      <c r="AD182" s="161">
        <f t="shared" si="333"/>
        <v>1.816037736</v>
      </c>
      <c r="AE182" s="161">
        <f t="shared" si="11"/>
        <v>5.293506279</v>
      </c>
    </row>
    <row r="183">
      <c r="A183" s="207">
        <v>77092.0</v>
      </c>
      <c r="B183" s="208">
        <v>36185.0</v>
      </c>
      <c r="C183" s="208">
        <v>20.3</v>
      </c>
      <c r="D183" s="208">
        <v>56741.0</v>
      </c>
      <c r="E183" s="208">
        <v>0.78</v>
      </c>
      <c r="F183" s="208">
        <v>5.7</v>
      </c>
      <c r="G183" s="208">
        <v>33.8</v>
      </c>
      <c r="H183" s="208">
        <v>12.1</v>
      </c>
      <c r="I183" s="208">
        <v>25.0</v>
      </c>
      <c r="J183" s="208">
        <v>9.7</v>
      </c>
      <c r="K183" s="208">
        <v>42.0</v>
      </c>
      <c r="L183" s="209">
        <v>6.7</v>
      </c>
      <c r="M183" s="161">
        <f t="shared" si="5"/>
        <v>35.61368209</v>
      </c>
      <c r="N183" s="189">
        <f t="shared" si="6"/>
        <v>82.49158249</v>
      </c>
      <c r="O183" s="161">
        <f t="shared" ref="O183:S183" si="334">((F183-O$1)/(O$2-O$1))*100</f>
        <v>28.5</v>
      </c>
      <c r="P183" s="161">
        <f t="shared" si="334"/>
        <v>66.33266533</v>
      </c>
      <c r="Q183" s="161">
        <f t="shared" si="334"/>
        <v>30.33419023</v>
      </c>
      <c r="R183" s="161">
        <f t="shared" si="334"/>
        <v>50.91649695</v>
      </c>
      <c r="S183" s="161">
        <f t="shared" si="334"/>
        <v>14.65346535</v>
      </c>
      <c r="T183" s="189">
        <f t="shared" si="8"/>
        <v>59.42857143</v>
      </c>
      <c r="U183" s="210">
        <f t="shared" si="9"/>
        <v>31.60377358</v>
      </c>
      <c r="V183" s="161">
        <f t="shared" ref="V183:AD183" si="335">M183*V$2</f>
        <v>7.122736419</v>
      </c>
      <c r="W183" s="161">
        <f t="shared" si="335"/>
        <v>16.4983165</v>
      </c>
      <c r="X183" s="161">
        <f t="shared" si="335"/>
        <v>1.425</v>
      </c>
      <c r="Y183" s="161">
        <f t="shared" si="335"/>
        <v>3.316633267</v>
      </c>
      <c r="Z183" s="161">
        <f t="shared" si="335"/>
        <v>1.516709512</v>
      </c>
      <c r="AA183" s="161">
        <f t="shared" si="335"/>
        <v>5.091649695</v>
      </c>
      <c r="AB183" s="161">
        <f t="shared" si="335"/>
        <v>2.198019802</v>
      </c>
      <c r="AC183" s="161">
        <f t="shared" si="335"/>
        <v>8.914285714</v>
      </c>
      <c r="AD183" s="161">
        <f t="shared" si="335"/>
        <v>1.580188679</v>
      </c>
      <c r="AE183" s="161">
        <f t="shared" si="11"/>
        <v>5.295948843</v>
      </c>
    </row>
    <row r="184">
      <c r="A184" s="207">
        <v>77504.0</v>
      </c>
      <c r="B184" s="208">
        <v>25758.0</v>
      </c>
      <c r="C184" s="208">
        <v>18.3</v>
      </c>
      <c r="D184" s="208">
        <v>52784.0</v>
      </c>
      <c r="E184" s="208">
        <v>0.72</v>
      </c>
      <c r="F184" s="208">
        <v>8.2</v>
      </c>
      <c r="G184" s="208">
        <v>26.0</v>
      </c>
      <c r="H184" s="208">
        <v>22.2</v>
      </c>
      <c r="I184" s="208">
        <v>21.3</v>
      </c>
      <c r="J184" s="208">
        <v>10.1</v>
      </c>
      <c r="K184" s="208">
        <v>41.9</v>
      </c>
      <c r="L184" s="209">
        <v>7.6</v>
      </c>
      <c r="M184" s="161">
        <f t="shared" si="5"/>
        <v>31.58953722</v>
      </c>
      <c r="N184" s="189">
        <f t="shared" si="6"/>
        <v>84.51178451</v>
      </c>
      <c r="O184" s="161">
        <f t="shared" ref="O184:S184" si="336">((F184-O$1)/(O$2-O$1))*100</f>
        <v>41</v>
      </c>
      <c r="P184" s="161">
        <f t="shared" si="336"/>
        <v>50.70140281</v>
      </c>
      <c r="Q184" s="161">
        <f t="shared" si="336"/>
        <v>56.29820051</v>
      </c>
      <c r="R184" s="161">
        <f t="shared" si="336"/>
        <v>43.3808554</v>
      </c>
      <c r="S184" s="161">
        <f t="shared" si="336"/>
        <v>15.44554455</v>
      </c>
      <c r="T184" s="189">
        <f t="shared" si="8"/>
        <v>59.54285714</v>
      </c>
      <c r="U184" s="210">
        <f t="shared" si="9"/>
        <v>35.8490566</v>
      </c>
      <c r="V184" s="161">
        <f t="shared" ref="V184:AD184" si="337">M184*V$2</f>
        <v>6.317907445</v>
      </c>
      <c r="W184" s="161">
        <f t="shared" si="337"/>
        <v>16.9023569</v>
      </c>
      <c r="X184" s="161">
        <f t="shared" si="337"/>
        <v>2.05</v>
      </c>
      <c r="Y184" s="161">
        <f t="shared" si="337"/>
        <v>2.53507014</v>
      </c>
      <c r="Z184" s="161">
        <f t="shared" si="337"/>
        <v>2.814910026</v>
      </c>
      <c r="AA184" s="161">
        <f t="shared" si="337"/>
        <v>4.33808554</v>
      </c>
      <c r="AB184" s="161">
        <f t="shared" si="337"/>
        <v>2.316831683</v>
      </c>
      <c r="AC184" s="161">
        <f t="shared" si="337"/>
        <v>8.931428571</v>
      </c>
      <c r="AD184" s="161">
        <f t="shared" si="337"/>
        <v>1.79245283</v>
      </c>
      <c r="AE184" s="161">
        <f t="shared" si="11"/>
        <v>5.333227015</v>
      </c>
    </row>
    <row r="185">
      <c r="A185" s="207">
        <v>77002.0</v>
      </c>
      <c r="B185" s="208">
        <v>19616.0</v>
      </c>
      <c r="C185" s="208">
        <v>15.6</v>
      </c>
      <c r="D185" s="208">
        <v>85436.0</v>
      </c>
      <c r="E185" s="208">
        <v>1.17</v>
      </c>
      <c r="F185" s="208">
        <v>3.3</v>
      </c>
      <c r="G185" s="208">
        <v>10.8</v>
      </c>
      <c r="H185" s="208">
        <v>4.2</v>
      </c>
      <c r="I185" s="208">
        <v>14.2</v>
      </c>
      <c r="J185" s="208">
        <v>21.6</v>
      </c>
      <c r="K185" s="208">
        <v>9.3</v>
      </c>
      <c r="L185" s="209">
        <v>15.3</v>
      </c>
      <c r="M185" s="161">
        <f t="shared" si="5"/>
        <v>26.15694165</v>
      </c>
      <c r="N185" s="189">
        <f t="shared" si="6"/>
        <v>69.36026936</v>
      </c>
      <c r="O185" s="161">
        <f t="shared" ref="O185:S185" si="338">((F185-O$1)/(O$2-O$1))*100</f>
        <v>16.5</v>
      </c>
      <c r="P185" s="161">
        <f t="shared" si="338"/>
        <v>20.24048096</v>
      </c>
      <c r="Q185" s="161">
        <f t="shared" si="338"/>
        <v>10.02570694</v>
      </c>
      <c r="R185" s="161">
        <f t="shared" si="338"/>
        <v>28.92057026</v>
      </c>
      <c r="S185" s="161">
        <f t="shared" si="338"/>
        <v>38.21782178</v>
      </c>
      <c r="T185" s="189">
        <f t="shared" si="8"/>
        <v>96.8</v>
      </c>
      <c r="U185" s="210">
        <f t="shared" si="9"/>
        <v>72.16981132</v>
      </c>
      <c r="V185" s="161">
        <f t="shared" ref="V185:AD185" si="339">M185*V$2</f>
        <v>5.23138833</v>
      </c>
      <c r="W185" s="161">
        <f t="shared" si="339"/>
        <v>13.87205387</v>
      </c>
      <c r="X185" s="161">
        <f t="shared" si="339"/>
        <v>0.825</v>
      </c>
      <c r="Y185" s="161">
        <f t="shared" si="339"/>
        <v>1.012024048</v>
      </c>
      <c r="Z185" s="161">
        <f t="shared" si="339"/>
        <v>0.501285347</v>
      </c>
      <c r="AA185" s="161">
        <f t="shared" si="339"/>
        <v>2.892057026</v>
      </c>
      <c r="AB185" s="161">
        <f t="shared" si="339"/>
        <v>5.732673267</v>
      </c>
      <c r="AC185" s="161">
        <f t="shared" si="339"/>
        <v>14.52</v>
      </c>
      <c r="AD185" s="161">
        <f t="shared" si="339"/>
        <v>3.608490566</v>
      </c>
      <c r="AE185" s="161">
        <f t="shared" si="11"/>
        <v>5.35499694</v>
      </c>
    </row>
    <row r="186">
      <c r="A186" s="207">
        <v>77054.0</v>
      </c>
      <c r="B186" s="208">
        <v>26696.0</v>
      </c>
      <c r="C186" s="208">
        <v>20.8</v>
      </c>
      <c r="D186" s="208">
        <v>59087.0</v>
      </c>
      <c r="E186" s="208">
        <v>0.81</v>
      </c>
      <c r="F186" s="208">
        <v>5.5</v>
      </c>
      <c r="G186" s="208">
        <v>15.0</v>
      </c>
      <c r="H186" s="208">
        <v>7.1</v>
      </c>
      <c r="I186" s="208">
        <v>1.9</v>
      </c>
      <c r="J186" s="208">
        <v>12.8</v>
      </c>
      <c r="K186" s="208">
        <v>11.2</v>
      </c>
      <c r="L186" s="209">
        <v>13.9</v>
      </c>
      <c r="M186" s="161">
        <f t="shared" si="5"/>
        <v>36.61971831</v>
      </c>
      <c r="N186" s="189">
        <f t="shared" si="6"/>
        <v>81.48148148</v>
      </c>
      <c r="O186" s="161">
        <f t="shared" ref="O186:S186" si="340">((F186-O$1)/(O$2-O$1))*100</f>
        <v>27.5</v>
      </c>
      <c r="P186" s="161">
        <f t="shared" si="340"/>
        <v>28.65731463</v>
      </c>
      <c r="Q186" s="161">
        <f t="shared" si="340"/>
        <v>17.48071979</v>
      </c>
      <c r="R186" s="161">
        <f t="shared" si="340"/>
        <v>3.869653768</v>
      </c>
      <c r="S186" s="161">
        <f t="shared" si="340"/>
        <v>20.79207921</v>
      </c>
      <c r="T186" s="189">
        <f t="shared" si="8"/>
        <v>94.62857143</v>
      </c>
      <c r="U186" s="210">
        <f t="shared" si="9"/>
        <v>65.56603774</v>
      </c>
      <c r="V186" s="161">
        <f t="shared" ref="V186:AD186" si="341">M186*V$2</f>
        <v>7.323943662</v>
      </c>
      <c r="W186" s="161">
        <f t="shared" si="341"/>
        <v>16.2962963</v>
      </c>
      <c r="X186" s="161">
        <f t="shared" si="341"/>
        <v>1.375</v>
      </c>
      <c r="Y186" s="161">
        <f t="shared" si="341"/>
        <v>1.432865731</v>
      </c>
      <c r="Z186" s="161">
        <f t="shared" si="341"/>
        <v>0.8740359897</v>
      </c>
      <c r="AA186" s="161">
        <f t="shared" si="341"/>
        <v>0.3869653768</v>
      </c>
      <c r="AB186" s="161">
        <f t="shared" si="341"/>
        <v>3.118811881</v>
      </c>
      <c r="AC186" s="161">
        <f t="shared" si="341"/>
        <v>14.19428571</v>
      </c>
      <c r="AD186" s="161">
        <f t="shared" si="341"/>
        <v>3.278301887</v>
      </c>
      <c r="AE186" s="161">
        <f t="shared" si="11"/>
        <v>5.364500726</v>
      </c>
    </row>
    <row r="187">
      <c r="A187" s="207">
        <v>77063.0</v>
      </c>
      <c r="B187" s="208">
        <v>39994.0</v>
      </c>
      <c r="C187" s="208">
        <v>18.7</v>
      </c>
      <c r="D187" s="208">
        <v>54509.0</v>
      </c>
      <c r="E187" s="208">
        <v>0.75</v>
      </c>
      <c r="F187" s="208">
        <v>9.2</v>
      </c>
      <c r="G187" s="208">
        <v>24.0</v>
      </c>
      <c r="H187" s="208">
        <v>10.5</v>
      </c>
      <c r="I187" s="208">
        <v>7.9</v>
      </c>
      <c r="J187" s="208">
        <v>11.4</v>
      </c>
      <c r="K187" s="208">
        <v>23.6</v>
      </c>
      <c r="L187" s="209">
        <v>12.8</v>
      </c>
      <c r="M187" s="161">
        <f t="shared" si="5"/>
        <v>32.3943662</v>
      </c>
      <c r="N187" s="189">
        <f t="shared" si="6"/>
        <v>83.5016835</v>
      </c>
      <c r="O187" s="161">
        <f t="shared" ref="O187:S187" si="342">((F187-O$1)/(O$2-O$1))*100</f>
        <v>46</v>
      </c>
      <c r="P187" s="161">
        <f t="shared" si="342"/>
        <v>46.69338677</v>
      </c>
      <c r="Q187" s="161">
        <f t="shared" si="342"/>
        <v>26.22107969</v>
      </c>
      <c r="R187" s="161">
        <f t="shared" si="342"/>
        <v>16.08961303</v>
      </c>
      <c r="S187" s="161">
        <f t="shared" si="342"/>
        <v>18.01980198</v>
      </c>
      <c r="T187" s="189">
        <f t="shared" si="8"/>
        <v>80.45714286</v>
      </c>
      <c r="U187" s="210">
        <f t="shared" si="9"/>
        <v>60.37735849</v>
      </c>
      <c r="V187" s="161">
        <f t="shared" ref="V187:AD187" si="343">M187*V$2</f>
        <v>6.478873239</v>
      </c>
      <c r="W187" s="161">
        <f t="shared" si="343"/>
        <v>16.7003367</v>
      </c>
      <c r="X187" s="161">
        <f t="shared" si="343"/>
        <v>2.3</v>
      </c>
      <c r="Y187" s="161">
        <f t="shared" si="343"/>
        <v>2.334669339</v>
      </c>
      <c r="Z187" s="161">
        <f t="shared" si="343"/>
        <v>1.311053985</v>
      </c>
      <c r="AA187" s="161">
        <f t="shared" si="343"/>
        <v>1.608961303</v>
      </c>
      <c r="AB187" s="161">
        <f t="shared" si="343"/>
        <v>2.702970297</v>
      </c>
      <c r="AC187" s="161">
        <f t="shared" si="343"/>
        <v>12.06857143</v>
      </c>
      <c r="AD187" s="161">
        <f t="shared" si="343"/>
        <v>3.018867925</v>
      </c>
      <c r="AE187" s="161">
        <f t="shared" si="11"/>
        <v>5.391589357</v>
      </c>
    </row>
    <row r="188">
      <c r="A188" s="207">
        <v>77520.0</v>
      </c>
      <c r="B188" s="208">
        <v>35724.0</v>
      </c>
      <c r="C188" s="208">
        <v>21.1</v>
      </c>
      <c r="D188" s="208">
        <v>54249.0</v>
      </c>
      <c r="E188" s="208">
        <v>0.74</v>
      </c>
      <c r="F188" s="208">
        <v>9.5</v>
      </c>
      <c r="G188" s="208">
        <v>25.7</v>
      </c>
      <c r="H188" s="208">
        <v>21.3</v>
      </c>
      <c r="I188" s="208">
        <v>24.3</v>
      </c>
      <c r="J188" s="208">
        <v>10.7</v>
      </c>
      <c r="K188" s="208">
        <v>53.2</v>
      </c>
      <c r="L188" s="209">
        <v>11.6</v>
      </c>
      <c r="M188" s="161">
        <f t="shared" si="5"/>
        <v>37.22334004</v>
      </c>
      <c r="N188" s="189">
        <f t="shared" si="6"/>
        <v>83.83838384</v>
      </c>
      <c r="O188" s="161">
        <f t="shared" ref="O188:S188" si="344">((F188-O$1)/(O$2-O$1))*100</f>
        <v>47.5</v>
      </c>
      <c r="P188" s="161">
        <f t="shared" si="344"/>
        <v>50.1002004</v>
      </c>
      <c r="Q188" s="161">
        <f t="shared" si="344"/>
        <v>53.98457584</v>
      </c>
      <c r="R188" s="161">
        <f t="shared" si="344"/>
        <v>49.49083503</v>
      </c>
      <c r="S188" s="161">
        <f t="shared" si="344"/>
        <v>16.63366337</v>
      </c>
      <c r="T188" s="189">
        <f t="shared" si="8"/>
        <v>46.62857143</v>
      </c>
      <c r="U188" s="210">
        <f t="shared" si="9"/>
        <v>54.71698113</v>
      </c>
      <c r="V188" s="161">
        <f t="shared" ref="V188:AD188" si="345">M188*V$2</f>
        <v>7.444668008</v>
      </c>
      <c r="W188" s="161">
        <f t="shared" si="345"/>
        <v>16.76767677</v>
      </c>
      <c r="X188" s="161">
        <f t="shared" si="345"/>
        <v>2.375</v>
      </c>
      <c r="Y188" s="161">
        <f t="shared" si="345"/>
        <v>2.50501002</v>
      </c>
      <c r="Z188" s="161">
        <f t="shared" si="345"/>
        <v>2.699228792</v>
      </c>
      <c r="AA188" s="161">
        <f t="shared" si="345"/>
        <v>4.949083503</v>
      </c>
      <c r="AB188" s="161">
        <f t="shared" si="345"/>
        <v>2.495049505</v>
      </c>
      <c r="AC188" s="161">
        <f t="shared" si="345"/>
        <v>6.994285714</v>
      </c>
      <c r="AD188" s="161">
        <f t="shared" si="345"/>
        <v>2.735849057</v>
      </c>
      <c r="AE188" s="161">
        <f t="shared" si="11"/>
        <v>5.440650152</v>
      </c>
    </row>
    <row r="189">
      <c r="A189" s="207">
        <v>77004.0</v>
      </c>
      <c r="B189" s="208">
        <v>35866.0</v>
      </c>
      <c r="C189" s="208">
        <v>29.7</v>
      </c>
      <c r="D189" s="208">
        <v>65901.0</v>
      </c>
      <c r="E189" s="208">
        <v>0.9</v>
      </c>
      <c r="F189" s="208">
        <v>11.0</v>
      </c>
      <c r="G189" s="208">
        <v>13.3</v>
      </c>
      <c r="H189" s="208">
        <v>14.5</v>
      </c>
      <c r="I189" s="208">
        <v>4.4</v>
      </c>
      <c r="J189" s="208">
        <v>11.5</v>
      </c>
      <c r="K189" s="208">
        <v>37.7</v>
      </c>
      <c r="L189" s="209">
        <v>14.0</v>
      </c>
      <c r="M189" s="161">
        <f t="shared" si="5"/>
        <v>54.52716298</v>
      </c>
      <c r="N189" s="189">
        <f t="shared" si="6"/>
        <v>78.45117845</v>
      </c>
      <c r="O189" s="161">
        <f t="shared" ref="O189:S189" si="346">((F189-O$1)/(O$2-O$1))*100</f>
        <v>55</v>
      </c>
      <c r="P189" s="161">
        <f t="shared" si="346"/>
        <v>25.250501</v>
      </c>
      <c r="Q189" s="161">
        <f t="shared" si="346"/>
        <v>36.50385604</v>
      </c>
      <c r="R189" s="161">
        <f t="shared" si="346"/>
        <v>8.961303462</v>
      </c>
      <c r="S189" s="161">
        <f t="shared" si="346"/>
        <v>18.21782178</v>
      </c>
      <c r="T189" s="189">
        <f t="shared" si="8"/>
        <v>64.34285714</v>
      </c>
      <c r="U189" s="210">
        <f t="shared" si="9"/>
        <v>66.03773585</v>
      </c>
      <c r="V189" s="161">
        <f t="shared" ref="V189:AD189" si="347">M189*V$2</f>
        <v>10.9054326</v>
      </c>
      <c r="W189" s="161">
        <f t="shared" si="347"/>
        <v>15.69023569</v>
      </c>
      <c r="X189" s="161">
        <f t="shared" si="347"/>
        <v>2.75</v>
      </c>
      <c r="Y189" s="161">
        <f t="shared" si="347"/>
        <v>1.26252505</v>
      </c>
      <c r="Z189" s="161">
        <f t="shared" si="347"/>
        <v>1.825192802</v>
      </c>
      <c r="AA189" s="161">
        <f t="shared" si="347"/>
        <v>0.8961303462</v>
      </c>
      <c r="AB189" s="161">
        <f t="shared" si="347"/>
        <v>2.732673267</v>
      </c>
      <c r="AC189" s="161">
        <f t="shared" si="347"/>
        <v>9.651428571</v>
      </c>
      <c r="AD189" s="161">
        <f t="shared" si="347"/>
        <v>3.301886792</v>
      </c>
      <c r="AE189" s="161">
        <f t="shared" si="11"/>
        <v>5.446167235</v>
      </c>
    </row>
    <row r="190">
      <c r="A190" s="207">
        <v>77502.0</v>
      </c>
      <c r="B190" s="208">
        <v>36126.0</v>
      </c>
      <c r="C190" s="208">
        <v>25.6</v>
      </c>
      <c r="D190" s="208">
        <v>59337.0</v>
      </c>
      <c r="E190" s="208">
        <v>0.81</v>
      </c>
      <c r="F190" s="208">
        <v>9.3</v>
      </c>
      <c r="G190" s="208">
        <v>29.0</v>
      </c>
      <c r="H190" s="208">
        <v>22.1</v>
      </c>
      <c r="I190" s="208">
        <v>36.1</v>
      </c>
      <c r="J190" s="208">
        <v>6.7</v>
      </c>
      <c r="K190" s="208">
        <v>63.7</v>
      </c>
      <c r="L190" s="209">
        <v>7.0</v>
      </c>
      <c r="M190" s="161">
        <f t="shared" si="5"/>
        <v>46.277666</v>
      </c>
      <c r="N190" s="189">
        <f t="shared" si="6"/>
        <v>81.48148148</v>
      </c>
      <c r="O190" s="161">
        <f t="shared" ref="O190:S190" si="348">((F190-O$1)/(O$2-O$1))*100</f>
        <v>46.5</v>
      </c>
      <c r="P190" s="161">
        <f t="shared" si="348"/>
        <v>56.71342685</v>
      </c>
      <c r="Q190" s="161">
        <f t="shared" si="348"/>
        <v>56.04113111</v>
      </c>
      <c r="R190" s="161">
        <f t="shared" si="348"/>
        <v>73.52342159</v>
      </c>
      <c r="S190" s="161">
        <f t="shared" si="348"/>
        <v>8.712871287</v>
      </c>
      <c r="T190" s="189">
        <f t="shared" si="8"/>
        <v>34.62857143</v>
      </c>
      <c r="U190" s="210">
        <f t="shared" si="9"/>
        <v>33.01886792</v>
      </c>
      <c r="V190" s="161">
        <f t="shared" ref="V190:AD190" si="349">M190*V$2</f>
        <v>9.255533199</v>
      </c>
      <c r="W190" s="161">
        <f t="shared" si="349"/>
        <v>16.2962963</v>
      </c>
      <c r="X190" s="161">
        <f t="shared" si="349"/>
        <v>2.325</v>
      </c>
      <c r="Y190" s="161">
        <f t="shared" si="349"/>
        <v>2.835671343</v>
      </c>
      <c r="Z190" s="161">
        <f t="shared" si="349"/>
        <v>2.802056555</v>
      </c>
      <c r="AA190" s="161">
        <f t="shared" si="349"/>
        <v>7.352342159</v>
      </c>
      <c r="AB190" s="161">
        <f t="shared" si="349"/>
        <v>1.306930693</v>
      </c>
      <c r="AC190" s="161">
        <f t="shared" si="349"/>
        <v>5.194285714</v>
      </c>
      <c r="AD190" s="161">
        <f t="shared" si="349"/>
        <v>1.650943396</v>
      </c>
      <c r="AE190" s="161">
        <f t="shared" si="11"/>
        <v>5.446562151</v>
      </c>
    </row>
    <row r="191">
      <c r="A191" s="207">
        <v>77048.0</v>
      </c>
      <c r="B191" s="208">
        <v>20430.0</v>
      </c>
      <c r="C191" s="208">
        <v>27.3</v>
      </c>
      <c r="D191" s="208">
        <v>54625.0</v>
      </c>
      <c r="E191" s="208">
        <v>0.75</v>
      </c>
      <c r="F191" s="208">
        <v>14.0</v>
      </c>
      <c r="G191" s="208">
        <v>16.5</v>
      </c>
      <c r="H191" s="208">
        <v>27.0</v>
      </c>
      <c r="I191" s="208">
        <v>16.9</v>
      </c>
      <c r="J191" s="208">
        <v>7.3</v>
      </c>
      <c r="K191" s="208">
        <v>58.2</v>
      </c>
      <c r="L191" s="209">
        <v>12.2</v>
      </c>
      <c r="M191" s="161">
        <f t="shared" si="5"/>
        <v>49.69818913</v>
      </c>
      <c r="N191" s="189">
        <f t="shared" si="6"/>
        <v>83.5016835</v>
      </c>
      <c r="O191" s="161">
        <f t="shared" ref="O191:S191" si="350">((F191-O$1)/(O$2-O$1))*100</f>
        <v>70</v>
      </c>
      <c r="P191" s="161">
        <f t="shared" si="350"/>
        <v>31.66332665</v>
      </c>
      <c r="Q191" s="161">
        <f t="shared" si="350"/>
        <v>68.63753213</v>
      </c>
      <c r="R191" s="161">
        <f t="shared" si="350"/>
        <v>34.41955193</v>
      </c>
      <c r="S191" s="161">
        <f t="shared" si="350"/>
        <v>9.900990099</v>
      </c>
      <c r="T191" s="189">
        <f t="shared" si="8"/>
        <v>40.91428571</v>
      </c>
      <c r="U191" s="210">
        <f t="shared" si="9"/>
        <v>57.54716981</v>
      </c>
      <c r="V191" s="161">
        <f t="shared" ref="V191:AD191" si="351">M191*V$2</f>
        <v>9.939637827</v>
      </c>
      <c r="W191" s="161">
        <f t="shared" si="351"/>
        <v>16.7003367</v>
      </c>
      <c r="X191" s="161">
        <f t="shared" si="351"/>
        <v>3.5</v>
      </c>
      <c r="Y191" s="161">
        <f t="shared" si="351"/>
        <v>1.583166333</v>
      </c>
      <c r="Z191" s="161">
        <f t="shared" si="351"/>
        <v>3.431876607</v>
      </c>
      <c r="AA191" s="161">
        <f t="shared" si="351"/>
        <v>3.441955193</v>
      </c>
      <c r="AB191" s="161">
        <f t="shared" si="351"/>
        <v>1.485148515</v>
      </c>
      <c r="AC191" s="161">
        <f t="shared" si="351"/>
        <v>6.137142857</v>
      </c>
      <c r="AD191" s="161">
        <f t="shared" si="351"/>
        <v>2.877358491</v>
      </c>
      <c r="AE191" s="161">
        <f t="shared" si="11"/>
        <v>5.45518028</v>
      </c>
    </row>
    <row r="192">
      <c r="A192" s="207">
        <v>77016.0</v>
      </c>
      <c r="B192" s="208">
        <v>29480.0</v>
      </c>
      <c r="C192" s="208">
        <v>21.7</v>
      </c>
      <c r="D192" s="208">
        <v>46411.0</v>
      </c>
      <c r="E192" s="208">
        <v>0.64</v>
      </c>
      <c r="F192" s="208">
        <v>12.9</v>
      </c>
      <c r="G192" s="208">
        <v>26.1</v>
      </c>
      <c r="H192" s="208">
        <v>23.5</v>
      </c>
      <c r="I192" s="208">
        <v>24.9</v>
      </c>
      <c r="J192" s="208">
        <v>11.9</v>
      </c>
      <c r="K192" s="208">
        <v>62.1</v>
      </c>
      <c r="L192" s="209">
        <v>8.0</v>
      </c>
      <c r="M192" s="161">
        <f t="shared" si="5"/>
        <v>38.4305835</v>
      </c>
      <c r="N192" s="189">
        <f t="shared" si="6"/>
        <v>87.20538721</v>
      </c>
      <c r="O192" s="161">
        <f t="shared" ref="O192:S192" si="352">((F192-O$1)/(O$2-O$1))*100</f>
        <v>64.5</v>
      </c>
      <c r="P192" s="161">
        <f t="shared" si="352"/>
        <v>50.90180361</v>
      </c>
      <c r="Q192" s="161">
        <f t="shared" si="352"/>
        <v>59.64010283</v>
      </c>
      <c r="R192" s="161">
        <f t="shared" si="352"/>
        <v>50.71283096</v>
      </c>
      <c r="S192" s="161">
        <f t="shared" si="352"/>
        <v>19.00990099</v>
      </c>
      <c r="T192" s="189">
        <f t="shared" si="8"/>
        <v>36.45714286</v>
      </c>
      <c r="U192" s="210">
        <f t="shared" si="9"/>
        <v>37.73584906</v>
      </c>
      <c r="V192" s="161">
        <f t="shared" ref="V192:AD192" si="353">M192*V$2</f>
        <v>7.6861167</v>
      </c>
      <c r="W192" s="161">
        <f t="shared" si="353"/>
        <v>17.44107744</v>
      </c>
      <c r="X192" s="161">
        <f t="shared" si="353"/>
        <v>3.225</v>
      </c>
      <c r="Y192" s="161">
        <f t="shared" si="353"/>
        <v>2.54509018</v>
      </c>
      <c r="Z192" s="161">
        <f t="shared" si="353"/>
        <v>2.982005141</v>
      </c>
      <c r="AA192" s="161">
        <f t="shared" si="353"/>
        <v>5.071283096</v>
      </c>
      <c r="AB192" s="161">
        <f t="shared" si="353"/>
        <v>2.851485149</v>
      </c>
      <c r="AC192" s="161">
        <f t="shared" si="353"/>
        <v>5.468571429</v>
      </c>
      <c r="AD192" s="161">
        <f t="shared" si="353"/>
        <v>1.886792453</v>
      </c>
      <c r="AE192" s="161">
        <f t="shared" si="11"/>
        <v>5.461935732</v>
      </c>
    </row>
    <row r="193">
      <c r="A193" s="207">
        <v>77038.0</v>
      </c>
      <c r="B193" s="208">
        <v>31271.0</v>
      </c>
      <c r="C193" s="208">
        <v>25.3</v>
      </c>
      <c r="D193" s="208">
        <v>50655.0</v>
      </c>
      <c r="E193" s="208">
        <v>0.69</v>
      </c>
      <c r="F193" s="208">
        <v>3.8</v>
      </c>
      <c r="G193" s="208">
        <v>36.8</v>
      </c>
      <c r="H193" s="208">
        <v>23.2</v>
      </c>
      <c r="I193" s="208">
        <v>35.2</v>
      </c>
      <c r="J193" s="208">
        <v>3.8</v>
      </c>
      <c r="K193" s="208">
        <v>57.3</v>
      </c>
      <c r="L193" s="209">
        <v>8.2</v>
      </c>
      <c r="M193" s="161">
        <f t="shared" si="5"/>
        <v>45.67404427</v>
      </c>
      <c r="N193" s="189">
        <f t="shared" si="6"/>
        <v>85.52188552</v>
      </c>
      <c r="O193" s="161">
        <f t="shared" ref="O193:S193" si="354">((F193-O$1)/(O$2-O$1))*100</f>
        <v>19</v>
      </c>
      <c r="P193" s="161">
        <f t="shared" si="354"/>
        <v>72.34468938</v>
      </c>
      <c r="Q193" s="161">
        <f t="shared" si="354"/>
        <v>58.8688946</v>
      </c>
      <c r="R193" s="161">
        <f t="shared" si="354"/>
        <v>71.6904277</v>
      </c>
      <c r="S193" s="161">
        <f t="shared" si="354"/>
        <v>2.97029703</v>
      </c>
      <c r="T193" s="189">
        <f t="shared" si="8"/>
        <v>41.94285714</v>
      </c>
      <c r="U193" s="210">
        <f t="shared" si="9"/>
        <v>38.67924528</v>
      </c>
      <c r="V193" s="161">
        <f t="shared" ref="V193:AD193" si="355">M193*V$2</f>
        <v>9.134808853</v>
      </c>
      <c r="W193" s="161">
        <f t="shared" si="355"/>
        <v>17.1043771</v>
      </c>
      <c r="X193" s="161">
        <f t="shared" si="355"/>
        <v>0.95</v>
      </c>
      <c r="Y193" s="161">
        <f t="shared" si="355"/>
        <v>3.617234469</v>
      </c>
      <c r="Z193" s="161">
        <f t="shared" si="355"/>
        <v>2.94344473</v>
      </c>
      <c r="AA193" s="161">
        <f t="shared" si="355"/>
        <v>7.16904277</v>
      </c>
      <c r="AB193" s="161">
        <f t="shared" si="355"/>
        <v>0.4455445545</v>
      </c>
      <c r="AC193" s="161">
        <f t="shared" si="355"/>
        <v>6.291428571</v>
      </c>
      <c r="AD193" s="161">
        <f t="shared" si="355"/>
        <v>1.933962264</v>
      </c>
      <c r="AE193" s="161">
        <f t="shared" si="11"/>
        <v>5.509982591</v>
      </c>
    </row>
    <row r="194">
      <c r="A194" s="207">
        <v>77035.0</v>
      </c>
      <c r="B194" s="208">
        <v>34849.0</v>
      </c>
      <c r="C194" s="208">
        <v>21.9</v>
      </c>
      <c r="D194" s="208">
        <v>57691.0</v>
      </c>
      <c r="E194" s="208">
        <v>0.79</v>
      </c>
      <c r="F194" s="208">
        <v>9.0</v>
      </c>
      <c r="G194" s="208">
        <v>22.6</v>
      </c>
      <c r="H194" s="208">
        <v>18.1</v>
      </c>
      <c r="I194" s="208">
        <v>20.4</v>
      </c>
      <c r="J194" s="208">
        <v>10.7</v>
      </c>
      <c r="K194" s="208">
        <v>40.6</v>
      </c>
      <c r="L194" s="209">
        <v>12.6</v>
      </c>
      <c r="M194" s="161">
        <f t="shared" si="5"/>
        <v>38.83299799</v>
      </c>
      <c r="N194" s="189">
        <f t="shared" si="6"/>
        <v>82.15488215</v>
      </c>
      <c r="O194" s="161">
        <f t="shared" ref="O194:S194" si="356">((F194-O$1)/(O$2-O$1))*100</f>
        <v>45</v>
      </c>
      <c r="P194" s="161">
        <f t="shared" si="356"/>
        <v>43.88777555</v>
      </c>
      <c r="Q194" s="161">
        <f t="shared" si="356"/>
        <v>45.75835476</v>
      </c>
      <c r="R194" s="161">
        <f t="shared" si="356"/>
        <v>41.54786151</v>
      </c>
      <c r="S194" s="161">
        <f t="shared" si="356"/>
        <v>16.63366337</v>
      </c>
      <c r="T194" s="189">
        <f t="shared" si="8"/>
        <v>61.02857143</v>
      </c>
      <c r="U194" s="210">
        <f t="shared" si="9"/>
        <v>59.43396226</v>
      </c>
      <c r="V194" s="161">
        <f t="shared" ref="V194:AD194" si="357">M194*V$2</f>
        <v>7.766599598</v>
      </c>
      <c r="W194" s="161">
        <f t="shared" si="357"/>
        <v>16.43097643</v>
      </c>
      <c r="X194" s="161">
        <f t="shared" si="357"/>
        <v>2.25</v>
      </c>
      <c r="Y194" s="161">
        <f t="shared" si="357"/>
        <v>2.194388778</v>
      </c>
      <c r="Z194" s="161">
        <f t="shared" si="357"/>
        <v>2.287917738</v>
      </c>
      <c r="AA194" s="161">
        <f t="shared" si="357"/>
        <v>4.154786151</v>
      </c>
      <c r="AB194" s="161">
        <f t="shared" si="357"/>
        <v>2.495049505</v>
      </c>
      <c r="AC194" s="161">
        <f t="shared" si="357"/>
        <v>9.154285714</v>
      </c>
      <c r="AD194" s="161">
        <f t="shared" si="357"/>
        <v>2.971698113</v>
      </c>
      <c r="AE194" s="161">
        <f t="shared" si="11"/>
        <v>5.522855781</v>
      </c>
    </row>
    <row r="195">
      <c r="A195" s="207">
        <v>77090.0</v>
      </c>
      <c r="B195" s="208">
        <v>41843.0</v>
      </c>
      <c r="C195" s="208">
        <v>20.1</v>
      </c>
      <c r="D195" s="208">
        <v>48196.0</v>
      </c>
      <c r="E195" s="208">
        <v>0.66</v>
      </c>
      <c r="F195" s="208">
        <v>6.6</v>
      </c>
      <c r="G195" s="208">
        <v>20.1</v>
      </c>
      <c r="H195" s="208">
        <v>21.0</v>
      </c>
      <c r="I195" s="208">
        <v>11.5</v>
      </c>
      <c r="J195" s="208">
        <v>12.5</v>
      </c>
      <c r="K195" s="208">
        <v>28.0</v>
      </c>
      <c r="L195" s="209">
        <v>10.4</v>
      </c>
      <c r="M195" s="161">
        <f t="shared" si="5"/>
        <v>35.21126761</v>
      </c>
      <c r="N195" s="189">
        <f t="shared" si="6"/>
        <v>86.53198653</v>
      </c>
      <c r="O195" s="161">
        <f t="shared" ref="O195:S195" si="358">((F195-O$1)/(O$2-O$1))*100</f>
        <v>33</v>
      </c>
      <c r="P195" s="161">
        <f t="shared" si="358"/>
        <v>38.87775551</v>
      </c>
      <c r="Q195" s="161">
        <f t="shared" si="358"/>
        <v>53.21336761</v>
      </c>
      <c r="R195" s="161">
        <f t="shared" si="358"/>
        <v>23.42158859</v>
      </c>
      <c r="S195" s="161">
        <f t="shared" si="358"/>
        <v>20.1980198</v>
      </c>
      <c r="T195" s="189">
        <f t="shared" si="8"/>
        <v>75.42857143</v>
      </c>
      <c r="U195" s="210">
        <f t="shared" si="9"/>
        <v>49.05660377</v>
      </c>
      <c r="V195" s="161">
        <f t="shared" ref="V195:AD195" si="359">M195*V$2</f>
        <v>7.042253521</v>
      </c>
      <c r="W195" s="161">
        <f t="shared" si="359"/>
        <v>17.30639731</v>
      </c>
      <c r="X195" s="161">
        <f t="shared" si="359"/>
        <v>1.65</v>
      </c>
      <c r="Y195" s="161">
        <f t="shared" si="359"/>
        <v>1.943887776</v>
      </c>
      <c r="Z195" s="161">
        <f t="shared" si="359"/>
        <v>2.66066838</v>
      </c>
      <c r="AA195" s="161">
        <f t="shared" si="359"/>
        <v>2.342158859</v>
      </c>
      <c r="AB195" s="161">
        <f t="shared" si="359"/>
        <v>3.02970297</v>
      </c>
      <c r="AC195" s="161">
        <f t="shared" si="359"/>
        <v>11.31428571</v>
      </c>
      <c r="AD195" s="161">
        <f t="shared" si="359"/>
        <v>2.452830189</v>
      </c>
      <c r="AE195" s="161">
        <f t="shared" si="11"/>
        <v>5.526909413</v>
      </c>
    </row>
    <row r="196">
      <c r="A196" s="207">
        <v>77080.0</v>
      </c>
      <c r="B196" s="208">
        <v>49064.0</v>
      </c>
      <c r="C196" s="208">
        <v>24.4</v>
      </c>
      <c r="D196" s="208">
        <v>63056.0</v>
      </c>
      <c r="E196" s="208">
        <v>0.86</v>
      </c>
      <c r="F196" s="208">
        <v>6.5</v>
      </c>
      <c r="G196" s="208">
        <v>35.0</v>
      </c>
      <c r="H196" s="208">
        <v>13.5</v>
      </c>
      <c r="I196" s="208">
        <v>31.7</v>
      </c>
      <c r="J196" s="208">
        <v>9.9</v>
      </c>
      <c r="K196" s="208">
        <v>46.5</v>
      </c>
      <c r="L196" s="209">
        <v>6.0</v>
      </c>
      <c r="M196" s="161">
        <f t="shared" si="5"/>
        <v>43.86317907</v>
      </c>
      <c r="N196" s="189">
        <f t="shared" si="6"/>
        <v>79.7979798</v>
      </c>
      <c r="O196" s="161">
        <f t="shared" ref="O196:S196" si="360">((F196-O$1)/(O$2-O$1))*100</f>
        <v>32.5</v>
      </c>
      <c r="P196" s="161">
        <f t="shared" si="360"/>
        <v>68.73747495</v>
      </c>
      <c r="Q196" s="161">
        <f t="shared" si="360"/>
        <v>33.93316195</v>
      </c>
      <c r="R196" s="161">
        <f t="shared" si="360"/>
        <v>64.56211813</v>
      </c>
      <c r="S196" s="161">
        <f t="shared" si="360"/>
        <v>15.04950495</v>
      </c>
      <c r="T196" s="189">
        <f t="shared" si="8"/>
        <v>54.28571429</v>
      </c>
      <c r="U196" s="210">
        <f t="shared" si="9"/>
        <v>28.30188679</v>
      </c>
      <c r="V196" s="161">
        <f t="shared" ref="V196:AD196" si="361">M196*V$2</f>
        <v>8.772635815</v>
      </c>
      <c r="W196" s="161">
        <f t="shared" si="361"/>
        <v>15.95959596</v>
      </c>
      <c r="X196" s="161">
        <f t="shared" si="361"/>
        <v>1.625</v>
      </c>
      <c r="Y196" s="161">
        <f t="shared" si="361"/>
        <v>3.436873747</v>
      </c>
      <c r="Z196" s="161">
        <f t="shared" si="361"/>
        <v>1.696658098</v>
      </c>
      <c r="AA196" s="161">
        <f t="shared" si="361"/>
        <v>6.456211813</v>
      </c>
      <c r="AB196" s="161">
        <f t="shared" si="361"/>
        <v>2.257425743</v>
      </c>
      <c r="AC196" s="161">
        <f t="shared" si="361"/>
        <v>8.142857143</v>
      </c>
      <c r="AD196" s="161">
        <f t="shared" si="361"/>
        <v>1.41509434</v>
      </c>
      <c r="AE196" s="161">
        <f t="shared" si="11"/>
        <v>5.529150295</v>
      </c>
    </row>
    <row r="197">
      <c r="A197" s="207">
        <v>77034.0</v>
      </c>
      <c r="B197" s="208">
        <v>37185.0</v>
      </c>
      <c r="C197" s="208">
        <v>21.8</v>
      </c>
      <c r="D197" s="208">
        <v>59516.0</v>
      </c>
      <c r="E197" s="208">
        <v>0.81</v>
      </c>
      <c r="F197" s="208">
        <v>6.9</v>
      </c>
      <c r="G197" s="208">
        <v>34.4</v>
      </c>
      <c r="H197" s="208">
        <v>19.1</v>
      </c>
      <c r="I197" s="208">
        <v>30.2</v>
      </c>
      <c r="J197" s="208">
        <v>12.6</v>
      </c>
      <c r="K197" s="208">
        <v>50.1</v>
      </c>
      <c r="L197" s="209">
        <v>7.0</v>
      </c>
      <c r="M197" s="161">
        <f t="shared" si="5"/>
        <v>38.63179074</v>
      </c>
      <c r="N197" s="189">
        <f t="shared" si="6"/>
        <v>81.48148148</v>
      </c>
      <c r="O197" s="161">
        <f t="shared" ref="O197:S197" si="362">((F197-O$1)/(O$2-O$1))*100</f>
        <v>34.5</v>
      </c>
      <c r="P197" s="161">
        <f t="shared" si="362"/>
        <v>67.53507014</v>
      </c>
      <c r="Q197" s="161">
        <f t="shared" si="362"/>
        <v>48.32904884</v>
      </c>
      <c r="R197" s="161">
        <f t="shared" si="362"/>
        <v>61.50712831</v>
      </c>
      <c r="S197" s="161">
        <f t="shared" si="362"/>
        <v>20.3960396</v>
      </c>
      <c r="T197" s="189">
        <f t="shared" si="8"/>
        <v>50.17142857</v>
      </c>
      <c r="U197" s="210">
        <f t="shared" si="9"/>
        <v>33.01886792</v>
      </c>
      <c r="V197" s="161">
        <f t="shared" ref="V197:AD197" si="363">M197*V$2</f>
        <v>7.726358149</v>
      </c>
      <c r="W197" s="161">
        <f t="shared" si="363"/>
        <v>16.2962963</v>
      </c>
      <c r="X197" s="161">
        <f t="shared" si="363"/>
        <v>1.725</v>
      </c>
      <c r="Y197" s="161">
        <f t="shared" si="363"/>
        <v>3.376753507</v>
      </c>
      <c r="Z197" s="161">
        <f t="shared" si="363"/>
        <v>2.416452442</v>
      </c>
      <c r="AA197" s="161">
        <f t="shared" si="363"/>
        <v>6.150712831</v>
      </c>
      <c r="AB197" s="161">
        <f t="shared" si="363"/>
        <v>3.059405941</v>
      </c>
      <c r="AC197" s="161">
        <f t="shared" si="363"/>
        <v>7.525714286</v>
      </c>
      <c r="AD197" s="161">
        <f t="shared" si="363"/>
        <v>1.650943396</v>
      </c>
      <c r="AE197" s="161">
        <f t="shared" si="11"/>
        <v>5.547515205</v>
      </c>
    </row>
    <row r="198">
      <c r="A198" s="207">
        <v>77023.0</v>
      </c>
      <c r="B198" s="208">
        <v>24962.0</v>
      </c>
      <c r="C198" s="208">
        <v>19.3</v>
      </c>
      <c r="D198" s="208">
        <v>50018.0</v>
      </c>
      <c r="E198" s="208">
        <v>0.68</v>
      </c>
      <c r="F198" s="208">
        <v>6.8</v>
      </c>
      <c r="G198" s="208">
        <v>23.5</v>
      </c>
      <c r="H198" s="208">
        <v>13.7</v>
      </c>
      <c r="I198" s="208">
        <v>25.1</v>
      </c>
      <c r="J198" s="208">
        <v>13.7</v>
      </c>
      <c r="K198" s="208">
        <v>44.4</v>
      </c>
      <c r="L198" s="209">
        <v>15.4</v>
      </c>
      <c r="M198" s="161">
        <f t="shared" si="5"/>
        <v>33.60160966</v>
      </c>
      <c r="N198" s="189">
        <f t="shared" si="6"/>
        <v>85.85858586</v>
      </c>
      <c r="O198" s="161">
        <f t="shared" ref="O198:S198" si="364">((F198-O$1)/(O$2-O$1))*100</f>
        <v>34</v>
      </c>
      <c r="P198" s="161">
        <f t="shared" si="364"/>
        <v>45.69138277</v>
      </c>
      <c r="Q198" s="161">
        <f t="shared" si="364"/>
        <v>34.44730077</v>
      </c>
      <c r="R198" s="161">
        <f t="shared" si="364"/>
        <v>51.12016293</v>
      </c>
      <c r="S198" s="161">
        <f t="shared" si="364"/>
        <v>22.57425743</v>
      </c>
      <c r="T198" s="189">
        <f t="shared" si="8"/>
        <v>56.68571429</v>
      </c>
      <c r="U198" s="210">
        <f t="shared" si="9"/>
        <v>72.64150943</v>
      </c>
      <c r="V198" s="161">
        <f t="shared" ref="V198:AD198" si="365">M198*V$2</f>
        <v>6.720321932</v>
      </c>
      <c r="W198" s="161">
        <f t="shared" si="365"/>
        <v>17.17171717</v>
      </c>
      <c r="X198" s="161">
        <f t="shared" si="365"/>
        <v>1.7</v>
      </c>
      <c r="Y198" s="161">
        <f t="shared" si="365"/>
        <v>2.284569138</v>
      </c>
      <c r="Z198" s="161">
        <f t="shared" si="365"/>
        <v>1.722365039</v>
      </c>
      <c r="AA198" s="161">
        <f t="shared" si="365"/>
        <v>5.112016293</v>
      </c>
      <c r="AB198" s="161">
        <f t="shared" si="365"/>
        <v>3.386138614</v>
      </c>
      <c r="AC198" s="161">
        <f t="shared" si="365"/>
        <v>8.502857143</v>
      </c>
      <c r="AD198" s="161">
        <f t="shared" si="365"/>
        <v>3.632075472</v>
      </c>
      <c r="AE198" s="161">
        <f t="shared" si="11"/>
        <v>5.581340089</v>
      </c>
    </row>
    <row r="199">
      <c r="A199" s="207">
        <v>77037.0</v>
      </c>
      <c r="B199" s="208">
        <v>17806.0</v>
      </c>
      <c r="C199" s="208">
        <v>32.9</v>
      </c>
      <c r="D199" s="208">
        <v>46176.0</v>
      </c>
      <c r="E199" s="208">
        <v>0.63</v>
      </c>
      <c r="F199" s="208">
        <v>2.9</v>
      </c>
      <c r="G199" s="208">
        <v>33.5</v>
      </c>
      <c r="H199" s="208">
        <v>17.0</v>
      </c>
      <c r="I199" s="208">
        <v>48.7</v>
      </c>
      <c r="J199" s="208">
        <v>4.2</v>
      </c>
      <c r="K199" s="208">
        <v>71.1</v>
      </c>
      <c r="L199" s="209">
        <v>3.9</v>
      </c>
      <c r="M199" s="161">
        <f t="shared" si="5"/>
        <v>60.96579477</v>
      </c>
      <c r="N199" s="189">
        <f t="shared" si="6"/>
        <v>87.54208754</v>
      </c>
      <c r="O199" s="161">
        <f t="shared" ref="O199:S199" si="366">((F199-O$1)/(O$2-O$1))*100</f>
        <v>14.5</v>
      </c>
      <c r="P199" s="161">
        <f t="shared" si="366"/>
        <v>65.73146293</v>
      </c>
      <c r="Q199" s="161">
        <f t="shared" si="366"/>
        <v>42.93059126</v>
      </c>
      <c r="R199" s="161">
        <f t="shared" si="366"/>
        <v>99.18533605</v>
      </c>
      <c r="S199" s="161">
        <f t="shared" si="366"/>
        <v>3.762376238</v>
      </c>
      <c r="T199" s="189">
        <f t="shared" si="8"/>
        <v>26.17142857</v>
      </c>
      <c r="U199" s="210">
        <f t="shared" si="9"/>
        <v>18.39622642</v>
      </c>
      <c r="V199" s="161">
        <f t="shared" ref="V199:AD199" si="367">M199*V$2</f>
        <v>12.19315895</v>
      </c>
      <c r="W199" s="161">
        <f t="shared" si="367"/>
        <v>17.50841751</v>
      </c>
      <c r="X199" s="161">
        <f t="shared" si="367"/>
        <v>0.725</v>
      </c>
      <c r="Y199" s="161">
        <f t="shared" si="367"/>
        <v>3.286573146</v>
      </c>
      <c r="Z199" s="161">
        <f t="shared" si="367"/>
        <v>2.146529563</v>
      </c>
      <c r="AA199" s="161">
        <f t="shared" si="367"/>
        <v>9.918533605</v>
      </c>
      <c r="AB199" s="161">
        <f t="shared" si="367"/>
        <v>0.5643564356</v>
      </c>
      <c r="AC199" s="161">
        <f t="shared" si="367"/>
        <v>3.925714286</v>
      </c>
      <c r="AD199" s="161">
        <f t="shared" si="367"/>
        <v>0.9198113208</v>
      </c>
      <c r="AE199" s="161">
        <f t="shared" si="11"/>
        <v>5.687566091</v>
      </c>
    </row>
    <row r="200">
      <c r="A200" s="207">
        <v>77087.0</v>
      </c>
      <c r="B200" s="208">
        <v>35192.0</v>
      </c>
      <c r="C200" s="208">
        <v>22.4</v>
      </c>
      <c r="D200" s="208">
        <v>53624.0</v>
      </c>
      <c r="E200" s="208">
        <v>0.73</v>
      </c>
      <c r="F200" s="208">
        <v>8.7</v>
      </c>
      <c r="G200" s="208">
        <v>32.6</v>
      </c>
      <c r="H200" s="208">
        <v>24.0</v>
      </c>
      <c r="I200" s="208">
        <v>37.1</v>
      </c>
      <c r="J200" s="208">
        <v>10.2</v>
      </c>
      <c r="K200" s="208">
        <v>55.4</v>
      </c>
      <c r="L200" s="209">
        <v>7.2</v>
      </c>
      <c r="M200" s="161">
        <f t="shared" si="5"/>
        <v>39.83903421</v>
      </c>
      <c r="N200" s="189">
        <f t="shared" si="6"/>
        <v>84.17508418</v>
      </c>
      <c r="O200" s="161">
        <f t="shared" ref="O200:S200" si="368">((F200-O$1)/(O$2-O$1))*100</f>
        <v>43.5</v>
      </c>
      <c r="P200" s="161">
        <f t="shared" si="368"/>
        <v>63.92785571</v>
      </c>
      <c r="Q200" s="161">
        <f t="shared" si="368"/>
        <v>60.92544987</v>
      </c>
      <c r="R200" s="161">
        <f t="shared" si="368"/>
        <v>75.56008147</v>
      </c>
      <c r="S200" s="161">
        <f t="shared" si="368"/>
        <v>15.64356436</v>
      </c>
      <c r="T200" s="189">
        <f t="shared" si="8"/>
        <v>44.11428571</v>
      </c>
      <c r="U200" s="210">
        <f t="shared" si="9"/>
        <v>33.96226415</v>
      </c>
      <c r="V200" s="161">
        <f t="shared" ref="V200:AD200" si="369">M200*V$2</f>
        <v>7.967806841</v>
      </c>
      <c r="W200" s="161">
        <f t="shared" si="369"/>
        <v>16.83501684</v>
      </c>
      <c r="X200" s="161">
        <f t="shared" si="369"/>
        <v>2.175</v>
      </c>
      <c r="Y200" s="161">
        <f t="shared" si="369"/>
        <v>3.196392786</v>
      </c>
      <c r="Z200" s="161">
        <f t="shared" si="369"/>
        <v>3.046272494</v>
      </c>
      <c r="AA200" s="161">
        <f t="shared" si="369"/>
        <v>7.556008147</v>
      </c>
      <c r="AB200" s="161">
        <f t="shared" si="369"/>
        <v>2.346534653</v>
      </c>
      <c r="AC200" s="161">
        <f t="shared" si="369"/>
        <v>6.617142857</v>
      </c>
      <c r="AD200" s="161">
        <f t="shared" si="369"/>
        <v>1.698113208</v>
      </c>
      <c r="AE200" s="161">
        <f t="shared" si="11"/>
        <v>5.715365313</v>
      </c>
    </row>
    <row r="201">
      <c r="A201" s="207">
        <v>77587.0</v>
      </c>
      <c r="B201" s="208">
        <v>16058.0</v>
      </c>
      <c r="C201" s="208">
        <v>23.5</v>
      </c>
      <c r="D201" s="208">
        <v>52407.0</v>
      </c>
      <c r="E201" s="208">
        <v>0.72</v>
      </c>
      <c r="F201" s="208">
        <v>9.3</v>
      </c>
      <c r="G201" s="208">
        <v>30.9</v>
      </c>
      <c r="H201" s="208">
        <v>22.4</v>
      </c>
      <c r="I201" s="208">
        <v>40.3</v>
      </c>
      <c r="J201" s="208">
        <v>9.2</v>
      </c>
      <c r="K201" s="208">
        <v>54.3</v>
      </c>
      <c r="L201" s="209">
        <v>4.2</v>
      </c>
      <c r="M201" s="161">
        <f t="shared" si="5"/>
        <v>42.05231388</v>
      </c>
      <c r="N201" s="189">
        <f t="shared" si="6"/>
        <v>84.51178451</v>
      </c>
      <c r="O201" s="161">
        <f t="shared" ref="O201:S201" si="370">((F201-O$1)/(O$2-O$1))*100</f>
        <v>46.5</v>
      </c>
      <c r="P201" s="161">
        <f t="shared" si="370"/>
        <v>60.52104208</v>
      </c>
      <c r="Q201" s="161">
        <f t="shared" si="370"/>
        <v>56.81233933</v>
      </c>
      <c r="R201" s="161">
        <f t="shared" si="370"/>
        <v>82.07739308</v>
      </c>
      <c r="S201" s="161">
        <f t="shared" si="370"/>
        <v>13.66336634</v>
      </c>
      <c r="T201" s="189">
        <f t="shared" si="8"/>
        <v>45.37142857</v>
      </c>
      <c r="U201" s="210">
        <f t="shared" si="9"/>
        <v>19.81132075</v>
      </c>
      <c r="V201" s="161">
        <f t="shared" ref="V201:AD201" si="371">M201*V$2</f>
        <v>8.410462777</v>
      </c>
      <c r="W201" s="161">
        <f t="shared" si="371"/>
        <v>16.9023569</v>
      </c>
      <c r="X201" s="161">
        <f t="shared" si="371"/>
        <v>2.325</v>
      </c>
      <c r="Y201" s="161">
        <f t="shared" si="371"/>
        <v>3.026052104</v>
      </c>
      <c r="Z201" s="161">
        <f t="shared" si="371"/>
        <v>2.840616967</v>
      </c>
      <c r="AA201" s="161">
        <f t="shared" si="371"/>
        <v>8.207739308</v>
      </c>
      <c r="AB201" s="161">
        <f t="shared" si="371"/>
        <v>2.04950495</v>
      </c>
      <c r="AC201" s="161">
        <f t="shared" si="371"/>
        <v>6.805714286</v>
      </c>
      <c r="AD201" s="161">
        <f t="shared" si="371"/>
        <v>0.9905660377</v>
      </c>
      <c r="AE201" s="161">
        <f t="shared" si="11"/>
        <v>5.728668148</v>
      </c>
    </row>
    <row r="202">
      <c r="A202" s="207">
        <v>77029.0</v>
      </c>
      <c r="B202" s="208">
        <v>15931.0</v>
      </c>
      <c r="C202" s="208">
        <v>24.5</v>
      </c>
      <c r="D202" s="208">
        <v>49601.0</v>
      </c>
      <c r="E202" s="208">
        <v>0.68</v>
      </c>
      <c r="F202" s="208">
        <v>9.6</v>
      </c>
      <c r="G202" s="208">
        <v>27.3</v>
      </c>
      <c r="H202" s="208">
        <v>24.9</v>
      </c>
      <c r="I202" s="208">
        <v>38.3</v>
      </c>
      <c r="J202" s="208">
        <v>14.3</v>
      </c>
      <c r="K202" s="208">
        <v>68.8</v>
      </c>
      <c r="L202" s="209">
        <v>7.7</v>
      </c>
      <c r="M202" s="161">
        <f t="shared" si="5"/>
        <v>44.06438632</v>
      </c>
      <c r="N202" s="189">
        <f t="shared" si="6"/>
        <v>85.85858586</v>
      </c>
      <c r="O202" s="161">
        <f t="shared" ref="O202:S202" si="372">((F202-O$1)/(O$2-O$1))*100</f>
        <v>48</v>
      </c>
      <c r="P202" s="161">
        <f t="shared" si="372"/>
        <v>53.30661323</v>
      </c>
      <c r="Q202" s="161">
        <f t="shared" si="372"/>
        <v>63.23907455</v>
      </c>
      <c r="R202" s="161">
        <f t="shared" si="372"/>
        <v>78.00407332</v>
      </c>
      <c r="S202" s="161">
        <f t="shared" si="372"/>
        <v>23.76237624</v>
      </c>
      <c r="T202" s="189">
        <f t="shared" si="8"/>
        <v>28.8</v>
      </c>
      <c r="U202" s="210">
        <f t="shared" si="9"/>
        <v>36.32075472</v>
      </c>
      <c r="V202" s="161">
        <f t="shared" ref="V202:AD202" si="373">M202*V$2</f>
        <v>8.812877264</v>
      </c>
      <c r="W202" s="161">
        <f t="shared" si="373"/>
        <v>17.17171717</v>
      </c>
      <c r="X202" s="161">
        <f t="shared" si="373"/>
        <v>2.4</v>
      </c>
      <c r="Y202" s="161">
        <f t="shared" si="373"/>
        <v>2.665330661</v>
      </c>
      <c r="Z202" s="161">
        <f t="shared" si="373"/>
        <v>3.161953728</v>
      </c>
      <c r="AA202" s="161">
        <f t="shared" si="373"/>
        <v>7.800407332</v>
      </c>
      <c r="AB202" s="161">
        <f t="shared" si="373"/>
        <v>3.564356436</v>
      </c>
      <c r="AC202" s="161">
        <f t="shared" si="373"/>
        <v>4.32</v>
      </c>
      <c r="AD202" s="161">
        <f t="shared" si="373"/>
        <v>1.816037736</v>
      </c>
      <c r="AE202" s="161">
        <f t="shared" si="11"/>
        <v>5.74585337</v>
      </c>
    </row>
    <row r="203">
      <c r="A203" s="207">
        <v>77067.0</v>
      </c>
      <c r="B203" s="208">
        <v>31800.0</v>
      </c>
      <c r="C203" s="208">
        <v>25.6</v>
      </c>
      <c r="D203" s="208">
        <v>51278.0</v>
      </c>
      <c r="E203" s="208">
        <v>0.7</v>
      </c>
      <c r="F203" s="208">
        <v>4.6</v>
      </c>
      <c r="G203" s="208">
        <v>27.3</v>
      </c>
      <c r="H203" s="208">
        <v>27.7</v>
      </c>
      <c r="I203" s="208">
        <v>28.4</v>
      </c>
      <c r="J203" s="208">
        <v>9.4</v>
      </c>
      <c r="K203" s="208">
        <v>44.2</v>
      </c>
      <c r="L203" s="209">
        <v>7.8</v>
      </c>
      <c r="M203" s="161">
        <f t="shared" si="5"/>
        <v>46.277666</v>
      </c>
      <c r="N203" s="189">
        <f t="shared" si="6"/>
        <v>85.18518519</v>
      </c>
      <c r="O203" s="161">
        <f t="shared" ref="O203:S203" si="374">((F203-O$1)/(O$2-O$1))*100</f>
        <v>23</v>
      </c>
      <c r="P203" s="161">
        <f t="shared" si="374"/>
        <v>53.30661323</v>
      </c>
      <c r="Q203" s="161">
        <f t="shared" si="374"/>
        <v>70.43701799</v>
      </c>
      <c r="R203" s="161">
        <f t="shared" si="374"/>
        <v>57.84114053</v>
      </c>
      <c r="S203" s="161">
        <f t="shared" si="374"/>
        <v>14.05940594</v>
      </c>
      <c r="T203" s="189">
        <f t="shared" si="8"/>
        <v>56.91428571</v>
      </c>
      <c r="U203" s="210">
        <f t="shared" si="9"/>
        <v>36.79245283</v>
      </c>
      <c r="V203" s="161">
        <f t="shared" ref="V203:AD203" si="375">M203*V$2</f>
        <v>9.255533199</v>
      </c>
      <c r="W203" s="161">
        <f t="shared" si="375"/>
        <v>17.03703704</v>
      </c>
      <c r="X203" s="161">
        <f t="shared" si="375"/>
        <v>1.15</v>
      </c>
      <c r="Y203" s="161">
        <f t="shared" si="375"/>
        <v>2.665330661</v>
      </c>
      <c r="Z203" s="161">
        <f t="shared" si="375"/>
        <v>3.5218509</v>
      </c>
      <c r="AA203" s="161">
        <f t="shared" si="375"/>
        <v>5.784114053</v>
      </c>
      <c r="AB203" s="161">
        <f t="shared" si="375"/>
        <v>2.108910891</v>
      </c>
      <c r="AC203" s="161">
        <f t="shared" si="375"/>
        <v>8.537142857</v>
      </c>
      <c r="AD203" s="161">
        <f t="shared" si="375"/>
        <v>1.839622642</v>
      </c>
      <c r="AE203" s="161">
        <f t="shared" si="11"/>
        <v>5.766615804</v>
      </c>
    </row>
    <row r="204">
      <c r="A204" s="207">
        <v>77039.0</v>
      </c>
      <c r="B204" s="208">
        <v>28335.0</v>
      </c>
      <c r="C204" s="208">
        <v>25.0</v>
      </c>
      <c r="D204" s="208">
        <v>44567.0</v>
      </c>
      <c r="E204" s="208">
        <v>0.61</v>
      </c>
      <c r="F204" s="208">
        <v>3.7</v>
      </c>
      <c r="G204" s="208">
        <v>36.6</v>
      </c>
      <c r="H204" s="208">
        <v>20.3</v>
      </c>
      <c r="I204" s="208">
        <v>42.2</v>
      </c>
      <c r="J204" s="208">
        <v>7.4</v>
      </c>
      <c r="K204" s="208">
        <v>59.9</v>
      </c>
      <c r="L204" s="209">
        <v>10.1</v>
      </c>
      <c r="M204" s="161">
        <f t="shared" si="5"/>
        <v>45.07042254</v>
      </c>
      <c r="N204" s="189">
        <f t="shared" si="6"/>
        <v>88.21548822</v>
      </c>
      <c r="O204" s="161">
        <f t="shared" ref="O204:S204" si="376">((F204-O$1)/(O$2-O$1))*100</f>
        <v>18.5</v>
      </c>
      <c r="P204" s="161">
        <f t="shared" si="376"/>
        <v>71.94388778</v>
      </c>
      <c r="Q204" s="161">
        <f t="shared" si="376"/>
        <v>51.41388175</v>
      </c>
      <c r="R204" s="161">
        <f t="shared" si="376"/>
        <v>85.94704684</v>
      </c>
      <c r="S204" s="161">
        <f t="shared" si="376"/>
        <v>10.0990099</v>
      </c>
      <c r="T204" s="189">
        <f t="shared" si="8"/>
        <v>38.97142857</v>
      </c>
      <c r="U204" s="210">
        <f t="shared" si="9"/>
        <v>47.64150943</v>
      </c>
      <c r="V204" s="161">
        <f t="shared" ref="V204:AD204" si="377">M204*V$2</f>
        <v>9.014084507</v>
      </c>
      <c r="W204" s="161">
        <f t="shared" si="377"/>
        <v>17.64309764</v>
      </c>
      <c r="X204" s="161">
        <f t="shared" si="377"/>
        <v>0.925</v>
      </c>
      <c r="Y204" s="161">
        <f t="shared" si="377"/>
        <v>3.597194389</v>
      </c>
      <c r="Z204" s="161">
        <f t="shared" si="377"/>
        <v>2.570694087</v>
      </c>
      <c r="AA204" s="161">
        <f t="shared" si="377"/>
        <v>8.594704684</v>
      </c>
      <c r="AB204" s="161">
        <f t="shared" si="377"/>
        <v>1.514851485</v>
      </c>
      <c r="AC204" s="161">
        <f t="shared" si="377"/>
        <v>5.845714286</v>
      </c>
      <c r="AD204" s="161">
        <f t="shared" si="377"/>
        <v>2.382075472</v>
      </c>
      <c r="AE204" s="161">
        <f t="shared" si="11"/>
        <v>5.787490728</v>
      </c>
    </row>
    <row r="205">
      <c r="A205" s="207">
        <v>77072.0</v>
      </c>
      <c r="B205" s="208">
        <v>58681.0</v>
      </c>
      <c r="C205" s="208">
        <v>24.4</v>
      </c>
      <c r="D205" s="208">
        <v>49893.0</v>
      </c>
      <c r="E205" s="208">
        <v>0.68</v>
      </c>
      <c r="F205" s="208">
        <v>6.1</v>
      </c>
      <c r="G205" s="208">
        <v>29.6</v>
      </c>
      <c r="H205" s="208">
        <v>24.5</v>
      </c>
      <c r="I205" s="208">
        <v>29.9</v>
      </c>
      <c r="J205" s="208">
        <v>8.3</v>
      </c>
      <c r="K205" s="208">
        <v>45.1</v>
      </c>
      <c r="L205" s="209">
        <v>11.4</v>
      </c>
      <c r="M205" s="161">
        <f t="shared" si="5"/>
        <v>43.86317907</v>
      </c>
      <c r="N205" s="189">
        <f t="shared" si="6"/>
        <v>85.85858586</v>
      </c>
      <c r="O205" s="161">
        <f t="shared" ref="O205:S205" si="378">((F205-O$1)/(O$2-O$1))*100</f>
        <v>30.5</v>
      </c>
      <c r="P205" s="161">
        <f t="shared" si="378"/>
        <v>57.91583166</v>
      </c>
      <c r="Q205" s="161">
        <f t="shared" si="378"/>
        <v>62.21079692</v>
      </c>
      <c r="R205" s="161">
        <f t="shared" si="378"/>
        <v>60.89613035</v>
      </c>
      <c r="S205" s="161">
        <f t="shared" si="378"/>
        <v>11.88118812</v>
      </c>
      <c r="T205" s="189">
        <f t="shared" si="8"/>
        <v>55.88571429</v>
      </c>
      <c r="U205" s="210">
        <f t="shared" si="9"/>
        <v>53.77358491</v>
      </c>
      <c r="V205" s="161">
        <f t="shared" ref="V205:AD205" si="379">M205*V$2</f>
        <v>8.772635815</v>
      </c>
      <c r="W205" s="161">
        <f t="shared" si="379"/>
        <v>17.17171717</v>
      </c>
      <c r="X205" s="161">
        <f t="shared" si="379"/>
        <v>1.525</v>
      </c>
      <c r="Y205" s="161">
        <f t="shared" si="379"/>
        <v>2.895791583</v>
      </c>
      <c r="Z205" s="161">
        <f t="shared" si="379"/>
        <v>3.110539846</v>
      </c>
      <c r="AA205" s="161">
        <f t="shared" si="379"/>
        <v>6.089613035</v>
      </c>
      <c r="AB205" s="161">
        <f t="shared" si="379"/>
        <v>1.782178218</v>
      </c>
      <c r="AC205" s="161">
        <f t="shared" si="379"/>
        <v>8.382857143</v>
      </c>
      <c r="AD205" s="161">
        <f t="shared" si="379"/>
        <v>2.688679245</v>
      </c>
      <c r="AE205" s="161">
        <f t="shared" si="11"/>
        <v>5.824334673</v>
      </c>
    </row>
    <row r="206">
      <c r="A206" s="207">
        <v>77017.0</v>
      </c>
      <c r="B206" s="208">
        <v>30797.0</v>
      </c>
      <c r="C206" s="208">
        <v>22.3</v>
      </c>
      <c r="D206" s="208">
        <v>53750.0</v>
      </c>
      <c r="E206" s="208">
        <v>0.74</v>
      </c>
      <c r="F206" s="208">
        <v>7.7</v>
      </c>
      <c r="G206" s="208">
        <v>38.7</v>
      </c>
      <c r="H206" s="208">
        <v>24.0</v>
      </c>
      <c r="I206" s="208">
        <v>40.9</v>
      </c>
      <c r="J206" s="208">
        <v>8.4</v>
      </c>
      <c r="K206" s="208">
        <v>50.8</v>
      </c>
      <c r="L206" s="209">
        <v>9.1</v>
      </c>
      <c r="M206" s="161">
        <f t="shared" si="5"/>
        <v>39.63782696</v>
      </c>
      <c r="N206" s="189">
        <f t="shared" si="6"/>
        <v>83.83838384</v>
      </c>
      <c r="O206" s="161">
        <f t="shared" ref="O206:S206" si="380">((F206-O$1)/(O$2-O$1))*100</f>
        <v>38.5</v>
      </c>
      <c r="P206" s="161">
        <f t="shared" si="380"/>
        <v>76.15230461</v>
      </c>
      <c r="Q206" s="161">
        <f t="shared" si="380"/>
        <v>60.92544987</v>
      </c>
      <c r="R206" s="161">
        <f t="shared" si="380"/>
        <v>83.299389</v>
      </c>
      <c r="S206" s="161">
        <f t="shared" si="380"/>
        <v>12.07920792</v>
      </c>
      <c r="T206" s="189">
        <f t="shared" si="8"/>
        <v>49.37142857</v>
      </c>
      <c r="U206" s="210">
        <f t="shared" si="9"/>
        <v>42.9245283</v>
      </c>
      <c r="V206" s="161">
        <f t="shared" ref="V206:AD206" si="381">M206*V$2</f>
        <v>7.927565392</v>
      </c>
      <c r="W206" s="161">
        <f t="shared" si="381"/>
        <v>16.76767677</v>
      </c>
      <c r="X206" s="161">
        <f t="shared" si="381"/>
        <v>1.925</v>
      </c>
      <c r="Y206" s="161">
        <f t="shared" si="381"/>
        <v>3.80761523</v>
      </c>
      <c r="Z206" s="161">
        <f t="shared" si="381"/>
        <v>3.046272494</v>
      </c>
      <c r="AA206" s="161">
        <f t="shared" si="381"/>
        <v>8.3299389</v>
      </c>
      <c r="AB206" s="161">
        <f t="shared" si="381"/>
        <v>1.811881188</v>
      </c>
      <c r="AC206" s="161">
        <f t="shared" si="381"/>
        <v>7.405714286</v>
      </c>
      <c r="AD206" s="161">
        <f t="shared" si="381"/>
        <v>2.146226415</v>
      </c>
      <c r="AE206" s="161">
        <f t="shared" si="11"/>
        <v>5.907543408</v>
      </c>
    </row>
    <row r="207">
      <c r="A207" s="207">
        <v>77061.0</v>
      </c>
      <c r="B207" s="208">
        <v>24238.0</v>
      </c>
      <c r="C207" s="208">
        <v>21.4</v>
      </c>
      <c r="D207" s="208">
        <v>44520.0</v>
      </c>
      <c r="E207" s="208">
        <v>0.61</v>
      </c>
      <c r="F207" s="208">
        <v>5.7</v>
      </c>
      <c r="G207" s="208">
        <v>32.9</v>
      </c>
      <c r="H207" s="208">
        <v>20.3</v>
      </c>
      <c r="I207" s="208">
        <v>31.1</v>
      </c>
      <c r="J207" s="208">
        <v>11.6</v>
      </c>
      <c r="K207" s="208">
        <v>39.4</v>
      </c>
      <c r="L207" s="209">
        <v>11.9</v>
      </c>
      <c r="M207" s="161">
        <f t="shared" si="5"/>
        <v>37.82696177</v>
      </c>
      <c r="N207" s="189">
        <f t="shared" si="6"/>
        <v>88.21548822</v>
      </c>
      <c r="O207" s="161">
        <f t="shared" ref="O207:S207" si="382">((F207-O$1)/(O$2-O$1))*100</f>
        <v>28.5</v>
      </c>
      <c r="P207" s="161">
        <f t="shared" si="382"/>
        <v>64.52905812</v>
      </c>
      <c r="Q207" s="161">
        <f t="shared" si="382"/>
        <v>51.41388175</v>
      </c>
      <c r="R207" s="161">
        <f t="shared" si="382"/>
        <v>63.3401222</v>
      </c>
      <c r="S207" s="161">
        <f t="shared" si="382"/>
        <v>18.41584158</v>
      </c>
      <c r="T207" s="189">
        <f t="shared" si="8"/>
        <v>62.4</v>
      </c>
      <c r="U207" s="210">
        <f t="shared" si="9"/>
        <v>56.13207547</v>
      </c>
      <c r="V207" s="161">
        <f t="shared" ref="V207:AD207" si="383">M207*V$2</f>
        <v>7.565392354</v>
      </c>
      <c r="W207" s="161">
        <f t="shared" si="383"/>
        <v>17.64309764</v>
      </c>
      <c r="X207" s="161">
        <f t="shared" si="383"/>
        <v>1.425</v>
      </c>
      <c r="Y207" s="161">
        <f t="shared" si="383"/>
        <v>3.226452906</v>
      </c>
      <c r="Z207" s="161">
        <f t="shared" si="383"/>
        <v>2.570694087</v>
      </c>
      <c r="AA207" s="161">
        <f t="shared" si="383"/>
        <v>6.33401222</v>
      </c>
      <c r="AB207" s="161">
        <f t="shared" si="383"/>
        <v>2.762376238</v>
      </c>
      <c r="AC207" s="161">
        <f t="shared" si="383"/>
        <v>9.36</v>
      </c>
      <c r="AD207" s="161">
        <f t="shared" si="383"/>
        <v>2.806603774</v>
      </c>
      <c r="AE207" s="161">
        <f t="shared" si="11"/>
        <v>5.965958802</v>
      </c>
    </row>
    <row r="208">
      <c r="A208" s="207">
        <v>77031.0</v>
      </c>
      <c r="B208" s="208">
        <v>15740.0</v>
      </c>
      <c r="C208" s="208">
        <v>23.6</v>
      </c>
      <c r="D208" s="208">
        <v>46892.0</v>
      </c>
      <c r="E208" s="208">
        <v>0.64</v>
      </c>
      <c r="F208" s="208">
        <v>7.6</v>
      </c>
      <c r="G208" s="208">
        <v>36.4</v>
      </c>
      <c r="H208" s="208">
        <v>20.8</v>
      </c>
      <c r="I208" s="208">
        <v>32.5</v>
      </c>
      <c r="J208" s="208">
        <v>12.1</v>
      </c>
      <c r="K208" s="208">
        <v>44.4</v>
      </c>
      <c r="L208" s="209">
        <v>9.1</v>
      </c>
      <c r="M208" s="161">
        <f t="shared" si="5"/>
        <v>42.25352113</v>
      </c>
      <c r="N208" s="189">
        <f t="shared" si="6"/>
        <v>87.20538721</v>
      </c>
      <c r="O208" s="161">
        <f t="shared" ref="O208:S208" si="384">((F208-O$1)/(O$2-O$1))*100</f>
        <v>38</v>
      </c>
      <c r="P208" s="161">
        <f t="shared" si="384"/>
        <v>71.54308617</v>
      </c>
      <c r="Q208" s="161">
        <f t="shared" si="384"/>
        <v>52.69922879</v>
      </c>
      <c r="R208" s="161">
        <f t="shared" si="384"/>
        <v>66.19144603</v>
      </c>
      <c r="S208" s="161">
        <f t="shared" si="384"/>
        <v>19.40594059</v>
      </c>
      <c r="T208" s="189">
        <f t="shared" si="8"/>
        <v>56.68571429</v>
      </c>
      <c r="U208" s="210">
        <f t="shared" si="9"/>
        <v>42.9245283</v>
      </c>
      <c r="V208" s="161">
        <f t="shared" ref="V208:AD208" si="385">M208*V$2</f>
        <v>8.450704225</v>
      </c>
      <c r="W208" s="161">
        <f t="shared" si="385"/>
        <v>17.44107744</v>
      </c>
      <c r="X208" s="161">
        <f t="shared" si="385"/>
        <v>1.9</v>
      </c>
      <c r="Y208" s="161">
        <f t="shared" si="385"/>
        <v>3.577154309</v>
      </c>
      <c r="Z208" s="161">
        <f t="shared" si="385"/>
        <v>2.63496144</v>
      </c>
      <c r="AA208" s="161">
        <f t="shared" si="385"/>
        <v>6.619144603</v>
      </c>
      <c r="AB208" s="161">
        <f t="shared" si="385"/>
        <v>2.910891089</v>
      </c>
      <c r="AC208" s="161">
        <f t="shared" si="385"/>
        <v>8.502857143</v>
      </c>
      <c r="AD208" s="161">
        <f t="shared" si="385"/>
        <v>2.146226415</v>
      </c>
      <c r="AE208" s="161">
        <f t="shared" si="11"/>
        <v>6.020335185</v>
      </c>
    </row>
    <row r="209">
      <c r="A209" s="207">
        <v>77011.0</v>
      </c>
      <c r="B209" s="208">
        <v>15681.0</v>
      </c>
      <c r="C209" s="208">
        <v>20.5</v>
      </c>
      <c r="D209" s="208">
        <v>49163.0</v>
      </c>
      <c r="E209" s="208">
        <v>0.67</v>
      </c>
      <c r="F209" s="208">
        <v>8.6</v>
      </c>
      <c r="G209" s="208">
        <v>31.9</v>
      </c>
      <c r="H209" s="208">
        <v>13.3</v>
      </c>
      <c r="I209" s="208">
        <v>40.6</v>
      </c>
      <c r="J209" s="208">
        <v>16.7</v>
      </c>
      <c r="K209" s="208">
        <v>51.2</v>
      </c>
      <c r="L209" s="209">
        <v>14.0</v>
      </c>
      <c r="M209" s="161">
        <f t="shared" si="5"/>
        <v>36.01609658</v>
      </c>
      <c r="N209" s="189">
        <f t="shared" si="6"/>
        <v>86.1952862</v>
      </c>
      <c r="O209" s="161">
        <f t="shared" ref="O209:S209" si="386">((F209-O$1)/(O$2-O$1))*100</f>
        <v>43</v>
      </c>
      <c r="P209" s="161">
        <f t="shared" si="386"/>
        <v>62.5250501</v>
      </c>
      <c r="Q209" s="161">
        <f t="shared" si="386"/>
        <v>33.41902314</v>
      </c>
      <c r="R209" s="161">
        <f t="shared" si="386"/>
        <v>82.68839104</v>
      </c>
      <c r="S209" s="161">
        <f t="shared" si="386"/>
        <v>28.51485149</v>
      </c>
      <c r="T209" s="189">
        <f t="shared" si="8"/>
        <v>48.91428571</v>
      </c>
      <c r="U209" s="210">
        <f t="shared" si="9"/>
        <v>66.03773585</v>
      </c>
      <c r="V209" s="161">
        <f t="shared" ref="V209:AD209" si="387">M209*V$2</f>
        <v>7.203219316</v>
      </c>
      <c r="W209" s="161">
        <f t="shared" si="387"/>
        <v>17.23905724</v>
      </c>
      <c r="X209" s="161">
        <f t="shared" si="387"/>
        <v>2.15</v>
      </c>
      <c r="Y209" s="161">
        <f t="shared" si="387"/>
        <v>3.126252505</v>
      </c>
      <c r="Z209" s="161">
        <f t="shared" si="387"/>
        <v>1.670951157</v>
      </c>
      <c r="AA209" s="161">
        <f t="shared" si="387"/>
        <v>8.268839104</v>
      </c>
      <c r="AB209" s="161">
        <f t="shared" si="387"/>
        <v>4.277227723</v>
      </c>
      <c r="AC209" s="161">
        <f t="shared" si="387"/>
        <v>7.337142857</v>
      </c>
      <c r="AD209" s="161">
        <f t="shared" si="387"/>
        <v>3.301886792</v>
      </c>
      <c r="AE209" s="161">
        <f t="shared" si="11"/>
        <v>6.063841855</v>
      </c>
    </row>
    <row r="210">
      <c r="A210" s="207">
        <v>77550.0</v>
      </c>
      <c r="B210" s="208">
        <v>23542.0</v>
      </c>
      <c r="C210" s="208">
        <v>24.2</v>
      </c>
      <c r="D210" s="208">
        <v>46262.0</v>
      </c>
      <c r="E210" s="208">
        <v>0.63</v>
      </c>
      <c r="F210" s="208">
        <v>8.4</v>
      </c>
      <c r="G210" s="208">
        <v>18.5</v>
      </c>
      <c r="H210" s="208">
        <v>15.4</v>
      </c>
      <c r="I210" s="208">
        <v>13.5</v>
      </c>
      <c r="J210" s="208">
        <v>26.6</v>
      </c>
      <c r="K210" s="208">
        <v>40.3</v>
      </c>
      <c r="L210" s="209">
        <v>15.3</v>
      </c>
      <c r="M210" s="161">
        <f t="shared" si="5"/>
        <v>43.46076459</v>
      </c>
      <c r="N210" s="189">
        <f t="shared" si="6"/>
        <v>87.54208754</v>
      </c>
      <c r="O210" s="161">
        <f t="shared" ref="O210:S210" si="388">((F210-O$1)/(O$2-O$1))*100</f>
        <v>42</v>
      </c>
      <c r="P210" s="161">
        <f t="shared" si="388"/>
        <v>35.67134269</v>
      </c>
      <c r="Q210" s="161">
        <f t="shared" si="388"/>
        <v>38.81748072</v>
      </c>
      <c r="R210" s="161">
        <f t="shared" si="388"/>
        <v>27.49490835</v>
      </c>
      <c r="S210" s="161">
        <f t="shared" si="388"/>
        <v>48.11881188</v>
      </c>
      <c r="T210" s="189">
        <f t="shared" si="8"/>
        <v>61.37142857</v>
      </c>
      <c r="U210" s="210">
        <f t="shared" si="9"/>
        <v>72.16981132</v>
      </c>
      <c r="V210" s="161">
        <f t="shared" ref="V210:AD210" si="389">M210*V$2</f>
        <v>8.692152918</v>
      </c>
      <c r="W210" s="161">
        <f t="shared" si="389"/>
        <v>17.50841751</v>
      </c>
      <c r="X210" s="161">
        <f t="shared" si="389"/>
        <v>2.1</v>
      </c>
      <c r="Y210" s="161">
        <f t="shared" si="389"/>
        <v>1.783567134</v>
      </c>
      <c r="Z210" s="161">
        <f t="shared" si="389"/>
        <v>1.940874036</v>
      </c>
      <c r="AA210" s="161">
        <f t="shared" si="389"/>
        <v>2.749490835</v>
      </c>
      <c r="AB210" s="161">
        <f t="shared" si="389"/>
        <v>7.217821782</v>
      </c>
      <c r="AC210" s="161">
        <f t="shared" si="389"/>
        <v>9.205714286</v>
      </c>
      <c r="AD210" s="161">
        <f t="shared" si="389"/>
        <v>3.608490566</v>
      </c>
      <c r="AE210" s="161">
        <f t="shared" si="11"/>
        <v>6.089614341</v>
      </c>
    </row>
    <row r="211">
      <c r="A211" s="207">
        <v>77099.0</v>
      </c>
      <c r="B211" s="208">
        <v>49271.0</v>
      </c>
      <c r="C211" s="208">
        <v>25.9</v>
      </c>
      <c r="D211" s="208">
        <v>48735.0</v>
      </c>
      <c r="E211" s="208">
        <v>0.67</v>
      </c>
      <c r="F211" s="208">
        <v>10.2</v>
      </c>
      <c r="G211" s="208">
        <v>35.5</v>
      </c>
      <c r="H211" s="208">
        <v>22.5</v>
      </c>
      <c r="I211" s="208">
        <v>28.8</v>
      </c>
      <c r="J211" s="208">
        <v>8.0</v>
      </c>
      <c r="K211" s="208">
        <v>37.2</v>
      </c>
      <c r="L211" s="209">
        <v>11.2</v>
      </c>
      <c r="M211" s="161">
        <f t="shared" si="5"/>
        <v>46.88128773</v>
      </c>
      <c r="N211" s="189">
        <f t="shared" si="6"/>
        <v>86.1952862</v>
      </c>
      <c r="O211" s="161">
        <f t="shared" ref="O211:S211" si="390">((F211-O$1)/(O$2-O$1))*100</f>
        <v>51</v>
      </c>
      <c r="P211" s="161">
        <f t="shared" si="390"/>
        <v>69.73947896</v>
      </c>
      <c r="Q211" s="161">
        <f t="shared" si="390"/>
        <v>57.06940874</v>
      </c>
      <c r="R211" s="161">
        <f t="shared" si="390"/>
        <v>58.65580448</v>
      </c>
      <c r="S211" s="161">
        <f t="shared" si="390"/>
        <v>11.28712871</v>
      </c>
      <c r="T211" s="189">
        <f t="shared" si="8"/>
        <v>64.91428571</v>
      </c>
      <c r="U211" s="210">
        <f t="shared" si="9"/>
        <v>52.83018868</v>
      </c>
      <c r="V211" s="161">
        <f t="shared" ref="V211:AD211" si="391">M211*V$2</f>
        <v>9.376257545</v>
      </c>
      <c r="W211" s="161">
        <f t="shared" si="391"/>
        <v>17.23905724</v>
      </c>
      <c r="X211" s="161">
        <f t="shared" si="391"/>
        <v>2.55</v>
      </c>
      <c r="Y211" s="161">
        <f t="shared" si="391"/>
        <v>3.486973948</v>
      </c>
      <c r="Z211" s="161">
        <f t="shared" si="391"/>
        <v>2.853470437</v>
      </c>
      <c r="AA211" s="161">
        <f t="shared" si="391"/>
        <v>5.865580448</v>
      </c>
      <c r="AB211" s="161">
        <f t="shared" si="391"/>
        <v>1.693069307</v>
      </c>
      <c r="AC211" s="161">
        <f t="shared" si="391"/>
        <v>9.737142857</v>
      </c>
      <c r="AD211" s="161">
        <f t="shared" si="391"/>
        <v>2.641509434</v>
      </c>
      <c r="AE211" s="161">
        <f t="shared" si="11"/>
        <v>6.160340135</v>
      </c>
    </row>
    <row r="212">
      <c r="A212" s="207">
        <v>77020.0</v>
      </c>
      <c r="B212" s="208">
        <v>25583.0</v>
      </c>
      <c r="C212" s="208">
        <v>27.6</v>
      </c>
      <c r="D212" s="208">
        <v>49481.0</v>
      </c>
      <c r="E212" s="208">
        <v>0.68</v>
      </c>
      <c r="F212" s="208">
        <v>9.5</v>
      </c>
      <c r="G212" s="208">
        <v>29.8</v>
      </c>
      <c r="H212" s="208">
        <v>22.3</v>
      </c>
      <c r="I212" s="208">
        <v>34.7</v>
      </c>
      <c r="J212" s="208">
        <v>9.8</v>
      </c>
      <c r="K212" s="208">
        <v>52.0</v>
      </c>
      <c r="L212" s="209">
        <v>15.5</v>
      </c>
      <c r="M212" s="161">
        <f t="shared" si="5"/>
        <v>50.30181087</v>
      </c>
      <c r="N212" s="189">
        <f t="shared" si="6"/>
        <v>85.85858586</v>
      </c>
      <c r="O212" s="161">
        <f t="shared" ref="O212:S212" si="392">((F212-O$1)/(O$2-O$1))*100</f>
        <v>47.5</v>
      </c>
      <c r="P212" s="161">
        <f t="shared" si="392"/>
        <v>58.31663327</v>
      </c>
      <c r="Q212" s="161">
        <f t="shared" si="392"/>
        <v>56.55526992</v>
      </c>
      <c r="R212" s="161">
        <f t="shared" si="392"/>
        <v>70.67209776</v>
      </c>
      <c r="S212" s="161">
        <f t="shared" si="392"/>
        <v>14.85148515</v>
      </c>
      <c r="T212" s="189">
        <f t="shared" si="8"/>
        <v>48</v>
      </c>
      <c r="U212" s="210">
        <f t="shared" si="9"/>
        <v>73.11320755</v>
      </c>
      <c r="V212" s="161">
        <f t="shared" ref="V212:AD212" si="393">M212*V$2</f>
        <v>10.06036217</v>
      </c>
      <c r="W212" s="161">
        <f t="shared" si="393"/>
        <v>17.17171717</v>
      </c>
      <c r="X212" s="161">
        <f t="shared" si="393"/>
        <v>2.375</v>
      </c>
      <c r="Y212" s="161">
        <f t="shared" si="393"/>
        <v>2.915831663</v>
      </c>
      <c r="Z212" s="161">
        <f t="shared" si="393"/>
        <v>2.827763496</v>
      </c>
      <c r="AA212" s="161">
        <f t="shared" si="393"/>
        <v>7.067209776</v>
      </c>
      <c r="AB212" s="161">
        <f t="shared" si="393"/>
        <v>2.227722772</v>
      </c>
      <c r="AC212" s="161">
        <f t="shared" si="393"/>
        <v>7.2</v>
      </c>
      <c r="AD212" s="161">
        <f t="shared" si="393"/>
        <v>3.655660377</v>
      </c>
      <c r="AE212" s="161">
        <f t="shared" si="11"/>
        <v>6.166807492</v>
      </c>
    </row>
    <row r="213">
      <c r="A213" s="207">
        <v>77021.0</v>
      </c>
      <c r="B213" s="208">
        <v>24884.0</v>
      </c>
      <c r="C213" s="208">
        <v>28.7</v>
      </c>
      <c r="D213" s="208">
        <v>45034.0</v>
      </c>
      <c r="E213" s="208">
        <v>0.62</v>
      </c>
      <c r="F213" s="208">
        <v>9.3</v>
      </c>
      <c r="G213" s="208">
        <v>20.6</v>
      </c>
      <c r="H213" s="208">
        <v>21.1</v>
      </c>
      <c r="I213" s="208">
        <v>13.3</v>
      </c>
      <c r="J213" s="208">
        <v>14.2</v>
      </c>
      <c r="K213" s="208">
        <v>39.8</v>
      </c>
      <c r="L213" s="209">
        <v>21.2</v>
      </c>
      <c r="M213" s="161">
        <f t="shared" si="5"/>
        <v>52.51509054</v>
      </c>
      <c r="N213" s="189">
        <f t="shared" si="6"/>
        <v>87.87878788</v>
      </c>
      <c r="O213" s="161">
        <f t="shared" ref="O213:S213" si="394">((F213-O$1)/(O$2-O$1))*100</f>
        <v>46.5</v>
      </c>
      <c r="P213" s="161">
        <f t="shared" si="394"/>
        <v>39.87975952</v>
      </c>
      <c r="Q213" s="161">
        <f t="shared" si="394"/>
        <v>53.47043702</v>
      </c>
      <c r="R213" s="161">
        <f t="shared" si="394"/>
        <v>27.08757637</v>
      </c>
      <c r="S213" s="161">
        <f t="shared" si="394"/>
        <v>23.56435644</v>
      </c>
      <c r="T213" s="189">
        <f t="shared" si="8"/>
        <v>61.94285714</v>
      </c>
      <c r="U213" s="210">
        <f t="shared" si="9"/>
        <v>100</v>
      </c>
      <c r="V213" s="161">
        <f t="shared" ref="V213:AD213" si="395">M213*V$2</f>
        <v>10.50301811</v>
      </c>
      <c r="W213" s="161">
        <f t="shared" si="395"/>
        <v>17.57575758</v>
      </c>
      <c r="X213" s="161">
        <f t="shared" si="395"/>
        <v>2.325</v>
      </c>
      <c r="Y213" s="161">
        <f t="shared" si="395"/>
        <v>1.993987976</v>
      </c>
      <c r="Z213" s="161">
        <f t="shared" si="395"/>
        <v>2.673521851</v>
      </c>
      <c r="AA213" s="161">
        <f t="shared" si="395"/>
        <v>2.708757637</v>
      </c>
      <c r="AB213" s="161">
        <f t="shared" si="395"/>
        <v>3.534653465</v>
      </c>
      <c r="AC213" s="161">
        <f t="shared" si="395"/>
        <v>9.291428571</v>
      </c>
      <c r="AD213" s="161">
        <f t="shared" si="395"/>
        <v>5</v>
      </c>
      <c r="AE213" s="161">
        <f t="shared" si="11"/>
        <v>6.178458354</v>
      </c>
    </row>
    <row r="214">
      <c r="A214" s="207">
        <v>77076.0</v>
      </c>
      <c r="B214" s="208">
        <v>32641.0</v>
      </c>
      <c r="C214" s="208">
        <v>27.1</v>
      </c>
      <c r="D214" s="208">
        <v>39895.0</v>
      </c>
      <c r="E214" s="208">
        <v>0.55</v>
      </c>
      <c r="F214" s="208">
        <v>3.8</v>
      </c>
      <c r="G214" s="208">
        <v>37.9</v>
      </c>
      <c r="H214" s="208">
        <v>20.6</v>
      </c>
      <c r="I214" s="208">
        <v>44.5</v>
      </c>
      <c r="J214" s="208">
        <v>8.0</v>
      </c>
      <c r="K214" s="208">
        <v>51.3</v>
      </c>
      <c r="L214" s="209">
        <v>10.9</v>
      </c>
      <c r="M214" s="161">
        <f t="shared" si="5"/>
        <v>49.29577465</v>
      </c>
      <c r="N214" s="189">
        <f t="shared" si="6"/>
        <v>90.23569024</v>
      </c>
      <c r="O214" s="161">
        <f t="shared" ref="O214:S214" si="396">((F214-O$1)/(O$2-O$1))*100</f>
        <v>19</v>
      </c>
      <c r="P214" s="161">
        <f t="shared" si="396"/>
        <v>74.5490982</v>
      </c>
      <c r="Q214" s="161">
        <f t="shared" si="396"/>
        <v>52.18508997</v>
      </c>
      <c r="R214" s="161">
        <f t="shared" si="396"/>
        <v>90.63136456</v>
      </c>
      <c r="S214" s="161">
        <f t="shared" si="396"/>
        <v>11.28712871</v>
      </c>
      <c r="T214" s="189">
        <f t="shared" si="8"/>
        <v>48.8</v>
      </c>
      <c r="U214" s="210">
        <f t="shared" si="9"/>
        <v>51.41509434</v>
      </c>
      <c r="V214" s="161">
        <f t="shared" ref="V214:AD214" si="397">M214*V$2</f>
        <v>9.85915493</v>
      </c>
      <c r="W214" s="161">
        <f t="shared" si="397"/>
        <v>18.04713805</v>
      </c>
      <c r="X214" s="161">
        <f t="shared" si="397"/>
        <v>0.95</v>
      </c>
      <c r="Y214" s="161">
        <f t="shared" si="397"/>
        <v>3.72745491</v>
      </c>
      <c r="Z214" s="161">
        <f t="shared" si="397"/>
        <v>2.609254499</v>
      </c>
      <c r="AA214" s="161">
        <f t="shared" si="397"/>
        <v>9.063136456</v>
      </c>
      <c r="AB214" s="161">
        <f t="shared" si="397"/>
        <v>1.693069307</v>
      </c>
      <c r="AC214" s="161">
        <f t="shared" si="397"/>
        <v>7.32</v>
      </c>
      <c r="AD214" s="161">
        <f t="shared" si="397"/>
        <v>2.570754717</v>
      </c>
      <c r="AE214" s="161">
        <f t="shared" si="11"/>
        <v>6.204440318</v>
      </c>
    </row>
    <row r="215">
      <c r="A215" s="207">
        <v>77012.0</v>
      </c>
      <c r="B215" s="208">
        <v>16780.0</v>
      </c>
      <c r="C215" s="208">
        <v>22.9</v>
      </c>
      <c r="D215" s="208">
        <v>48287.0</v>
      </c>
      <c r="E215" s="208">
        <v>0.66</v>
      </c>
      <c r="F215" s="208">
        <v>5.2</v>
      </c>
      <c r="G215" s="208">
        <v>38.4</v>
      </c>
      <c r="H215" s="208">
        <v>18.8</v>
      </c>
      <c r="I215" s="208">
        <v>41.4</v>
      </c>
      <c r="J215" s="208">
        <v>12.6</v>
      </c>
      <c r="K215" s="208">
        <v>41.5</v>
      </c>
      <c r="L215" s="209">
        <v>11.5</v>
      </c>
      <c r="M215" s="161">
        <f t="shared" si="5"/>
        <v>40.84507042</v>
      </c>
      <c r="N215" s="189">
        <f t="shared" si="6"/>
        <v>86.53198653</v>
      </c>
      <c r="O215" s="161">
        <f t="shared" ref="O215:S215" si="398">((F215-O$1)/(O$2-O$1))*100</f>
        <v>26</v>
      </c>
      <c r="P215" s="161">
        <f t="shared" si="398"/>
        <v>75.5511022</v>
      </c>
      <c r="Q215" s="161">
        <f t="shared" si="398"/>
        <v>47.55784062</v>
      </c>
      <c r="R215" s="161">
        <f t="shared" si="398"/>
        <v>84.31771894</v>
      </c>
      <c r="S215" s="161">
        <f t="shared" si="398"/>
        <v>20.3960396</v>
      </c>
      <c r="T215" s="189">
        <f t="shared" si="8"/>
        <v>60</v>
      </c>
      <c r="U215" s="210">
        <f t="shared" si="9"/>
        <v>54.24528302</v>
      </c>
      <c r="V215" s="161">
        <f t="shared" ref="V215:AD215" si="399">M215*V$2</f>
        <v>8.169014085</v>
      </c>
      <c r="W215" s="161">
        <f t="shared" si="399"/>
        <v>17.30639731</v>
      </c>
      <c r="X215" s="161">
        <f t="shared" si="399"/>
        <v>1.3</v>
      </c>
      <c r="Y215" s="161">
        <f t="shared" si="399"/>
        <v>3.77755511</v>
      </c>
      <c r="Z215" s="161">
        <f t="shared" si="399"/>
        <v>2.377892031</v>
      </c>
      <c r="AA215" s="161">
        <f t="shared" si="399"/>
        <v>8.431771894</v>
      </c>
      <c r="AB215" s="161">
        <f t="shared" si="399"/>
        <v>3.059405941</v>
      </c>
      <c r="AC215" s="161">
        <f t="shared" si="399"/>
        <v>9</v>
      </c>
      <c r="AD215" s="161">
        <f t="shared" si="399"/>
        <v>2.712264151</v>
      </c>
      <c r="AE215" s="161">
        <f t="shared" si="11"/>
        <v>6.237144502</v>
      </c>
    </row>
    <row r="216">
      <c r="A216" s="207">
        <v>77033.0</v>
      </c>
      <c r="B216" s="208">
        <v>28079.0</v>
      </c>
      <c r="C216" s="208">
        <v>34.0</v>
      </c>
      <c r="D216" s="208">
        <v>37081.0</v>
      </c>
      <c r="E216" s="208">
        <v>0.51</v>
      </c>
      <c r="F216" s="208">
        <v>13.6</v>
      </c>
      <c r="G216" s="208">
        <v>30.1</v>
      </c>
      <c r="H216" s="208">
        <v>32.4</v>
      </c>
      <c r="I216" s="208">
        <v>27.5</v>
      </c>
      <c r="J216" s="208">
        <v>8.0</v>
      </c>
      <c r="K216" s="208">
        <v>59.1</v>
      </c>
      <c r="L216" s="209">
        <v>8.9</v>
      </c>
      <c r="M216" s="161">
        <f t="shared" si="5"/>
        <v>63.17907445</v>
      </c>
      <c r="N216" s="189">
        <f t="shared" si="6"/>
        <v>91.58249158</v>
      </c>
      <c r="O216" s="161">
        <f t="shared" ref="O216:S216" si="400">((F216-O$1)/(O$2-O$1))*100</f>
        <v>68</v>
      </c>
      <c r="P216" s="161">
        <f t="shared" si="400"/>
        <v>58.91783567</v>
      </c>
      <c r="Q216" s="161">
        <f t="shared" si="400"/>
        <v>82.51928021</v>
      </c>
      <c r="R216" s="161">
        <f t="shared" si="400"/>
        <v>56.00814664</v>
      </c>
      <c r="S216" s="161">
        <f t="shared" si="400"/>
        <v>11.28712871</v>
      </c>
      <c r="T216" s="189">
        <f t="shared" si="8"/>
        <v>39.88571429</v>
      </c>
      <c r="U216" s="210">
        <f t="shared" si="9"/>
        <v>41.98113208</v>
      </c>
      <c r="V216" s="161">
        <f t="shared" ref="V216:AD216" si="401">M216*V$2</f>
        <v>12.63581489</v>
      </c>
      <c r="W216" s="161">
        <f t="shared" si="401"/>
        <v>18.31649832</v>
      </c>
      <c r="X216" s="161">
        <f t="shared" si="401"/>
        <v>3.4</v>
      </c>
      <c r="Y216" s="161">
        <f t="shared" si="401"/>
        <v>2.945891784</v>
      </c>
      <c r="Z216" s="161">
        <f t="shared" si="401"/>
        <v>4.12596401</v>
      </c>
      <c r="AA216" s="161">
        <f t="shared" si="401"/>
        <v>5.600814664</v>
      </c>
      <c r="AB216" s="161">
        <f t="shared" si="401"/>
        <v>1.693069307</v>
      </c>
      <c r="AC216" s="161">
        <f t="shared" si="401"/>
        <v>5.982857143</v>
      </c>
      <c r="AD216" s="161">
        <f t="shared" si="401"/>
        <v>2.099056604</v>
      </c>
      <c r="AE216" s="161">
        <f t="shared" si="11"/>
        <v>6.311107413</v>
      </c>
    </row>
    <row r="217">
      <c r="A217" s="207">
        <v>77078.0</v>
      </c>
      <c r="B217" s="208">
        <v>14705.0</v>
      </c>
      <c r="C217" s="208">
        <v>32.8</v>
      </c>
      <c r="D217" s="208">
        <v>38838.0</v>
      </c>
      <c r="E217" s="208">
        <v>0.53</v>
      </c>
      <c r="F217" s="208">
        <v>15.9</v>
      </c>
      <c r="G217" s="208">
        <v>32.3</v>
      </c>
      <c r="H217" s="208">
        <v>35.2</v>
      </c>
      <c r="I217" s="208">
        <v>27.1</v>
      </c>
      <c r="J217" s="208">
        <v>10.4</v>
      </c>
      <c r="K217" s="208">
        <v>58.7</v>
      </c>
      <c r="L217" s="209">
        <v>11.3</v>
      </c>
      <c r="M217" s="161">
        <f t="shared" si="5"/>
        <v>60.76458753</v>
      </c>
      <c r="N217" s="189">
        <f t="shared" si="6"/>
        <v>90.90909091</v>
      </c>
      <c r="O217" s="161">
        <f t="shared" ref="O217:S217" si="402">((F217-O$1)/(O$2-O$1))*100</f>
        <v>79.5</v>
      </c>
      <c r="P217" s="161">
        <f t="shared" si="402"/>
        <v>63.32665331</v>
      </c>
      <c r="Q217" s="161">
        <f t="shared" si="402"/>
        <v>89.71722365</v>
      </c>
      <c r="R217" s="161">
        <f t="shared" si="402"/>
        <v>55.19348269</v>
      </c>
      <c r="S217" s="161">
        <f t="shared" si="402"/>
        <v>16.03960396</v>
      </c>
      <c r="T217" s="189">
        <f t="shared" si="8"/>
        <v>40.34285714</v>
      </c>
      <c r="U217" s="210">
        <f t="shared" si="9"/>
        <v>53.30188679</v>
      </c>
      <c r="V217" s="161">
        <f t="shared" ref="V217:AD217" si="403">M217*V$2</f>
        <v>12.15291751</v>
      </c>
      <c r="W217" s="161">
        <f t="shared" si="403"/>
        <v>18.18181818</v>
      </c>
      <c r="X217" s="161">
        <f t="shared" si="403"/>
        <v>3.975</v>
      </c>
      <c r="Y217" s="161">
        <f t="shared" si="403"/>
        <v>3.166332665</v>
      </c>
      <c r="Z217" s="161">
        <f t="shared" si="403"/>
        <v>4.485861183</v>
      </c>
      <c r="AA217" s="161">
        <f t="shared" si="403"/>
        <v>5.519348269</v>
      </c>
      <c r="AB217" s="161">
        <f t="shared" si="403"/>
        <v>2.405940594</v>
      </c>
      <c r="AC217" s="161">
        <f t="shared" si="403"/>
        <v>6.051428571</v>
      </c>
      <c r="AD217" s="161">
        <f t="shared" si="403"/>
        <v>2.66509434</v>
      </c>
      <c r="AE217" s="161">
        <f t="shared" si="11"/>
        <v>6.511526812</v>
      </c>
    </row>
    <row r="218">
      <c r="A218" s="207">
        <v>77506.0</v>
      </c>
      <c r="B218" s="208">
        <v>35243.0</v>
      </c>
      <c r="C218" s="208">
        <v>22.3</v>
      </c>
      <c r="D218" s="208">
        <v>50045.0</v>
      </c>
      <c r="E218" s="208">
        <v>0.69</v>
      </c>
      <c r="F218" s="208">
        <v>13.1</v>
      </c>
      <c r="G218" s="208">
        <v>42.6</v>
      </c>
      <c r="H218" s="208">
        <v>26.2</v>
      </c>
      <c r="I218" s="208">
        <v>43.1</v>
      </c>
      <c r="J218" s="208">
        <v>12.3</v>
      </c>
      <c r="K218" s="208">
        <v>38.0</v>
      </c>
      <c r="L218" s="209">
        <v>6.2</v>
      </c>
      <c r="M218" s="161">
        <f t="shared" si="5"/>
        <v>39.63782696</v>
      </c>
      <c r="N218" s="189">
        <f t="shared" si="6"/>
        <v>85.52188552</v>
      </c>
      <c r="O218" s="161">
        <f t="shared" ref="O218:S218" si="404">((F218-O$1)/(O$2-O$1))*100</f>
        <v>65.5</v>
      </c>
      <c r="P218" s="161">
        <f t="shared" si="404"/>
        <v>83.96793587</v>
      </c>
      <c r="Q218" s="161">
        <f t="shared" si="404"/>
        <v>66.58097686</v>
      </c>
      <c r="R218" s="161">
        <f t="shared" si="404"/>
        <v>87.78004073</v>
      </c>
      <c r="S218" s="161">
        <f t="shared" si="404"/>
        <v>19.8019802</v>
      </c>
      <c r="T218" s="189">
        <f t="shared" si="8"/>
        <v>64</v>
      </c>
      <c r="U218" s="210">
        <f t="shared" si="9"/>
        <v>29.24528302</v>
      </c>
      <c r="V218" s="161">
        <f t="shared" ref="V218:AD218" si="405">M218*V$2</f>
        <v>7.927565392</v>
      </c>
      <c r="W218" s="161">
        <f t="shared" si="405"/>
        <v>17.1043771</v>
      </c>
      <c r="X218" s="161">
        <f t="shared" si="405"/>
        <v>3.275</v>
      </c>
      <c r="Y218" s="161">
        <f t="shared" si="405"/>
        <v>4.198396794</v>
      </c>
      <c r="Z218" s="161">
        <f t="shared" si="405"/>
        <v>3.329048843</v>
      </c>
      <c r="AA218" s="161">
        <f t="shared" si="405"/>
        <v>8.778004073</v>
      </c>
      <c r="AB218" s="161">
        <f t="shared" si="405"/>
        <v>2.97029703</v>
      </c>
      <c r="AC218" s="161">
        <f t="shared" si="405"/>
        <v>9.6</v>
      </c>
      <c r="AD218" s="161">
        <f t="shared" si="405"/>
        <v>1.462264151</v>
      </c>
      <c r="AE218" s="161">
        <f t="shared" si="11"/>
        <v>6.516105932</v>
      </c>
    </row>
    <row r="219">
      <c r="A219" s="207">
        <v>77093.0</v>
      </c>
      <c r="B219" s="208">
        <v>46091.0</v>
      </c>
      <c r="C219" s="208">
        <v>32.7</v>
      </c>
      <c r="D219" s="208">
        <v>41958.0</v>
      </c>
      <c r="E219" s="208">
        <v>0.57</v>
      </c>
      <c r="F219" s="208">
        <v>5.7</v>
      </c>
      <c r="G219" s="208">
        <v>37.4</v>
      </c>
      <c r="H219" s="208">
        <v>25.9</v>
      </c>
      <c r="I219" s="208">
        <v>49.1</v>
      </c>
      <c r="J219" s="208">
        <v>9.0</v>
      </c>
      <c r="K219" s="208">
        <v>56.8</v>
      </c>
      <c r="L219" s="209">
        <v>8.4</v>
      </c>
      <c r="M219" s="161">
        <f t="shared" si="5"/>
        <v>60.56338028</v>
      </c>
      <c r="N219" s="189">
        <f t="shared" si="6"/>
        <v>89.56228956</v>
      </c>
      <c r="O219" s="161">
        <f t="shared" ref="O219:S219" si="406">((F219-O$1)/(O$2-O$1))*100</f>
        <v>28.5</v>
      </c>
      <c r="P219" s="161">
        <f t="shared" si="406"/>
        <v>73.54709419</v>
      </c>
      <c r="Q219" s="161">
        <f t="shared" si="406"/>
        <v>65.80976864</v>
      </c>
      <c r="R219" s="161">
        <f t="shared" si="406"/>
        <v>100</v>
      </c>
      <c r="S219" s="161">
        <f t="shared" si="406"/>
        <v>13.26732673</v>
      </c>
      <c r="T219" s="189">
        <f t="shared" si="8"/>
        <v>42.51428571</v>
      </c>
      <c r="U219" s="210">
        <f t="shared" si="9"/>
        <v>39.62264151</v>
      </c>
      <c r="V219" s="161">
        <f t="shared" ref="V219:AD219" si="407">M219*V$2</f>
        <v>12.11267606</v>
      </c>
      <c r="W219" s="161">
        <f t="shared" si="407"/>
        <v>17.91245791</v>
      </c>
      <c r="X219" s="161">
        <f t="shared" si="407"/>
        <v>1.425</v>
      </c>
      <c r="Y219" s="161">
        <f t="shared" si="407"/>
        <v>3.677354709</v>
      </c>
      <c r="Z219" s="161">
        <f t="shared" si="407"/>
        <v>3.290488432</v>
      </c>
      <c r="AA219" s="161">
        <f t="shared" si="407"/>
        <v>10</v>
      </c>
      <c r="AB219" s="161">
        <f t="shared" si="407"/>
        <v>1.99009901</v>
      </c>
      <c r="AC219" s="161">
        <f t="shared" si="407"/>
        <v>6.377142857</v>
      </c>
      <c r="AD219" s="161">
        <f t="shared" si="407"/>
        <v>1.981132075</v>
      </c>
      <c r="AE219" s="161">
        <f t="shared" si="11"/>
        <v>6.529594561</v>
      </c>
    </row>
    <row r="220">
      <c r="A220" s="207">
        <v>77013.0</v>
      </c>
      <c r="B220" s="208">
        <v>17680.0</v>
      </c>
      <c r="C220" s="208">
        <v>28.8</v>
      </c>
      <c r="D220" s="208">
        <v>44530.0</v>
      </c>
      <c r="E220" s="208">
        <v>0.61</v>
      </c>
      <c r="F220" s="208">
        <v>10.4</v>
      </c>
      <c r="G220" s="208">
        <v>32.3</v>
      </c>
      <c r="H220" s="208">
        <v>23.1</v>
      </c>
      <c r="I220" s="208">
        <v>33.5</v>
      </c>
      <c r="J220" s="208">
        <v>16.5</v>
      </c>
      <c r="K220" s="208">
        <v>40.7</v>
      </c>
      <c r="L220" s="209">
        <v>9.3</v>
      </c>
      <c r="M220" s="161">
        <f t="shared" si="5"/>
        <v>52.71629779</v>
      </c>
      <c r="N220" s="189">
        <f t="shared" si="6"/>
        <v>88.21548822</v>
      </c>
      <c r="O220" s="161">
        <f t="shared" ref="O220:S220" si="408">((F220-O$1)/(O$2-O$1))*100</f>
        <v>52</v>
      </c>
      <c r="P220" s="161">
        <f t="shared" si="408"/>
        <v>63.32665331</v>
      </c>
      <c r="Q220" s="161">
        <f t="shared" si="408"/>
        <v>58.61182519</v>
      </c>
      <c r="R220" s="161">
        <f t="shared" si="408"/>
        <v>68.22810591</v>
      </c>
      <c r="S220" s="161">
        <f t="shared" si="408"/>
        <v>28.11881188</v>
      </c>
      <c r="T220" s="189">
        <f t="shared" si="8"/>
        <v>60.91428571</v>
      </c>
      <c r="U220" s="210">
        <f t="shared" si="9"/>
        <v>43.86792453</v>
      </c>
      <c r="V220" s="161">
        <f t="shared" ref="V220:AD220" si="409">M220*V$2</f>
        <v>10.54325956</v>
      </c>
      <c r="W220" s="161">
        <f t="shared" si="409"/>
        <v>17.64309764</v>
      </c>
      <c r="X220" s="161">
        <f t="shared" si="409"/>
        <v>2.6</v>
      </c>
      <c r="Y220" s="161">
        <f t="shared" si="409"/>
        <v>3.166332665</v>
      </c>
      <c r="Z220" s="161">
        <f t="shared" si="409"/>
        <v>2.93059126</v>
      </c>
      <c r="AA220" s="161">
        <f t="shared" si="409"/>
        <v>6.822810591</v>
      </c>
      <c r="AB220" s="161">
        <f t="shared" si="409"/>
        <v>4.217821782</v>
      </c>
      <c r="AC220" s="161">
        <f t="shared" si="409"/>
        <v>9.137142857</v>
      </c>
      <c r="AD220" s="161">
        <f t="shared" si="409"/>
        <v>2.193396226</v>
      </c>
      <c r="AE220" s="161">
        <f t="shared" si="11"/>
        <v>6.583828065</v>
      </c>
    </row>
    <row r="221">
      <c r="A221" s="207">
        <v>77022.0</v>
      </c>
      <c r="B221" s="208">
        <v>26135.0</v>
      </c>
      <c r="C221" s="208">
        <v>26.8</v>
      </c>
      <c r="D221" s="208">
        <v>48386.0</v>
      </c>
      <c r="E221" s="208">
        <v>0.66</v>
      </c>
      <c r="F221" s="208">
        <v>11.3</v>
      </c>
      <c r="G221" s="208">
        <v>31.8</v>
      </c>
      <c r="H221" s="208">
        <v>29.6</v>
      </c>
      <c r="I221" s="208">
        <v>36.8</v>
      </c>
      <c r="J221" s="208">
        <v>14.8</v>
      </c>
      <c r="K221" s="208">
        <v>47.9</v>
      </c>
      <c r="L221" s="209">
        <v>17.1</v>
      </c>
      <c r="M221" s="161">
        <f t="shared" si="5"/>
        <v>48.69215292</v>
      </c>
      <c r="N221" s="189">
        <f t="shared" si="6"/>
        <v>86.53198653</v>
      </c>
      <c r="O221" s="161">
        <f t="shared" ref="O221:S221" si="410">((F221-O$1)/(O$2-O$1))*100</f>
        <v>56.5</v>
      </c>
      <c r="P221" s="161">
        <f t="shared" si="410"/>
        <v>62.3246493</v>
      </c>
      <c r="Q221" s="161">
        <f t="shared" si="410"/>
        <v>75.32133676</v>
      </c>
      <c r="R221" s="161">
        <f t="shared" si="410"/>
        <v>74.9490835</v>
      </c>
      <c r="S221" s="161">
        <f t="shared" si="410"/>
        <v>24.75247525</v>
      </c>
      <c r="T221" s="189">
        <f t="shared" si="8"/>
        <v>52.68571429</v>
      </c>
      <c r="U221" s="210">
        <f t="shared" si="9"/>
        <v>80.66037736</v>
      </c>
      <c r="V221" s="161">
        <f t="shared" ref="V221:AD221" si="411">M221*V$2</f>
        <v>9.738430584</v>
      </c>
      <c r="W221" s="161">
        <f t="shared" si="411"/>
        <v>17.30639731</v>
      </c>
      <c r="X221" s="161">
        <f t="shared" si="411"/>
        <v>2.825</v>
      </c>
      <c r="Y221" s="161">
        <f t="shared" si="411"/>
        <v>3.116232465</v>
      </c>
      <c r="Z221" s="161">
        <f t="shared" si="411"/>
        <v>3.766066838</v>
      </c>
      <c r="AA221" s="161">
        <f t="shared" si="411"/>
        <v>7.49490835</v>
      </c>
      <c r="AB221" s="161">
        <f t="shared" si="411"/>
        <v>3.712871287</v>
      </c>
      <c r="AC221" s="161">
        <f t="shared" si="411"/>
        <v>7.902857143</v>
      </c>
      <c r="AD221" s="161">
        <f t="shared" si="411"/>
        <v>4.033018868</v>
      </c>
      <c r="AE221" s="161">
        <f t="shared" si="11"/>
        <v>6.655086982</v>
      </c>
    </row>
    <row r="222">
      <c r="A222" s="207">
        <v>77028.0</v>
      </c>
      <c r="B222" s="208">
        <v>18379.0</v>
      </c>
      <c r="C222" s="208">
        <v>34.4</v>
      </c>
      <c r="D222" s="208">
        <v>36244.0</v>
      </c>
      <c r="E222" s="208">
        <v>0.5</v>
      </c>
      <c r="F222" s="208">
        <v>12.5</v>
      </c>
      <c r="G222" s="208">
        <v>28.0</v>
      </c>
      <c r="H222" s="208">
        <v>38.6</v>
      </c>
      <c r="I222" s="208">
        <v>30.6</v>
      </c>
      <c r="J222" s="208">
        <v>13.0</v>
      </c>
      <c r="K222" s="208">
        <v>56.0</v>
      </c>
      <c r="L222" s="209">
        <v>10.8</v>
      </c>
      <c r="M222" s="161">
        <f t="shared" si="5"/>
        <v>63.98390342</v>
      </c>
      <c r="N222" s="189">
        <f t="shared" si="6"/>
        <v>91.91919192</v>
      </c>
      <c r="O222" s="161">
        <f t="shared" ref="O222:S222" si="412">((F222-O$1)/(O$2-O$1))*100</f>
        <v>62.5</v>
      </c>
      <c r="P222" s="161">
        <f t="shared" si="412"/>
        <v>54.70941884</v>
      </c>
      <c r="Q222" s="161">
        <f t="shared" si="412"/>
        <v>98.45758355</v>
      </c>
      <c r="R222" s="161">
        <f t="shared" si="412"/>
        <v>62.32179226</v>
      </c>
      <c r="S222" s="161">
        <f t="shared" si="412"/>
        <v>21.18811881</v>
      </c>
      <c r="T222" s="189">
        <f t="shared" si="8"/>
        <v>43.42857143</v>
      </c>
      <c r="U222" s="210">
        <f t="shared" si="9"/>
        <v>50.94339623</v>
      </c>
      <c r="V222" s="161">
        <f t="shared" ref="V222:AD222" si="413">M222*V$2</f>
        <v>12.79678068</v>
      </c>
      <c r="W222" s="161">
        <f t="shared" si="413"/>
        <v>18.38383838</v>
      </c>
      <c r="X222" s="161">
        <f t="shared" si="413"/>
        <v>3.125</v>
      </c>
      <c r="Y222" s="161">
        <f t="shared" si="413"/>
        <v>2.735470942</v>
      </c>
      <c r="Z222" s="161">
        <f t="shared" si="413"/>
        <v>4.922879177</v>
      </c>
      <c r="AA222" s="161">
        <f t="shared" si="413"/>
        <v>6.232179226</v>
      </c>
      <c r="AB222" s="161">
        <f t="shared" si="413"/>
        <v>3.178217822</v>
      </c>
      <c r="AC222" s="161">
        <f t="shared" si="413"/>
        <v>6.514285714</v>
      </c>
      <c r="AD222" s="161">
        <f t="shared" si="413"/>
        <v>2.547169811</v>
      </c>
      <c r="AE222" s="161">
        <f t="shared" si="11"/>
        <v>6.715091307</v>
      </c>
    </row>
    <row r="223">
      <c r="A223" s="207">
        <v>77074.0</v>
      </c>
      <c r="B223" s="208">
        <v>37467.0</v>
      </c>
      <c r="C223" s="208">
        <v>27.2</v>
      </c>
      <c r="D223" s="208">
        <v>47408.0</v>
      </c>
      <c r="E223" s="208">
        <v>0.65</v>
      </c>
      <c r="F223" s="208">
        <v>5.7</v>
      </c>
      <c r="G223" s="208">
        <v>41.2</v>
      </c>
      <c r="H223" s="208">
        <v>20.9</v>
      </c>
      <c r="I223" s="208">
        <v>41.2</v>
      </c>
      <c r="J223" s="208">
        <v>15.3</v>
      </c>
      <c r="K223" s="208">
        <v>32.6</v>
      </c>
      <c r="L223" s="209">
        <v>15.0</v>
      </c>
      <c r="M223" s="161">
        <f t="shared" si="5"/>
        <v>49.49698189</v>
      </c>
      <c r="N223" s="189">
        <f t="shared" si="6"/>
        <v>86.86868687</v>
      </c>
      <c r="O223" s="161">
        <f t="shared" ref="O223:S223" si="414">((F223-O$1)/(O$2-O$1))*100</f>
        <v>28.5</v>
      </c>
      <c r="P223" s="161">
        <f t="shared" si="414"/>
        <v>81.16232465</v>
      </c>
      <c r="Q223" s="161">
        <f t="shared" si="414"/>
        <v>52.9562982</v>
      </c>
      <c r="R223" s="161">
        <f t="shared" si="414"/>
        <v>83.91038697</v>
      </c>
      <c r="S223" s="161">
        <f t="shared" si="414"/>
        <v>25.74257426</v>
      </c>
      <c r="T223" s="189">
        <f t="shared" si="8"/>
        <v>70.17142857</v>
      </c>
      <c r="U223" s="210">
        <f t="shared" si="9"/>
        <v>70.75471698</v>
      </c>
      <c r="V223" s="161">
        <f t="shared" ref="V223:AD223" si="415">M223*V$2</f>
        <v>9.899396378</v>
      </c>
      <c r="W223" s="161">
        <f t="shared" si="415"/>
        <v>17.37373737</v>
      </c>
      <c r="X223" s="161">
        <f t="shared" si="415"/>
        <v>1.425</v>
      </c>
      <c r="Y223" s="161">
        <f t="shared" si="415"/>
        <v>4.058116232</v>
      </c>
      <c r="Z223" s="161">
        <f t="shared" si="415"/>
        <v>2.64781491</v>
      </c>
      <c r="AA223" s="161">
        <f t="shared" si="415"/>
        <v>8.391038697</v>
      </c>
      <c r="AB223" s="161">
        <f t="shared" si="415"/>
        <v>3.861386139</v>
      </c>
      <c r="AC223" s="161">
        <f t="shared" si="415"/>
        <v>10.52571429</v>
      </c>
      <c r="AD223" s="161">
        <f t="shared" si="415"/>
        <v>3.537735849</v>
      </c>
      <c r="AE223" s="161">
        <f t="shared" si="11"/>
        <v>6.857771096</v>
      </c>
    </row>
    <row r="224">
      <c r="A224" s="207">
        <v>77091.0</v>
      </c>
      <c r="B224" s="208">
        <v>29135.0</v>
      </c>
      <c r="C224" s="208">
        <v>35.6</v>
      </c>
      <c r="D224" s="208">
        <v>35737.0</v>
      </c>
      <c r="E224" s="208">
        <v>0.49</v>
      </c>
      <c r="F224" s="208">
        <v>7.5</v>
      </c>
      <c r="G224" s="208">
        <v>29.4</v>
      </c>
      <c r="H224" s="208">
        <v>30.4</v>
      </c>
      <c r="I224" s="208">
        <v>27.0</v>
      </c>
      <c r="J224" s="208">
        <v>11.9</v>
      </c>
      <c r="K224" s="208">
        <v>35.2</v>
      </c>
      <c r="L224" s="209">
        <v>14.6</v>
      </c>
      <c r="M224" s="161">
        <f t="shared" si="5"/>
        <v>66.39839034</v>
      </c>
      <c r="N224" s="189">
        <f t="shared" si="6"/>
        <v>92.25589226</v>
      </c>
      <c r="O224" s="161">
        <f t="shared" ref="O224:S224" si="416">((F224-O$1)/(O$2-O$1))*100</f>
        <v>37.5</v>
      </c>
      <c r="P224" s="161">
        <f t="shared" si="416"/>
        <v>57.51503006</v>
      </c>
      <c r="Q224" s="161">
        <f t="shared" si="416"/>
        <v>77.37789203</v>
      </c>
      <c r="R224" s="161">
        <f t="shared" si="416"/>
        <v>54.9898167</v>
      </c>
      <c r="S224" s="161">
        <f t="shared" si="416"/>
        <v>19.00990099</v>
      </c>
      <c r="T224" s="189">
        <f t="shared" si="8"/>
        <v>67.2</v>
      </c>
      <c r="U224" s="210">
        <f t="shared" si="9"/>
        <v>68.86792453</v>
      </c>
      <c r="V224" s="161">
        <f t="shared" ref="V224:AD224" si="417">M224*V$2</f>
        <v>13.27967807</v>
      </c>
      <c r="W224" s="161">
        <f t="shared" si="417"/>
        <v>18.45117845</v>
      </c>
      <c r="X224" s="161">
        <f t="shared" si="417"/>
        <v>1.875</v>
      </c>
      <c r="Y224" s="161">
        <f t="shared" si="417"/>
        <v>2.875751503</v>
      </c>
      <c r="Z224" s="161">
        <f t="shared" si="417"/>
        <v>3.868894602</v>
      </c>
      <c r="AA224" s="161">
        <f t="shared" si="417"/>
        <v>5.49898167</v>
      </c>
      <c r="AB224" s="161">
        <f t="shared" si="417"/>
        <v>2.851485149</v>
      </c>
      <c r="AC224" s="161">
        <f t="shared" si="417"/>
        <v>10.08</v>
      </c>
      <c r="AD224" s="161">
        <f t="shared" si="417"/>
        <v>3.443396226</v>
      </c>
      <c r="AE224" s="161">
        <f t="shared" si="11"/>
        <v>6.913818408</v>
      </c>
    </row>
    <row r="225">
      <c r="A225" s="207">
        <v>77032.0</v>
      </c>
      <c r="B225" s="208">
        <v>13536.0</v>
      </c>
      <c r="C225" s="208">
        <v>34.1</v>
      </c>
      <c r="D225" s="208">
        <v>36731.0</v>
      </c>
      <c r="E225" s="208">
        <v>0.5</v>
      </c>
      <c r="F225" s="208">
        <v>7.1</v>
      </c>
      <c r="G225" s="208">
        <v>29.1</v>
      </c>
      <c r="H225" s="208">
        <v>39.2</v>
      </c>
      <c r="I225" s="208">
        <v>35.9</v>
      </c>
      <c r="J225" s="208">
        <v>9.2</v>
      </c>
      <c r="K225" s="208">
        <v>34.9</v>
      </c>
      <c r="L225" s="209">
        <v>13.6</v>
      </c>
      <c r="M225" s="161">
        <f t="shared" si="5"/>
        <v>63.38028169</v>
      </c>
      <c r="N225" s="189">
        <f t="shared" si="6"/>
        <v>91.91919192</v>
      </c>
      <c r="O225" s="161">
        <f t="shared" ref="O225:S225" si="418">((F225-O$1)/(O$2-O$1))*100</f>
        <v>35.5</v>
      </c>
      <c r="P225" s="161">
        <f t="shared" si="418"/>
        <v>56.91382766</v>
      </c>
      <c r="Q225" s="161">
        <f t="shared" si="418"/>
        <v>100</v>
      </c>
      <c r="R225" s="161">
        <f t="shared" si="418"/>
        <v>73.11608961</v>
      </c>
      <c r="S225" s="161">
        <f t="shared" si="418"/>
        <v>13.66336634</v>
      </c>
      <c r="T225" s="189">
        <f t="shared" si="8"/>
        <v>67.54285714</v>
      </c>
      <c r="U225" s="210">
        <f t="shared" si="9"/>
        <v>64.1509434</v>
      </c>
      <c r="V225" s="161">
        <f t="shared" ref="V225:AD225" si="419">M225*V$2</f>
        <v>12.67605634</v>
      </c>
      <c r="W225" s="161">
        <f t="shared" si="419"/>
        <v>18.38383838</v>
      </c>
      <c r="X225" s="161">
        <f t="shared" si="419"/>
        <v>1.775</v>
      </c>
      <c r="Y225" s="161">
        <f t="shared" si="419"/>
        <v>2.845691383</v>
      </c>
      <c r="Z225" s="161">
        <f t="shared" si="419"/>
        <v>5</v>
      </c>
      <c r="AA225" s="161">
        <f t="shared" si="419"/>
        <v>7.311608961</v>
      </c>
      <c r="AB225" s="161">
        <f t="shared" si="419"/>
        <v>2.04950495</v>
      </c>
      <c r="AC225" s="161">
        <f t="shared" si="419"/>
        <v>10.13142857</v>
      </c>
      <c r="AD225" s="161">
        <f t="shared" si="419"/>
        <v>3.20754717</v>
      </c>
      <c r="AE225" s="161">
        <f t="shared" si="11"/>
        <v>7.042297306</v>
      </c>
    </row>
    <row r="226">
      <c r="A226" s="207">
        <v>77026.0</v>
      </c>
      <c r="B226" s="208">
        <v>20536.0</v>
      </c>
      <c r="C226" s="208">
        <v>33.2</v>
      </c>
      <c r="D226" s="208">
        <v>34835.0</v>
      </c>
      <c r="E226" s="208">
        <v>0.48</v>
      </c>
      <c r="F226" s="208">
        <v>10.2</v>
      </c>
      <c r="G226" s="208">
        <v>31.9</v>
      </c>
      <c r="H226" s="208">
        <v>27.8</v>
      </c>
      <c r="I226" s="208">
        <v>30.4</v>
      </c>
      <c r="J226" s="208">
        <v>15.9</v>
      </c>
      <c r="K226" s="208">
        <v>40.2</v>
      </c>
      <c r="L226" s="209">
        <v>16.9</v>
      </c>
      <c r="M226" s="161">
        <f t="shared" si="5"/>
        <v>61.5694165</v>
      </c>
      <c r="N226" s="189">
        <f t="shared" si="6"/>
        <v>92.59259259</v>
      </c>
      <c r="O226" s="161">
        <f t="shared" ref="O226:S226" si="420">((F226-O$1)/(O$2-O$1))*100</f>
        <v>51</v>
      </c>
      <c r="P226" s="161">
        <f t="shared" si="420"/>
        <v>62.5250501</v>
      </c>
      <c r="Q226" s="161">
        <f t="shared" si="420"/>
        <v>70.6940874</v>
      </c>
      <c r="R226" s="161">
        <f t="shared" si="420"/>
        <v>61.91446029</v>
      </c>
      <c r="S226" s="161">
        <f t="shared" si="420"/>
        <v>26.93069307</v>
      </c>
      <c r="T226" s="189">
        <f t="shared" si="8"/>
        <v>61.48571429</v>
      </c>
      <c r="U226" s="210">
        <f t="shared" si="9"/>
        <v>79.71698113</v>
      </c>
      <c r="V226" s="161">
        <f t="shared" ref="V226:AD226" si="421">M226*V$2</f>
        <v>12.3138833</v>
      </c>
      <c r="W226" s="161">
        <f t="shared" si="421"/>
        <v>18.51851852</v>
      </c>
      <c r="X226" s="161">
        <f t="shared" si="421"/>
        <v>2.55</v>
      </c>
      <c r="Y226" s="161">
        <f t="shared" si="421"/>
        <v>3.126252505</v>
      </c>
      <c r="Z226" s="161">
        <f t="shared" si="421"/>
        <v>3.53470437</v>
      </c>
      <c r="AA226" s="161">
        <f t="shared" si="421"/>
        <v>6.191446029</v>
      </c>
      <c r="AB226" s="161">
        <f t="shared" si="421"/>
        <v>4.03960396</v>
      </c>
      <c r="AC226" s="161">
        <f t="shared" si="421"/>
        <v>9.222857143</v>
      </c>
      <c r="AD226" s="161">
        <f t="shared" si="421"/>
        <v>3.985849057</v>
      </c>
      <c r="AE226" s="161">
        <f t="shared" si="11"/>
        <v>7.053679431</v>
      </c>
    </row>
    <row r="227">
      <c r="A227" s="207">
        <v>77051.0</v>
      </c>
      <c r="B227" s="208">
        <v>18506.0</v>
      </c>
      <c r="C227" s="208">
        <v>37.7</v>
      </c>
      <c r="D227" s="208">
        <v>40030.0</v>
      </c>
      <c r="E227" s="208">
        <v>0.55</v>
      </c>
      <c r="F227" s="208">
        <v>19.4</v>
      </c>
      <c r="G227" s="208">
        <v>20.8</v>
      </c>
      <c r="H227" s="208">
        <v>32.8</v>
      </c>
      <c r="I227" s="208">
        <v>22.3</v>
      </c>
      <c r="J227" s="208">
        <v>11.9</v>
      </c>
      <c r="K227" s="208">
        <v>38.8</v>
      </c>
      <c r="L227" s="209">
        <v>17.4</v>
      </c>
      <c r="M227" s="161">
        <f t="shared" si="5"/>
        <v>70.62374245</v>
      </c>
      <c r="N227" s="189">
        <f t="shared" si="6"/>
        <v>90.23569024</v>
      </c>
      <c r="O227" s="161">
        <f t="shared" ref="O227:S227" si="422">((F227-O$1)/(O$2-O$1))*100</f>
        <v>97</v>
      </c>
      <c r="P227" s="161">
        <f t="shared" si="422"/>
        <v>40.28056112</v>
      </c>
      <c r="Q227" s="161">
        <f t="shared" si="422"/>
        <v>83.54755784</v>
      </c>
      <c r="R227" s="161">
        <f t="shared" si="422"/>
        <v>45.41751527</v>
      </c>
      <c r="S227" s="161">
        <f t="shared" si="422"/>
        <v>19.00990099</v>
      </c>
      <c r="T227" s="189">
        <f t="shared" si="8"/>
        <v>63.08571429</v>
      </c>
      <c r="U227" s="210">
        <f t="shared" si="9"/>
        <v>82.0754717</v>
      </c>
      <c r="V227" s="161">
        <f t="shared" ref="V227:AD227" si="423">M227*V$2</f>
        <v>14.12474849</v>
      </c>
      <c r="W227" s="161">
        <f t="shared" si="423"/>
        <v>18.04713805</v>
      </c>
      <c r="X227" s="161">
        <f t="shared" si="423"/>
        <v>4.85</v>
      </c>
      <c r="Y227" s="161">
        <f t="shared" si="423"/>
        <v>2.014028056</v>
      </c>
      <c r="Z227" s="161">
        <f t="shared" si="423"/>
        <v>4.177377892</v>
      </c>
      <c r="AA227" s="161">
        <f t="shared" si="423"/>
        <v>4.541751527</v>
      </c>
      <c r="AB227" s="161">
        <f t="shared" si="423"/>
        <v>2.851485149</v>
      </c>
      <c r="AC227" s="161">
        <f t="shared" si="423"/>
        <v>9.462857143</v>
      </c>
      <c r="AD227" s="161">
        <f t="shared" si="423"/>
        <v>4.103773585</v>
      </c>
      <c r="AE227" s="161">
        <f t="shared" si="11"/>
        <v>7.130351099</v>
      </c>
    </row>
    <row r="228">
      <c r="A228" s="207">
        <v>77050.0</v>
      </c>
      <c r="B228" s="208">
        <v>5854.0</v>
      </c>
      <c r="C228" s="208">
        <v>52.3</v>
      </c>
      <c r="D228" s="208">
        <v>30346.0</v>
      </c>
      <c r="E228" s="208">
        <v>0.42</v>
      </c>
      <c r="F228" s="208">
        <v>5.6</v>
      </c>
      <c r="G228" s="208">
        <v>50.6</v>
      </c>
      <c r="H228" s="208">
        <v>23.3</v>
      </c>
      <c r="I228" s="208">
        <v>45.7</v>
      </c>
      <c r="J228" s="208">
        <v>3.6</v>
      </c>
      <c r="K228" s="208">
        <v>54.5</v>
      </c>
      <c r="L228" s="209">
        <v>3.5</v>
      </c>
      <c r="M228" s="161">
        <f t="shared" si="5"/>
        <v>100</v>
      </c>
      <c r="N228" s="189">
        <f t="shared" si="6"/>
        <v>94.61279461</v>
      </c>
      <c r="O228" s="161">
        <f t="shared" ref="O228:S228" si="424">((F228-O$1)/(O$2-O$1))*100</f>
        <v>28</v>
      </c>
      <c r="P228" s="161">
        <f t="shared" si="424"/>
        <v>100</v>
      </c>
      <c r="Q228" s="161">
        <f t="shared" si="424"/>
        <v>59.12596401</v>
      </c>
      <c r="R228" s="161">
        <f t="shared" si="424"/>
        <v>93.07535642</v>
      </c>
      <c r="S228" s="161">
        <f t="shared" si="424"/>
        <v>2.574257426</v>
      </c>
      <c r="T228" s="189">
        <f t="shared" si="8"/>
        <v>45.14285714</v>
      </c>
      <c r="U228" s="210">
        <f t="shared" si="9"/>
        <v>16.50943396</v>
      </c>
      <c r="V228" s="161">
        <f t="shared" ref="V228:AD228" si="425">M228*V$2</f>
        <v>20</v>
      </c>
      <c r="W228" s="161">
        <f t="shared" si="425"/>
        <v>18.92255892</v>
      </c>
      <c r="X228" s="161">
        <f t="shared" si="425"/>
        <v>1.4</v>
      </c>
      <c r="Y228" s="161">
        <f t="shared" si="425"/>
        <v>5</v>
      </c>
      <c r="Z228" s="161">
        <f t="shared" si="425"/>
        <v>2.956298201</v>
      </c>
      <c r="AA228" s="161">
        <f t="shared" si="425"/>
        <v>9.307535642</v>
      </c>
      <c r="AB228" s="161">
        <f t="shared" si="425"/>
        <v>0.3861386139</v>
      </c>
      <c r="AC228" s="161">
        <f t="shared" si="425"/>
        <v>6.771428571</v>
      </c>
      <c r="AD228" s="161">
        <f t="shared" si="425"/>
        <v>0.8254716981</v>
      </c>
      <c r="AE228" s="161">
        <f t="shared" si="11"/>
        <v>7.285492405</v>
      </c>
    </row>
    <row r="229">
      <c r="A229" s="207">
        <v>77060.0</v>
      </c>
      <c r="B229" s="208">
        <v>44920.0</v>
      </c>
      <c r="C229" s="208">
        <v>35.3</v>
      </c>
      <c r="D229" s="208">
        <v>37843.0</v>
      </c>
      <c r="E229" s="208">
        <v>0.52</v>
      </c>
      <c r="F229" s="208">
        <v>6.4</v>
      </c>
      <c r="G229" s="208">
        <v>44.0</v>
      </c>
      <c r="H229" s="208">
        <v>26.8</v>
      </c>
      <c r="I229" s="208">
        <v>44.9</v>
      </c>
      <c r="J229" s="208">
        <v>9.2</v>
      </c>
      <c r="K229" s="208">
        <v>23.0</v>
      </c>
      <c r="L229" s="209">
        <v>14.0</v>
      </c>
      <c r="M229" s="161">
        <f t="shared" si="5"/>
        <v>65.79476861</v>
      </c>
      <c r="N229" s="189">
        <f t="shared" si="6"/>
        <v>91.24579125</v>
      </c>
      <c r="O229" s="161">
        <f t="shared" ref="O229:S229" si="426">((F229-O$1)/(O$2-O$1))*100</f>
        <v>32</v>
      </c>
      <c r="P229" s="161">
        <f t="shared" si="426"/>
        <v>86.77354709</v>
      </c>
      <c r="Q229" s="161">
        <f t="shared" si="426"/>
        <v>68.12339332</v>
      </c>
      <c r="R229" s="161">
        <f t="shared" si="426"/>
        <v>91.44602851</v>
      </c>
      <c r="S229" s="161">
        <f t="shared" si="426"/>
        <v>13.66336634</v>
      </c>
      <c r="T229" s="189">
        <f t="shared" si="8"/>
        <v>81.14285714</v>
      </c>
      <c r="U229" s="210">
        <f t="shared" si="9"/>
        <v>66.03773585</v>
      </c>
      <c r="V229" s="161">
        <f t="shared" ref="V229:AD229" si="427">M229*V$2</f>
        <v>13.15895372</v>
      </c>
      <c r="W229" s="161">
        <f t="shared" si="427"/>
        <v>18.24915825</v>
      </c>
      <c r="X229" s="161">
        <f t="shared" si="427"/>
        <v>1.6</v>
      </c>
      <c r="Y229" s="161">
        <f t="shared" si="427"/>
        <v>4.338677355</v>
      </c>
      <c r="Z229" s="161">
        <f t="shared" si="427"/>
        <v>3.406169666</v>
      </c>
      <c r="AA229" s="161">
        <f t="shared" si="427"/>
        <v>9.144602851</v>
      </c>
      <c r="AB229" s="161">
        <f t="shared" si="427"/>
        <v>2.04950495</v>
      </c>
      <c r="AC229" s="161">
        <f t="shared" si="427"/>
        <v>12.17142857</v>
      </c>
      <c r="AD229" s="161">
        <f t="shared" si="427"/>
        <v>3.301886792</v>
      </c>
      <c r="AE229" s="161">
        <f t="shared" si="11"/>
        <v>7.491153573</v>
      </c>
    </row>
    <row r="230">
      <c r="A230" s="207">
        <v>77036.0</v>
      </c>
      <c r="B230" s="208">
        <v>71036.0</v>
      </c>
      <c r="C230" s="208">
        <v>28.0</v>
      </c>
      <c r="D230" s="208">
        <v>43853.0</v>
      </c>
      <c r="E230" s="208">
        <v>0.6</v>
      </c>
      <c r="F230" s="208">
        <v>5.8</v>
      </c>
      <c r="G230" s="208">
        <v>47.8</v>
      </c>
      <c r="H230" s="208">
        <v>23.1</v>
      </c>
      <c r="I230" s="208">
        <v>45.2</v>
      </c>
      <c r="J230" s="208">
        <v>13.6</v>
      </c>
      <c r="K230" s="208">
        <v>17.6</v>
      </c>
      <c r="L230" s="209">
        <v>20.4</v>
      </c>
      <c r="M230" s="161">
        <f t="shared" si="5"/>
        <v>51.10663984</v>
      </c>
      <c r="N230" s="189">
        <f t="shared" si="6"/>
        <v>88.55218855</v>
      </c>
      <c r="O230" s="161">
        <f t="shared" ref="O230:S230" si="428">((F230-O$1)/(O$2-O$1))*100</f>
        <v>29</v>
      </c>
      <c r="P230" s="161">
        <f t="shared" si="428"/>
        <v>94.38877756</v>
      </c>
      <c r="Q230" s="161">
        <f t="shared" si="428"/>
        <v>58.61182519</v>
      </c>
      <c r="R230" s="161">
        <f t="shared" si="428"/>
        <v>92.05702648</v>
      </c>
      <c r="S230" s="161">
        <f t="shared" si="428"/>
        <v>22.37623762</v>
      </c>
      <c r="T230" s="189">
        <f t="shared" si="8"/>
        <v>87.31428571</v>
      </c>
      <c r="U230" s="210">
        <f t="shared" si="9"/>
        <v>96.22641509</v>
      </c>
      <c r="V230" s="161">
        <f t="shared" ref="V230:AD230" si="429">M230*V$2</f>
        <v>10.22132797</v>
      </c>
      <c r="W230" s="161">
        <f t="shared" si="429"/>
        <v>17.71043771</v>
      </c>
      <c r="X230" s="161">
        <f t="shared" si="429"/>
        <v>1.45</v>
      </c>
      <c r="Y230" s="161">
        <f t="shared" si="429"/>
        <v>4.719438878</v>
      </c>
      <c r="Z230" s="161">
        <f t="shared" si="429"/>
        <v>2.93059126</v>
      </c>
      <c r="AA230" s="161">
        <f t="shared" si="429"/>
        <v>9.205702648</v>
      </c>
      <c r="AB230" s="161">
        <f t="shared" si="429"/>
        <v>3.356435644</v>
      </c>
      <c r="AC230" s="161">
        <f t="shared" si="429"/>
        <v>13.09714286</v>
      </c>
      <c r="AD230" s="161">
        <f t="shared" si="429"/>
        <v>4.811320755</v>
      </c>
      <c r="AE230" s="161">
        <f t="shared" si="11"/>
        <v>7.500266413</v>
      </c>
    </row>
    <row r="231">
      <c r="A231" s="207">
        <v>77446.0</v>
      </c>
      <c r="B231" s="208">
        <v>6060.0</v>
      </c>
      <c r="C231" s="208">
        <v>44.8</v>
      </c>
      <c r="D231" s="208">
        <v>19262.0</v>
      </c>
      <c r="E231" s="208">
        <v>0.26</v>
      </c>
      <c r="F231" s="208">
        <v>20.0</v>
      </c>
      <c r="G231" s="208">
        <v>21.0</v>
      </c>
      <c r="H231" s="208">
        <v>22.0</v>
      </c>
      <c r="I231" s="208">
        <v>16.1</v>
      </c>
      <c r="J231" s="208">
        <v>18.2</v>
      </c>
      <c r="K231" s="208">
        <v>16.2</v>
      </c>
      <c r="L231" s="209">
        <v>0.0</v>
      </c>
      <c r="M231" s="161">
        <f t="shared" si="5"/>
        <v>84.90945674</v>
      </c>
      <c r="N231" s="189">
        <f t="shared" si="6"/>
        <v>100</v>
      </c>
      <c r="O231" s="161">
        <f t="shared" ref="O231:S231" si="430">((F231-O$1)/(O$2-O$1))*100</f>
        <v>100</v>
      </c>
      <c r="P231" s="161">
        <f t="shared" si="430"/>
        <v>40.68136273</v>
      </c>
      <c r="Q231" s="161">
        <f t="shared" si="430"/>
        <v>55.7840617</v>
      </c>
      <c r="R231" s="161">
        <f t="shared" si="430"/>
        <v>32.79022403</v>
      </c>
      <c r="S231" s="161">
        <f t="shared" si="430"/>
        <v>31.48514851</v>
      </c>
      <c r="T231" s="189">
        <f t="shared" si="8"/>
        <v>88.91428571</v>
      </c>
      <c r="U231" s="210">
        <f t="shared" si="9"/>
        <v>0</v>
      </c>
      <c r="V231" s="161">
        <f t="shared" ref="V231:AD231" si="431">M231*V$2</f>
        <v>16.98189135</v>
      </c>
      <c r="W231" s="161">
        <f t="shared" si="431"/>
        <v>20</v>
      </c>
      <c r="X231" s="161">
        <f t="shared" si="431"/>
        <v>5</v>
      </c>
      <c r="Y231" s="161">
        <f t="shared" si="431"/>
        <v>2.034068136</v>
      </c>
      <c r="Z231" s="161">
        <f t="shared" si="431"/>
        <v>2.789203085</v>
      </c>
      <c r="AA231" s="161">
        <f t="shared" si="431"/>
        <v>3.279022403</v>
      </c>
      <c r="AB231" s="161">
        <f t="shared" si="431"/>
        <v>4.722772277</v>
      </c>
      <c r="AC231" s="161">
        <f t="shared" si="431"/>
        <v>13.33714286</v>
      </c>
      <c r="AD231" s="161">
        <f t="shared" si="431"/>
        <v>0</v>
      </c>
      <c r="AE231" s="161">
        <f t="shared" si="11"/>
        <v>7.571566679</v>
      </c>
    </row>
    <row r="232">
      <c r="A232" s="207">
        <v>77081.0</v>
      </c>
      <c r="B232" s="208">
        <v>51366.0</v>
      </c>
      <c r="C232" s="208">
        <v>33.5</v>
      </c>
      <c r="D232" s="208">
        <v>42228.0</v>
      </c>
      <c r="E232" s="208">
        <v>0.58</v>
      </c>
      <c r="F232" s="208">
        <v>5.6</v>
      </c>
      <c r="G232" s="208">
        <v>46.4</v>
      </c>
      <c r="H232" s="208">
        <v>20.8</v>
      </c>
      <c r="I232" s="208">
        <v>44.7</v>
      </c>
      <c r="J232" s="208">
        <v>8.6</v>
      </c>
      <c r="K232" s="208">
        <v>6.5</v>
      </c>
      <c r="L232" s="209">
        <v>18.9</v>
      </c>
      <c r="M232" s="161">
        <f t="shared" si="5"/>
        <v>62.17303823</v>
      </c>
      <c r="N232" s="189">
        <f t="shared" si="6"/>
        <v>89.22558923</v>
      </c>
      <c r="O232" s="161">
        <f t="shared" ref="O232:S232" si="432">((F232-O$1)/(O$2-O$1))*100</f>
        <v>28</v>
      </c>
      <c r="P232" s="161">
        <f t="shared" si="432"/>
        <v>91.58316633</v>
      </c>
      <c r="Q232" s="161">
        <f t="shared" si="432"/>
        <v>52.69922879</v>
      </c>
      <c r="R232" s="161">
        <f t="shared" si="432"/>
        <v>91.03869654</v>
      </c>
      <c r="S232" s="161">
        <f t="shared" si="432"/>
        <v>12.47524752</v>
      </c>
      <c r="T232" s="189">
        <f t="shared" si="8"/>
        <v>100</v>
      </c>
      <c r="U232" s="210">
        <f t="shared" si="9"/>
        <v>89.1509434</v>
      </c>
      <c r="V232" s="161">
        <f t="shared" ref="V232:AD232" si="433">M232*V$2</f>
        <v>12.43460765</v>
      </c>
      <c r="W232" s="161">
        <f t="shared" si="433"/>
        <v>17.84511785</v>
      </c>
      <c r="X232" s="161">
        <f t="shared" si="433"/>
        <v>1.4</v>
      </c>
      <c r="Y232" s="161">
        <f t="shared" si="433"/>
        <v>4.579158317</v>
      </c>
      <c r="Z232" s="161">
        <f t="shared" si="433"/>
        <v>2.63496144</v>
      </c>
      <c r="AA232" s="161">
        <f t="shared" si="433"/>
        <v>9.103869654</v>
      </c>
      <c r="AB232" s="161">
        <f t="shared" si="433"/>
        <v>1.871287129</v>
      </c>
      <c r="AC232" s="161">
        <f t="shared" si="433"/>
        <v>15</v>
      </c>
      <c r="AD232" s="161">
        <f t="shared" si="433"/>
        <v>4.45754717</v>
      </c>
      <c r="AE232" s="161">
        <f t="shared" si="11"/>
        <v>7.702949911</v>
      </c>
    </row>
  </sheetData>
  <autoFilter ref="$A$3:$AE$232"/>
  <printOptions gridLines="1" horizontalCentered="1"/>
  <pageMargins bottom="0.75" footer="0.0" header="0.0" left="0.7" right="0.7" top="0.75"/>
  <pageSetup fitToHeight="0" cellComments="atEnd" orientation="landscape" pageOrder="overThenDown"/>
  <drawing r:id="rId1"/>
</worksheet>
</file>